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charts/chart135.xml" ContentType="application/vnd.openxmlformats-officedocument.drawingml.chart+xml"/>
  <Override PartName="/xl/charts/chart136.xml" ContentType="application/vnd.openxmlformats-officedocument.drawingml.chart+xml"/>
  <Override PartName="/xl/charts/chart137.xml" ContentType="application/vnd.openxmlformats-officedocument.drawingml.chart+xml"/>
  <Override PartName="/xl/charts/chart138.xml" ContentType="application/vnd.openxmlformats-officedocument.drawingml.chart+xml"/>
  <Override PartName="/xl/charts/chart139.xml" ContentType="application/vnd.openxmlformats-officedocument.drawingml.chart+xml"/>
  <Override PartName="/xl/charts/chart14.xml" ContentType="application/vnd.openxmlformats-officedocument.drawingml.chart+xml"/>
  <Override PartName="/xl/charts/chart140.xml" ContentType="application/vnd.openxmlformats-officedocument.drawingml.chart+xml"/>
  <Override PartName="/xl/charts/chart141.xml" ContentType="application/vnd.openxmlformats-officedocument.drawingml.chart+xml"/>
  <Override PartName="/xl/charts/chart142.xml" ContentType="application/vnd.openxmlformats-officedocument.drawingml.chart+xml"/>
  <Override PartName="/xl/charts/chart143.xml" ContentType="application/vnd.openxmlformats-officedocument.drawingml.chart+xml"/>
  <Override PartName="/xl/charts/chart144.xml" ContentType="application/vnd.openxmlformats-officedocument.drawingml.chart+xml"/>
  <Override PartName="/xl/charts/chart145.xml" ContentType="application/vnd.openxmlformats-officedocument.drawingml.chart+xml"/>
  <Override PartName="/xl/charts/chart146.xml" ContentType="application/vnd.openxmlformats-officedocument.drawingml.chart+xml"/>
  <Override PartName="/xl/charts/chart147.xml" ContentType="application/vnd.openxmlformats-officedocument.drawingml.chart+xml"/>
  <Override PartName="/xl/charts/chart148.xml" ContentType="application/vnd.openxmlformats-officedocument.drawingml.chart+xml"/>
  <Override PartName="/xl/charts/chart149.xml" ContentType="application/vnd.openxmlformats-officedocument.drawingml.chart+xml"/>
  <Override PartName="/xl/charts/chart15.xml" ContentType="application/vnd.openxmlformats-officedocument.drawingml.chart+xml"/>
  <Override PartName="/xl/charts/chart150.xml" ContentType="application/vnd.openxmlformats-officedocument.drawingml.chart+xml"/>
  <Override PartName="/xl/charts/chart151.xml" ContentType="application/vnd.openxmlformats-officedocument.drawingml.chart+xml"/>
  <Override PartName="/xl/charts/chart152.xml" ContentType="application/vnd.openxmlformats-officedocument.drawingml.chart+xml"/>
  <Override PartName="/xl/charts/chart153.xml" ContentType="application/vnd.openxmlformats-officedocument.drawingml.chart+xml"/>
  <Override PartName="/xl/charts/chart154.xml" ContentType="application/vnd.openxmlformats-officedocument.drawingml.chart+xml"/>
  <Override PartName="/xl/charts/chart155.xml" ContentType="application/vnd.openxmlformats-officedocument.drawingml.chart+xml"/>
  <Override PartName="/xl/charts/chart156.xml" ContentType="application/vnd.openxmlformats-officedocument.drawingml.chart+xml"/>
  <Override PartName="/xl/charts/chart157.xml" ContentType="application/vnd.openxmlformats-officedocument.drawingml.chart+xml"/>
  <Override PartName="/xl/charts/chart158.xml" ContentType="application/vnd.openxmlformats-officedocument.drawingml.chart+xml"/>
  <Override PartName="/xl/charts/chart159.xml" ContentType="application/vnd.openxmlformats-officedocument.drawingml.chart+xml"/>
  <Override PartName="/xl/charts/chart16.xml" ContentType="application/vnd.openxmlformats-officedocument.drawingml.chart+xml"/>
  <Override PartName="/xl/charts/chart160.xml" ContentType="application/vnd.openxmlformats-officedocument.drawingml.chart+xml"/>
  <Override PartName="/xl/charts/chart161.xml" ContentType="application/vnd.openxmlformats-officedocument.drawingml.chart+xml"/>
  <Override PartName="/xl/charts/chart162.xml" ContentType="application/vnd.openxmlformats-officedocument.drawingml.chart+xml"/>
  <Override PartName="/xl/charts/chart163.xml" ContentType="application/vnd.openxmlformats-officedocument.drawingml.chart+xml"/>
  <Override PartName="/xl/charts/chart164.xml" ContentType="application/vnd.openxmlformats-officedocument.drawingml.chart+xml"/>
  <Override PartName="/xl/charts/chart165.xml" ContentType="application/vnd.openxmlformats-officedocument.drawingml.chart+xml"/>
  <Override PartName="/xl/charts/chart166.xml" ContentType="application/vnd.openxmlformats-officedocument.drawingml.chart+xml"/>
  <Override PartName="/xl/charts/chart167.xml" ContentType="application/vnd.openxmlformats-officedocument.drawingml.chart+xml"/>
  <Override PartName="/xl/charts/chart168.xml" ContentType="application/vnd.openxmlformats-officedocument.drawingml.chart+xml"/>
  <Override PartName="/xl/charts/chart169.xml" ContentType="application/vnd.openxmlformats-officedocument.drawingml.chart+xml"/>
  <Override PartName="/xl/charts/chart17.xml" ContentType="application/vnd.openxmlformats-officedocument.drawingml.chart+xml"/>
  <Override PartName="/xl/charts/chart170.xml" ContentType="application/vnd.openxmlformats-officedocument.drawingml.chart+xml"/>
  <Override PartName="/xl/charts/chart171.xml" ContentType="application/vnd.openxmlformats-officedocument.drawingml.chart+xml"/>
  <Override PartName="/xl/charts/chart172.xml" ContentType="application/vnd.openxmlformats-officedocument.drawingml.chart+xml"/>
  <Override PartName="/xl/charts/chart173.xml" ContentType="application/vnd.openxmlformats-officedocument.drawingml.chart+xml"/>
  <Override PartName="/xl/charts/chart174.xml" ContentType="application/vnd.openxmlformats-officedocument.drawingml.chart+xml"/>
  <Override PartName="/xl/charts/chart175.xml" ContentType="application/vnd.openxmlformats-officedocument.drawingml.chart+xml"/>
  <Override PartName="/xl/charts/chart176.xml" ContentType="application/vnd.openxmlformats-officedocument.drawingml.chart+xml"/>
  <Override PartName="/xl/charts/chart177.xml" ContentType="application/vnd.openxmlformats-officedocument.drawingml.chart+xml"/>
  <Override PartName="/xl/charts/chart178.xml" ContentType="application/vnd.openxmlformats-officedocument.drawingml.chart+xml"/>
  <Override PartName="/xl/charts/chart179.xml" ContentType="application/vnd.openxmlformats-officedocument.drawingml.chart+xml"/>
  <Override PartName="/xl/charts/chart18.xml" ContentType="application/vnd.openxmlformats-officedocument.drawingml.chart+xml"/>
  <Override PartName="/xl/charts/chart180.xml" ContentType="application/vnd.openxmlformats-officedocument.drawingml.chart+xml"/>
  <Override PartName="/xl/charts/chart181.xml" ContentType="application/vnd.openxmlformats-officedocument.drawingml.chart+xml"/>
  <Override PartName="/xl/charts/chart182.xml" ContentType="application/vnd.openxmlformats-officedocument.drawingml.chart+xml"/>
  <Override PartName="/xl/charts/chart183.xml" ContentType="application/vnd.openxmlformats-officedocument.drawingml.chart+xml"/>
  <Override PartName="/xl/charts/chart184.xml" ContentType="application/vnd.openxmlformats-officedocument.drawingml.chart+xml"/>
  <Override PartName="/xl/charts/chart185.xml" ContentType="application/vnd.openxmlformats-officedocument.drawingml.chart+xml"/>
  <Override PartName="/xl/charts/chart186.xml" ContentType="application/vnd.openxmlformats-officedocument.drawingml.chart+xml"/>
  <Override PartName="/xl/charts/chart187.xml" ContentType="application/vnd.openxmlformats-officedocument.drawingml.chart+xml"/>
  <Override PartName="/xl/charts/chart188.xml" ContentType="application/vnd.openxmlformats-officedocument.drawingml.chart+xml"/>
  <Override PartName="/xl/charts/chart189.xml" ContentType="application/vnd.openxmlformats-officedocument.drawingml.chart+xml"/>
  <Override PartName="/xl/charts/chart19.xml" ContentType="application/vnd.openxmlformats-officedocument.drawingml.chart+xml"/>
  <Override PartName="/xl/charts/chart190.xml" ContentType="application/vnd.openxmlformats-officedocument.drawingml.chart+xml"/>
  <Override PartName="/xl/charts/chart191.xml" ContentType="application/vnd.openxmlformats-officedocument.drawingml.chart+xml"/>
  <Override PartName="/xl/charts/chart192.xml" ContentType="application/vnd.openxmlformats-officedocument.drawingml.chart+xml"/>
  <Override PartName="/xl/charts/chart193.xml" ContentType="application/vnd.openxmlformats-officedocument.drawingml.chart+xml"/>
  <Override PartName="/xl/charts/chart194.xml" ContentType="application/vnd.openxmlformats-officedocument.drawingml.chart+xml"/>
  <Override PartName="/xl/charts/chart195.xml" ContentType="application/vnd.openxmlformats-officedocument.drawingml.chart+xml"/>
  <Override PartName="/xl/charts/chart196.xml" ContentType="application/vnd.openxmlformats-officedocument.drawingml.chart+xml"/>
  <Override PartName="/xl/charts/chart197.xml" ContentType="application/vnd.openxmlformats-officedocument.drawingml.chart+xml"/>
  <Override PartName="/xl/charts/chart198.xml" ContentType="application/vnd.openxmlformats-officedocument.drawingml.chart+xml"/>
  <Override PartName="/xl/charts/chart19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0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094" windowHeight="9805" tabRatio="500"/>
  </bookViews>
  <sheets>
    <sheet name="A股港股" sheetId="1" r:id="rId1"/>
    <sheet name="中债" sheetId="2" r:id="rId2"/>
    <sheet name="中国宏观" sheetId="3" r:id="rId3"/>
    <sheet name="海外数据" sheetId="4" r:id="rId4"/>
    <sheet name="宏观数据" sheetId="5" r:id="rId5"/>
    <sheet name="指数走势" sheetId="6" r:id="rId6"/>
    <sheet name="A股成交额换手率测试1" sheetId="7" r:id="rId7"/>
    <sheet name="辅助数据" sheetId="8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</author>
  </authors>
  <commentList>
    <comment ref="F2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</commentList>
</comments>
</file>

<file path=xl/comments2.xml><?xml version="1.0" encoding="utf-8"?>
<comments xmlns="http://schemas.openxmlformats.org/spreadsheetml/2006/main">
  <authors>
    <author>Unknown Author</author>
  </authors>
  <commentList>
    <comment ref="F2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  <comment ref="F11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  <comment ref="F20" authorId="0">
      <text>
        <r>
          <rPr>
            <sz val="10"/>
            <rFont val="宋体"/>
            <charset val="134"/>
          </rPr>
          <t>如需修改，请使用Excel插件-Wind-函数-编辑函数</t>
        </r>
      </text>
    </comment>
  </commentList>
</comments>
</file>

<file path=xl/comments3.xml><?xml version="1.0" encoding="utf-8"?>
<comments xmlns="http://schemas.openxmlformats.org/spreadsheetml/2006/main">
  <authors>
    <author>Unknown Author</author>
  </authors>
  <commentList>
    <comment ref="X7" authorId="0">
      <text/>
    </comment>
    <comment ref="H8" authorId="0">
      <text/>
    </comment>
    <comment ref="K8" authorId="0">
      <text/>
    </comment>
    <comment ref="O8" authorId="0">
      <text/>
    </comment>
    <comment ref="R8" authorId="0">
      <text/>
    </comment>
    <comment ref="A9" authorId="0">
      <text/>
    </comment>
    <comment ref="E9" authorId="0">
      <text/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<sst xmlns="http://schemas.openxmlformats.org/spreadsheetml/2006/main" count="1638" uniqueCount="655">
  <si>
    <t>频率</t>
  </si>
  <si>
    <t>代码</t>
  </si>
  <si>
    <t>单位</t>
  </si>
  <si>
    <t>当前数据</t>
  </si>
  <si>
    <t>数据日期</t>
  </si>
  <si>
    <t>变化</t>
  </si>
  <si>
    <t>上期数据</t>
  </si>
  <si>
    <t>上期日期</t>
  </si>
  <si>
    <t>趋势图</t>
  </si>
  <si>
    <t>上证指数</t>
  </si>
  <si>
    <t>日度</t>
  </si>
  <si>
    <t>000001.SH</t>
  </si>
  <si>
    <t>点</t>
  </si>
  <si>
    <t>深成指数</t>
  </si>
  <si>
    <t>399001.SZ</t>
  </si>
  <si>
    <t>沪深300</t>
  </si>
  <si>
    <t>000300.SH</t>
  </si>
  <si>
    <t>创业板指</t>
  </si>
  <si>
    <t>399006.SZ</t>
  </si>
  <si>
    <t>北向资金成交额</t>
  </si>
  <si>
    <t>亿元</t>
  </si>
  <si>
    <t>A股日度成交额</t>
  </si>
  <si>
    <t>融资融券余额</t>
  </si>
  <si>
    <t>万亿元</t>
  </si>
  <si>
    <t>市场换手率</t>
  </si>
  <si>
    <t>%</t>
  </si>
  <si>
    <t>恒生指数</t>
  </si>
  <si>
    <t>HSI.HI</t>
  </si>
  <si>
    <t>恒生科技指数</t>
  </si>
  <si>
    <t>HSTECH.HI</t>
  </si>
  <si>
    <t>南向资金净流入</t>
  </si>
  <si>
    <t>港股换手率</t>
  </si>
  <si>
    <t>港股成交额</t>
  </si>
  <si>
    <t>G8324453</t>
  </si>
  <si>
    <t>亿</t>
  </si>
  <si>
    <t>上证所:股票账户新开户数:个人:当月值</t>
  </si>
  <si>
    <t>月度</t>
  </si>
  <si>
    <t>F5536637</t>
  </si>
  <si>
    <t>上证沪港通AH溢价指数</t>
  </si>
  <si>
    <t>H50066.CSI</t>
  </si>
  <si>
    <t>ETF净流入</t>
  </si>
  <si>
    <t>ETF市场申赎净流入</t>
  </si>
  <si>
    <t>上证指数PE(TTM)</t>
  </si>
  <si>
    <t>倍</t>
  </si>
  <si>
    <t>深证成指PE(TTM)</t>
  </si>
  <si>
    <t>沪深300PE(TTM)</t>
  </si>
  <si>
    <t>创业板指PE(TTM)</t>
  </si>
  <si>
    <t>恒生指数PE(TTM)</t>
  </si>
  <si>
    <t>恒生科技PE(TTM)</t>
  </si>
  <si>
    <t>1年国债收益率</t>
  </si>
  <si>
    <t>M0325686</t>
  </si>
  <si>
    <t>10年国债收益率</t>
  </si>
  <si>
    <t>S0059749</t>
  </si>
  <si>
    <t>期限利差：（国债）10Y-1Y</t>
  </si>
  <si>
    <t>BP</t>
  </si>
  <si>
    <t>信用利差：10Y（企业债-国开债）</t>
  </si>
  <si>
    <t>中国:社会融资规模存量:企业债券:同比</t>
  </si>
  <si>
    <t>M5525769</t>
  </si>
  <si>
    <t>中债国债到期收益率:2年</t>
  </si>
  <si>
    <t>S0059745</t>
  </si>
  <si>
    <t>中债国债到期收益率:3年</t>
  </si>
  <si>
    <t>S0059746</t>
  </si>
  <si>
    <t>中债国开债到期收益率:3年</t>
  </si>
  <si>
    <t>M1004265</t>
  </si>
  <si>
    <t>中债国开债到期收益率:1年</t>
  </si>
  <si>
    <t>M1004263</t>
  </si>
  <si>
    <t>中债企业债到期收益率(AAA):1年</t>
  </si>
  <si>
    <t>S0059771</t>
  </si>
  <si>
    <t>中债城投债到期收益率(AAA):1年</t>
  </si>
  <si>
    <t>M0048432</t>
  </si>
  <si>
    <t>中债城投债到期收益率(AAA):3年</t>
  </si>
  <si>
    <t>M0048434</t>
  </si>
  <si>
    <t>中债企业债到期收益率(AAA):3年</t>
  </si>
  <si>
    <t>S0059773</t>
  </si>
  <si>
    <t>中债国债到期收益率:30年</t>
  </si>
  <si>
    <t>S0059752</t>
  </si>
  <si>
    <t>中债国开债到期收益率:10年</t>
  </si>
  <si>
    <t>M1004271</t>
  </si>
  <si>
    <t>中债企业债到期收益率(AAA):10年</t>
  </si>
  <si>
    <t>S0059776</t>
  </si>
  <si>
    <t>中债城投债到期收益率(AAA):10年</t>
  </si>
  <si>
    <t>M0048437</t>
  </si>
  <si>
    <t>DR001</t>
  </si>
  <si>
    <t>M1006336</t>
  </si>
  <si>
    <t>DR007</t>
  </si>
  <si>
    <t>M1006337</t>
  </si>
  <si>
    <t>R001</t>
  </si>
  <si>
    <t>M1001794</t>
  </si>
  <si>
    <t>R007</t>
  </si>
  <si>
    <t>M1001795</t>
  </si>
  <si>
    <t>中国:同业存单到期收益率(AAA):1年</t>
  </si>
  <si>
    <t>M1004902</t>
  </si>
  <si>
    <t>中国:社会融资规模:企业债券融资:当月值</t>
  </si>
  <si>
    <t>M5206736</t>
  </si>
  <si>
    <t>SHIBOR:3个月</t>
  </si>
  <si>
    <t>M0017142</t>
  </si>
  <si>
    <t>中国:贷款市场报价利率(LPR):1年</t>
  </si>
  <si>
    <t>M0096870</t>
  </si>
  <si>
    <t>中国:国债收益率:10年</t>
  </si>
  <si>
    <t>M0325687</t>
  </si>
  <si>
    <t>中美10年期国债利差 (中-美)</t>
  </si>
  <si>
    <t>M0325687-G0000891</t>
  </si>
  <si>
    <t>7天逆回购</t>
  </si>
  <si>
    <t>M0041371</t>
  </si>
  <si>
    <t>法定存准率</t>
  </si>
  <si>
    <t>M0061518</t>
  </si>
  <si>
    <t>公开市场操作净投放</t>
  </si>
  <si>
    <t>A4087688</t>
  </si>
  <si>
    <t>中央银行贷款-总投放</t>
  </si>
  <si>
    <t>N7822723+Z0569230+Z7194825+P5747228+C8808133</t>
  </si>
  <si>
    <t>社融存量</t>
  </si>
  <si>
    <t>M5525763</t>
  </si>
  <si>
    <t>新增人民币贷款</t>
  </si>
  <si>
    <t>M5525764</t>
  </si>
  <si>
    <t>M1</t>
  </si>
  <si>
    <t>M0001383</t>
  </si>
  <si>
    <t>M2</t>
  </si>
  <si>
    <t>M0001385</t>
  </si>
  <si>
    <t>社零</t>
  </si>
  <si>
    <t>M0001428</t>
  </si>
  <si>
    <t>固定投资</t>
  </si>
  <si>
    <t>M0000273</t>
  </si>
  <si>
    <t>房屋销售</t>
  </si>
  <si>
    <t>S0073300</t>
  </si>
  <si>
    <t>制造业PMI</t>
  </si>
  <si>
    <t>M0017126</t>
  </si>
  <si>
    <t>非制造业PMI</t>
  </si>
  <si>
    <t>M0048236</t>
  </si>
  <si>
    <t>工业增加值</t>
  </si>
  <si>
    <t>M0000545</t>
  </si>
  <si>
    <t>出口</t>
  </si>
  <si>
    <t>M0000607</t>
  </si>
  <si>
    <t>PPI</t>
  </si>
  <si>
    <t>M0001227</t>
  </si>
  <si>
    <t>CPI</t>
  </si>
  <si>
    <t>M0000612</t>
  </si>
  <si>
    <t>原材料购价</t>
  </si>
  <si>
    <t>M0017134</t>
  </si>
  <si>
    <t>中国:社会融资规模:当月值</t>
  </si>
  <si>
    <t>M5206730</t>
  </si>
  <si>
    <t>中国:社会融资规模:新增人民币贷款:当月值</t>
  </si>
  <si>
    <t>M5206731</t>
  </si>
  <si>
    <t>中国:社会融资规模:政府债券:当月值</t>
  </si>
  <si>
    <t>M6179492</t>
  </si>
  <si>
    <t>中国:社会融资规模:新增未贴现银行承兑汇票:当月值</t>
  </si>
  <si>
    <t>M5206735</t>
  </si>
  <si>
    <t>中国:社会融资规模:新增外币贷款:当月值</t>
  </si>
  <si>
    <t>M5206732</t>
  </si>
  <si>
    <t>中国:金融机构:新增人民币存款:财政存款:当月值</t>
  </si>
  <si>
    <t>M0009945</t>
  </si>
  <si>
    <t>中国:房屋销售价格指数:二手住宅:70个大中城市:当月同比</t>
  </si>
  <si>
    <t>S2707425</t>
  </si>
  <si>
    <t>中国:制造业PMI:新订单</t>
  </si>
  <si>
    <t>M0017128</t>
  </si>
  <si>
    <t>中国:制造业PMI:生产</t>
  </si>
  <si>
    <t>M0017127</t>
  </si>
  <si>
    <t>中国:营业收入利润率:规模以上工业企业:累计值</t>
  </si>
  <si>
    <t>M5207655</t>
  </si>
  <si>
    <t>中国:利润总额:规模以上工业企业:累计同比</t>
  </si>
  <si>
    <t>M0000557</t>
  </si>
  <si>
    <t>万得一致预测:中国:制造业PMI</t>
  </si>
  <si>
    <t>M0331594</t>
  </si>
  <si>
    <t>万得一致预测:中国:非制造业PMI</t>
  </si>
  <si>
    <t>A9541823</t>
  </si>
  <si>
    <t>中国:制造业PMI:新出口订单</t>
  </si>
  <si>
    <t>M0017129</t>
  </si>
  <si>
    <t>万得一致预测:中国:社会消费品零售总额:当月同比</t>
  </si>
  <si>
    <t>M0061679</t>
  </si>
  <si>
    <t>万得一致预测:中国:固定资产投资完成额:累计同比</t>
  </si>
  <si>
    <t>M0061678</t>
  </si>
  <si>
    <t>万得一致预测:中国:固定资产投资完成额:制造业:累计同比</t>
  </si>
  <si>
    <t>T2627623</t>
  </si>
  <si>
    <t>万得一致预测:中国:固定资产投资完成额:基础设施建设:累计同比</t>
  </si>
  <si>
    <t>L7439791</t>
  </si>
  <si>
    <t>万得一致预测:中国:固定资产投资完成额:房地产开发:累计同比</t>
  </si>
  <si>
    <t>V6384553</t>
  </si>
  <si>
    <t>中国:固定资产投资完成额:制造业:累计同比</t>
  </si>
  <si>
    <t>M0000357</t>
  </si>
  <si>
    <t>中国:固定资产投资完成额:基础设施建设(Wind衍生计算):累计同比</t>
  </si>
  <si>
    <t>M5440435</t>
  </si>
  <si>
    <t>中国:固定资产投资完成额:房地产业:累计同比</t>
  </si>
  <si>
    <t>M0000449</t>
  </si>
  <si>
    <t>中国:民间固定资产投资完成额:累计同比</t>
  </si>
  <si>
    <t>M5438208</t>
  </si>
  <si>
    <t>万得一致预测:中国:出口金额:当月同比</t>
  </si>
  <si>
    <t>M0061680</t>
  </si>
  <si>
    <t>万得一致预测:中国:PPI:当月同比</t>
  </si>
  <si>
    <t>M0061677</t>
  </si>
  <si>
    <t>万得一致预测:中国:CPI:当月同比</t>
  </si>
  <si>
    <t>M0061676</t>
  </si>
  <si>
    <t>中国:央行工具流动性投放情况:常备借贷便利(SLF):净投放</t>
  </si>
  <si>
    <t>N7822723</t>
  </si>
  <si>
    <t>中国:央行工具流动性投放情况:中期借贷便利(MLF):净投放</t>
  </si>
  <si>
    <t>Z0569230</t>
  </si>
  <si>
    <t>中国:央行工具流动性投放情况:抵押补充贷款(PSL):净投放</t>
  </si>
  <si>
    <t>Z7194825</t>
  </si>
  <si>
    <t>中国:央行工具流动性投放情况:其他结构性货币政策工具:净投放</t>
  </si>
  <si>
    <t>P5747228</t>
  </si>
  <si>
    <t>中国:央行工具流动性投放情况:法定存款准备金率:净投放</t>
  </si>
  <si>
    <t>C8808133</t>
  </si>
  <si>
    <t>万得一致预测:中国:社会融资规模存量:同比</t>
  </si>
  <si>
    <t>X5100205</t>
  </si>
  <si>
    <t>中国:社会融资规模存量:未贴现银行承兑汇票:同比</t>
  </si>
  <si>
    <t>M5525768</t>
  </si>
  <si>
    <t>中国:社会融资规模存量:政府债券:同比</t>
  </si>
  <si>
    <t>M6179510</t>
  </si>
  <si>
    <t>万得一致预测:中国:M1:同比</t>
  </si>
  <si>
    <t>Y0910594</t>
  </si>
  <si>
    <t>万得一致预测:中国:M2:同比</t>
  </si>
  <si>
    <t>M0061683</t>
  </si>
  <si>
    <t>中国:公开市场操作:货币净投放</t>
  </si>
  <si>
    <t>M0061614</t>
  </si>
  <si>
    <t>中国:金融机构:新增人民币贷款:居民户:短期:当月值</t>
  </si>
  <si>
    <t>M0057874</t>
  </si>
  <si>
    <t>中国:金融机构:新增人民币贷款:居民户:中长期:当月值</t>
  </si>
  <si>
    <t>M0057875</t>
  </si>
  <si>
    <t>中国:金融机构:新增人民币贷款:居民户:累计值</t>
  </si>
  <si>
    <t>M0048258</t>
  </si>
  <si>
    <t>中国:金融机构:新增人民币贷款:企(事)业单位:中长期:当月值</t>
  </si>
  <si>
    <t>M0057877</t>
  </si>
  <si>
    <t>中国:金融机构:新增人民币贷款:短期贷款及票据融资:累计值</t>
  </si>
  <si>
    <t>M0048256</t>
  </si>
  <si>
    <t>CFETS人民币汇率指数</t>
  </si>
  <si>
    <t>M0325601</t>
  </si>
  <si>
    <t>财政赤字脉冲</t>
  </si>
  <si>
    <t>M0046168-M0046166/M0001395</t>
  </si>
  <si>
    <t>中国:银行结售汇差额:当月值</t>
  </si>
  <si>
    <t>M5207849</t>
  </si>
  <si>
    <t>亿美元</t>
  </si>
  <si>
    <t>中国:居民部门杠杆率</t>
  </si>
  <si>
    <t>季度</t>
  </si>
  <si>
    <t>M6404533</t>
  </si>
  <si>
    <t>中国:政府部门杠杆率</t>
  </si>
  <si>
    <t>M6404535</t>
  </si>
  <si>
    <t>中国:非金融企业部门杠杆率</t>
  </si>
  <si>
    <t>M6404534</t>
  </si>
  <si>
    <t>中国:公共财政收入:累计值</t>
  </si>
  <si>
    <t>M0046168</t>
  </si>
  <si>
    <t>中国:公共财政支出:累计同比</t>
  </si>
  <si>
    <t>M0046167</t>
  </si>
  <si>
    <t>中国:地方政府性基金收入:国有土地使用权出让收入:累计同比</t>
  </si>
  <si>
    <t>M0096886</t>
  </si>
  <si>
    <t>中国:中央政府债务余额</t>
  </si>
  <si>
    <t>M5567950</t>
  </si>
  <si>
    <t>中国:财政赤字率 (赤字/GDP)</t>
  </si>
  <si>
    <t>年度</t>
  </si>
  <si>
    <t>M5405502</t>
  </si>
  <si>
    <t>GDP总量：中国</t>
  </si>
  <si>
    <t>M5567876</t>
  </si>
  <si>
    <t>中国:GDP累计同比贡献率:最终消费支出:支出法</t>
  </si>
  <si>
    <t>M6001128</t>
  </si>
  <si>
    <t>中国:GDP累计同比贡献率:资本形成总额:支出法</t>
  </si>
  <si>
    <t>M6001129</t>
  </si>
  <si>
    <t>中国:GDP累计同比贡献率:货物和服务净出口:支出法</t>
  </si>
  <si>
    <t>M6001130</t>
  </si>
  <si>
    <t>中国:房地产开发投资完成额:累计同比</t>
  </si>
  <si>
    <t>S0029657</t>
  </si>
  <si>
    <t>中国:出口金额:美国:累计同比</t>
  </si>
  <si>
    <t>M0008499</t>
  </si>
  <si>
    <t>中国:出口金额:东南亚国家联盟:累计同比</t>
  </si>
  <si>
    <t>M0007911</t>
  </si>
  <si>
    <t>进出口：中国:贸易差额</t>
  </si>
  <si>
    <t>M0000610</t>
  </si>
  <si>
    <t>中国:农产品批发价格指数:猪肉</t>
  </si>
  <si>
    <t>V6842305</t>
  </si>
  <si>
    <t>中国:产成品存货:规模以上工业企业:同比</t>
  </si>
  <si>
    <t>M0000561</t>
  </si>
  <si>
    <t>中国:利润总额:制造业:累计同比</t>
  </si>
  <si>
    <t>S0206721</t>
  </si>
  <si>
    <t>中国:金融机构:新增人民币存款:财政存款:累计值</t>
  </si>
  <si>
    <t>M0048264</t>
  </si>
  <si>
    <t>中国:社会消费品零售总额:当月值</t>
  </si>
  <si>
    <t>M0001427</t>
  </si>
  <si>
    <t>中国:GDP:不变价:当季同比</t>
  </si>
  <si>
    <t>M0039354</t>
  </si>
  <si>
    <t>美国:国债收益率:2年</t>
  </si>
  <si>
    <t>G0000887</t>
  </si>
  <si>
    <t>美国:国债收益率:10年</t>
  </si>
  <si>
    <t>G0000891</t>
  </si>
  <si>
    <t>美元指数</t>
  </si>
  <si>
    <t>M0000271</t>
  </si>
  <si>
    <t>美国:CPI:非季调:同比</t>
  </si>
  <si>
    <t>G0000027</t>
  </si>
  <si>
    <t>黄金ETF波动率指数</t>
  </si>
  <si>
    <t>G1122642</t>
  </si>
  <si>
    <t>CFETS:即期汇率:美元兑人民币</t>
  </si>
  <si>
    <t>M0067855</t>
  </si>
  <si>
    <t>美国:PPI:最终需求:非季调:同比</t>
  </si>
  <si>
    <t>G1138811</t>
  </si>
  <si>
    <t>美国:核心PCE:同比</t>
  </si>
  <si>
    <t>G1100005</t>
  </si>
  <si>
    <t>美国:所有联储银行:资产:总资产</t>
  </si>
  <si>
    <t>G1100075</t>
  </si>
  <si>
    <t>美国:国债未偿余额:适销国债</t>
  </si>
  <si>
    <t>G1133075</t>
  </si>
  <si>
    <t>美国:有效联邦基金利率(EFFR)</t>
  </si>
  <si>
    <t>G0001699</t>
  </si>
  <si>
    <t>美国担保隔夜融资利率(SOFR)</t>
  </si>
  <si>
    <t>周度</t>
  </si>
  <si>
    <t>M0341926</t>
  </si>
  <si>
    <t>美国:ISM:制造业PMI</t>
  </si>
  <si>
    <t>G0002323</t>
  </si>
  <si>
    <t>美国:零售和食品服务销售额:季调:环比</t>
  </si>
  <si>
    <t>G1109265</t>
  </si>
  <si>
    <t>美国:密歇根大学消费者信心指数</t>
  </si>
  <si>
    <t>G0002325</t>
  </si>
  <si>
    <t>美国:新建住房销量:非季调</t>
  </si>
  <si>
    <t>G0003645</t>
  </si>
  <si>
    <t>美国:建造支出:非季调</t>
  </si>
  <si>
    <t>G0003478</t>
  </si>
  <si>
    <t>美国:ISM:服务业PMI:新订单</t>
  </si>
  <si>
    <t>G0008356</t>
  </si>
  <si>
    <t>美国:出口金额:商品和服务贸易:季调:同比</t>
  </si>
  <si>
    <t>G1100352</t>
  </si>
  <si>
    <t>美国:失业率:季调</t>
  </si>
  <si>
    <t>G0000067</t>
  </si>
  <si>
    <t>美国:新增ADP就业人数:季调</t>
  </si>
  <si>
    <t>L7714005</t>
  </si>
  <si>
    <t>美国:财政赤字(盈余为负):同比</t>
  </si>
  <si>
    <t>G1100346</t>
  </si>
  <si>
    <t>美国:ISM:服务业PMI</t>
  </si>
  <si>
    <t>G0002324</t>
  </si>
  <si>
    <t>美国:所有商业银行:资产:银行信贷:季调</t>
  </si>
  <si>
    <t>G1109077</t>
  </si>
  <si>
    <t>美国:存款机构:负债:除储备金外的联储银行存款:美国财政部一般账户</t>
  </si>
  <si>
    <t>G1100038</t>
  </si>
  <si>
    <t>标准普尔500波动率指数(VIX)</t>
  </si>
  <si>
    <t>G0003892</t>
  </si>
  <si>
    <t>市盈率:标准普尔500指数</t>
  </si>
  <si>
    <t>G0011297</t>
  </si>
  <si>
    <t>美国:国债拍卖竞拍倍数:2年</t>
  </si>
  <si>
    <t>不定期</t>
  </si>
  <si>
    <t>G1130724</t>
  </si>
  <si>
    <t>美国:国债拍卖竞拍倍数:5年</t>
  </si>
  <si>
    <t>G1130736</t>
  </si>
  <si>
    <t>美国:国债拍卖竞拍倍数:10年</t>
  </si>
  <si>
    <t>G1130748</t>
  </si>
  <si>
    <t>美国:国债拍卖竞拍倍数:30年</t>
  </si>
  <si>
    <t>G1130766</t>
  </si>
  <si>
    <t>美国:当周初次申请失业金人数:非季调</t>
  </si>
  <si>
    <t>V7993283</t>
  </si>
  <si>
    <t>美国:密歇根大学:通胀率预期:1年</t>
  </si>
  <si>
    <t>P9918147</t>
  </si>
  <si>
    <t>美国:新增非农就业人数:季调:初值</t>
  </si>
  <si>
    <t>G1137704</t>
  </si>
  <si>
    <t>期货结算价(连续):布伦特原油</t>
  </si>
  <si>
    <t>S0031525</t>
  </si>
  <si>
    <t>美国:核心CPI:非季调:同比</t>
  </si>
  <si>
    <t>G0000029</t>
  </si>
  <si>
    <t>美国:国债拍卖最高收益率:TIPS债券:10年</t>
  </si>
  <si>
    <t>G1130774</t>
  </si>
  <si>
    <t>全球:官方黄金储备变动量:当月值</t>
  </si>
  <si>
    <t>F2284050</t>
  </si>
  <si>
    <t>美国:隔夜逆回购(ONRRP)出让金额:国债:第一批次</t>
  </si>
  <si>
    <t>G1168931</t>
  </si>
  <si>
    <t>美国:准备金余额利率(IORB)</t>
  </si>
  <si>
    <t>N9689792</t>
  </si>
  <si>
    <t>美国:SOFR-IORB利差</t>
  </si>
  <si>
    <t>X4477229</t>
  </si>
  <si>
    <t>美国:担保隔夜融资利率(SOFR):成交额</t>
  </si>
  <si>
    <t>G1168802</t>
  </si>
  <si>
    <t>美国:企业债收益率:穆迪Aaa</t>
  </si>
  <si>
    <t>G0005431</t>
  </si>
  <si>
    <t>美国:存款机构:资产:储备银行信贷:贷款</t>
  </si>
  <si>
    <t>G0005586</t>
  </si>
  <si>
    <t>美国:存款机构:资产:储备银行信贷</t>
  </si>
  <si>
    <t>G1100023</t>
  </si>
  <si>
    <t>美国:所有商业银行:资产:银行信贷:季调:同比</t>
  </si>
  <si>
    <t>K9194659</t>
  </si>
  <si>
    <t>美国:所有商业银行:资产:银行信贷:非季调</t>
  </si>
  <si>
    <t>G1109125</t>
  </si>
  <si>
    <t>美国:M1:季调</t>
  </si>
  <si>
    <t>G0003382</t>
  </si>
  <si>
    <t>美国:M2:季调</t>
  </si>
  <si>
    <t>G0003383</t>
  </si>
  <si>
    <t>美国:所有商业银行:资产:银行信贷:贷款和租赁:工商业贷款:季调</t>
  </si>
  <si>
    <t>G1109086</t>
  </si>
  <si>
    <t>美国:存款机构:资产:金融资产:贷款(扣除特定准备金):贷款总额:同业贷款:居民:美元</t>
  </si>
  <si>
    <t>O5930218</t>
  </si>
  <si>
    <t>美国:所有商业银行:资产:银行信贷:贷款和租赁:消费贷款:季调</t>
  </si>
  <si>
    <t>G1109091</t>
  </si>
  <si>
    <t>美国:工业生产指数:非季调:当月同比</t>
  </si>
  <si>
    <t>G1120852</t>
  </si>
  <si>
    <t>美国:GDP:不变价:季调:折年数:同比</t>
  </si>
  <si>
    <t>G1112986</t>
  </si>
  <si>
    <t>美国:非农企业全部员工:平均时薪:私营部门:季调:同比</t>
  </si>
  <si>
    <t>L5830501</t>
  </si>
  <si>
    <t>美国:个人可支配收入:不变价:季调:同比</t>
  </si>
  <si>
    <t>D7259310</t>
  </si>
  <si>
    <t>美国:所有商业银行:资产:银行信贷:贷款和租赁:房地产贷款:季调</t>
  </si>
  <si>
    <t>G1109087</t>
  </si>
  <si>
    <t>美国:核心CPI</t>
  </si>
  <si>
    <t>G0000030</t>
  </si>
  <si>
    <t>全球地缘政治风险指数</t>
  </si>
  <si>
    <t>W5726665</t>
  </si>
  <si>
    <t>美国中小企业乐观指数</t>
  </si>
  <si>
    <t>G1131647</t>
  </si>
  <si>
    <t>美国:财政赤字率 (赤字/GDP)</t>
  </si>
  <si>
    <t>G1147446</t>
  </si>
  <si>
    <t>开始日期</t>
  </si>
  <si>
    <t>截止日期</t>
  </si>
  <si>
    <t>EDBclose</t>
  </si>
  <si>
    <t>日期</t>
  </si>
  <si>
    <t>Date</t>
  </si>
  <si>
    <t>中国:制造业PMI</t>
  </si>
  <si>
    <t>中国:非制造业PMI:商务活动</t>
  </si>
  <si>
    <t>中国:社会消费品零售总额:当月同比(1-2月合并)</t>
  </si>
  <si>
    <t>中国:固定资产投资完成额:累计同比</t>
  </si>
  <si>
    <t>中国:工业增加值:规模以上工业企业:当月同比(1-2月拆分)</t>
  </si>
  <si>
    <t>中国:出口金额:当月同比</t>
  </si>
  <si>
    <t>中国:PPI:当月同比</t>
  </si>
  <si>
    <t>中国:CPI:当月同比</t>
  </si>
  <si>
    <t>中国:人民币存款准备金率:大型存款类金融机构</t>
  </si>
  <si>
    <t>中国:社会融资规模存量:同比</t>
  </si>
  <si>
    <t>中国:社会融资规模存量:人民币贷款:同比</t>
  </si>
  <si>
    <t>中国:M1:同比</t>
  </si>
  <si>
    <t>中国:M2:同比</t>
  </si>
  <si>
    <t>中国:国债收益率:1年</t>
  </si>
  <si>
    <t>中债国债到期收益率:10年</t>
  </si>
  <si>
    <t>中国:逆回购利率:7天</t>
  </si>
  <si>
    <t>中国:商品房销售面积:累计同比</t>
  </si>
  <si>
    <t>中国:制造业PMI:主要原材料购进价格</t>
  </si>
  <si>
    <t>港交所:主板:总成交金额</t>
  </si>
  <si>
    <t>中国:一般公共预算收入</t>
  </si>
  <si>
    <t>中国:一般公共预算支出</t>
  </si>
  <si>
    <t>M0046166</t>
  </si>
  <si>
    <t>中国:GDP:年</t>
  </si>
  <si>
    <t>M0001395</t>
  </si>
  <si>
    <t>全球:地缘政治风险指数</t>
  </si>
  <si>
    <t>收盘价(不前推)</t>
  </si>
  <si>
    <t>close3</t>
  </si>
  <si>
    <t>GC.CMX</t>
  </si>
  <si>
    <t>换手率</t>
  </si>
  <si>
    <t>turn</t>
  </si>
  <si>
    <t>预测PE</t>
  </si>
  <si>
    <t>pe_est</t>
  </si>
  <si>
    <t>SPX.GI</t>
  </si>
  <si>
    <t>IXIC.GI</t>
  </si>
  <si>
    <t>DJI.GI</t>
  </si>
  <si>
    <t>市盈率(TTM)</t>
  </si>
  <si>
    <t>pe_ttm</t>
  </si>
  <si>
    <t>数据集名称</t>
  </si>
  <si>
    <t>内地市场交易统计(Wind统计)</t>
  </si>
  <si>
    <t>两融规模分析(数值)</t>
  </si>
  <si>
    <t>沪港通成交统计</t>
  </si>
  <si>
    <t>深港通成交统计</t>
  </si>
  <si>
    <t>市场交易统计(Wind统计)</t>
  </si>
  <si>
    <t>etffundinflows</t>
  </si>
  <si>
    <t>20260101</t>
  </si>
  <si>
    <t>市场类型</t>
  </si>
  <si>
    <t>全部</t>
  </si>
  <si>
    <t>报表类型</t>
  </si>
  <si>
    <t>日报</t>
  </si>
  <si>
    <t>20270101</t>
  </si>
  <si>
    <t>结束日期</t>
  </si>
  <si>
    <t>起始时间</t>
  </si>
  <si>
    <t>202601</t>
  </si>
  <si>
    <t>板块</t>
  </si>
  <si>
    <t>全部A股</t>
  </si>
  <si>
    <t>统计周期</t>
  </si>
  <si>
    <t>日</t>
  </si>
  <si>
    <t>截止时间</t>
  </si>
  <si>
    <t>202701</t>
  </si>
  <si>
    <t>ETF类型</t>
  </si>
  <si>
    <t>全部ETF</t>
  </si>
  <si>
    <t>板块名称</t>
  </si>
  <si>
    <t>沪港通币种</t>
  </si>
  <si>
    <t>港币</t>
  </si>
  <si>
    <t>深港通币种</t>
  </si>
  <si>
    <t>人民币</t>
  </si>
  <si>
    <t>Amount(HKD1M)-Total</t>
  </si>
  <si>
    <t>date</t>
  </si>
  <si>
    <t>fundInflows</t>
  </si>
  <si>
    <t>fundInflowsAccumulate</t>
  </si>
  <si>
    <t>日期排序</t>
  </si>
  <si>
    <t>降序</t>
  </si>
  <si>
    <t>sh_total_amount</t>
  </si>
  <si>
    <t>sz_total_amount</t>
  </si>
  <si>
    <t>hk_net_purchases</t>
  </si>
  <si>
    <t>成交金额(百万港元)-合计</t>
  </si>
  <si>
    <t>交易日期</t>
  </si>
  <si>
    <t>资金净流入（元）</t>
  </si>
  <si>
    <t>资金净流入累计值（元）</t>
  </si>
  <si>
    <t>amount</t>
  </si>
  <si>
    <t>PQTurn</t>
  </si>
  <si>
    <t>end_date</t>
  </si>
  <si>
    <t>total_balance</t>
  </si>
  <si>
    <t>沪股通-总成交金额(亿元,人民币)</t>
  </si>
  <si>
    <t>深股通-总成交金额(亿元,人民币)</t>
  </si>
  <si>
    <t>港股通-成交净买入(亿元)</t>
  </si>
  <si>
    <t>成交额(亿元)</t>
  </si>
  <si>
    <t>区间换手率</t>
  </si>
  <si>
    <t>截止日</t>
  </si>
  <si>
    <t>融资融券余额(全部)</t>
  </si>
  <si>
    <t>2026-07-02</t>
  </si>
  <si>
    <t>2026-06-30</t>
  </si>
  <si>
    <t>2026-06-29</t>
  </si>
  <si>
    <t>2026-07-01</t>
  </si>
  <si>
    <t>2026-06-26</t>
  </si>
  <si>
    <t>2026-06-25</t>
  </si>
  <si>
    <t>2026-06-24</t>
  </si>
  <si>
    <t>2026-06-23</t>
  </si>
  <si>
    <t>2026-06-22</t>
  </si>
  <si>
    <t>2026-06-18</t>
  </si>
  <si>
    <t>2026-06-17</t>
  </si>
  <si>
    <t>2026-06-16</t>
  </si>
  <si>
    <t>2026-06-15</t>
  </si>
  <si>
    <t>2026-06-12</t>
  </si>
  <si>
    <t>2026-06-11</t>
  </si>
  <si>
    <t>2026-06-10</t>
  </si>
  <si>
    <t>2026-06-09</t>
  </si>
  <si>
    <t>2026-06-08</t>
  </si>
  <si>
    <t>2026-06-05</t>
  </si>
  <si>
    <t>2026-06-04</t>
  </si>
  <si>
    <t>2026-06-03</t>
  </si>
  <si>
    <t>2026-06-02</t>
  </si>
  <si>
    <t>2026-06-01</t>
  </si>
  <si>
    <t>2026-05-29</t>
  </si>
  <si>
    <t>2026-05-28</t>
  </si>
  <si>
    <t>2026-05-27</t>
  </si>
  <si>
    <t>2026-05-26</t>
  </si>
  <si>
    <t>2026-05-22</t>
  </si>
  <si>
    <t>2026-05-21</t>
  </si>
  <si>
    <t>2026-05-20</t>
  </si>
  <si>
    <t>2026-05-25</t>
  </si>
  <si>
    <t>2026-05-19</t>
  </si>
  <si>
    <t>2026-05-18</t>
  </si>
  <si>
    <t>2026-05-15</t>
  </si>
  <si>
    <t>2026-05-14</t>
  </si>
  <si>
    <t>2026-05-13</t>
  </si>
  <si>
    <t>2026-05-12</t>
  </si>
  <si>
    <t>2026-05-11</t>
  </si>
  <si>
    <t>2026-05-08</t>
  </si>
  <si>
    <t>2026-05-07</t>
  </si>
  <si>
    <t>2026-05-06</t>
  </si>
  <si>
    <t>2026-05-05</t>
  </si>
  <si>
    <t>2026-05-04</t>
  </si>
  <si>
    <t>2026-04-30</t>
  </si>
  <si>
    <t>2026-04-29</t>
  </si>
  <si>
    <t>2026-04-28</t>
  </si>
  <si>
    <t>2026-04-27</t>
  </si>
  <si>
    <t>2026-04-24</t>
  </si>
  <si>
    <t>2026-04-23</t>
  </si>
  <si>
    <t>2026-04-22</t>
  </si>
  <si>
    <t>2026-04-21</t>
  </si>
  <si>
    <t>2026-04-20</t>
  </si>
  <si>
    <t>2026-04-17</t>
  </si>
  <si>
    <t>2026-04-16</t>
  </si>
  <si>
    <t>2026-04-15</t>
  </si>
  <si>
    <t>2026-04-14</t>
  </si>
  <si>
    <t>2026-04-13</t>
  </si>
  <si>
    <t>2026-04-10</t>
  </si>
  <si>
    <t>2026-04-09</t>
  </si>
  <si>
    <t>2026-04-08</t>
  </si>
  <si>
    <t>2026-04-02</t>
  </si>
  <si>
    <t>2026-04-01</t>
  </si>
  <si>
    <t>2026-04-07</t>
  </si>
  <si>
    <t>2026-03-31</t>
  </si>
  <si>
    <t>2026-04-03</t>
  </si>
  <si>
    <t>2026-03-30</t>
  </si>
  <si>
    <t>2026-03-27</t>
  </si>
  <si>
    <t>2026-03-26</t>
  </si>
  <si>
    <t>2026-03-25</t>
  </si>
  <si>
    <t>2026-03-24</t>
  </si>
  <si>
    <t>2026-03-23</t>
  </si>
  <si>
    <t>2026-03-20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</si>
  <si>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</si>
  <si>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</si>
  <si>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</si>
  <si>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</si>
  <si>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</si>
  <si>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</si>
  <si>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</si>
  <si>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</si>
  <si>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</si>
  <si>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</si>
  <si>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</si>
  <si>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</si>
  <si>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</si>
  <si>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</si>
  <si>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</si>
  <si>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</si>
  <si>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</si>
  <si>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</si>
  <si>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</si>
  <si>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</si>
  <si>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</si>
  <si>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</si>
  <si>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</si>
  <si>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</si>
  <si>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</si>
  <si>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</si>
  <si>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</si>
  <si>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</si>
  <si>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</si>
  <si>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</si>
  <si>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</si>
  <si>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</si>
  <si>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</si>
  <si>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</si>
  <si>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</si>
  <si>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</si>
  <si>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</si>
  <si>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</si>
  <si>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</si>
  <si>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</si>
  <si>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</si>
  <si>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</si>
  <si>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</si>
  <si>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</si>
  <si>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</si>
  <si>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</si>
  <si>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</si>
  <si>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</si>
  <si>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</si>
  <si>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</si>
  <si>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</si>
  <si>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北向资金</t>
  </si>
  <si>
    <t>南向资金</t>
  </si>
  <si>
    <t>1Y国债</t>
  </si>
  <si>
    <t>10Y国债</t>
  </si>
  <si>
    <t>期限利差</t>
  </si>
  <si>
    <t>企业债AAA10Y</t>
  </si>
  <si>
    <t>国开债10Y</t>
  </si>
  <si>
    <t>信用利差</t>
  </si>
  <si>
    <t>OMO净投放</t>
  </si>
  <si>
    <t>存准率_pos</t>
  </si>
  <si>
    <t>存准率</t>
  </si>
  <si>
    <t>社融存量_pos</t>
  </si>
  <si>
    <t>新增贷款_pos</t>
  </si>
  <si>
    <t>新增贷款</t>
  </si>
  <si>
    <t>M1_pos</t>
  </si>
  <si>
    <t>M2_pos</t>
  </si>
  <si>
    <t>社零_pos</t>
  </si>
  <si>
    <t>固投_pos</t>
  </si>
  <si>
    <t>固投</t>
  </si>
  <si>
    <t>房屋销售_pos</t>
  </si>
  <si>
    <t>制造业PMI_pos</t>
  </si>
  <si>
    <t>非制造业PMI_pos</t>
  </si>
  <si>
    <t>工业增加值_pos</t>
  </si>
  <si>
    <t>出口_pos</t>
  </si>
  <si>
    <t>PPI_pos</t>
  </si>
  <si>
    <t>CPI_pos</t>
  </si>
  <si>
    <t>原材料购价_pos</t>
  </si>
  <si>
    <t>SLF_pos</t>
  </si>
  <si>
    <t>SLF</t>
  </si>
  <si>
    <t>MLF_pos</t>
  </si>
  <si>
    <t>MLF</t>
  </si>
  <si>
    <t>PSL_pos</t>
  </si>
  <si>
    <t>PSL</t>
  </si>
  <si>
    <t>其他工具_pos</t>
  </si>
  <si>
    <t>其他工具</t>
  </si>
  <si>
    <t>存准净投放_pos</t>
  </si>
  <si>
    <t>存准净投放</t>
  </si>
  <si>
    <t>央行贷款总和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</si>
</sst>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  <numFmt numFmtId="177" formatCode="#,##0.##"/>
    <numFmt numFmtId="178" formatCode="yyyy\-mm\-dd"/>
    <numFmt numFmtId="179" formatCode="m/d/yyyy"/>
    <numFmt numFmtId="180" formatCode="0.00_ "/>
    <numFmt numFmtId="181" formatCode="0.####"/>
  </numFmts>
  <fonts count="42">
    <font>
      <sz val="11"/>
      <color theme="1"/>
      <name val="宋体"/>
      <charset val="134"/>
    </font>
    <font>
      <sz val="11"/>
      <color theme="1"/>
      <name val="Noto Sans CJK SC"/>
      <charset val="1"/>
    </font>
    <font>
      <sz val="11"/>
      <color theme="1"/>
      <name val="Noto Sans CJK SC"/>
      <charset val="134"/>
    </font>
    <font>
      <b/>
      <sz val="8"/>
      <name val="宋体"/>
      <charset val="134"/>
    </font>
    <font>
      <sz val="10"/>
      <color theme="1"/>
      <name val="Noto Sans CJK SC"/>
      <charset val="134"/>
    </font>
    <font>
      <b/>
      <sz val="10"/>
      <color rgb="FFFFFFFF"/>
      <name val="Noto Sans CJK SC"/>
      <charset val="134"/>
    </font>
    <font>
      <b/>
      <sz val="11"/>
      <color rgb="FFFF0000"/>
      <name val="Noto Sans CJK SC"/>
      <charset val="134"/>
    </font>
    <font>
      <sz val="10"/>
      <name val="微软雅黑"/>
      <charset val="134"/>
    </font>
    <font>
      <sz val="9"/>
      <color rgb="FF757575"/>
      <name val="Arial"/>
      <charset val="134"/>
    </font>
    <font>
      <b/>
      <sz val="11"/>
      <color rgb="FFFF0000"/>
      <name val="Arial"/>
      <charset val="134"/>
    </font>
    <font>
      <sz val="9"/>
      <color rgb="FF666666"/>
      <name val="Arial"/>
      <charset val="134"/>
    </font>
    <font>
      <sz val="10"/>
      <color rgb="FF424242"/>
      <name val="Arial"/>
      <charset val="134"/>
    </font>
    <font>
      <sz val="9"/>
      <color rgb="FF757575"/>
      <name val="Noto Sans CJK SC"/>
      <charset val="134"/>
    </font>
    <font>
      <sz val="9"/>
      <color rgb="FF757575"/>
      <name val="宋体"/>
      <charset val="134"/>
    </font>
    <font>
      <sz val="10"/>
      <color theme="1"/>
      <name val="Arial"/>
      <charset val="134"/>
    </font>
    <font>
      <sz val="9"/>
      <color rgb="FF666666"/>
      <name val="宋体"/>
      <charset val="134"/>
    </font>
    <font>
      <sz val="8"/>
      <name val="Noto Sans CJK SC"/>
      <charset val="134"/>
    </font>
    <font>
      <b/>
      <sz val="10"/>
      <color theme="3" tint="-0.25"/>
      <name val="Arial"/>
      <charset val="134"/>
    </font>
    <font>
      <b/>
      <sz val="8"/>
      <name val="Noto Sans CJK SC"/>
      <charset val="134"/>
    </font>
    <font>
      <sz val="10"/>
      <name val="Arial"/>
      <charset val="134"/>
    </font>
    <font>
      <sz val="8"/>
      <color rgb="FF000000"/>
      <name val="Noto Sans CJK SC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D9D9D9"/>
        <bgColor rgb="FFE3F2FD"/>
      </patternFill>
    </fill>
    <fill>
      <patternFill patternType="solid">
        <fgColor rgb="FFFDE9D9"/>
        <bgColor rgb="FFFFF3E0"/>
      </patternFill>
    </fill>
    <fill>
      <patternFill patternType="solid">
        <fgColor rgb="FFD9D9D9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9E9E9E"/>
        <bgColor rgb="FFA6A6A6"/>
      </patternFill>
    </fill>
    <fill>
      <patternFill patternType="solid">
        <fgColor rgb="FFFFF3E0"/>
        <bgColor rgb="FFFDE9D9"/>
      </patternFill>
    </fill>
    <fill>
      <patternFill patternType="solid">
        <fgColor rgb="FF757575"/>
        <bgColor rgb="FF666666"/>
      </patternFill>
    </fill>
    <fill>
      <patternFill patternType="solid">
        <fgColor rgb="FF1565C0"/>
        <bgColor rgb="FF3366FF"/>
      </patternFill>
    </fill>
    <fill>
      <patternFill patternType="solid">
        <fgColor rgb="FFF5F5F5"/>
        <bgColor rgb="FFFAFAFA"/>
      </patternFill>
    </fill>
    <fill>
      <patternFill patternType="solid">
        <fgColor rgb="FFFAFAFA"/>
        <bgColor rgb="FFFFFFFF"/>
      </patternFill>
    </fill>
    <fill>
      <patternFill patternType="solid">
        <fgColor rgb="FFE3F2FD"/>
        <bgColor rgb="FFFAFAFA"/>
      </patternFill>
    </fill>
    <fill>
      <patternFill patternType="solid">
        <fgColor rgb="FFE3F2FD"/>
        <bgColor rgb="FFF5F5F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FAC090"/>
      </left>
      <right style="thin">
        <color rgb="FFFAC090"/>
      </right>
      <top style="thin">
        <color rgb="FFFAC090"/>
      </top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AC090"/>
      </left>
      <right style="thin">
        <color rgb="FFFAC090"/>
      </right>
      <top/>
      <bottom style="thin">
        <color rgb="FFFAC09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9" fillId="0" borderId="0"/>
    <xf numFmtId="44" fontId="19" fillId="0" borderId="0"/>
    <xf numFmtId="9" fontId="19" fillId="0" borderId="0"/>
    <xf numFmtId="41" fontId="19" fillId="0" borderId="0"/>
    <xf numFmtId="42" fontId="19" fillId="0" borderId="0"/>
    <xf numFmtId="0" fontId="21" fillId="0" borderId="0">
      <alignment vertical="center"/>
    </xf>
    <xf numFmtId="0" fontId="22" fillId="0" borderId="0">
      <alignment vertical="center"/>
    </xf>
    <xf numFmtId="0" fontId="23" fillId="14" borderId="5">
      <alignment vertical="center"/>
    </xf>
    <xf numFmtId="0" fontId="24" fillId="0" borderId="0">
      <alignment vertical="center"/>
    </xf>
    <xf numFmtId="0" fontId="25" fillId="0" borderId="0">
      <alignment vertical="center"/>
    </xf>
    <xf numFmtId="0" fontId="26" fillId="0" borderId="0">
      <alignment vertical="center"/>
    </xf>
    <xf numFmtId="0" fontId="27" fillId="0" borderId="6">
      <alignment vertical="center"/>
    </xf>
    <xf numFmtId="0" fontId="28" fillId="0" borderId="6">
      <alignment vertical="center"/>
    </xf>
    <xf numFmtId="0" fontId="29" fillId="0" borderId="7">
      <alignment vertical="center"/>
    </xf>
    <xf numFmtId="0" fontId="29" fillId="0" borderId="0">
      <alignment vertical="center"/>
    </xf>
    <xf numFmtId="0" fontId="30" fillId="15" borderId="8">
      <alignment vertical="center"/>
    </xf>
    <xf numFmtId="0" fontId="31" fillId="16" borderId="9">
      <alignment vertical="center"/>
    </xf>
    <xf numFmtId="0" fontId="32" fillId="16" borderId="8">
      <alignment vertical="center"/>
    </xf>
    <xf numFmtId="0" fontId="33" fillId="17" borderId="10">
      <alignment vertical="center"/>
    </xf>
    <xf numFmtId="0" fontId="34" fillId="0" borderId="11">
      <alignment vertical="center"/>
    </xf>
    <xf numFmtId="0" fontId="35" fillId="0" borderId="12">
      <alignment vertical="center"/>
    </xf>
    <xf numFmtId="0" fontId="36" fillId="18" borderId="0">
      <alignment vertical="center"/>
    </xf>
    <xf numFmtId="0" fontId="37" fillId="19" borderId="0">
      <alignment vertical="center"/>
    </xf>
    <xf numFmtId="0" fontId="38" fillId="20" borderId="0">
      <alignment vertical="center"/>
    </xf>
    <xf numFmtId="0" fontId="39" fillId="21" borderId="0">
      <alignment vertical="center"/>
    </xf>
    <xf numFmtId="0" fontId="40" fillId="22" borderId="0">
      <alignment vertical="center"/>
    </xf>
    <xf numFmtId="0" fontId="40" fillId="23" borderId="0">
      <alignment vertical="center"/>
    </xf>
    <xf numFmtId="0" fontId="39" fillId="24" borderId="0">
      <alignment vertical="center"/>
    </xf>
    <xf numFmtId="0" fontId="39" fillId="25" borderId="0">
      <alignment vertical="center"/>
    </xf>
    <xf numFmtId="0" fontId="40" fillId="26" borderId="0">
      <alignment vertical="center"/>
    </xf>
    <xf numFmtId="0" fontId="40" fillId="27" borderId="0">
      <alignment vertical="center"/>
    </xf>
    <xf numFmtId="0" fontId="39" fillId="28" borderId="0">
      <alignment vertical="center"/>
    </xf>
    <xf numFmtId="0" fontId="39" fillId="29" borderId="0">
      <alignment vertical="center"/>
    </xf>
    <xf numFmtId="0" fontId="40" fillId="30" borderId="0">
      <alignment vertical="center"/>
    </xf>
    <xf numFmtId="0" fontId="40" fillId="31" borderId="0">
      <alignment vertical="center"/>
    </xf>
    <xf numFmtId="0" fontId="39" fillId="32" borderId="0">
      <alignment vertical="center"/>
    </xf>
    <xf numFmtId="0" fontId="39" fillId="33" borderId="0">
      <alignment vertical="center"/>
    </xf>
    <xf numFmtId="0" fontId="40" fillId="34" borderId="0">
      <alignment vertical="center"/>
    </xf>
    <xf numFmtId="0" fontId="40" fillId="35" borderId="0">
      <alignment vertical="center"/>
    </xf>
    <xf numFmtId="0" fontId="39" fillId="36" borderId="0">
      <alignment vertical="center"/>
    </xf>
    <xf numFmtId="0" fontId="39" fillId="37" borderId="0">
      <alignment vertical="center"/>
    </xf>
    <xf numFmtId="0" fontId="40" fillId="38" borderId="0">
      <alignment vertical="center"/>
    </xf>
    <xf numFmtId="0" fontId="40" fillId="39" borderId="0">
      <alignment vertical="center"/>
    </xf>
    <xf numFmtId="0" fontId="39" fillId="40" borderId="0">
      <alignment vertical="center"/>
    </xf>
    <xf numFmtId="0" fontId="39" fillId="41" borderId="0">
      <alignment vertical="center"/>
    </xf>
    <xf numFmtId="0" fontId="40" fillId="42" borderId="0">
      <alignment vertical="center"/>
    </xf>
    <xf numFmtId="0" fontId="40" fillId="43" borderId="0">
      <alignment vertical="center"/>
    </xf>
    <xf numFmtId="0" fontId="39" fillId="44" borderId="0">
      <alignment vertical="center"/>
    </xf>
  </cellStyleXfs>
  <cellXfs count="8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0" xfId="0" applyAlignment="1"/>
    <xf numFmtId="0" fontId="2" fillId="0" borderId="0" xfId="0" applyAlignment="1">
      <alignment vertical="center"/>
    </xf>
    <xf numFmtId="0" fontId="2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2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8" fontId="2" fillId="0" borderId="0" xfId="0" applyNumberFormat="1" applyAlignment="1">
      <alignment horizontal="right" vertical="center"/>
    </xf>
    <xf numFmtId="177" fontId="2" fillId="0" borderId="0" xfId="0" applyNumberFormat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178" fontId="0" fillId="0" borderId="0" xfId="0" applyNumberFormat="1" applyAlignment="1">
      <alignment horizontal="right"/>
    </xf>
    <xf numFmtId="177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2" fillId="2" borderId="0" xfId="0" applyFill="1" applyAlignment="1">
      <alignment horizontal="right" vertical="center"/>
    </xf>
    <xf numFmtId="178" fontId="2" fillId="3" borderId="1" xfId="0" applyNumberFormat="1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8" fontId="2" fillId="0" borderId="0" xfId="0" applyNumberFormat="1" applyAlignment="1">
      <alignment horizontal="right"/>
    </xf>
    <xf numFmtId="0" fontId="2" fillId="0" borderId="0" xfId="0" applyAlignment="1">
      <alignment horizontal="right"/>
    </xf>
    <xf numFmtId="0" fontId="2" fillId="2" borderId="0" xfId="0" applyFill="1" applyAlignment="1">
      <alignment horizontal="right"/>
    </xf>
    <xf numFmtId="0" fontId="0" fillId="0" borderId="0" xfId="0" applyAlignment="1">
      <alignment horizontal="right"/>
    </xf>
    <xf numFmtId="178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2" borderId="0" xfId="0" applyFill="1" applyAlignment="1">
      <alignment horizontal="right"/>
    </xf>
    <xf numFmtId="176" fontId="0" fillId="0" borderId="0" xfId="0" applyNumberFormat="1" applyAlignment="1">
      <alignment horizontal="right"/>
    </xf>
    <xf numFmtId="2" fontId="0" fillId="0" borderId="0" xfId="0" applyNumberFormat="1" applyAlignment="1"/>
    <xf numFmtId="0" fontId="1" fillId="2" borderId="0" xfId="0" applyFont="1" applyFill="1" applyAlignment="1">
      <alignment horizontal="right"/>
    </xf>
    <xf numFmtId="0" fontId="0" fillId="4" borderId="0" xfId="0" applyFill="1" applyAlignment="1">
      <alignment horizontal="right"/>
    </xf>
    <xf numFmtId="0" fontId="0" fillId="5" borderId="1" xfId="0" applyFill="1" applyBorder="1" applyAlignment="1">
      <alignment horizontal="right" vertical="center"/>
    </xf>
    <xf numFmtId="176" fontId="0" fillId="0" borderId="0" xfId="0" applyNumberFormat="1" applyAlignment="1"/>
    <xf numFmtId="0" fontId="3" fillId="0" borderId="2" xfId="0" applyFont="1" applyBorder="1" applyAlignment="1">
      <alignment horizontal="center" vertical="center" wrapText="1"/>
    </xf>
    <xf numFmtId="0" fontId="2" fillId="0" borderId="2" xfId="0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79" fontId="5" fillId="6" borderId="2" xfId="0" applyNumberFormat="1" applyFont="1" applyFill="1" applyBorder="1" applyAlignment="1">
      <alignment horizontal="center" vertical="center"/>
    </xf>
    <xf numFmtId="180" fontId="6" fillId="7" borderId="2" xfId="0" applyNumberFormat="1" applyFont="1" applyFill="1" applyBorder="1" applyAlignment="1">
      <alignment horizontal="center" vertical="center"/>
    </xf>
    <xf numFmtId="179" fontId="5" fillId="8" borderId="2" xfId="0" applyNumberFormat="1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2" fillId="0" borderId="0" xfId="0" applyAlignment="1">
      <alignment horizontal="center" vertical="center"/>
    </xf>
    <xf numFmtId="178" fontId="0" fillId="0" borderId="0" xfId="0" applyNumberFormat="1" applyAlignment="1">
      <alignment vertical="center"/>
    </xf>
    <xf numFmtId="0" fontId="7" fillId="0" borderId="0" xfId="0" applyFont="1" applyAlignment="1">
      <alignment vertical="center"/>
    </xf>
    <xf numFmtId="0" fontId="8" fillId="10" borderId="2" xfId="0" applyFont="1" applyFill="1" applyBorder="1" applyAlignment="1">
      <alignment horizontal="center" vertical="center"/>
    </xf>
    <xf numFmtId="181" fontId="9" fillId="7" borderId="2" xfId="0" applyNumberFormat="1" applyFont="1" applyFill="1" applyBorder="1" applyAlignment="1">
      <alignment horizontal="center" vertical="center"/>
    </xf>
    <xf numFmtId="178" fontId="10" fillId="11" borderId="2" xfId="0" applyNumberFormat="1" applyFont="1" applyFill="1" applyBorder="1" applyAlignment="1">
      <alignment horizontal="center" vertical="center"/>
    </xf>
    <xf numFmtId="181" fontId="11" fillId="12" borderId="2" xfId="0" applyNumberFormat="1" applyFont="1" applyFill="1" applyBorder="1" applyAlignment="1">
      <alignment horizontal="center" vertical="center"/>
    </xf>
    <xf numFmtId="181" fontId="10" fillId="11" borderId="2" xfId="0" applyNumberFormat="1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13" fillId="1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right" vertical="center"/>
    </xf>
    <xf numFmtId="181" fontId="14" fillId="12" borderId="2" xfId="0" applyNumberFormat="1" applyFont="1" applyFill="1" applyBorder="1" applyAlignment="1">
      <alignment horizontal="center" vertical="center"/>
    </xf>
    <xf numFmtId="181" fontId="15" fillId="11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2" fontId="0" fillId="0" borderId="0" xfId="0" applyNumberFormat="1" applyAlignment="1">
      <alignment vertical="center"/>
    </xf>
    <xf numFmtId="0" fontId="16" fillId="0" borderId="2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7" fillId="13" borderId="2" xfId="0" applyFont="1" applyFill="1" applyBorder="1" applyAlignment="1">
      <alignment horizontal="center" vertical="center"/>
    </xf>
    <xf numFmtId="180" fontId="11" fillId="10" borderId="2" xfId="0" applyNumberFormat="1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180" fontId="17" fillId="13" borderId="2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180" fontId="6" fillId="7" borderId="4" xfId="0" applyNumberFormat="1" applyFont="1" applyFill="1" applyBorder="1" applyAlignment="1">
      <alignment horizontal="center" vertical="center"/>
    </xf>
    <xf numFmtId="0" fontId="17" fillId="13" borderId="4" xfId="0" applyFont="1" applyFill="1" applyBorder="1" applyAlignment="1">
      <alignment horizontal="center" vertical="center"/>
    </xf>
    <xf numFmtId="180" fontId="11" fillId="10" borderId="4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2" fillId="0" borderId="2" xfId="0" applyBorder="1" applyAlignment="1">
      <alignment vertical="center"/>
    </xf>
    <xf numFmtId="0" fontId="0" fillId="0" borderId="2" xfId="0" applyBorder="1" applyAlignment="1">
      <alignment vertical="center"/>
    </xf>
    <xf numFmtId="0" fontId="20" fillId="0" borderId="2" xfId="0" applyFont="1" applyBorder="1" applyAlignment="1">
      <alignment horizontal="center" vertical="center" wrapText="1"/>
    </xf>
    <xf numFmtId="2" fontId="6" fillId="7" borderId="2" xfId="0" applyNumberFormat="1" applyFont="1" applyFill="1" applyBorder="1" applyAlignment="1">
      <alignment horizontal="center" vertical="center"/>
    </xf>
    <xf numFmtId="2" fontId="17" fillId="13" borderId="2" xfId="0" applyNumberFormat="1" applyFont="1" applyFill="1" applyBorder="1" applyAlignment="1">
      <alignment horizontal="center" vertical="center"/>
    </xf>
    <xf numFmtId="2" fontId="11" fillId="10" borderId="2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00000"/>
      <rgbColor rgb="00008000"/>
      <rgbColor rgb="00000080"/>
      <rgbColor rgb="00808000"/>
      <rgbColor rgb="00800080"/>
      <rgbColor rgb="00008080"/>
      <rgbColor rgb="00B3B3B3"/>
      <rgbColor rgb="00757575"/>
      <rgbColor rgb="00A6A6A6"/>
      <rgbColor rgb="00993366"/>
      <rgbColor rgb="00FFF3E0"/>
      <rgbColor rgb="00E3F2FD"/>
      <rgbColor rgb="00660066"/>
      <rgbColor rgb="00FF8080"/>
      <rgbColor rgb="001565C0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5F5F5"/>
      <rgbColor rgb="00FAFAFA"/>
      <rgbColor rgb="00FDE9D9"/>
      <rgbColor rgb="0099CCFF"/>
      <rgbColor rgb="00FF99CC"/>
      <rgbColor rgb="00CC99FF"/>
      <rgbColor rgb="00FAC090"/>
      <rgbColor rgb="003366FF"/>
      <rgbColor rgb="0033CCCC"/>
      <rgbColor rgb="0099CC00"/>
      <rgbColor rgb="00FFCC00"/>
      <rgbColor rgb="00FF9900"/>
      <rgbColor rgb="00FF6600"/>
      <rgbColor rgb="00666666"/>
      <rgbColor rgb="009E9E9E"/>
      <rgbColor rgb="0017375E"/>
      <rgbColor rgb="00339966"/>
      <rgbColor rgb="00003300"/>
      <rgbColor rgb="00333300"/>
      <rgbColor rgb="00993300"/>
      <rgbColor rgb="00993366"/>
      <rgbColor rgb="00333399"/>
      <rgbColor rgb="0042424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eetMetadata" Target="metadata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3948.5521,3919.2852,3880.0967,3890.1645,3994.9975,3966.1712,3986.2247,3988.558,4026.6256,4027.2095,4055.5468,4051.4254,4082.1271,4085.0766,4106.2581,4093.2501,4079.9004,4086.3442,4078.6374,4107.5144,4112.1593,4160.1737,4180.0922,4179.9524,4225.0207,4214.4891,4242.572,4177.9175,4135.3894,4131.5276,4169.5378,4162.1845,4077.2765,4112.8996,4152.5686,4145.373,4093.7266,4098.6358,4068.5691,4057.74,4075.1016,4083.974,4057.7811,4027.7362,3959.3378,4010.0307,3993.2258,3987.0147,4031.5129,4096.4717,4091.8917,4108.0762,4090.4813,4163.0965,4106.2517,4110.8134,4120.2806,4027.2648,4073.9017}</c:f>
              <c:numCache>
                <c:formatCode>General</c:formatCode>
                <c:ptCount val="59"/>
                <c:pt idx="0">
                  <c:v>3948.5521</c:v>
                </c:pt>
                <c:pt idx="1">
                  <c:v>3919.2852</c:v>
                </c:pt>
                <c:pt idx="2">
                  <c:v>3880.0967</c:v>
                </c:pt>
                <c:pt idx="3">
                  <c:v>3890.1645</c:v>
                </c:pt>
                <c:pt idx="4">
                  <c:v>3994.9975</c:v>
                </c:pt>
                <c:pt idx="5">
                  <c:v>3966.1712</c:v>
                </c:pt>
                <c:pt idx="6">
                  <c:v>3986.2247</c:v>
                </c:pt>
                <c:pt idx="7">
                  <c:v>3988.558</c:v>
                </c:pt>
                <c:pt idx="8">
                  <c:v>4026.6256</c:v>
                </c:pt>
                <c:pt idx="9">
                  <c:v>4027.2095</c:v>
                </c:pt>
                <c:pt idx="10">
                  <c:v>4055.5468</c:v>
                </c:pt>
                <c:pt idx="11">
                  <c:v>4051.4254</c:v>
                </c:pt>
                <c:pt idx="12">
                  <c:v>4082.1271</c:v>
                </c:pt>
                <c:pt idx="13">
                  <c:v>4085.0766</c:v>
                </c:pt>
                <c:pt idx="14">
                  <c:v>4106.2581</c:v>
                </c:pt>
                <c:pt idx="15">
                  <c:v>4093.2501</c:v>
                </c:pt>
                <c:pt idx="16">
                  <c:v>4079.9004</c:v>
                </c:pt>
                <c:pt idx="17">
                  <c:v>4086.3442</c:v>
                </c:pt>
                <c:pt idx="18">
                  <c:v>4078.6374</c:v>
                </c:pt>
                <c:pt idx="19">
                  <c:v>4107.5144</c:v>
                </c:pt>
                <c:pt idx="20">
                  <c:v>4112.1593</c:v>
                </c:pt>
                <c:pt idx="21">
                  <c:v>4160.1737</c:v>
                </c:pt>
                <c:pt idx="22">
                  <c:v>4180.0922</c:v>
                </c:pt>
                <c:pt idx="23">
                  <c:v>4179.9524</c:v>
                </c:pt>
                <c:pt idx="24">
                  <c:v>4225.0207</c:v>
                </c:pt>
                <c:pt idx="25">
                  <c:v>4214.4891</c:v>
                </c:pt>
                <c:pt idx="26">
                  <c:v>4242.572</c:v>
                </c:pt>
                <c:pt idx="27">
                  <c:v>4177.9175</c:v>
                </c:pt>
                <c:pt idx="28">
                  <c:v>4135.3894</c:v>
                </c:pt>
                <c:pt idx="29">
                  <c:v>4131.5276</c:v>
                </c:pt>
                <c:pt idx="30">
                  <c:v>4169.5378</c:v>
                </c:pt>
                <c:pt idx="31">
                  <c:v>4162.1845</c:v>
                </c:pt>
                <c:pt idx="32">
                  <c:v>4077.2765</c:v>
                </c:pt>
                <c:pt idx="33">
                  <c:v>4112.8996</c:v>
                </c:pt>
                <c:pt idx="34">
                  <c:v>4152.5686</c:v>
                </c:pt>
                <c:pt idx="35">
                  <c:v>4145.373</c:v>
                </c:pt>
                <c:pt idx="36">
                  <c:v>4093.7266</c:v>
                </c:pt>
                <c:pt idx="37">
                  <c:v>4098.6358</c:v>
                </c:pt>
                <c:pt idx="38">
                  <c:v>4068.5691</c:v>
                </c:pt>
                <c:pt idx="39">
                  <c:v>4057.74</c:v>
                </c:pt>
                <c:pt idx="40">
                  <c:v>4075.1016</c:v>
                </c:pt>
                <c:pt idx="41">
                  <c:v>4083.974</c:v>
                </c:pt>
                <c:pt idx="42">
                  <c:v>4057.7811</c:v>
                </c:pt>
                <c:pt idx="43">
                  <c:v>4027.7362</c:v>
                </c:pt>
                <c:pt idx="44">
                  <c:v>3959.3378</c:v>
                </c:pt>
                <c:pt idx="45">
                  <c:v>4010.0307</c:v>
                </c:pt>
                <c:pt idx="46">
                  <c:v>3993.2258</c:v>
                </c:pt>
                <c:pt idx="47">
                  <c:v>3987.0147</c:v>
                </c:pt>
                <c:pt idx="48">
                  <c:v>4031.5129</c:v>
                </c:pt>
                <c:pt idx="49">
                  <c:v>4096.4717</c:v>
                </c:pt>
                <c:pt idx="50">
                  <c:v>4091.8917</c:v>
                </c:pt>
                <c:pt idx="51">
                  <c:v>4108.0762</c:v>
                </c:pt>
                <c:pt idx="52">
                  <c:v>4090.4813</c:v>
                </c:pt>
                <c:pt idx="53">
                  <c:v>4163.0965</c:v>
                </c:pt>
                <c:pt idx="54">
                  <c:v>4106.2517</c:v>
                </c:pt>
                <c:pt idx="55">
                  <c:v>4110.8134</c:v>
                </c:pt>
                <c:pt idx="56">
                  <c:v>4120.2806</c:v>
                </c:pt>
                <c:pt idx="57">
                  <c:v>4027.2648</c:v>
                </c:pt>
                <c:pt idx="58">
                  <c:v>4073.9017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3c44b5c-c223-4017-854e-3e5e6316aee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13706.5199,13486.9362,13352.9043,13400.412,14042.4964,13996.2652,14309.4718,14407.8639,14639.9522,14498.4546,14796.3345,14885.4159,14966.7468,14982.1397,15177.2862,15043.4494,14940.3003,14995.7483,14830.4552,15120.9227,15107.5532,15459.6166,15641.8855,15563.7971,15899.302,15824.9211,16089.7491,15745.736,15561.372,15530.2295,15569.9072,15569.979,15247.2702,15597.2969,15856.6102,15876.1628,15736.4688,15861.891,15575.1338,15340.3562,15591.1282,15704.7108,15661.574,15314.7002,14821.1861,15268.7147,14954.1008,14851.9751,14963.4073,15531.1095,15675.2457,15880.9507,16030.7024,16372.4987,15854.1963,16051.3193,16344.0829,15782.2229,15812.8707}</c:f>
              <c:numCache>
                <c:formatCode>General</c:formatCode>
                <c:ptCount val="59"/>
                <c:pt idx="0">
                  <c:v>13706.5199</c:v>
                </c:pt>
                <c:pt idx="1">
                  <c:v>13486.9362</c:v>
                </c:pt>
                <c:pt idx="2">
                  <c:v>13352.9043</c:v>
                </c:pt>
                <c:pt idx="3">
                  <c:v>13400.412</c:v>
                </c:pt>
                <c:pt idx="4">
                  <c:v>14042.4964</c:v>
                </c:pt>
                <c:pt idx="5">
                  <c:v>13996.2652</c:v>
                </c:pt>
                <c:pt idx="6">
                  <c:v>14309.4718</c:v>
                </c:pt>
                <c:pt idx="7">
                  <c:v>14407.8639</c:v>
                </c:pt>
                <c:pt idx="8">
                  <c:v>14639.9522</c:v>
                </c:pt>
                <c:pt idx="9">
                  <c:v>14498.4546</c:v>
                </c:pt>
                <c:pt idx="10">
                  <c:v>14796.3345</c:v>
                </c:pt>
                <c:pt idx="11">
                  <c:v>14885.4159</c:v>
                </c:pt>
                <c:pt idx="12">
                  <c:v>14966.7468</c:v>
                </c:pt>
                <c:pt idx="13">
                  <c:v>14982.1397</c:v>
                </c:pt>
                <c:pt idx="14">
                  <c:v>15177.2862</c:v>
                </c:pt>
                <c:pt idx="15">
                  <c:v>15043.4494</c:v>
                </c:pt>
                <c:pt idx="16">
                  <c:v>14940.3003</c:v>
                </c:pt>
                <c:pt idx="17">
                  <c:v>14995.7483</c:v>
                </c:pt>
                <c:pt idx="18">
                  <c:v>14830.4552</c:v>
                </c:pt>
                <c:pt idx="19">
                  <c:v>15120.9227</c:v>
                </c:pt>
                <c:pt idx="20">
                  <c:v>15107.5532</c:v>
                </c:pt>
                <c:pt idx="21">
                  <c:v>15459.6166</c:v>
                </c:pt>
                <c:pt idx="22">
                  <c:v>15641.8855</c:v>
                </c:pt>
                <c:pt idx="23">
                  <c:v>15563.7971</c:v>
                </c:pt>
                <c:pt idx="24">
                  <c:v>15899.302</c:v>
                </c:pt>
                <c:pt idx="25">
                  <c:v>15824.9211</c:v>
                </c:pt>
                <c:pt idx="26">
                  <c:v>16089.7491</c:v>
                </c:pt>
                <c:pt idx="27">
                  <c:v>15745.736</c:v>
                </c:pt>
                <c:pt idx="28">
                  <c:v>15561.372</c:v>
                </c:pt>
                <c:pt idx="29">
                  <c:v>15530.2295</c:v>
                </c:pt>
                <c:pt idx="30">
                  <c:v>15569.9072</c:v>
                </c:pt>
                <c:pt idx="31">
                  <c:v>15569.979</c:v>
                </c:pt>
                <c:pt idx="32">
                  <c:v>15247.2702</c:v>
                </c:pt>
                <c:pt idx="33">
                  <c:v>15597.2969</c:v>
                </c:pt>
                <c:pt idx="34">
                  <c:v>15856.6102</c:v>
                </c:pt>
                <c:pt idx="35">
                  <c:v>15876.1628</c:v>
                </c:pt>
                <c:pt idx="36">
                  <c:v>15736.4688</c:v>
                </c:pt>
                <c:pt idx="37">
                  <c:v>15861.891</c:v>
                </c:pt>
                <c:pt idx="38">
                  <c:v>15575.1338</c:v>
                </c:pt>
                <c:pt idx="39">
                  <c:v>15340.3562</c:v>
                </c:pt>
                <c:pt idx="40">
                  <c:v>15591.1282</c:v>
                </c:pt>
                <c:pt idx="41">
                  <c:v>15704.7108</c:v>
                </c:pt>
                <c:pt idx="42">
                  <c:v>15661.574</c:v>
                </c:pt>
                <c:pt idx="43">
                  <c:v>15314.7002</c:v>
                </c:pt>
                <c:pt idx="44">
                  <c:v>14821.1861</c:v>
                </c:pt>
                <c:pt idx="45">
                  <c:v>15268.7147</c:v>
                </c:pt>
                <c:pt idx="46">
                  <c:v>14954.1008</c:v>
                </c:pt>
                <c:pt idx="47">
                  <c:v>14851.9751</c:v>
                </c:pt>
                <c:pt idx="48">
                  <c:v>14963.4073</c:v>
                </c:pt>
                <c:pt idx="49">
                  <c:v>15531.1095</c:v>
                </c:pt>
                <c:pt idx="50">
                  <c:v>15675.2457</c:v>
                </c:pt>
                <c:pt idx="51">
                  <c:v>15880.9507</c:v>
                </c:pt>
                <c:pt idx="52">
                  <c:v>16030.7024</c:v>
                </c:pt>
                <c:pt idx="53">
                  <c:v>16372.4987</c:v>
                </c:pt>
                <c:pt idx="54">
                  <c:v>15854.1963</c:v>
                </c:pt>
                <c:pt idx="55">
                  <c:v>16051.3193</c:v>
                </c:pt>
                <c:pt idx="56">
                  <c:v>16344.0829</c:v>
                </c:pt>
                <c:pt idx="57">
                  <c:v>15782.2229</c:v>
                </c:pt>
                <c:pt idx="58">
                  <c:v>15812.8707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0cece8d-e6ba-4c5b-8290-228ec48fc6a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4526.0668,4478.9141,4440.7889,4440.6162,4595.556,4566.2237,4636.5655,4646.1546,4701.2837,4685.2464,4736.6077,4728.6716,4757.4419,4767.997,4799.627,4786.3273,4769.3688,4770.9469,4758.2083,4810.3468,4807.3069,4877.0932,4900.5098,4871.9122,4951.8366,4948.0465,4998.3417,4914.5971,4859.5927,4833.5237,4852.8832,4850.7,4783.0976,4845.0956,4921.5974,4947.8493,4908.1714,4914.2133,4892.1213,4844.2556,4914.5591,4938.8091,4904.7454,4816.9199,4713.6358,4801.8106,4748.5932,4722.4122,4777.3206,4891.7126,4884.2322,4931.3861,4941.5986,5059.6582,4919.386,4943.0197,5020.1038,4868.2205,4926.921}</c:f>
              <c:numCache>
                <c:formatCode>General</c:formatCode>
                <c:ptCount val="59"/>
                <c:pt idx="0">
                  <c:v>4526.0668</c:v>
                </c:pt>
                <c:pt idx="1">
                  <c:v>4478.9141</c:v>
                </c:pt>
                <c:pt idx="2">
                  <c:v>4440.7889</c:v>
                </c:pt>
                <c:pt idx="3">
                  <c:v>4440.6162</c:v>
                </c:pt>
                <c:pt idx="4">
                  <c:v>4595.556</c:v>
                </c:pt>
                <c:pt idx="5">
                  <c:v>4566.2237</c:v>
                </c:pt>
                <c:pt idx="6">
                  <c:v>4636.5655</c:v>
                </c:pt>
                <c:pt idx="7">
                  <c:v>4646.1546</c:v>
                </c:pt>
                <c:pt idx="8">
                  <c:v>4701.2837</c:v>
                </c:pt>
                <c:pt idx="9">
                  <c:v>4685.2464</c:v>
                </c:pt>
                <c:pt idx="10">
                  <c:v>4736.6077</c:v>
                </c:pt>
                <c:pt idx="11">
                  <c:v>4728.6716</c:v>
                </c:pt>
                <c:pt idx="12">
                  <c:v>4757.4419</c:v>
                </c:pt>
                <c:pt idx="13">
                  <c:v>4767.997</c:v>
                </c:pt>
                <c:pt idx="14">
                  <c:v>4799.627</c:v>
                </c:pt>
                <c:pt idx="15">
                  <c:v>4786.3273</c:v>
                </c:pt>
                <c:pt idx="16">
                  <c:v>4769.3688</c:v>
                </c:pt>
                <c:pt idx="17">
                  <c:v>4770.9469</c:v>
                </c:pt>
                <c:pt idx="18">
                  <c:v>4758.2083</c:v>
                </c:pt>
                <c:pt idx="19">
                  <c:v>4810.3468</c:v>
                </c:pt>
                <c:pt idx="20">
                  <c:v>4807.3069</c:v>
                </c:pt>
                <c:pt idx="21">
                  <c:v>4877.0932</c:v>
                </c:pt>
                <c:pt idx="22">
                  <c:v>4900.5098</c:v>
                </c:pt>
                <c:pt idx="23">
                  <c:v>4871.9122</c:v>
                </c:pt>
                <c:pt idx="24">
                  <c:v>4951.8366</c:v>
                </c:pt>
                <c:pt idx="25">
                  <c:v>4948.0465</c:v>
                </c:pt>
                <c:pt idx="26">
                  <c:v>4998.3417</c:v>
                </c:pt>
                <c:pt idx="27">
                  <c:v>4914.5971</c:v>
                </c:pt>
                <c:pt idx="28">
                  <c:v>4859.5927</c:v>
                </c:pt>
                <c:pt idx="29">
                  <c:v>4833.5237</c:v>
                </c:pt>
                <c:pt idx="30">
                  <c:v>4852.8832</c:v>
                </c:pt>
                <c:pt idx="31">
                  <c:v>4850.7</c:v>
                </c:pt>
                <c:pt idx="32">
                  <c:v>4783.0976</c:v>
                </c:pt>
                <c:pt idx="33">
                  <c:v>4845.0956</c:v>
                </c:pt>
                <c:pt idx="34">
                  <c:v>4921.5974</c:v>
                </c:pt>
                <c:pt idx="35">
                  <c:v>4947.8493</c:v>
                </c:pt>
                <c:pt idx="36">
                  <c:v>4908.1714</c:v>
                </c:pt>
                <c:pt idx="37">
                  <c:v>4914.2133</c:v>
                </c:pt>
                <c:pt idx="38">
                  <c:v>4892.1213</c:v>
                </c:pt>
                <c:pt idx="39">
                  <c:v>4844.2556</c:v>
                </c:pt>
                <c:pt idx="40">
                  <c:v>4914.5591</c:v>
                </c:pt>
                <c:pt idx="41">
                  <c:v>4938.8091</c:v>
                </c:pt>
                <c:pt idx="42">
                  <c:v>4904.7454</c:v>
                </c:pt>
                <c:pt idx="43">
                  <c:v>4816.9199</c:v>
                </c:pt>
                <c:pt idx="44">
                  <c:v>4713.6358</c:v>
                </c:pt>
                <c:pt idx="45">
                  <c:v>4801.8106</c:v>
                </c:pt>
                <c:pt idx="46">
                  <c:v>4748.5932</c:v>
                </c:pt>
                <c:pt idx="47">
                  <c:v>4722.4122</c:v>
                </c:pt>
                <c:pt idx="48">
                  <c:v>4777.3206</c:v>
                </c:pt>
                <c:pt idx="49">
                  <c:v>4891.7126</c:v>
                </c:pt>
                <c:pt idx="50">
                  <c:v>4884.2322</c:v>
                </c:pt>
                <c:pt idx="51">
                  <c:v>4931.3861</c:v>
                </c:pt>
                <c:pt idx="52">
                  <c:v>4941.5986</c:v>
                </c:pt>
                <c:pt idx="53">
                  <c:v>5059.6582</c:v>
                </c:pt>
                <c:pt idx="54">
                  <c:v>4919.386</c:v>
                </c:pt>
                <c:pt idx="55">
                  <c:v>4943.0197</c:v>
                </c:pt>
                <c:pt idx="56">
                  <c:v>5020.1038</c:v>
                </c:pt>
                <c:pt idx="57">
                  <c:v>4868.2205</c:v>
                </c:pt>
                <c:pt idx="58">
                  <c:v>4926.921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26df68c-9b4d-429b-be1b-a374139be2e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3247.5229,3172.6494,3149.5962,3160.8157,3347.61,3323.2989,3448.787,3476.4396,3558.5273,3514.9604,3626.271,3678.2934,3677.5758,3688.9372,3752.7591,3720.2474,3667.7851,3648.788,3596.7118,3687.1681,3677.1485,3778.1595,3833.0572,3796.1283,3928.9739,3934.882,4038.3327,3951.1404,3929.0642,3914.8753,3908.4374,3921.7894,3829.7786,3938.502,4021.1602,4043.0658,4045.7731,4125.0749,4037.951,3950.9432,4055.8709,4122.987,4088.884,3957.935,3811.7854,3961.7493,3854.7935,3811.246,3830.353,4033.5349,4102.9421,4167.0478,4252.3903,4359.392,4192.1945,4251.4244,4371.9891,4194.2089,4216.6985}</c:f>
              <c:numCache>
                <c:formatCode>General</c:formatCode>
                <c:ptCount val="59"/>
                <c:pt idx="0">
                  <c:v>3247.5229</c:v>
                </c:pt>
                <c:pt idx="1">
                  <c:v>3172.6494</c:v>
                </c:pt>
                <c:pt idx="2">
                  <c:v>3149.5962</c:v>
                </c:pt>
                <c:pt idx="3">
                  <c:v>3160.8157</c:v>
                </c:pt>
                <c:pt idx="4">
                  <c:v>3347.61</c:v>
                </c:pt>
                <c:pt idx="5">
                  <c:v>3323.2989</c:v>
                </c:pt>
                <c:pt idx="6">
                  <c:v>3448.787</c:v>
                </c:pt>
                <c:pt idx="7">
                  <c:v>3476.4396</c:v>
                </c:pt>
                <c:pt idx="8">
                  <c:v>3558.5273</c:v>
                </c:pt>
                <c:pt idx="9">
                  <c:v>3514.9604</c:v>
                </c:pt>
                <c:pt idx="10">
                  <c:v>3626.271</c:v>
                </c:pt>
                <c:pt idx="11">
                  <c:v>3678.2934</c:v>
                </c:pt>
                <c:pt idx="12">
                  <c:v>3677.5758</c:v>
                </c:pt>
                <c:pt idx="13">
                  <c:v>3688.9372</c:v>
                </c:pt>
                <c:pt idx="14">
                  <c:v>3752.7591</c:v>
                </c:pt>
                <c:pt idx="15">
                  <c:v>3720.2474</c:v>
                </c:pt>
                <c:pt idx="16">
                  <c:v>3667.7851</c:v>
                </c:pt>
                <c:pt idx="17">
                  <c:v>3648.788</c:v>
                </c:pt>
                <c:pt idx="18">
                  <c:v>3596.7118</c:v>
                </c:pt>
                <c:pt idx="19">
                  <c:v>3687.1681</c:v>
                </c:pt>
                <c:pt idx="20">
                  <c:v>3677.1485</c:v>
                </c:pt>
                <c:pt idx="21">
                  <c:v>3778.1595</c:v>
                </c:pt>
                <c:pt idx="22">
                  <c:v>3833.0572</c:v>
                </c:pt>
                <c:pt idx="23">
                  <c:v>3796.1283</c:v>
                </c:pt>
                <c:pt idx="24">
                  <c:v>3928.9739</c:v>
                </c:pt>
                <c:pt idx="25">
                  <c:v>3934.882</c:v>
                </c:pt>
                <c:pt idx="26">
                  <c:v>4038.3327</c:v>
                </c:pt>
                <c:pt idx="27">
                  <c:v>3951.1404</c:v>
                </c:pt>
                <c:pt idx="28">
                  <c:v>3929.0642</c:v>
                </c:pt>
                <c:pt idx="29">
                  <c:v>3914.8753</c:v>
                </c:pt>
                <c:pt idx="30">
                  <c:v>3908.4374</c:v>
                </c:pt>
                <c:pt idx="31">
                  <c:v>3921.7894</c:v>
                </c:pt>
                <c:pt idx="32">
                  <c:v>3829.7786</c:v>
                </c:pt>
                <c:pt idx="33">
                  <c:v>3938.502</c:v>
                </c:pt>
                <c:pt idx="34">
                  <c:v>4021.1602</c:v>
                </c:pt>
                <c:pt idx="35">
                  <c:v>4043.0658</c:v>
                </c:pt>
                <c:pt idx="36">
                  <c:v>4045.7731</c:v>
                </c:pt>
                <c:pt idx="37">
                  <c:v>4125.0749</c:v>
                </c:pt>
                <c:pt idx="38">
                  <c:v>4037.951</c:v>
                </c:pt>
                <c:pt idx="39">
                  <c:v>3950.9432</c:v>
                </c:pt>
                <c:pt idx="40">
                  <c:v>4055.8709</c:v>
                </c:pt>
                <c:pt idx="41">
                  <c:v>4122.987</c:v>
                </c:pt>
                <c:pt idx="42">
                  <c:v>4088.884</c:v>
                </c:pt>
                <c:pt idx="43">
                  <c:v>3957.935</c:v>
                </c:pt>
                <c:pt idx="44">
                  <c:v>3811.7854</c:v>
                </c:pt>
                <c:pt idx="45">
                  <c:v>3961.7493</c:v>
                </c:pt>
                <c:pt idx="46">
                  <c:v>3854.7935</c:v>
                </c:pt>
                <c:pt idx="47">
                  <c:v>3811.246</c:v>
                </c:pt>
                <c:pt idx="48">
                  <c:v>3830.353</c:v>
                </c:pt>
                <c:pt idx="49">
                  <c:v>4033.5349</c:v>
                </c:pt>
                <c:pt idx="50">
                  <c:v>4102.9421</c:v>
                </c:pt>
                <c:pt idx="51">
                  <c:v>4167.0478</c:v>
                </c:pt>
                <c:pt idx="52">
                  <c:v>4252.3903</c:v>
                </c:pt>
                <c:pt idx="53">
                  <c:v>4359.392</c:v>
                </c:pt>
                <c:pt idx="54">
                  <c:v>4192.1945</c:v>
                </c:pt>
                <c:pt idx="55">
                  <c:v>4251.4244</c:v>
                </c:pt>
                <c:pt idx="56">
                  <c:v>4371.9891</c:v>
                </c:pt>
                <c:pt idx="57">
                  <c:v>4194.2089</c:v>
                </c:pt>
                <c:pt idx="58">
                  <c:v>4216.6985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761f689-b15a-4157-8f59-9de4becf14b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2495.514,2445.683,2462.6621,2400.5389,2291.8109,2041.6255,2932.7475,2593.1826,2807.7375,2726.228,2951.7908,2976.637,2925.0049,2980.6398,3106.3279,3010.4298,3064.0491,3530.9526,3428.9048,3224.7772,3333.114,3412.4151,3506.8249,4142.4456,3923.0332,3570.4196,4239.9449,4055.4348,3932.6101,4134.2726,4353.3885,3803.7072,3586.8144,3532.1456,4004.8581,3325.7701,3946.6541,4074.7268,3835.009,4734.0549,4074.1027,3761.5433,4147.4772,3651.6883,4047.7071,3700.652,3609.3293,3498.7201,3393.2125,4910.2771,4097.2304,3829.9025,3850.5584,4293.4356,4821.7741,4439.7157,4243.5582,4238.5796,4131.4063,4267.222}</c:f>
              <c:numCache>
                <c:formatCode>General</c:formatCode>
                <c:ptCount val="60"/>
                <c:pt idx="0">
                  <c:v>2495.514</c:v>
                </c:pt>
                <c:pt idx="1">
                  <c:v>2445.683</c:v>
                </c:pt>
                <c:pt idx="2">
                  <c:v>2462.6621</c:v>
                </c:pt>
                <c:pt idx="3">
                  <c:v>2400.5389</c:v>
                </c:pt>
                <c:pt idx="4">
                  <c:v>2291.8109</c:v>
                </c:pt>
                <c:pt idx="5">
                  <c:v>2041.6255</c:v>
                </c:pt>
                <c:pt idx="6">
                  <c:v>2932.7475</c:v>
                </c:pt>
                <c:pt idx="7">
                  <c:v>2593.1826</c:v>
                </c:pt>
                <c:pt idx="8">
                  <c:v>2807.7375</c:v>
                </c:pt>
                <c:pt idx="9">
                  <c:v>2726.228</c:v>
                </c:pt>
                <c:pt idx="10">
                  <c:v>2951.7908</c:v>
                </c:pt>
                <c:pt idx="11">
                  <c:v>2976.637</c:v>
                </c:pt>
                <c:pt idx="12">
                  <c:v>2925.0049</c:v>
                </c:pt>
                <c:pt idx="13">
                  <c:v>2980.6398</c:v>
                </c:pt>
                <c:pt idx="14">
                  <c:v>3106.3279</c:v>
                </c:pt>
                <c:pt idx="15">
                  <c:v>3010.4298</c:v>
                </c:pt>
                <c:pt idx="16">
                  <c:v>3064.0491</c:v>
                </c:pt>
                <c:pt idx="17">
                  <c:v>3530.9526</c:v>
                </c:pt>
                <c:pt idx="18">
                  <c:v>3428.9048</c:v>
                </c:pt>
                <c:pt idx="19">
                  <c:v>3224.7772</c:v>
                </c:pt>
                <c:pt idx="20">
                  <c:v>3333.114</c:v>
                </c:pt>
                <c:pt idx="21">
                  <c:v>3412.4151</c:v>
                </c:pt>
                <c:pt idx="22">
                  <c:v>3506.8249</c:v>
                </c:pt>
                <c:pt idx="23">
                  <c:v>4142.4456</c:v>
                </c:pt>
                <c:pt idx="24">
                  <c:v>3923.0332</c:v>
                </c:pt>
                <c:pt idx="25">
                  <c:v>3570.4196</c:v>
                </c:pt>
                <c:pt idx="26">
                  <c:v>4239.9449</c:v>
                </c:pt>
                <c:pt idx="27">
                  <c:v>4055.4348</c:v>
                </c:pt>
                <c:pt idx="28">
                  <c:v>3932.6101</c:v>
                </c:pt>
                <c:pt idx="29">
                  <c:v>4134.2726</c:v>
                </c:pt>
                <c:pt idx="30">
                  <c:v>4353.3885</c:v>
                </c:pt>
                <c:pt idx="31">
                  <c:v>3803.7072</c:v>
                </c:pt>
                <c:pt idx="32">
                  <c:v>3586.8144</c:v>
                </c:pt>
                <c:pt idx="33">
                  <c:v>3532.1456</c:v>
                </c:pt>
                <c:pt idx="34">
                  <c:v>4004.8581</c:v>
                </c:pt>
                <c:pt idx="35">
                  <c:v>3325.7701</c:v>
                </c:pt>
                <c:pt idx="36">
                  <c:v>3946.6541</c:v>
                </c:pt>
                <c:pt idx="37">
                  <c:v>4074.7268</c:v>
                </c:pt>
                <c:pt idx="38">
                  <c:v>3835.009</c:v>
                </c:pt>
                <c:pt idx="39">
                  <c:v>4734.0549</c:v>
                </c:pt>
                <c:pt idx="40">
                  <c:v>4074.1027</c:v>
                </c:pt>
                <c:pt idx="41">
                  <c:v>3761.5433</c:v>
                </c:pt>
                <c:pt idx="42">
                  <c:v>4147.4772</c:v>
                </c:pt>
                <c:pt idx="43">
                  <c:v>3651.6883</c:v>
                </c:pt>
                <c:pt idx="44">
                  <c:v>4047.7071</c:v>
                </c:pt>
                <c:pt idx="45">
                  <c:v>3700.652</c:v>
                </c:pt>
                <c:pt idx="46">
                  <c:v>3609.3293</c:v>
                </c:pt>
                <c:pt idx="47">
                  <c:v>3498.7201</c:v>
                </c:pt>
                <c:pt idx="48">
                  <c:v>3393.2125</c:v>
                </c:pt>
                <c:pt idx="49">
                  <c:v>4910.2771</c:v>
                </c:pt>
                <c:pt idx="50">
                  <c:v>4097.2304</c:v>
                </c:pt>
                <c:pt idx="51">
                  <c:v>3829.9025</c:v>
                </c:pt>
                <c:pt idx="52">
                  <c:v>3850.5584</c:v>
                </c:pt>
                <c:pt idx="53">
                  <c:v>4293.4356</c:v>
                </c:pt>
                <c:pt idx="54">
                  <c:v>4821.7741</c:v>
                </c:pt>
                <c:pt idx="55">
                  <c:v>4439.7157</c:v>
                </c:pt>
                <c:pt idx="56">
                  <c:v>4243.5582</c:v>
                </c:pt>
                <c:pt idx="57">
                  <c:v>4238.5796</c:v>
                </c:pt>
                <c:pt idx="58">
                  <c:v>4131.4063</c:v>
                </c:pt>
                <c:pt idx="59">
                  <c:v>4267.222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694b8b-4d45-40fa-83ec-8134f191d13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20059.0536689,20248.3769766,18577.8995238,16689.131119,16235.8102447,24506.4498882,21473.4143899,23376.1117397,21630.6488694,23967.9858792,24294.7782034,23549.6298655,24528.9322159,26065.2277841,24266.4668215,25788.4715659,28233.1553264,26576.227126,26048.0745608,25504.7321736,26088.7389289,27592.0559807,32465.9632764,31682.6972425,30757.1958638,35654.5283218,32697.3624292,32642.1232203,33880.8634118,33702.3229562,29170.7366606,29089.7662015,29764.5867776,35072.7954153,29246.5910559,32269.524533,32643.5908009,32599.0434264,29873.2631201,33408.581474,28967.2449639,28128.491195,31531.2458389,27791.6374212,31006.9030473,28234.2897693,26667.3292834,26441.4327094,25749.3258454,32361.110115,30507.4153324,30863.4694421,31140.3904993,33317.1901304,37621.0309881,34660.2669271,33069.3918892,36189.4441714,35753.9112131,35393.4110748}</c:f>
              <c:numCache>
                <c:formatCode>General</c:formatCode>
                <c:ptCount val="60"/>
                <c:pt idx="0">
                  <c:v>20059.0536689</c:v>
                </c:pt>
                <c:pt idx="1">
                  <c:v>20248.3769766</c:v>
                </c:pt>
                <c:pt idx="2">
                  <c:v>18577.8995238</c:v>
                </c:pt>
                <c:pt idx="3">
                  <c:v>16689.131119</c:v>
                </c:pt>
                <c:pt idx="4">
                  <c:v>16235.8102447</c:v>
                </c:pt>
                <c:pt idx="5">
                  <c:v>24506.4498882</c:v>
                </c:pt>
                <c:pt idx="6">
                  <c:v>21473.4143899</c:v>
                </c:pt>
                <c:pt idx="7">
                  <c:v>23376.1117397</c:v>
                </c:pt>
                <c:pt idx="8">
                  <c:v>21630.6488694</c:v>
                </c:pt>
                <c:pt idx="9">
                  <c:v>23967.9858792</c:v>
                </c:pt>
                <c:pt idx="10">
                  <c:v>24294.7782034</c:v>
                </c:pt>
                <c:pt idx="11">
                  <c:v>23549.6298655</c:v>
                </c:pt>
                <c:pt idx="12">
                  <c:v>24528.9322159</c:v>
                </c:pt>
                <c:pt idx="13">
                  <c:v>26065.2277841</c:v>
                </c:pt>
                <c:pt idx="14">
                  <c:v>24266.4668215</c:v>
                </c:pt>
                <c:pt idx="15">
                  <c:v>25788.4715659</c:v>
                </c:pt>
                <c:pt idx="16">
                  <c:v>28233.1553264</c:v>
                </c:pt>
                <c:pt idx="17">
                  <c:v>26576.227126</c:v>
                </c:pt>
                <c:pt idx="18">
                  <c:v>26048.0745608</c:v>
                </c:pt>
                <c:pt idx="19">
                  <c:v>25504.7321736</c:v>
                </c:pt>
                <c:pt idx="20">
                  <c:v>26088.7389289</c:v>
                </c:pt>
                <c:pt idx="21">
                  <c:v>27592.0559807</c:v>
                </c:pt>
                <c:pt idx="22">
                  <c:v>32465.9632764</c:v>
                </c:pt>
                <c:pt idx="23">
                  <c:v>31682.6972425</c:v>
                </c:pt>
                <c:pt idx="24">
                  <c:v>30757.1958638</c:v>
                </c:pt>
                <c:pt idx="25">
                  <c:v>35654.5283218</c:v>
                </c:pt>
                <c:pt idx="26">
                  <c:v>32697.3624292</c:v>
                </c:pt>
                <c:pt idx="27">
                  <c:v>32642.1232203</c:v>
                </c:pt>
                <c:pt idx="28">
                  <c:v>33880.8634118</c:v>
                </c:pt>
                <c:pt idx="29">
                  <c:v>33702.3229562</c:v>
                </c:pt>
                <c:pt idx="30">
                  <c:v>29170.7366606</c:v>
                </c:pt>
                <c:pt idx="31">
                  <c:v>29089.7662015</c:v>
                </c:pt>
                <c:pt idx="32">
                  <c:v>29764.5867776</c:v>
                </c:pt>
                <c:pt idx="33">
                  <c:v>35072.7954153</c:v>
                </c:pt>
                <c:pt idx="34">
                  <c:v>29246.5910559</c:v>
                </c:pt>
                <c:pt idx="35">
                  <c:v>32269.524533</c:v>
                </c:pt>
                <c:pt idx="36">
                  <c:v>32643.5908009</c:v>
                </c:pt>
                <c:pt idx="37">
                  <c:v>32599.0434264</c:v>
                </c:pt>
                <c:pt idx="38">
                  <c:v>29873.2631201</c:v>
                </c:pt>
                <c:pt idx="39">
                  <c:v>33408.581474</c:v>
                </c:pt>
                <c:pt idx="40">
                  <c:v>28967.2449639</c:v>
                </c:pt>
                <c:pt idx="41">
                  <c:v>28128.491195</c:v>
                </c:pt>
                <c:pt idx="42">
                  <c:v>31531.2458389</c:v>
                </c:pt>
                <c:pt idx="43">
                  <c:v>27791.6374212</c:v>
                </c:pt>
                <c:pt idx="44">
                  <c:v>31006.9030473</c:v>
                </c:pt>
                <c:pt idx="45">
                  <c:v>28234.2897693</c:v>
                </c:pt>
                <c:pt idx="46">
                  <c:v>26667.3292834</c:v>
                </c:pt>
                <c:pt idx="47">
                  <c:v>26441.4327094</c:v>
                </c:pt>
                <c:pt idx="48">
                  <c:v>25749.3258454</c:v>
                </c:pt>
                <c:pt idx="49">
                  <c:v>32361.110115</c:v>
                </c:pt>
                <c:pt idx="50">
                  <c:v>30507.4153324</c:v>
                </c:pt>
                <c:pt idx="51">
                  <c:v>30863.4694421</c:v>
                </c:pt>
                <c:pt idx="52">
                  <c:v>31140.3904993</c:v>
                </c:pt>
                <c:pt idx="53">
                  <c:v>33317.1901304</c:v>
                </c:pt>
                <c:pt idx="54">
                  <c:v>37621.0309881</c:v>
                </c:pt>
                <c:pt idx="55">
                  <c:v>34660.2669271</c:v>
                </c:pt>
                <c:pt idx="56">
                  <c:v>33069.3918892</c:v>
                </c:pt>
                <c:pt idx="57">
                  <c:v>36189.4441714</c:v>
                </c:pt>
                <c:pt idx="58">
                  <c:v>35753.9112131</c:v>
                </c:pt>
                <c:pt idx="59">
                  <c:v>35393.4110748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7d23b59-eb90-4d4c-919c-6187f125c9d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2.60865696612,2.60977883107,2.59867288216,2.58080152791,2.58496390937,2.60153359114,2.60871058636,2.61440383215,2.63073592531,2.64762722066,2.65767069594,2.66873093352,2.67102938941,2.70025951771,2.70666938251,2.72069009824,2.72427260209,2.71278606672,2.72853020843,2.72843669819,2.73230221701,2.71520848723,2.75671259552,2.78643639203,2.80250127371,2.83385779059,2.8507443141,2.87394527071,2.88275500701,2.8764604275,2.89237983105,2.89793849344,2.90493946594,2.89621090414,2.89915192596,2.92520877945,2.93262936244,2.93666666971,2.94240269745,2.91241816013,2.90430248398,2.90559525171,2.91437551437,2.92068611368,2.90668809951,2.8828952212,2.88727568609,2.8791146015,2.87362609785,2.87348227396,2.89793843612,2.92486196656,2.95288616959,2.96551186733,2.99503127686,3.0009712398,3.01514929313,3.03299174914,3.01196103407,3.00368140398}</c:f>
              <c:numCache>
                <c:formatCode>General</c:formatCode>
                <c:ptCount val="60"/>
                <c:pt idx="0">
                  <c:v>2.60865696612</c:v>
                </c:pt>
                <c:pt idx="1">
                  <c:v>2.60977883107</c:v>
                </c:pt>
                <c:pt idx="2">
                  <c:v>2.59867288216</c:v>
                </c:pt>
                <c:pt idx="3">
                  <c:v>2.58080152791</c:v>
                </c:pt>
                <c:pt idx="4">
                  <c:v>2.58496390937</c:v>
                </c:pt>
                <c:pt idx="5">
                  <c:v>2.60153359114</c:v>
                </c:pt>
                <c:pt idx="6">
                  <c:v>2.60871058636</c:v>
                </c:pt>
                <c:pt idx="7">
                  <c:v>2.61440383215</c:v>
                </c:pt>
                <c:pt idx="8">
                  <c:v>2.63073592531</c:v>
                </c:pt>
                <c:pt idx="9">
                  <c:v>2.64762722066</c:v>
                </c:pt>
                <c:pt idx="10">
                  <c:v>2.65767069594</c:v>
                </c:pt>
                <c:pt idx="11">
                  <c:v>2.66873093352</c:v>
                </c:pt>
                <c:pt idx="12">
                  <c:v>2.67102938941</c:v>
                </c:pt>
                <c:pt idx="13">
                  <c:v>2.70025951771</c:v>
                </c:pt>
                <c:pt idx="14">
                  <c:v>2.70666938251</c:v>
                </c:pt>
                <c:pt idx="15">
                  <c:v>2.72069009824</c:v>
                </c:pt>
                <c:pt idx="16">
                  <c:v>2.72427260209</c:v>
                </c:pt>
                <c:pt idx="17">
                  <c:v>2.71278606672</c:v>
                </c:pt>
                <c:pt idx="18">
                  <c:v>2.72853020843</c:v>
                </c:pt>
                <c:pt idx="19">
                  <c:v>2.72843669819</c:v>
                </c:pt>
                <c:pt idx="20">
                  <c:v>2.73230221701</c:v>
                </c:pt>
                <c:pt idx="21">
                  <c:v>2.71520848723</c:v>
                </c:pt>
                <c:pt idx="22">
                  <c:v>2.75671259552</c:v>
                </c:pt>
                <c:pt idx="23">
                  <c:v>2.78643639203</c:v>
                </c:pt>
                <c:pt idx="24">
                  <c:v>2.80250127371</c:v>
                </c:pt>
                <c:pt idx="25">
                  <c:v>2.83385779059</c:v>
                </c:pt>
                <c:pt idx="26">
                  <c:v>2.8507443141</c:v>
                </c:pt>
                <c:pt idx="27">
                  <c:v>2.87394527071</c:v>
                </c:pt>
                <c:pt idx="28">
                  <c:v>2.88275500701</c:v>
                </c:pt>
                <c:pt idx="29">
                  <c:v>2.8764604275</c:v>
                </c:pt>
                <c:pt idx="30">
                  <c:v>2.89237983105</c:v>
                </c:pt>
                <c:pt idx="31">
                  <c:v>2.89793849344</c:v>
                </c:pt>
                <c:pt idx="32">
                  <c:v>2.90493946594</c:v>
                </c:pt>
                <c:pt idx="33">
                  <c:v>2.89621090414</c:v>
                </c:pt>
                <c:pt idx="34">
                  <c:v>2.89915192596</c:v>
                </c:pt>
                <c:pt idx="35">
                  <c:v>2.92520877945</c:v>
                </c:pt>
                <c:pt idx="36">
                  <c:v>2.93262936244</c:v>
                </c:pt>
                <c:pt idx="37">
                  <c:v>2.93666666971</c:v>
                </c:pt>
                <c:pt idx="38">
                  <c:v>2.94240269745</c:v>
                </c:pt>
                <c:pt idx="39">
                  <c:v>2.91241816013</c:v>
                </c:pt>
                <c:pt idx="40">
                  <c:v>2.90430248398</c:v>
                </c:pt>
                <c:pt idx="41">
                  <c:v>2.90559525171</c:v>
                </c:pt>
                <c:pt idx="42">
                  <c:v>2.91437551437</c:v>
                </c:pt>
                <c:pt idx="43">
                  <c:v>2.92068611368</c:v>
                </c:pt>
                <c:pt idx="44">
                  <c:v>2.90668809951</c:v>
                </c:pt>
                <c:pt idx="45">
                  <c:v>2.8828952212</c:v>
                </c:pt>
                <c:pt idx="46">
                  <c:v>2.88727568609</c:v>
                </c:pt>
                <c:pt idx="47">
                  <c:v>2.8791146015</c:v>
                </c:pt>
                <c:pt idx="48">
                  <c:v>2.87362609785</c:v>
                </c:pt>
                <c:pt idx="49">
                  <c:v>2.87348227396</c:v>
                </c:pt>
                <c:pt idx="50">
                  <c:v>2.89793843612</c:v>
                </c:pt>
                <c:pt idx="51">
                  <c:v>2.92486196656</c:v>
                </c:pt>
                <c:pt idx="52">
                  <c:v>2.95288616959</c:v>
                </c:pt>
                <c:pt idx="53">
                  <c:v>2.96551186733</c:v>
                </c:pt>
                <c:pt idx="54">
                  <c:v>2.99503127686</c:v>
                </c:pt>
                <c:pt idx="55">
                  <c:v>3.0009712398</c:v>
                </c:pt>
                <c:pt idx="56">
                  <c:v>3.01514929313</c:v>
                </c:pt>
                <c:pt idx="57">
                  <c:v>3.03299174914</c:v>
                </c:pt>
                <c:pt idx="58">
                  <c:v>3.01196103407</c:v>
                </c:pt>
                <c:pt idx="59">
                  <c:v>3.00368140398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bcc2c6a-3fc7-4969-84e2-ab019078f75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3.21872625243,3.19939080429,3.11595917412,2.91648272466,2.76471730773,3.68130961272,3.29521616912,3.36401579801,3.1774821512,3.40515371328,3.4854602316,3.50946328522,3.7063957943,3.76320670948,3.54009935969,3.5911776655,3.83492381123,3.64519297737,3.7171673797,3.70469554965,3.73320725495,3.76423038393,4.23767238776,4.16955466824,4.20335032715,4.60926180176,4.22860604362,4.13358814857,4.26268123162,4.28607253987,3.90741019926,3.8396643564,3.85057362506,4.54005809599,3.81799365654,4.04341250111,4.0084162025,3.97242979889,3.6939864535,4.10320623602,3.68980509928,3.5955541712,3.75698226618,3.52496778586,3.94557033002,3.84551267528,3.50578200306,3.53757880174,3.4265954992,3.86986490346,3.69732646229,3.72229187667,3.71679015139,3.76634819808,4.31699639809,3.99308070555,3.86187129878,4.00203379481,3.89817645503,4.00649348261}</c:f>
              <c:numCache>
                <c:formatCode>General</c:formatCode>
                <c:ptCount val="60"/>
                <c:pt idx="0">
                  <c:v>3.21872625243</c:v>
                </c:pt>
                <c:pt idx="1">
                  <c:v>3.19939080429</c:v>
                </c:pt>
                <c:pt idx="2">
                  <c:v>3.11595917412</c:v>
                </c:pt>
                <c:pt idx="3">
                  <c:v>2.91648272466</c:v>
                </c:pt>
                <c:pt idx="4">
                  <c:v>2.76471730773</c:v>
                </c:pt>
                <c:pt idx="5">
                  <c:v>3.68130961272</c:v>
                </c:pt>
                <c:pt idx="6">
                  <c:v>3.29521616912</c:v>
                </c:pt>
                <c:pt idx="7">
                  <c:v>3.36401579801</c:v>
                </c:pt>
                <c:pt idx="8">
                  <c:v>3.1774821512</c:v>
                </c:pt>
                <c:pt idx="9">
                  <c:v>3.40515371328</c:v>
                </c:pt>
                <c:pt idx="10">
                  <c:v>3.4854602316</c:v>
                </c:pt>
                <c:pt idx="11">
                  <c:v>3.50946328522</c:v>
                </c:pt>
                <c:pt idx="12">
                  <c:v>3.7063957943</c:v>
                </c:pt>
                <c:pt idx="13">
                  <c:v>3.76320670948</c:v>
                </c:pt>
                <c:pt idx="14">
                  <c:v>3.54009935969</c:v>
                </c:pt>
                <c:pt idx="15">
                  <c:v>3.5911776655</c:v>
                </c:pt>
                <c:pt idx="16">
                  <c:v>3.83492381123</c:v>
                </c:pt>
                <c:pt idx="17">
                  <c:v>3.64519297737</c:v>
                </c:pt>
                <c:pt idx="18">
                  <c:v>3.7171673797</c:v>
                </c:pt>
                <c:pt idx="19">
                  <c:v>3.70469554965</c:v>
                </c:pt>
                <c:pt idx="20">
                  <c:v>3.73320725495</c:v>
                </c:pt>
                <c:pt idx="21">
                  <c:v>3.76423038393</c:v>
                </c:pt>
                <c:pt idx="22">
                  <c:v>4.23767238776</c:v>
                </c:pt>
                <c:pt idx="23">
                  <c:v>4.16955466824</c:v>
                </c:pt>
                <c:pt idx="24">
                  <c:v>4.20335032715</c:v>
                </c:pt>
                <c:pt idx="25">
                  <c:v>4.60926180176</c:v>
                </c:pt>
                <c:pt idx="26">
                  <c:v>4.22860604362</c:v>
                </c:pt>
                <c:pt idx="27">
                  <c:v>4.13358814857</c:v>
                </c:pt>
                <c:pt idx="28">
                  <c:v>4.26268123162</c:v>
                </c:pt>
                <c:pt idx="29">
                  <c:v>4.28607253987</c:v>
                </c:pt>
                <c:pt idx="30">
                  <c:v>3.90741019926</c:v>
                </c:pt>
                <c:pt idx="31">
                  <c:v>3.8396643564</c:v>
                </c:pt>
                <c:pt idx="32">
                  <c:v>3.85057362506</c:v>
                </c:pt>
                <c:pt idx="33">
                  <c:v>4.54005809599</c:v>
                </c:pt>
                <c:pt idx="34">
                  <c:v>3.81799365654</c:v>
                </c:pt>
                <c:pt idx="35">
                  <c:v>4.04341250111</c:v>
                </c:pt>
                <c:pt idx="36">
                  <c:v>4.0084162025</c:v>
                </c:pt>
                <c:pt idx="37">
                  <c:v>3.97242979889</c:v>
                </c:pt>
                <c:pt idx="38">
                  <c:v>3.6939864535</c:v>
                </c:pt>
                <c:pt idx="39">
                  <c:v>4.10320623602</c:v>
                </c:pt>
                <c:pt idx="40">
                  <c:v>3.68980509928</c:v>
                </c:pt>
                <c:pt idx="41">
                  <c:v>3.5955541712</c:v>
                </c:pt>
                <c:pt idx="42">
                  <c:v>3.75698226618</c:v>
                </c:pt>
                <c:pt idx="43">
                  <c:v>3.52496778586</c:v>
                </c:pt>
                <c:pt idx="44">
                  <c:v>3.94557033002</c:v>
                </c:pt>
                <c:pt idx="45">
                  <c:v>3.84551267528</c:v>
                </c:pt>
                <c:pt idx="46">
                  <c:v>3.50578200306</c:v>
                </c:pt>
                <c:pt idx="47">
                  <c:v>3.53757880174</c:v>
                </c:pt>
                <c:pt idx="48">
                  <c:v>3.4265954992</c:v>
                </c:pt>
                <c:pt idx="49">
                  <c:v>3.86986490346</c:v>
                </c:pt>
                <c:pt idx="50">
                  <c:v>3.69732646229</c:v>
                </c:pt>
                <c:pt idx="51">
                  <c:v>3.72229187667</c:v>
                </c:pt>
                <c:pt idx="52">
                  <c:v>3.71679015139</c:v>
                </c:pt>
                <c:pt idx="53">
                  <c:v>3.76634819808</c:v>
                </c:pt>
                <c:pt idx="54">
                  <c:v>4.31699639809</c:v>
                </c:pt>
                <c:pt idx="55">
                  <c:v>3.99308070555</c:v>
                </c:pt>
                <c:pt idx="56">
                  <c:v>3.86187129878</c:v>
                </c:pt>
                <c:pt idx="57">
                  <c:v>4.00203379481</c:v>
                </c:pt>
                <c:pt idx="58">
                  <c:v>3.89817645503</c:v>
                </c:pt>
                <c:pt idx="59">
                  <c:v>4.00649348261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b9c9a5b-d885-4bcb-8b6f-28732b03a94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25294.03,25116.53,25893.02,25752.4,25893.54,25660.85,25872.32,25947.32,26394.26,26160.33,26361.07,26487.48,26163.24,25915.2,25978.07,25925.65,25679.78,26111.84,25776.53,26213.78,26626.28,26393.71,26406.84,26347.91,26388.44,26389.04,25962.73,25675.18,25797.85,25651.12,25386.52,25606.03,25599.45,25328.23,25006.16,25182.39,25398.18,26038.32,25633.21,25253.4,24961.95,24657.06,24565.9,24407.96,24249.29,24718.1,24842.67,24493.95,24312.16,23924.81,23768.52,23336.28,23412.18,23076.91,22671.86,23026.68}</c:f>
              <c:numCache>
                <c:formatCode>General</c:formatCode>
                <c:ptCount val="56"/>
                <c:pt idx="0">
                  <c:v>25294.03</c:v>
                </c:pt>
                <c:pt idx="1">
                  <c:v>25116.53</c:v>
                </c:pt>
                <c:pt idx="2">
                  <c:v>25893.02</c:v>
                </c:pt>
                <c:pt idx="3">
                  <c:v>25752.4</c:v>
                </c:pt>
                <c:pt idx="4">
                  <c:v>25893.54</c:v>
                </c:pt>
                <c:pt idx="5">
                  <c:v>25660.85</c:v>
                </c:pt>
                <c:pt idx="6">
                  <c:v>25872.32</c:v>
                </c:pt>
                <c:pt idx="7">
                  <c:v>25947.32</c:v>
                </c:pt>
                <c:pt idx="8">
                  <c:v>26394.26</c:v>
                </c:pt>
                <c:pt idx="9">
                  <c:v>26160.33</c:v>
                </c:pt>
                <c:pt idx="10">
                  <c:v>26361.07</c:v>
                </c:pt>
                <c:pt idx="11">
                  <c:v>26487.48</c:v>
                </c:pt>
                <c:pt idx="12">
                  <c:v>26163.24</c:v>
                </c:pt>
                <c:pt idx="13">
                  <c:v>25915.2</c:v>
                </c:pt>
                <c:pt idx="14">
                  <c:v>25978.07</c:v>
                </c:pt>
                <c:pt idx="15">
                  <c:v>25925.65</c:v>
                </c:pt>
                <c:pt idx="16">
                  <c:v>25679.78</c:v>
                </c:pt>
                <c:pt idx="17">
                  <c:v>26111.84</c:v>
                </c:pt>
                <c:pt idx="18">
                  <c:v>25776.53</c:v>
                </c:pt>
                <c:pt idx="19">
                  <c:v>26213.78</c:v>
                </c:pt>
                <c:pt idx="20">
                  <c:v>26626.28</c:v>
                </c:pt>
                <c:pt idx="21">
                  <c:v>26393.71</c:v>
                </c:pt>
                <c:pt idx="22">
                  <c:v>26406.84</c:v>
                </c:pt>
                <c:pt idx="23">
                  <c:v>26347.91</c:v>
                </c:pt>
                <c:pt idx="24">
                  <c:v>26388.44</c:v>
                </c:pt>
                <c:pt idx="25">
                  <c:v>26389.04</c:v>
                </c:pt>
                <c:pt idx="26">
                  <c:v>25962.73</c:v>
                </c:pt>
                <c:pt idx="27">
                  <c:v>25675.18</c:v>
                </c:pt>
                <c:pt idx="28">
                  <c:v>25797.85</c:v>
                </c:pt>
                <c:pt idx="29">
                  <c:v>25651.12</c:v>
                </c:pt>
                <c:pt idx="30">
                  <c:v>25386.52</c:v>
                </c:pt>
                <c:pt idx="31">
                  <c:v>25606.03</c:v>
                </c:pt>
                <c:pt idx="32">
                  <c:v>25599.45</c:v>
                </c:pt>
                <c:pt idx="33">
                  <c:v>25328.23</c:v>
                </c:pt>
                <c:pt idx="34">
                  <c:v>25006.16</c:v>
                </c:pt>
                <c:pt idx="35">
                  <c:v>25182.39</c:v>
                </c:pt>
                <c:pt idx="36">
                  <c:v>25398.18</c:v>
                </c:pt>
                <c:pt idx="37">
                  <c:v>26038.32</c:v>
                </c:pt>
                <c:pt idx="38">
                  <c:v>25633.21</c:v>
                </c:pt>
                <c:pt idx="39">
                  <c:v>25253.4</c:v>
                </c:pt>
                <c:pt idx="40">
                  <c:v>24961.95</c:v>
                </c:pt>
                <c:pt idx="41">
                  <c:v>24657.06</c:v>
                </c:pt>
                <c:pt idx="42">
                  <c:v>24565.9</c:v>
                </c:pt>
                <c:pt idx="43">
                  <c:v>24407.96</c:v>
                </c:pt>
                <c:pt idx="44">
                  <c:v>24249.29</c:v>
                </c:pt>
                <c:pt idx="45">
                  <c:v>24718.1</c:v>
                </c:pt>
                <c:pt idx="46">
                  <c:v>24842.67</c:v>
                </c:pt>
                <c:pt idx="47">
                  <c:v>24493.95</c:v>
                </c:pt>
                <c:pt idx="48">
                  <c:v>24312.16</c:v>
                </c:pt>
                <c:pt idx="49">
                  <c:v>23924.81</c:v>
                </c:pt>
                <c:pt idx="50">
                  <c:v>23768.52</c:v>
                </c:pt>
                <c:pt idx="51">
                  <c:v>23336.28</c:v>
                </c:pt>
                <c:pt idx="52">
                  <c:v>23412.18</c:v>
                </c:pt>
                <c:pt idx="53">
                  <c:v>23076.91</c:v>
                </c:pt>
                <c:pt idx="54">
                  <c:v>22671.86</c:v>
                </c:pt>
                <c:pt idx="55">
                  <c:v>23026.68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8665209-93dd-454b-86f2-26c30e67f59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4756.45,4679.1,4923.25,4821.67,4860.26,4822.01,4851.96,4911.79,5092.08,5042.68,5065.63,5061.5,4963.94,4865.52,4902.2,4939.84,4827.19,4910.02,4871.32,4969.2,5121.1,5102.79,5106.4,5070.61,5093.85,5076.2,4941.14,4844.94,4857.46,4873.82,4768.9,4869.57,4946.88,4907.57,4888.58,4884.23,4964.92,5199.28,5056.97,4975.36,4888.39,4755.91,4769.61,4724.79,4655.74,4705.2,4765.58,4658.65,4669.07,4604.35,4549.41,4399.22,4479.02,4405.92,4255.59,4393.01}</c:f>
              <c:numCache>
                <c:formatCode>General</c:formatCode>
                <c:ptCount val="56"/>
                <c:pt idx="0">
                  <c:v>4756.45</c:v>
                </c:pt>
                <c:pt idx="1">
                  <c:v>4679.1</c:v>
                </c:pt>
                <c:pt idx="2">
                  <c:v>4923.25</c:v>
                </c:pt>
                <c:pt idx="3">
                  <c:v>4821.67</c:v>
                </c:pt>
                <c:pt idx="4">
                  <c:v>4860.26</c:v>
                </c:pt>
                <c:pt idx="5">
                  <c:v>4822.01</c:v>
                </c:pt>
                <c:pt idx="6">
                  <c:v>4851.96</c:v>
                </c:pt>
                <c:pt idx="7">
                  <c:v>4911.79</c:v>
                </c:pt>
                <c:pt idx="8">
                  <c:v>5092.08</c:v>
                </c:pt>
                <c:pt idx="9">
                  <c:v>5042.68</c:v>
                </c:pt>
                <c:pt idx="10">
                  <c:v>5065.63</c:v>
                </c:pt>
                <c:pt idx="11">
                  <c:v>5061.5</c:v>
                </c:pt>
                <c:pt idx="12">
                  <c:v>4963.94</c:v>
                </c:pt>
                <c:pt idx="13">
                  <c:v>4865.52</c:v>
                </c:pt>
                <c:pt idx="14">
                  <c:v>4902.2</c:v>
                </c:pt>
                <c:pt idx="15">
                  <c:v>4939.84</c:v>
                </c:pt>
                <c:pt idx="16">
                  <c:v>4827.19</c:v>
                </c:pt>
                <c:pt idx="17">
                  <c:v>4910.02</c:v>
                </c:pt>
                <c:pt idx="18">
                  <c:v>4871.32</c:v>
                </c:pt>
                <c:pt idx="19">
                  <c:v>4969.2</c:v>
                </c:pt>
                <c:pt idx="20">
                  <c:v>5121.1</c:v>
                </c:pt>
                <c:pt idx="21">
                  <c:v>5102.79</c:v>
                </c:pt>
                <c:pt idx="22">
                  <c:v>5106.4</c:v>
                </c:pt>
                <c:pt idx="23">
                  <c:v>5070.61</c:v>
                </c:pt>
                <c:pt idx="24">
                  <c:v>5093.85</c:v>
                </c:pt>
                <c:pt idx="25">
                  <c:v>5076.2</c:v>
                </c:pt>
                <c:pt idx="26">
                  <c:v>4941.14</c:v>
                </c:pt>
                <c:pt idx="27">
                  <c:v>4844.94</c:v>
                </c:pt>
                <c:pt idx="28">
                  <c:v>4857.46</c:v>
                </c:pt>
                <c:pt idx="29">
                  <c:v>4873.82</c:v>
                </c:pt>
                <c:pt idx="30">
                  <c:v>4768.9</c:v>
                </c:pt>
                <c:pt idx="31">
                  <c:v>4869.57</c:v>
                </c:pt>
                <c:pt idx="32">
                  <c:v>4946.88</c:v>
                </c:pt>
                <c:pt idx="33">
                  <c:v>4907.57</c:v>
                </c:pt>
                <c:pt idx="34">
                  <c:v>4888.58</c:v>
                </c:pt>
                <c:pt idx="35">
                  <c:v>4884.23</c:v>
                </c:pt>
                <c:pt idx="36">
                  <c:v>4964.92</c:v>
                </c:pt>
                <c:pt idx="37">
                  <c:v>5199.28</c:v>
                </c:pt>
                <c:pt idx="38">
                  <c:v>5056.97</c:v>
                </c:pt>
                <c:pt idx="39">
                  <c:v>4975.36</c:v>
                </c:pt>
                <c:pt idx="40">
                  <c:v>4888.39</c:v>
                </c:pt>
                <c:pt idx="41">
                  <c:v>4755.91</c:v>
                </c:pt>
                <c:pt idx="42">
                  <c:v>4769.61</c:v>
                </c:pt>
                <c:pt idx="43">
                  <c:v>4724.79</c:v>
                </c:pt>
                <c:pt idx="44">
                  <c:v>4655.74</c:v>
                </c:pt>
                <c:pt idx="45">
                  <c:v>4705.2</c:v>
                </c:pt>
                <c:pt idx="46">
                  <c:v>4765.58</c:v>
                </c:pt>
                <c:pt idx="47">
                  <c:v>4658.65</c:v>
                </c:pt>
                <c:pt idx="48">
                  <c:v>4669.07</c:v>
                </c:pt>
                <c:pt idx="49">
                  <c:v>4604.35</c:v>
                </c:pt>
                <c:pt idx="50">
                  <c:v>4549.41</c:v>
                </c:pt>
                <c:pt idx="51">
                  <c:v>4399.22</c:v>
                </c:pt>
                <c:pt idx="52">
                  <c:v>4479.02</c:v>
                </c:pt>
                <c:pt idx="53">
                  <c:v>4405.92</c:v>
                </c:pt>
                <c:pt idx="54">
                  <c:v>4255.59</c:v>
                </c:pt>
                <c:pt idx="55">
                  <c:v>4393.01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febc2e-a60f-48ea-942e-eedcf2b2cfc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29.5094,-25.4593,-21.7612,6.2173,-111.3111,174.5924,-187.9359,109.9831,-24.5469,19.6372,-17.5329,36.7217,37.3949,148.3757,-34.0192,32.549,42.6334,75.0731,30.2007,-35.5982,126.8072,-34.4488,106.4825,-74.4504,-41.6322,114.4286,0.6297,6.8695,-58.6813,-84.1029,217.0964,-68.3836,11.0102,49.6343,-52.9768,-56.3121,-8.3643,-66.7699,65.8859,16.2866,40.2166,19.1885,161.5963,-2.7066,-20.9501,98.0863,-74.3884,71.3502,-23.8193,-34.0106,18.2063,29.9029,-27.7753,-58.5983,-50.2927,89.8576,136.8666,-76.9688,-21.7063,-89.5604}</c:f>
              <c:numCache>
                <c:formatCode>General</c:formatCode>
                <c:ptCount val="60"/>
                <c:pt idx="0">
                  <c:v>29.5094</c:v>
                </c:pt>
                <c:pt idx="1">
                  <c:v>-25.4593</c:v>
                </c:pt>
                <c:pt idx="2">
                  <c:v>-21.7612</c:v>
                </c:pt>
                <c:pt idx="3">
                  <c:v>6.2173</c:v>
                </c:pt>
                <c:pt idx="4">
                  <c:v>-111.3111</c:v>
                </c:pt>
                <c:pt idx="5">
                  <c:v>174.5924</c:v>
                </c:pt>
                <c:pt idx="6">
                  <c:v>-187.9359</c:v>
                </c:pt>
                <c:pt idx="7">
                  <c:v>109.9831</c:v>
                </c:pt>
                <c:pt idx="8">
                  <c:v>-24.5469</c:v>
                </c:pt>
                <c:pt idx="9">
                  <c:v>19.6372</c:v>
                </c:pt>
                <c:pt idx="10">
                  <c:v>-17.5329</c:v>
                </c:pt>
                <c:pt idx="11">
                  <c:v>36.7217</c:v>
                </c:pt>
                <c:pt idx="12">
                  <c:v>37.3949</c:v>
                </c:pt>
                <c:pt idx="13">
                  <c:v>148.3757</c:v>
                </c:pt>
                <c:pt idx="14">
                  <c:v>-34.0192</c:v>
                </c:pt>
                <c:pt idx="15">
                  <c:v>32.549</c:v>
                </c:pt>
                <c:pt idx="16">
                  <c:v>42.6334</c:v>
                </c:pt>
                <c:pt idx="17">
                  <c:v>75.0731</c:v>
                </c:pt>
                <c:pt idx="18">
                  <c:v>30.2007</c:v>
                </c:pt>
                <c:pt idx="19">
                  <c:v>-35.5982</c:v>
                </c:pt>
                <c:pt idx="20">
                  <c:v>126.8072</c:v>
                </c:pt>
                <c:pt idx="21">
                  <c:v>-34.4488</c:v>
                </c:pt>
                <c:pt idx="22">
                  <c:v>106.4825</c:v>
                </c:pt>
                <c:pt idx="23">
                  <c:v>-74.4504</c:v>
                </c:pt>
                <c:pt idx="24">
                  <c:v>-41.6322</c:v>
                </c:pt>
                <c:pt idx="25">
                  <c:v>114.4286</c:v>
                </c:pt>
                <c:pt idx="26">
                  <c:v>0.6297</c:v>
                </c:pt>
                <c:pt idx="27">
                  <c:v>6.8695</c:v>
                </c:pt>
                <c:pt idx="28">
                  <c:v>-58.6813</c:v>
                </c:pt>
                <c:pt idx="29">
                  <c:v>-84.1029</c:v>
                </c:pt>
                <c:pt idx="30">
                  <c:v>217.0964</c:v>
                </c:pt>
                <c:pt idx="31">
                  <c:v>-68.3836</c:v>
                </c:pt>
                <c:pt idx="32">
                  <c:v>11.0102</c:v>
                </c:pt>
                <c:pt idx="33">
                  <c:v>49.6343</c:v>
                </c:pt>
                <c:pt idx="34">
                  <c:v>-52.9768</c:v>
                </c:pt>
                <c:pt idx="35">
                  <c:v>-56.3121</c:v>
                </c:pt>
                <c:pt idx="36">
                  <c:v>-8.3643</c:v>
                </c:pt>
                <c:pt idx="37">
                  <c:v>-66.7699</c:v>
                </c:pt>
                <c:pt idx="38">
                  <c:v>65.8859</c:v>
                </c:pt>
                <c:pt idx="39">
                  <c:v>16.2866</c:v>
                </c:pt>
                <c:pt idx="40">
                  <c:v>40.2166</c:v>
                </c:pt>
                <c:pt idx="41">
                  <c:v>19.1885</c:v>
                </c:pt>
                <c:pt idx="42">
                  <c:v>161.5963</c:v>
                </c:pt>
                <c:pt idx="43">
                  <c:v>-2.7066</c:v>
                </c:pt>
                <c:pt idx="44">
                  <c:v>-20.9501</c:v>
                </c:pt>
                <c:pt idx="45">
                  <c:v>98.0863</c:v>
                </c:pt>
                <c:pt idx="46">
                  <c:v>-74.3884</c:v>
                </c:pt>
                <c:pt idx="47">
                  <c:v>71.3502</c:v>
                </c:pt>
                <c:pt idx="48">
                  <c:v>-23.8193</c:v>
                </c:pt>
                <c:pt idx="49">
                  <c:v>-34.0106</c:v>
                </c:pt>
                <c:pt idx="50">
                  <c:v>18.2063</c:v>
                </c:pt>
                <c:pt idx="51">
                  <c:v>29.9029</c:v>
                </c:pt>
                <c:pt idx="52">
                  <c:v>-27.7753</c:v>
                </c:pt>
                <c:pt idx="53">
                  <c:v>-58.5983</c:v>
                </c:pt>
                <c:pt idx="54">
                  <c:v>-50.2927</c:v>
                </c:pt>
                <c:pt idx="55">
                  <c:v>89.8576</c:v>
                </c:pt>
                <c:pt idx="56">
                  <c:v>136.8666</c:v>
                </c:pt>
                <c:pt idx="57">
                  <c:v>-76.9688</c:v>
                </c:pt>
                <c:pt idx="58">
                  <c:v>-21.7063</c:v>
                </c:pt>
                <c:pt idx="59">
                  <c:v>-89.5604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eff884-ec7d-48ad-ab6e-67759c9f4d3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0.3682,0.3049,0.465,0.2785,0.2456,0.2185,0.2584,0.2884,0.2679,0.2667,0.2743,0.2349,0.2446,0.249,0.2755,0.2484,0.3116,0.3612,0.3942,0.3384,0.3808,0.2923,0.294,0.2943,0.2693,0.2983,0.3112,0.288,0.296,0.273,0.2891,0.3133,0.3898,0.3549,0.4046,0.6461,0.3536,0.3582,0.3031,0.2657,0.3413,0.3592,0.3167,0.3717,0.3225,0.3537,0.3428,0.2965,0.288,0.4558,0.3818,0.3478,0.3262,0.4022,0.3954,0.326}</c:f>
              <c:numCache>
                <c:formatCode>General</c:formatCode>
                <c:ptCount val="56"/>
                <c:pt idx="0">
                  <c:v>0.3682</c:v>
                </c:pt>
                <c:pt idx="1">
                  <c:v>0.3049</c:v>
                </c:pt>
                <c:pt idx="2">
                  <c:v>0.465</c:v>
                </c:pt>
                <c:pt idx="3">
                  <c:v>0.2785</c:v>
                </c:pt>
                <c:pt idx="4">
                  <c:v>0.2456</c:v>
                </c:pt>
                <c:pt idx="5">
                  <c:v>0.2185</c:v>
                </c:pt>
                <c:pt idx="6">
                  <c:v>0.2584</c:v>
                </c:pt>
                <c:pt idx="7">
                  <c:v>0.2884</c:v>
                </c:pt>
                <c:pt idx="8">
                  <c:v>0.2679</c:v>
                </c:pt>
                <c:pt idx="9">
                  <c:v>0.2667</c:v>
                </c:pt>
                <c:pt idx="10">
                  <c:v>0.2743</c:v>
                </c:pt>
                <c:pt idx="11">
                  <c:v>0.2349</c:v>
                </c:pt>
                <c:pt idx="12">
                  <c:v>0.2446</c:v>
                </c:pt>
                <c:pt idx="13">
                  <c:v>0.249</c:v>
                </c:pt>
                <c:pt idx="14">
                  <c:v>0.2755</c:v>
                </c:pt>
                <c:pt idx="15">
                  <c:v>0.2484</c:v>
                </c:pt>
                <c:pt idx="16">
                  <c:v>0.3116</c:v>
                </c:pt>
                <c:pt idx="17">
                  <c:v>0.3612</c:v>
                </c:pt>
                <c:pt idx="18">
                  <c:v>0.3942</c:v>
                </c:pt>
                <c:pt idx="19">
                  <c:v>0.3384</c:v>
                </c:pt>
                <c:pt idx="20">
                  <c:v>0.3808</c:v>
                </c:pt>
                <c:pt idx="21">
                  <c:v>0.2923</c:v>
                </c:pt>
                <c:pt idx="22">
                  <c:v>0.294</c:v>
                </c:pt>
                <c:pt idx="23">
                  <c:v>0.2943</c:v>
                </c:pt>
                <c:pt idx="24">
                  <c:v>0.2693</c:v>
                </c:pt>
                <c:pt idx="25">
                  <c:v>0.2983</c:v>
                </c:pt>
                <c:pt idx="26">
                  <c:v>0.3112</c:v>
                </c:pt>
                <c:pt idx="27">
                  <c:v>0.288</c:v>
                </c:pt>
                <c:pt idx="28">
                  <c:v>0.296</c:v>
                </c:pt>
                <c:pt idx="29">
                  <c:v>0.273</c:v>
                </c:pt>
                <c:pt idx="30">
                  <c:v>0.2891</c:v>
                </c:pt>
                <c:pt idx="31">
                  <c:v>0.3133</c:v>
                </c:pt>
                <c:pt idx="32">
                  <c:v>0.3898</c:v>
                </c:pt>
                <c:pt idx="33">
                  <c:v>0.3549</c:v>
                </c:pt>
                <c:pt idx="34">
                  <c:v>0.4046</c:v>
                </c:pt>
                <c:pt idx="35">
                  <c:v>0.6461</c:v>
                </c:pt>
                <c:pt idx="36">
                  <c:v>0.3536</c:v>
                </c:pt>
                <c:pt idx="37">
                  <c:v>0.3582</c:v>
                </c:pt>
                <c:pt idx="38">
                  <c:v>0.3031</c:v>
                </c:pt>
                <c:pt idx="39">
                  <c:v>0.2657</c:v>
                </c:pt>
                <c:pt idx="40">
                  <c:v>0.3413</c:v>
                </c:pt>
                <c:pt idx="41">
                  <c:v>0.3592</c:v>
                </c:pt>
                <c:pt idx="42">
                  <c:v>0.3167</c:v>
                </c:pt>
                <c:pt idx="43">
                  <c:v>0.3717</c:v>
                </c:pt>
                <c:pt idx="44">
                  <c:v>0.3225</c:v>
                </c:pt>
                <c:pt idx="45">
                  <c:v>0.3537</c:v>
                </c:pt>
                <c:pt idx="46">
                  <c:v>0.3428</c:v>
                </c:pt>
                <c:pt idx="47">
                  <c:v>0.2965</c:v>
                </c:pt>
                <c:pt idx="48">
                  <c:v>0.288</c:v>
                </c:pt>
                <c:pt idx="49">
                  <c:v>0.4558</c:v>
                </c:pt>
                <c:pt idx="50">
                  <c:v>0.3818</c:v>
                </c:pt>
                <c:pt idx="51">
                  <c:v>0.3478</c:v>
                </c:pt>
                <c:pt idx="52">
                  <c:v>0.3262</c:v>
                </c:pt>
                <c:pt idx="53">
                  <c:v>0.4022</c:v>
                </c:pt>
                <c:pt idx="54">
                  <c:v>0.3954</c:v>
                </c:pt>
                <c:pt idx="55">
                  <c:v>0.326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941fd05-fdec-4750-835f-1b08ed1a128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2854.35,2557.6,2914.21,2436.28,3724.37,2449.77,2463.17,2079.09,2367.76,2455.88,2562.28,2380.42,2414.63,2051.77,2283.03,2553.79,2367.23,2516.34,2623.33,2582.81,2915.53,1769.79,1222.35,3047.37,3124.89,2797.54,2884.91,2626.47,2777.71,3067.02,3253.86,2927.12,2721.66,2620.98,2985.52,2812.98,3594.76,3207.58,3563.45,4620.7,3309.37,3737.8,3229.21,2702.3,3428.05,3639.75,3089.16,3205.54,2885.74,3164.38,2833.53,2498.85,2704.12,3587.15,3486.16,3343.61,3229.18,3257.85,3421.01,3153.79}</c:f>
              <c:numCache>
                <c:formatCode>General</c:formatCode>
                <c:ptCount val="60"/>
                <c:pt idx="0">
                  <c:v>2854.35</c:v>
                </c:pt>
                <c:pt idx="1">
                  <c:v>2557.6</c:v>
                </c:pt>
                <c:pt idx="2">
                  <c:v>2914.21</c:v>
                </c:pt>
                <c:pt idx="3">
                  <c:v>2436.28</c:v>
                </c:pt>
                <c:pt idx="4">
                  <c:v>3724.37</c:v>
                </c:pt>
                <c:pt idx="5">
                  <c:v>2449.77</c:v>
                </c:pt>
                <c:pt idx="6">
                  <c:v>2463.17</c:v>
                </c:pt>
                <c:pt idx="7">
                  <c:v>2079.09</c:v>
                </c:pt>
                <c:pt idx="8">
                  <c:v>2367.76</c:v>
                </c:pt>
                <c:pt idx="9">
                  <c:v>2455.88</c:v>
                </c:pt>
                <c:pt idx="10">
                  <c:v>2562.28</c:v>
                </c:pt>
                <c:pt idx="11">
                  <c:v>2380.42</c:v>
                </c:pt>
                <c:pt idx="12">
                  <c:v>2414.63</c:v>
                </c:pt>
                <c:pt idx="13">
                  <c:v>2051.77</c:v>
                </c:pt>
                <c:pt idx="14">
                  <c:v>2283.03</c:v>
                </c:pt>
                <c:pt idx="15">
                  <c:v>2553.79</c:v>
                </c:pt>
                <c:pt idx="16">
                  <c:v>2367.23</c:v>
                </c:pt>
                <c:pt idx="17">
                  <c:v>2516.34</c:v>
                </c:pt>
                <c:pt idx="18">
                  <c:v>2623.33</c:v>
                </c:pt>
                <c:pt idx="19">
                  <c:v>2582.81</c:v>
                </c:pt>
                <c:pt idx="20">
                  <c:v>2915.53</c:v>
                </c:pt>
                <c:pt idx="21">
                  <c:v>1769.79</c:v>
                </c:pt>
                <c:pt idx="22">
                  <c:v>1222.35</c:v>
                </c:pt>
                <c:pt idx="23">
                  <c:v>3047.37</c:v>
                </c:pt>
                <c:pt idx="24">
                  <c:v>3124.89</c:v>
                </c:pt>
                <c:pt idx="25">
                  <c:v>2797.54</c:v>
                </c:pt>
                <c:pt idx="26">
                  <c:v>2884.91</c:v>
                </c:pt>
                <c:pt idx="27">
                  <c:v>2626.47</c:v>
                </c:pt>
                <c:pt idx="28">
                  <c:v>2777.71</c:v>
                </c:pt>
                <c:pt idx="29">
                  <c:v>3067.02</c:v>
                </c:pt>
                <c:pt idx="30">
                  <c:v>3253.86</c:v>
                </c:pt>
                <c:pt idx="31">
                  <c:v>2927.12</c:v>
                </c:pt>
                <c:pt idx="32">
                  <c:v>2721.66</c:v>
                </c:pt>
                <c:pt idx="33">
                  <c:v>2620.98</c:v>
                </c:pt>
                <c:pt idx="34">
                  <c:v>2985.52</c:v>
                </c:pt>
                <c:pt idx="35">
                  <c:v>2812.98</c:v>
                </c:pt>
                <c:pt idx="36">
                  <c:v>3594.76</c:v>
                </c:pt>
                <c:pt idx="37">
                  <c:v>3207.58</c:v>
                </c:pt>
                <c:pt idx="38">
                  <c:v>3563.45</c:v>
                </c:pt>
                <c:pt idx="39">
                  <c:v>4620.7</c:v>
                </c:pt>
                <c:pt idx="40">
                  <c:v>3309.37</c:v>
                </c:pt>
                <c:pt idx="41">
                  <c:v>3737.8</c:v>
                </c:pt>
                <c:pt idx="42">
                  <c:v>3229.21</c:v>
                </c:pt>
                <c:pt idx="43">
                  <c:v>2702.3</c:v>
                </c:pt>
                <c:pt idx="44">
                  <c:v>3428.05</c:v>
                </c:pt>
                <c:pt idx="45">
                  <c:v>3639.75</c:v>
                </c:pt>
                <c:pt idx="46">
                  <c:v>3089.16</c:v>
                </c:pt>
                <c:pt idx="47">
                  <c:v>3205.54</c:v>
                </c:pt>
                <c:pt idx="48">
                  <c:v>2885.74</c:v>
                </c:pt>
                <c:pt idx="49">
                  <c:v>3164.38</c:v>
                </c:pt>
                <c:pt idx="50">
                  <c:v>2833.53</c:v>
                </c:pt>
                <c:pt idx="51">
                  <c:v>2498.85</c:v>
                </c:pt>
                <c:pt idx="52">
                  <c:v>2704.12</c:v>
                </c:pt>
                <c:pt idx="53">
                  <c:v>3587.15</c:v>
                </c:pt>
                <c:pt idx="54">
                  <c:v>3486.16</c:v>
                </c:pt>
                <c:pt idx="55">
                  <c:v>3343.61</c:v>
                </c:pt>
                <c:pt idx="56">
                  <c:v>3229.18</c:v>
                </c:pt>
                <c:pt idx="57">
                  <c:v>3257.85</c:v>
                </c:pt>
                <c:pt idx="58">
                  <c:v>3421.01</c:v>
                </c:pt>
                <c:pt idx="59">
                  <c:v>3153.79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1319434-d33d-44dd-9e10-1dc1899ca00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{258.6095,490.5788,251.6435,458.9372,248.1363,275.583}</c:f>
              <c:numCache>
                <c:formatCode>General</c:formatCode>
                <c:ptCount val="6"/>
                <c:pt idx="0">
                  <c:v>258.6095</c:v>
                </c:pt>
                <c:pt idx="1">
                  <c:v>490.5788</c:v>
                </c:pt>
                <c:pt idx="2">
                  <c:v>251.6435</c:v>
                </c:pt>
                <c:pt idx="3">
                  <c:v>458.9372</c:v>
                </c:pt>
                <c:pt idx="4">
                  <c:v>248.1363</c:v>
                </c:pt>
                <c:pt idx="5">
                  <c:v>275.583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a121dc2-34a9-4a4a-9c6e-0f86cfcbb1d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131.147,130.6092,129.5062,129.301,130.0563,129.2322,128.7452,129.0304,128.9585,129.3723,128.5488,128.8366,129.0868,128.6041,128.8627,128.4882,127.7357,127.8198,128.2981,127.3357,128.9011,127.8423,127.177,127.521,127.6766,127.0022,127.1228,127.4035,128.0928,128.476,129.021,129.1123,128.9802,128.4422,130.5077,130.3377,130.1325,131.3163,131.0884,130.8766,130.1975,130.8496,131.0392,131.1315,131.186,132.2689,132.4181,132.9087,131.9219,128.1684,127.8453,128.7458,128.3873,129.6829,130.8873,130.5562,131.2789,130.8769,131.055}</c:f>
              <c:numCache>
                <c:formatCode>General</c:formatCode>
                <c:ptCount val="59"/>
                <c:pt idx="0">
                  <c:v>131.147</c:v>
                </c:pt>
                <c:pt idx="1">
                  <c:v>130.6092</c:v>
                </c:pt>
                <c:pt idx="2">
                  <c:v>129.5062</c:v>
                </c:pt>
                <c:pt idx="3">
                  <c:v>129.301</c:v>
                </c:pt>
                <c:pt idx="4">
                  <c:v>130.0563</c:v>
                </c:pt>
                <c:pt idx="5">
                  <c:v>129.2322</c:v>
                </c:pt>
                <c:pt idx="6">
                  <c:v>128.7452</c:v>
                </c:pt>
                <c:pt idx="7">
                  <c:v>129.0304</c:v>
                </c:pt>
                <c:pt idx="8">
                  <c:v>128.9585</c:v>
                </c:pt>
                <c:pt idx="9">
                  <c:v>129.3723</c:v>
                </c:pt>
                <c:pt idx="10">
                  <c:v>128.5488</c:v>
                </c:pt>
                <c:pt idx="11">
                  <c:v>128.8366</c:v>
                </c:pt>
                <c:pt idx="12">
                  <c:v>129.0868</c:v>
                </c:pt>
                <c:pt idx="13">
                  <c:v>128.6041</c:v>
                </c:pt>
                <c:pt idx="14">
                  <c:v>128.8627</c:v>
                </c:pt>
                <c:pt idx="15">
                  <c:v>128.4882</c:v>
                </c:pt>
                <c:pt idx="16">
                  <c:v>127.7357</c:v>
                </c:pt>
                <c:pt idx="17">
                  <c:v>127.8198</c:v>
                </c:pt>
                <c:pt idx="18">
                  <c:v>128.2981</c:v>
                </c:pt>
                <c:pt idx="19">
                  <c:v>127.3357</c:v>
                </c:pt>
                <c:pt idx="20">
                  <c:v>128.9011</c:v>
                </c:pt>
                <c:pt idx="21">
                  <c:v>127.8423</c:v>
                </c:pt>
                <c:pt idx="22">
                  <c:v>127.177</c:v>
                </c:pt>
                <c:pt idx="23">
                  <c:v>127.521</c:v>
                </c:pt>
                <c:pt idx="24">
                  <c:v>127.6766</c:v>
                </c:pt>
                <c:pt idx="25">
                  <c:v>127.0022</c:v>
                </c:pt>
                <c:pt idx="26">
                  <c:v>127.1228</c:v>
                </c:pt>
                <c:pt idx="27">
                  <c:v>127.4035</c:v>
                </c:pt>
                <c:pt idx="28">
                  <c:v>128.0928</c:v>
                </c:pt>
                <c:pt idx="29">
                  <c:v>128.476</c:v>
                </c:pt>
                <c:pt idx="30">
                  <c:v>129.021</c:v>
                </c:pt>
                <c:pt idx="31">
                  <c:v>129.1123</c:v>
                </c:pt>
                <c:pt idx="32">
                  <c:v>128.9802</c:v>
                </c:pt>
                <c:pt idx="33">
                  <c:v>128.4422</c:v>
                </c:pt>
                <c:pt idx="34">
                  <c:v>130.5077</c:v>
                </c:pt>
                <c:pt idx="35">
                  <c:v>130.3377</c:v>
                </c:pt>
                <c:pt idx="36">
                  <c:v>130.1325</c:v>
                </c:pt>
                <c:pt idx="37">
                  <c:v>131.3163</c:v>
                </c:pt>
                <c:pt idx="38">
                  <c:v>131.0884</c:v>
                </c:pt>
                <c:pt idx="39">
                  <c:v>130.8766</c:v>
                </c:pt>
                <c:pt idx="40">
                  <c:v>130.1975</c:v>
                </c:pt>
                <c:pt idx="41">
                  <c:v>130.8496</c:v>
                </c:pt>
                <c:pt idx="42">
                  <c:v>131.0392</c:v>
                </c:pt>
                <c:pt idx="43">
                  <c:v>131.1315</c:v>
                </c:pt>
                <c:pt idx="44">
                  <c:v>131.186</c:v>
                </c:pt>
                <c:pt idx="45">
                  <c:v>132.2689</c:v>
                </c:pt>
                <c:pt idx="46">
                  <c:v>132.4181</c:v>
                </c:pt>
                <c:pt idx="47">
                  <c:v>132.9087</c:v>
                </c:pt>
                <c:pt idx="48">
                  <c:v>131.9219</c:v>
                </c:pt>
                <c:pt idx="49">
                  <c:v>128.1684</c:v>
                </c:pt>
                <c:pt idx="50">
                  <c:v>127.8453</c:v>
                </c:pt>
                <c:pt idx="51">
                  <c:v>128.7458</c:v>
                </c:pt>
                <c:pt idx="52">
                  <c:v>128.3873</c:v>
                </c:pt>
                <c:pt idx="53">
                  <c:v>129.6829</c:v>
                </c:pt>
                <c:pt idx="54">
                  <c:v>130.8873</c:v>
                </c:pt>
                <c:pt idx="55">
                  <c:v>130.5562</c:v>
                </c:pt>
                <c:pt idx="56">
                  <c:v>131.2789</c:v>
                </c:pt>
                <c:pt idx="57">
                  <c:v>130.8769</c:v>
                </c:pt>
                <c:pt idx="58">
                  <c:v>131.055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0d0cb9b-53ad-4028-a87f-c280c8eebec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81.6298466398,-146.853337127,-72.5414403595,97.3471759241,18.5013746799,73.215646224,-220.220097241,-227.112971918,-163.19298229,-80.3024836926,20.7283285009,-15.7782734017,-70.4757158862,-124.302386803,-92.6139269769,-124.345185906,-225.810030664,-72.0936661052,-242.178991676,-222.905202258,9.63980165709,-345.251139344,-211.610866552,-386.152267495,-273.814978067,-509.234760573,-271.571332992,-177.241159333,-227.592177652,-60.334517441,-118.690011817,-159.783105503,-194.384505112,-32.2611114189,-86.2898117034,-437.990623389,23.5058167428,-51.7102161275,-144.176888943,9.31230281449,155.709964762,-87.9071285614,-175.52344042,4.56203822251,143.225438026,331.140502363,-272.982211134,-50.6421162897,52.9423377423,-70.9111199317,-161.982606106,-201.425755062,-226.759758211,-162.492649746,-102.987394642,-260.021651676,-237.103161764,-253.607152562,200.88452006,-11.3803256421}</c:f>
              <c:numCache>
                <c:formatCode>General</c:formatCode>
                <c:ptCount val="60"/>
                <c:pt idx="0">
                  <c:v>81.6298466398</c:v>
                </c:pt>
                <c:pt idx="1">
                  <c:v>-146.853337127</c:v>
                </c:pt>
                <c:pt idx="2">
                  <c:v>-72.5414403595</c:v>
                </c:pt>
                <c:pt idx="3">
                  <c:v>97.3471759241</c:v>
                </c:pt>
                <c:pt idx="4">
                  <c:v>18.5013746799</c:v>
                </c:pt>
                <c:pt idx="5">
                  <c:v>73.215646224</c:v>
                </c:pt>
                <c:pt idx="6">
                  <c:v>-220.220097241</c:v>
                </c:pt>
                <c:pt idx="7">
                  <c:v>-227.112971918</c:v>
                </c:pt>
                <c:pt idx="8">
                  <c:v>-163.19298229</c:v>
                </c:pt>
                <c:pt idx="9">
                  <c:v>-80.3024836926</c:v>
                </c:pt>
                <c:pt idx="10">
                  <c:v>20.7283285009</c:v>
                </c:pt>
                <c:pt idx="11">
                  <c:v>-15.7782734017</c:v>
                </c:pt>
                <c:pt idx="12">
                  <c:v>-70.4757158862</c:v>
                </c:pt>
                <c:pt idx="13">
                  <c:v>-124.302386803</c:v>
                </c:pt>
                <c:pt idx="14">
                  <c:v>-92.6139269769</c:v>
                </c:pt>
                <c:pt idx="15">
                  <c:v>-124.345185906</c:v>
                </c:pt>
                <c:pt idx="16">
                  <c:v>-225.810030664</c:v>
                </c:pt>
                <c:pt idx="17">
                  <c:v>-72.0936661052</c:v>
                </c:pt>
                <c:pt idx="18">
                  <c:v>-242.178991676</c:v>
                </c:pt>
                <c:pt idx="19">
                  <c:v>-222.905202258</c:v>
                </c:pt>
                <c:pt idx="20">
                  <c:v>9.63980165709</c:v>
                </c:pt>
                <c:pt idx="21">
                  <c:v>-345.251139344</c:v>
                </c:pt>
                <c:pt idx="22">
                  <c:v>-211.610866552</c:v>
                </c:pt>
                <c:pt idx="23">
                  <c:v>-386.152267495</c:v>
                </c:pt>
                <c:pt idx="24">
                  <c:v>-273.814978067</c:v>
                </c:pt>
                <c:pt idx="25">
                  <c:v>-509.234760573</c:v>
                </c:pt>
                <c:pt idx="26">
                  <c:v>-271.571332992</c:v>
                </c:pt>
                <c:pt idx="27">
                  <c:v>-177.241159333</c:v>
                </c:pt>
                <c:pt idx="28">
                  <c:v>-227.592177652</c:v>
                </c:pt>
                <c:pt idx="29">
                  <c:v>-60.334517441</c:v>
                </c:pt>
                <c:pt idx="30">
                  <c:v>-118.690011817</c:v>
                </c:pt>
                <c:pt idx="31">
                  <c:v>-159.783105503</c:v>
                </c:pt>
                <c:pt idx="32">
                  <c:v>-194.384505112</c:v>
                </c:pt>
                <c:pt idx="33">
                  <c:v>-32.2611114189</c:v>
                </c:pt>
                <c:pt idx="34">
                  <c:v>-86.2898117034</c:v>
                </c:pt>
                <c:pt idx="35">
                  <c:v>-437.990623389</c:v>
                </c:pt>
                <c:pt idx="36">
                  <c:v>23.5058167428</c:v>
                </c:pt>
                <c:pt idx="37">
                  <c:v>-51.7102161275</c:v>
                </c:pt>
                <c:pt idx="38">
                  <c:v>-144.176888943</c:v>
                </c:pt>
                <c:pt idx="39">
                  <c:v>9.31230281449</c:v>
                </c:pt>
                <c:pt idx="40">
                  <c:v>155.709964762</c:v>
                </c:pt>
                <c:pt idx="41">
                  <c:v>-87.9071285614</c:v>
                </c:pt>
                <c:pt idx="42">
                  <c:v>-175.52344042</c:v>
                </c:pt>
                <c:pt idx="43">
                  <c:v>4.56203822251</c:v>
                </c:pt>
                <c:pt idx="44">
                  <c:v>143.225438026</c:v>
                </c:pt>
                <c:pt idx="45">
                  <c:v>331.140502363</c:v>
                </c:pt>
                <c:pt idx="46">
                  <c:v>-272.982211134</c:v>
                </c:pt>
                <c:pt idx="47">
                  <c:v>-50.6421162897</c:v>
                </c:pt>
                <c:pt idx="48">
                  <c:v>52.9423377423</c:v>
                </c:pt>
                <c:pt idx="49">
                  <c:v>-70.9111199317</c:v>
                </c:pt>
                <c:pt idx="50">
                  <c:v>-161.982606106</c:v>
                </c:pt>
                <c:pt idx="51">
                  <c:v>-201.425755062</c:v>
                </c:pt>
                <c:pt idx="52">
                  <c:v>-226.759758211</c:v>
                </c:pt>
                <c:pt idx="53">
                  <c:v>-162.492649746</c:v>
                </c:pt>
                <c:pt idx="54">
                  <c:v>-102.987394642</c:v>
                </c:pt>
                <c:pt idx="55">
                  <c:v>-260.021651676</c:v>
                </c:pt>
                <c:pt idx="56">
                  <c:v>-237.103161764</c:v>
                </c:pt>
                <c:pt idx="57">
                  <c:v>-253.607152562</c:v>
                </c:pt>
                <c:pt idx="58">
                  <c:v>200.88452006</c:v>
                </c:pt>
                <c:pt idx="59">
                  <c:v>-11.3803256421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803791b-1a0e-4704-96b7-5c56e72ce36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16.755399704,16.6399002075,16.4789009094,16.5282993317,16.9099998474,16.8069992065,16.8703994751,16.8731994629,17.0161991119,17.0230998993,17.1130008698,17.1189002991,17.2698993683,17.313999176,17.331199646,17.2798995972,17.2339992523,17.3255004883,17.3939990997,17.473400116,17.5594997406,17.7203006744,17.7672996521,17.7586994171,17.8920001984,17.8542003632,17.9444999695,17.7045993805,17.5447998047,17.5301990509,17.6868000031,17.67029953,17.3360004425,17.4645004272,17.6445007324,17.6333007812,17.4165000916,17.4398994446,17.3302001953,17.2924995422,17.3733997345,17.4123001099,17.3015995026,17.1660003662,16.9260997772,17.1033000946,17.0499992371,17.0328998566,17.2110996246,17.241399765,17.1840991974,17.2457008362,17.1417999268,17.4435997009,17.2283000946,17.2313995361,17.263299942,16.8841991425,17.0879001617,17.0879001617}</c:f>
              <c:numCache>
                <c:formatCode>General</c:formatCode>
                <c:ptCount val="60"/>
                <c:pt idx="0">
                  <c:v>16.755399704</c:v>
                </c:pt>
                <c:pt idx="1">
                  <c:v>16.6399002075</c:v>
                </c:pt>
                <c:pt idx="2">
                  <c:v>16.4789009094</c:v>
                </c:pt>
                <c:pt idx="3">
                  <c:v>16.5282993317</c:v>
                </c:pt>
                <c:pt idx="4">
                  <c:v>16.9099998474</c:v>
                </c:pt>
                <c:pt idx="5">
                  <c:v>16.8069992065</c:v>
                </c:pt>
                <c:pt idx="6">
                  <c:v>16.8703994751</c:v>
                </c:pt>
                <c:pt idx="7">
                  <c:v>16.8731994629</c:v>
                </c:pt>
                <c:pt idx="8">
                  <c:v>17.0161991119</c:v>
                </c:pt>
                <c:pt idx="9">
                  <c:v>17.0230998993</c:v>
                </c:pt>
                <c:pt idx="10">
                  <c:v>17.1130008698</c:v>
                </c:pt>
                <c:pt idx="11">
                  <c:v>17.1189002991</c:v>
                </c:pt>
                <c:pt idx="12">
                  <c:v>17.2698993683</c:v>
                </c:pt>
                <c:pt idx="13">
                  <c:v>17.313999176</c:v>
                </c:pt>
                <c:pt idx="14">
                  <c:v>17.331199646</c:v>
                </c:pt>
                <c:pt idx="15">
                  <c:v>17.2798995972</c:v>
                </c:pt>
                <c:pt idx="16">
                  <c:v>17.2339992523</c:v>
                </c:pt>
                <c:pt idx="17">
                  <c:v>17.3255004883</c:v>
                </c:pt>
                <c:pt idx="18">
                  <c:v>17.3939990997</c:v>
                </c:pt>
                <c:pt idx="19">
                  <c:v>17.473400116</c:v>
                </c:pt>
                <c:pt idx="20">
                  <c:v>17.5594997406</c:v>
                </c:pt>
                <c:pt idx="21">
                  <c:v>17.7203006744</c:v>
                </c:pt>
                <c:pt idx="22">
                  <c:v>17.7672996521</c:v>
                </c:pt>
                <c:pt idx="23">
                  <c:v>17.7586994171</c:v>
                </c:pt>
                <c:pt idx="24">
                  <c:v>17.8920001984</c:v>
                </c:pt>
                <c:pt idx="25">
                  <c:v>17.8542003632</c:v>
                </c:pt>
                <c:pt idx="26">
                  <c:v>17.9444999695</c:v>
                </c:pt>
                <c:pt idx="27">
                  <c:v>17.7045993805</c:v>
                </c:pt>
                <c:pt idx="28">
                  <c:v>17.5447998047</c:v>
                </c:pt>
                <c:pt idx="29">
                  <c:v>17.5301990509</c:v>
                </c:pt>
                <c:pt idx="30">
                  <c:v>17.6868000031</c:v>
                </c:pt>
                <c:pt idx="31">
                  <c:v>17.67029953</c:v>
                </c:pt>
                <c:pt idx="32">
                  <c:v>17.3360004425</c:v>
                </c:pt>
                <c:pt idx="33">
                  <c:v>17.4645004272</c:v>
                </c:pt>
                <c:pt idx="34">
                  <c:v>17.6445007324</c:v>
                </c:pt>
                <c:pt idx="35">
                  <c:v>17.6333007812</c:v>
                </c:pt>
                <c:pt idx="36">
                  <c:v>17.4165000916</c:v>
                </c:pt>
                <c:pt idx="37">
                  <c:v>17.4398994446</c:v>
                </c:pt>
                <c:pt idx="38">
                  <c:v>17.3302001953</c:v>
                </c:pt>
                <c:pt idx="39">
                  <c:v>17.2924995422</c:v>
                </c:pt>
                <c:pt idx="40">
                  <c:v>17.3733997345</c:v>
                </c:pt>
                <c:pt idx="41">
                  <c:v>17.4123001099</c:v>
                </c:pt>
                <c:pt idx="42">
                  <c:v>17.3015995026</c:v>
                </c:pt>
                <c:pt idx="43">
                  <c:v>17.1660003662</c:v>
                </c:pt>
                <c:pt idx="44">
                  <c:v>16.9260997772</c:v>
                </c:pt>
                <c:pt idx="45">
                  <c:v>17.1033000946</c:v>
                </c:pt>
                <c:pt idx="46">
                  <c:v>17.0499992371</c:v>
                </c:pt>
                <c:pt idx="47">
                  <c:v>17.0328998566</c:v>
                </c:pt>
                <c:pt idx="48">
                  <c:v>17.2110996246</c:v>
                </c:pt>
                <c:pt idx="49">
                  <c:v>17.241399765</c:v>
                </c:pt>
                <c:pt idx="50">
                  <c:v>17.1840991974</c:v>
                </c:pt>
                <c:pt idx="51">
                  <c:v>17.2457008362</c:v>
                </c:pt>
                <c:pt idx="52">
                  <c:v>17.1417999268</c:v>
                </c:pt>
                <c:pt idx="53">
                  <c:v>17.4435997009</c:v>
                </c:pt>
                <c:pt idx="54">
                  <c:v>17.2283000946</c:v>
                </c:pt>
                <c:pt idx="55">
                  <c:v>17.2313995361</c:v>
                </c:pt>
                <c:pt idx="56">
                  <c:v>17.263299942</c:v>
                </c:pt>
                <c:pt idx="57">
                  <c:v>16.8841991425</c:v>
                </c:pt>
                <c:pt idx="58">
                  <c:v>17.0879001617</c:v>
                </c:pt>
                <c:pt idx="59">
                  <c:v>17.0879001617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db6b2b5-3bc0-49a1-8c60-6a7c0522bdf0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33.2974014282,32.8208007812,32.4748001099,32.5805015564,33.8482017517,33.6996994019,34.3706016541,34.7426986694,35.0686988831,34.5957984924,34.9235992432,34.8109016418,34.9683990479,34.9790992737,35.8869018555,35.4938011169,34.9355010986,34.9135017395,34.6528015137,35.6161003113,35.2683982849,36.7262992859,37.0441017151,36.8616981506,37.5068016052,37.3068008423,37.8723983765,37.0932006836,36.677898407,36.5672988892,36.6717987061,36.5915985107,35.9019012451,36.6531982422,37.2020988464,37.2070999146,36.8672981262,37.0937004089,36.5709991455,36.0820999146,36.5793991089,36.7756996155,36.6265983582,35.8777008057,34.7911987305,35.7285003662,35.0717010498,34.8781013489,35.242099762,37.0755996704,37.3585014343,37.7588005066,37.9976005554,38.7812004089,37.6234016418,38.0377006531,38.6343002319,37.3855018616,37.4294013977,37.4294013977}</c:f>
              <c:numCache>
                <c:formatCode>General</c:formatCode>
                <c:ptCount val="60"/>
                <c:pt idx="0">
                  <c:v>33.2974014282</c:v>
                </c:pt>
                <c:pt idx="1">
                  <c:v>32.8208007812</c:v>
                </c:pt>
                <c:pt idx="2">
                  <c:v>32.4748001099</c:v>
                </c:pt>
                <c:pt idx="3">
                  <c:v>32.5805015564</c:v>
                </c:pt>
                <c:pt idx="4">
                  <c:v>33.8482017517</c:v>
                </c:pt>
                <c:pt idx="5">
                  <c:v>33.6996994019</c:v>
                </c:pt>
                <c:pt idx="6">
                  <c:v>34.3706016541</c:v>
                </c:pt>
                <c:pt idx="7">
                  <c:v>34.7426986694</c:v>
                </c:pt>
                <c:pt idx="8">
                  <c:v>35.0686988831</c:v>
                </c:pt>
                <c:pt idx="9">
                  <c:v>34.5957984924</c:v>
                </c:pt>
                <c:pt idx="10">
                  <c:v>34.9235992432</c:v>
                </c:pt>
                <c:pt idx="11">
                  <c:v>34.8109016418</c:v>
                </c:pt>
                <c:pt idx="12">
                  <c:v>34.9683990479</c:v>
                </c:pt>
                <c:pt idx="13">
                  <c:v>34.9790992737</c:v>
                </c:pt>
                <c:pt idx="14">
                  <c:v>35.8869018555</c:v>
                </c:pt>
                <c:pt idx="15">
                  <c:v>35.4938011169</c:v>
                </c:pt>
                <c:pt idx="16">
                  <c:v>34.9355010986</c:v>
                </c:pt>
                <c:pt idx="17">
                  <c:v>34.9135017395</c:v>
                </c:pt>
                <c:pt idx="18">
                  <c:v>34.6528015137</c:v>
                </c:pt>
                <c:pt idx="19">
                  <c:v>35.6161003113</c:v>
                </c:pt>
                <c:pt idx="20">
                  <c:v>35.2683982849</c:v>
                </c:pt>
                <c:pt idx="21">
                  <c:v>36.7262992859</c:v>
                </c:pt>
                <c:pt idx="22">
                  <c:v>37.0441017151</c:v>
                </c:pt>
                <c:pt idx="23">
                  <c:v>36.8616981506</c:v>
                </c:pt>
                <c:pt idx="24">
                  <c:v>37.5068016052</c:v>
                </c:pt>
                <c:pt idx="25">
                  <c:v>37.3068008423</c:v>
                </c:pt>
                <c:pt idx="26">
                  <c:v>37.8723983765</c:v>
                </c:pt>
                <c:pt idx="27">
                  <c:v>37.0932006836</c:v>
                </c:pt>
                <c:pt idx="28">
                  <c:v>36.677898407</c:v>
                </c:pt>
                <c:pt idx="29">
                  <c:v>36.5672988892</c:v>
                </c:pt>
                <c:pt idx="30">
                  <c:v>36.6717987061</c:v>
                </c:pt>
                <c:pt idx="31">
                  <c:v>36.5915985107</c:v>
                </c:pt>
                <c:pt idx="32">
                  <c:v>35.9019012451</c:v>
                </c:pt>
                <c:pt idx="33">
                  <c:v>36.6531982422</c:v>
                </c:pt>
                <c:pt idx="34">
                  <c:v>37.2020988464</c:v>
                </c:pt>
                <c:pt idx="35">
                  <c:v>37.2070999146</c:v>
                </c:pt>
                <c:pt idx="36">
                  <c:v>36.8672981262</c:v>
                </c:pt>
                <c:pt idx="37">
                  <c:v>37.0937004089</c:v>
                </c:pt>
                <c:pt idx="38">
                  <c:v>36.5709991455</c:v>
                </c:pt>
                <c:pt idx="39">
                  <c:v>36.0820999146</c:v>
                </c:pt>
                <c:pt idx="40">
                  <c:v>36.5793991089</c:v>
                </c:pt>
                <c:pt idx="41">
                  <c:v>36.7756996155</c:v>
                </c:pt>
                <c:pt idx="42">
                  <c:v>36.6265983582</c:v>
                </c:pt>
                <c:pt idx="43">
                  <c:v>35.8777008057</c:v>
                </c:pt>
                <c:pt idx="44">
                  <c:v>34.7911987305</c:v>
                </c:pt>
                <c:pt idx="45">
                  <c:v>35.7285003662</c:v>
                </c:pt>
                <c:pt idx="46">
                  <c:v>35.0717010498</c:v>
                </c:pt>
                <c:pt idx="47">
                  <c:v>34.8781013489</c:v>
                </c:pt>
                <c:pt idx="48">
                  <c:v>35.242099762</c:v>
                </c:pt>
                <c:pt idx="49">
                  <c:v>37.0755996704</c:v>
                </c:pt>
                <c:pt idx="50">
                  <c:v>37.3585014343</c:v>
                </c:pt>
                <c:pt idx="51">
                  <c:v>37.7588005066</c:v>
                </c:pt>
                <c:pt idx="52">
                  <c:v>37.9976005554</c:v>
                </c:pt>
                <c:pt idx="53">
                  <c:v>38.7812004089</c:v>
                </c:pt>
                <c:pt idx="54">
                  <c:v>37.6234016418</c:v>
                </c:pt>
                <c:pt idx="55">
                  <c:v>38.0377006531</c:v>
                </c:pt>
                <c:pt idx="56">
                  <c:v>38.6343002319</c:v>
                </c:pt>
                <c:pt idx="57">
                  <c:v>37.3855018616</c:v>
                </c:pt>
                <c:pt idx="58">
                  <c:v>37.4294013977</c:v>
                </c:pt>
                <c:pt idx="59">
                  <c:v>37.4294013977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f124d3-7ee9-4a32-b42e-afdc9f27887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14.1183996201,14.04529953,13.9116001129,13.9043998718,14.185500145,14.1048002243,14.2194004059,14.2615003586,14.3758001328,14.3575000763,14.4310998917,14.4034004211,14.5233001709,14.5768995285,14.6094999313,14.6038999557,14.545800209,14.5416002274,14.6106004715,14.709400177,14.6354999542,14.7866001129,14.7677001953,14.7058000565,14.8549003601,14.826499939,14.898900032,14.7255001068,14.6059999466,14.5537996292,14.6338996887,14.5741996765,14.3954000473,14.4856996536,14.6388998032,14.704199791,14.5729999542,14.5641002655,14.5590000153,14.5167999268,14.6600999832,14.6774997711,14.543800354,14.3873996735,14.2327003479,14.3653001785,14.2967996597,14.2515001297,14.4180002213,14.7889003754,14.6875,14.7313995361,14.6375999451,14.9286003113,14.649600029,14.6210002899,14.7136001587,14.3392000198,14.4888000488,14.4888000488}</c:f>
              <c:numCache>
                <c:formatCode>General</c:formatCode>
                <c:ptCount val="60"/>
                <c:pt idx="0">
                  <c:v>14.1183996201</c:v>
                </c:pt>
                <c:pt idx="1">
                  <c:v>14.04529953</c:v>
                </c:pt>
                <c:pt idx="2">
                  <c:v>13.9116001129</c:v>
                </c:pt>
                <c:pt idx="3">
                  <c:v>13.9043998718</c:v>
                </c:pt>
                <c:pt idx="4">
                  <c:v>14.185500145</c:v>
                </c:pt>
                <c:pt idx="5">
                  <c:v>14.1048002243</c:v>
                </c:pt>
                <c:pt idx="6">
                  <c:v>14.2194004059</c:v>
                </c:pt>
                <c:pt idx="7">
                  <c:v>14.2615003586</c:v>
                </c:pt>
                <c:pt idx="8">
                  <c:v>14.3758001328</c:v>
                </c:pt>
                <c:pt idx="9">
                  <c:v>14.3575000763</c:v>
                </c:pt>
                <c:pt idx="10">
                  <c:v>14.4310998917</c:v>
                </c:pt>
                <c:pt idx="11">
                  <c:v>14.4034004211</c:v>
                </c:pt>
                <c:pt idx="12">
                  <c:v>14.5233001709</c:v>
                </c:pt>
                <c:pt idx="13">
                  <c:v>14.5768995285</c:v>
                </c:pt>
                <c:pt idx="14">
                  <c:v>14.6094999313</c:v>
                </c:pt>
                <c:pt idx="15">
                  <c:v>14.6038999557</c:v>
                </c:pt>
                <c:pt idx="16">
                  <c:v>14.545800209</c:v>
                </c:pt>
                <c:pt idx="17">
                  <c:v>14.5416002274</c:v>
                </c:pt>
                <c:pt idx="18">
                  <c:v>14.6106004715</c:v>
                </c:pt>
                <c:pt idx="19">
                  <c:v>14.709400177</c:v>
                </c:pt>
                <c:pt idx="20">
                  <c:v>14.6354999542</c:v>
                </c:pt>
                <c:pt idx="21">
                  <c:v>14.7866001129</c:v>
                </c:pt>
                <c:pt idx="22">
                  <c:v>14.7677001953</c:v>
                </c:pt>
                <c:pt idx="23">
                  <c:v>14.7058000565</c:v>
                </c:pt>
                <c:pt idx="24">
                  <c:v>14.8549003601</c:v>
                </c:pt>
                <c:pt idx="25">
                  <c:v>14.826499939</c:v>
                </c:pt>
                <c:pt idx="26">
                  <c:v>14.898900032</c:v>
                </c:pt>
                <c:pt idx="27">
                  <c:v>14.7255001068</c:v>
                </c:pt>
                <c:pt idx="28">
                  <c:v>14.6059999466</c:v>
                </c:pt>
                <c:pt idx="29">
                  <c:v>14.5537996292</c:v>
                </c:pt>
                <c:pt idx="30">
                  <c:v>14.6338996887</c:v>
                </c:pt>
                <c:pt idx="31">
                  <c:v>14.5741996765</c:v>
                </c:pt>
                <c:pt idx="32">
                  <c:v>14.3954000473</c:v>
                </c:pt>
                <c:pt idx="33">
                  <c:v>14.4856996536</c:v>
                </c:pt>
                <c:pt idx="34">
                  <c:v>14.6388998032</c:v>
                </c:pt>
                <c:pt idx="35">
                  <c:v>14.704199791</c:v>
                </c:pt>
                <c:pt idx="36">
                  <c:v>14.5729999542</c:v>
                </c:pt>
                <c:pt idx="37">
                  <c:v>14.5641002655</c:v>
                </c:pt>
                <c:pt idx="38">
                  <c:v>14.5590000153</c:v>
                </c:pt>
                <c:pt idx="39">
                  <c:v>14.5167999268</c:v>
                </c:pt>
                <c:pt idx="40">
                  <c:v>14.6600999832</c:v>
                </c:pt>
                <c:pt idx="41">
                  <c:v>14.6774997711</c:v>
                </c:pt>
                <c:pt idx="42">
                  <c:v>14.543800354</c:v>
                </c:pt>
                <c:pt idx="43">
                  <c:v>14.3873996735</c:v>
                </c:pt>
                <c:pt idx="44">
                  <c:v>14.2327003479</c:v>
                </c:pt>
                <c:pt idx="45">
                  <c:v>14.3653001785</c:v>
                </c:pt>
                <c:pt idx="46">
                  <c:v>14.2967996597</c:v>
                </c:pt>
                <c:pt idx="47">
                  <c:v>14.2515001297</c:v>
                </c:pt>
                <c:pt idx="48">
                  <c:v>14.4180002213</c:v>
                </c:pt>
                <c:pt idx="49">
                  <c:v>14.7889003754</c:v>
                </c:pt>
                <c:pt idx="50">
                  <c:v>14.6875</c:v>
                </c:pt>
                <c:pt idx="51">
                  <c:v>14.7313995361</c:v>
                </c:pt>
                <c:pt idx="52">
                  <c:v>14.6375999451</c:v>
                </c:pt>
                <c:pt idx="53">
                  <c:v>14.9286003113</c:v>
                </c:pt>
                <c:pt idx="54">
                  <c:v>14.649600029</c:v>
                </c:pt>
                <c:pt idx="55">
                  <c:v>14.6210002899</c:v>
                </c:pt>
                <c:pt idx="56">
                  <c:v>14.7136001587</c:v>
                </c:pt>
                <c:pt idx="57">
                  <c:v>14.3392000198</c:v>
                </c:pt>
                <c:pt idx="58">
                  <c:v>14.4888000488</c:v>
                </c:pt>
                <c:pt idx="59">
                  <c:v>14.4888000488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a4903cb-f116-4572-b55b-0272c759a61d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40.0592002869,39.1739006042,38.7901000977,38.9216995239,41.0360984802,40.754901886,42.1535987854,42.4528999329,43.3886985779,42.9401016235,42.904499054,42.5494003296,42.5013008118,42.5494003296,44.4351005554,43.8745994568,43.143699646,42.6528015137,43.721698761,44.6576004028,44.414100647,45.8769989014,46.3750991821,45.9516983032,47.520401001,47.4650993347,48.679599762,47.5948982239,47.3534011841,47.1568984985,47.0878982544,47.1815986633,46.17029953,47.3709983826,48.1796989441,48.3036003113,48.4365005493,49.1628990173,48.2504005432,47.2999000549,48.3245010376,48.9818000793,48.5233001709,47.0831985474,45.3103981018,46.9682998657,45.7010993958,45.2551994324,45.6571998596,50.9048995972,51.8089981079,52.5974998474,53.5350990295,54.9042015076,52.8694992065,53.7083015442,55.1450004578,52.9855995178,53.2022018433,53.2022018433}</c:f>
              <c:numCache>
                <c:formatCode>General</c:formatCode>
                <c:ptCount val="60"/>
                <c:pt idx="0">
                  <c:v>40.0592002869</c:v>
                </c:pt>
                <c:pt idx="1">
                  <c:v>39.1739006042</c:v>
                </c:pt>
                <c:pt idx="2">
                  <c:v>38.7901000977</c:v>
                </c:pt>
                <c:pt idx="3">
                  <c:v>38.9216995239</c:v>
                </c:pt>
                <c:pt idx="4">
                  <c:v>41.0360984802</c:v>
                </c:pt>
                <c:pt idx="5">
                  <c:v>40.754901886</c:v>
                </c:pt>
                <c:pt idx="6">
                  <c:v>42.1535987854</c:v>
                </c:pt>
                <c:pt idx="7">
                  <c:v>42.4528999329</c:v>
                </c:pt>
                <c:pt idx="8">
                  <c:v>43.3886985779</c:v>
                </c:pt>
                <c:pt idx="9">
                  <c:v>42.9401016235</c:v>
                </c:pt>
                <c:pt idx="10">
                  <c:v>42.904499054</c:v>
                </c:pt>
                <c:pt idx="11">
                  <c:v>42.5494003296</c:v>
                </c:pt>
                <c:pt idx="12">
                  <c:v>42.5013008118</c:v>
                </c:pt>
                <c:pt idx="13">
                  <c:v>42.5494003296</c:v>
                </c:pt>
                <c:pt idx="14">
                  <c:v>44.4351005554</c:v>
                </c:pt>
                <c:pt idx="15">
                  <c:v>43.8745994568</c:v>
                </c:pt>
                <c:pt idx="16">
                  <c:v>43.143699646</c:v>
                </c:pt>
                <c:pt idx="17">
                  <c:v>42.6528015137</c:v>
                </c:pt>
                <c:pt idx="18">
                  <c:v>43.721698761</c:v>
                </c:pt>
                <c:pt idx="19">
                  <c:v>44.6576004028</c:v>
                </c:pt>
                <c:pt idx="20">
                  <c:v>44.414100647</c:v>
                </c:pt>
                <c:pt idx="21">
                  <c:v>45.8769989014</c:v>
                </c:pt>
                <c:pt idx="22">
                  <c:v>46.3750991821</c:v>
                </c:pt>
                <c:pt idx="23">
                  <c:v>45.9516983032</c:v>
                </c:pt>
                <c:pt idx="24">
                  <c:v>47.520401001</c:v>
                </c:pt>
                <c:pt idx="25">
                  <c:v>47.4650993347</c:v>
                </c:pt>
                <c:pt idx="26">
                  <c:v>48.679599762</c:v>
                </c:pt>
                <c:pt idx="27">
                  <c:v>47.5948982239</c:v>
                </c:pt>
                <c:pt idx="28">
                  <c:v>47.3534011841</c:v>
                </c:pt>
                <c:pt idx="29">
                  <c:v>47.1568984985</c:v>
                </c:pt>
                <c:pt idx="30">
                  <c:v>47.0878982544</c:v>
                </c:pt>
                <c:pt idx="31">
                  <c:v>47.1815986633</c:v>
                </c:pt>
                <c:pt idx="32">
                  <c:v>46.17029953</c:v>
                </c:pt>
                <c:pt idx="33">
                  <c:v>47.3709983826</c:v>
                </c:pt>
                <c:pt idx="34">
                  <c:v>48.1796989441</c:v>
                </c:pt>
                <c:pt idx="35">
                  <c:v>48.3036003113</c:v>
                </c:pt>
                <c:pt idx="36">
                  <c:v>48.4365005493</c:v>
                </c:pt>
                <c:pt idx="37">
                  <c:v>49.1628990173</c:v>
                </c:pt>
                <c:pt idx="38">
                  <c:v>48.2504005432</c:v>
                </c:pt>
                <c:pt idx="39">
                  <c:v>47.2999000549</c:v>
                </c:pt>
                <c:pt idx="40">
                  <c:v>48.3245010376</c:v>
                </c:pt>
                <c:pt idx="41">
                  <c:v>48.9818000793</c:v>
                </c:pt>
                <c:pt idx="42">
                  <c:v>48.5233001709</c:v>
                </c:pt>
                <c:pt idx="43">
                  <c:v>47.0831985474</c:v>
                </c:pt>
                <c:pt idx="44">
                  <c:v>45.3103981018</c:v>
                </c:pt>
                <c:pt idx="45">
                  <c:v>46.9682998657</c:v>
                </c:pt>
                <c:pt idx="46">
                  <c:v>45.7010993958</c:v>
                </c:pt>
                <c:pt idx="47">
                  <c:v>45.2551994324</c:v>
                </c:pt>
                <c:pt idx="48">
                  <c:v>45.6571998596</c:v>
                </c:pt>
                <c:pt idx="49">
                  <c:v>50.9048995972</c:v>
                </c:pt>
                <c:pt idx="50">
                  <c:v>51.8089981079</c:v>
                </c:pt>
                <c:pt idx="51">
                  <c:v>52.5974998474</c:v>
                </c:pt>
                <c:pt idx="52">
                  <c:v>53.5350990295</c:v>
                </c:pt>
                <c:pt idx="53">
                  <c:v>54.9042015076</c:v>
                </c:pt>
                <c:pt idx="54">
                  <c:v>52.8694992065</c:v>
                </c:pt>
                <c:pt idx="55">
                  <c:v>53.7083015442</c:v>
                </c:pt>
                <c:pt idx="56">
                  <c:v>55.1450004578</c:v>
                </c:pt>
                <c:pt idx="57">
                  <c:v>52.9855995178</c:v>
                </c:pt>
                <c:pt idx="58">
                  <c:v>53.2022018433</c:v>
                </c:pt>
                <c:pt idx="59">
                  <c:v>53.2022018433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1bc6052-7a9b-4b2e-a4f3-b47160e9be45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12.3573999405,12.3059997559,12.3059997559,12.3130998611,12.5916996002,12.5514001846,12.6583995819,12.5755996704,12.6486997604,12.6372995377,12.8823003769,12.7685003281,12.8604001999,12.970700264,12.780500412,12.7255001068,12.7327003479,12.6289997101,12.4604997635,12.5333003998,12.3576002121,12.5546998978,12.6590003967,12.5481004715,12.5642004013,12.5776996613,12.4879999161,12.4907999039,12.3052997589,12.2136001587,12.2589998245,12.1986999512,12.0649995804,12.1492996216,12.1492996216,12.1512002945,12.0776996613,11.9728002548,12.0874996185,12.2657003403,12.5722999573,12.4097003937,12.1997003555,12.0878000259,12.0275001526,11.988699913,11.9081001282,11.8339004517,12.0776996613,12.1270999908,11.9877004623,11.8722000122,11.6562004089,11.6357002258,11.4134998322,11.4406995773,11.2643003464,11.0760002136,11.2299003601,11.2299003601}</c:f>
              <c:numCache>
                <c:formatCode>General</c:formatCode>
                <c:ptCount val="60"/>
                <c:pt idx="0">
                  <c:v>12.3573999405</c:v>
                </c:pt>
                <c:pt idx="1">
                  <c:v>12.3059997559</c:v>
                </c:pt>
                <c:pt idx="2">
                  <c:v>12.3059997559</c:v>
                </c:pt>
                <c:pt idx="3">
                  <c:v>12.3130998611</c:v>
                </c:pt>
                <c:pt idx="4">
                  <c:v>12.5916996002</c:v>
                </c:pt>
                <c:pt idx="5">
                  <c:v>12.5514001846</c:v>
                </c:pt>
                <c:pt idx="6">
                  <c:v>12.6583995819</c:v>
                </c:pt>
                <c:pt idx="7">
                  <c:v>12.5755996704</c:v>
                </c:pt>
                <c:pt idx="8">
                  <c:v>12.6486997604</c:v>
                </c:pt>
                <c:pt idx="9">
                  <c:v>12.6372995377</c:v>
                </c:pt>
                <c:pt idx="10">
                  <c:v>12.8823003769</c:v>
                </c:pt>
                <c:pt idx="11">
                  <c:v>12.7685003281</c:v>
                </c:pt>
                <c:pt idx="12">
                  <c:v>12.8604001999</c:v>
                </c:pt>
                <c:pt idx="13">
                  <c:v>12.970700264</c:v>
                </c:pt>
                <c:pt idx="14">
                  <c:v>12.780500412</c:v>
                </c:pt>
                <c:pt idx="15">
                  <c:v>12.7255001068</c:v>
                </c:pt>
                <c:pt idx="16">
                  <c:v>12.7327003479</c:v>
                </c:pt>
                <c:pt idx="17">
                  <c:v>12.6289997101</c:v>
                </c:pt>
                <c:pt idx="18">
                  <c:v>12.4604997635</c:v>
                </c:pt>
                <c:pt idx="19">
                  <c:v>12.5333003998</c:v>
                </c:pt>
                <c:pt idx="20">
                  <c:v>12.3576002121</c:v>
                </c:pt>
                <c:pt idx="21">
                  <c:v>12.5546998978</c:v>
                </c:pt>
                <c:pt idx="22">
                  <c:v>12.6590003967</c:v>
                </c:pt>
                <c:pt idx="23">
                  <c:v>12.5481004715</c:v>
                </c:pt>
                <c:pt idx="24">
                  <c:v>12.5642004013</c:v>
                </c:pt>
                <c:pt idx="25">
                  <c:v>12.5776996613</c:v>
                </c:pt>
                <c:pt idx="26">
                  <c:v>12.4879999161</c:v>
                </c:pt>
                <c:pt idx="27">
                  <c:v>12.4907999039</c:v>
                </c:pt>
                <c:pt idx="28">
                  <c:v>12.3052997589</c:v>
                </c:pt>
                <c:pt idx="29">
                  <c:v>12.2136001587</c:v>
                </c:pt>
                <c:pt idx="30">
                  <c:v>12.2589998245</c:v>
                </c:pt>
                <c:pt idx="31">
                  <c:v>12.1986999512</c:v>
                </c:pt>
                <c:pt idx="32">
                  <c:v>12.0649995804</c:v>
                </c:pt>
                <c:pt idx="33">
                  <c:v>12.1492996216</c:v>
                </c:pt>
                <c:pt idx="34">
                  <c:v>12.1492996216</c:v>
                </c:pt>
                <c:pt idx="35">
                  <c:v>12.1512002945</c:v>
                </c:pt>
                <c:pt idx="36">
                  <c:v>12.0776996613</c:v>
                </c:pt>
                <c:pt idx="37">
                  <c:v>11.9728002548</c:v>
                </c:pt>
                <c:pt idx="38">
                  <c:v>12.0874996185</c:v>
                </c:pt>
                <c:pt idx="39">
                  <c:v>12.2657003403</c:v>
                </c:pt>
                <c:pt idx="40">
                  <c:v>12.5722999573</c:v>
                </c:pt>
                <c:pt idx="41">
                  <c:v>12.4097003937</c:v>
                </c:pt>
                <c:pt idx="42">
                  <c:v>12.1997003555</c:v>
                </c:pt>
                <c:pt idx="43">
                  <c:v>12.0878000259</c:v>
                </c:pt>
                <c:pt idx="44">
                  <c:v>12.0275001526</c:v>
                </c:pt>
                <c:pt idx="45">
                  <c:v>11.988699913</c:v>
                </c:pt>
                <c:pt idx="46">
                  <c:v>11.9081001282</c:v>
                </c:pt>
                <c:pt idx="47">
                  <c:v>11.8339004517</c:v>
                </c:pt>
                <c:pt idx="48">
                  <c:v>12.0776996613</c:v>
                </c:pt>
                <c:pt idx="49">
                  <c:v>12.1270999908</c:v>
                </c:pt>
                <c:pt idx="50">
                  <c:v>11.9877004623</c:v>
                </c:pt>
                <c:pt idx="51">
                  <c:v>11.8722000122</c:v>
                </c:pt>
                <c:pt idx="52">
                  <c:v>11.6562004089</c:v>
                </c:pt>
                <c:pt idx="53">
                  <c:v>11.6357002258</c:v>
                </c:pt>
                <c:pt idx="54">
                  <c:v>11.4134998322</c:v>
                </c:pt>
                <c:pt idx="55">
                  <c:v>11.4406995773</c:v>
                </c:pt>
                <c:pt idx="56">
                  <c:v>11.2643003464</c:v>
                </c:pt>
                <c:pt idx="57">
                  <c:v>11.0760002136</c:v>
                </c:pt>
                <c:pt idx="58">
                  <c:v>11.2299003601</c:v>
                </c:pt>
                <c:pt idx="59">
                  <c:v>11.2299003601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039945f-1d4c-4471-8ec0-c7ca47ee2404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21.9811992645,21.5967006683,21.5967006683,21.6033000946,22.6280002594,22.2877006531,22.3899993896,22.0743999481,22.2247009277,22.545999527,23.3593006134,23.1832008362,23.4057006836,23.358499527,22.7936000824,22.4032001495,22.4785995483,22.3750991821,22.1299991608,22.4843006134,22.084400177,22.4234008789,23.1000003815,22.9218006134,22.7299003601,22.8465995789,21.7150001526,21.7872009277,21.3117008209,21.1478996277,21.3229007721,21.2506999969,20.3798007965,20.5335006714,20.5335006714,20.8507995605,20.6117992401,20.5331993103,20.5384998322,21.5548000336,22.9001998901,22.2810993195,21.8952999115,21.5697002411,22.9284992218,22.8894996643,22.782699585,22.3698997498,22.6606998444,22.986700058,22.5013008118,22.6065998077,22.5983009338,22.5582008362,21.7082996368,22.092300415,21.8554992676,21.0006999969,21.5338001251,21.5338001251}</c:f>
              <c:numCache>
                <c:formatCode>General</c:formatCode>
                <c:ptCount val="60"/>
                <c:pt idx="0">
                  <c:v>21.9811992645</c:v>
                </c:pt>
                <c:pt idx="1">
                  <c:v>21.5967006683</c:v>
                </c:pt>
                <c:pt idx="2">
                  <c:v>21.5967006683</c:v>
                </c:pt>
                <c:pt idx="3">
                  <c:v>21.6033000946</c:v>
                </c:pt>
                <c:pt idx="4">
                  <c:v>22.6280002594</c:v>
                </c:pt>
                <c:pt idx="5">
                  <c:v>22.2877006531</c:v>
                </c:pt>
                <c:pt idx="6">
                  <c:v>22.3899993896</c:v>
                </c:pt>
                <c:pt idx="7">
                  <c:v>22.0743999481</c:v>
                </c:pt>
                <c:pt idx="8">
                  <c:v>22.2247009277</c:v>
                </c:pt>
                <c:pt idx="9">
                  <c:v>22.545999527</c:v>
                </c:pt>
                <c:pt idx="10">
                  <c:v>23.3593006134</c:v>
                </c:pt>
                <c:pt idx="11">
                  <c:v>23.1832008362</c:v>
                </c:pt>
                <c:pt idx="12">
                  <c:v>23.4057006836</c:v>
                </c:pt>
                <c:pt idx="13">
                  <c:v>23.358499527</c:v>
                </c:pt>
                <c:pt idx="14">
                  <c:v>22.7936000824</c:v>
                </c:pt>
                <c:pt idx="15">
                  <c:v>22.4032001495</c:v>
                </c:pt>
                <c:pt idx="16">
                  <c:v>22.4785995483</c:v>
                </c:pt>
                <c:pt idx="17">
                  <c:v>22.3750991821</c:v>
                </c:pt>
                <c:pt idx="18">
                  <c:v>22.1299991608</c:v>
                </c:pt>
                <c:pt idx="19">
                  <c:v>22.4843006134</c:v>
                </c:pt>
                <c:pt idx="20">
                  <c:v>22.084400177</c:v>
                </c:pt>
                <c:pt idx="21">
                  <c:v>22.4234008789</c:v>
                </c:pt>
                <c:pt idx="22">
                  <c:v>23.1000003815</c:v>
                </c:pt>
                <c:pt idx="23">
                  <c:v>22.9218006134</c:v>
                </c:pt>
                <c:pt idx="24">
                  <c:v>22.7299003601</c:v>
                </c:pt>
                <c:pt idx="25">
                  <c:v>22.8465995789</c:v>
                </c:pt>
                <c:pt idx="26">
                  <c:v>21.7150001526</c:v>
                </c:pt>
                <c:pt idx="27">
                  <c:v>21.7872009277</c:v>
                </c:pt>
                <c:pt idx="28">
                  <c:v>21.3117008209</c:v>
                </c:pt>
                <c:pt idx="29">
                  <c:v>21.1478996277</c:v>
                </c:pt>
                <c:pt idx="30">
                  <c:v>21.3229007721</c:v>
                </c:pt>
                <c:pt idx="31">
                  <c:v>21.2506999969</c:v>
                </c:pt>
                <c:pt idx="32">
                  <c:v>20.3798007965</c:v>
                </c:pt>
                <c:pt idx="33">
                  <c:v>20.5335006714</c:v>
                </c:pt>
                <c:pt idx="34">
                  <c:v>20.5335006714</c:v>
                </c:pt>
                <c:pt idx="35">
                  <c:v>20.8507995605</c:v>
                </c:pt>
                <c:pt idx="36">
                  <c:v>20.6117992401</c:v>
                </c:pt>
                <c:pt idx="37">
                  <c:v>20.5331993103</c:v>
                </c:pt>
                <c:pt idx="38">
                  <c:v>20.5384998322</c:v>
                </c:pt>
                <c:pt idx="39">
                  <c:v>21.5548000336</c:v>
                </c:pt>
                <c:pt idx="40">
                  <c:v>22.9001998901</c:v>
                </c:pt>
                <c:pt idx="41">
                  <c:v>22.2810993195</c:v>
                </c:pt>
                <c:pt idx="42">
                  <c:v>21.8952999115</c:v>
                </c:pt>
                <c:pt idx="43">
                  <c:v>21.5697002411</c:v>
                </c:pt>
                <c:pt idx="44">
                  <c:v>22.9284992218</c:v>
                </c:pt>
                <c:pt idx="45">
                  <c:v>22.8894996643</c:v>
                </c:pt>
                <c:pt idx="46">
                  <c:v>22.782699585</c:v>
                </c:pt>
                <c:pt idx="47">
                  <c:v>22.3698997498</c:v>
                </c:pt>
                <c:pt idx="48">
                  <c:v>22.6606998444</c:v>
                </c:pt>
                <c:pt idx="49">
                  <c:v>22.986700058</c:v>
                </c:pt>
                <c:pt idx="50">
                  <c:v>22.5013008118</c:v>
                </c:pt>
                <c:pt idx="51">
                  <c:v>22.6065998077</c:v>
                </c:pt>
                <c:pt idx="52">
                  <c:v>22.5983009338</c:v>
                </c:pt>
                <c:pt idx="53">
                  <c:v>22.5582008362</c:v>
                </c:pt>
                <c:pt idx="54">
                  <c:v>21.7082996368</c:v>
                </c:pt>
                <c:pt idx="55">
                  <c:v>22.092300415</c:v>
                </c:pt>
                <c:pt idx="56">
                  <c:v>21.8554992676</c:v>
                </c:pt>
                <c:pt idx="57">
                  <c:v>21.0006999969</c:v>
                </c:pt>
                <c:pt idx="58">
                  <c:v>21.5338001251</c:v>
                </c:pt>
                <c:pt idx="59">
                  <c:v>21.5338001251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5cfa327-c588-4e74-8926-20595a92e023}"/>
      </c:ext>
    </c:extLst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1.2285,1.234,1.2263,1.2148,1.2166,1.2137,1.2158,1.2084,1.2022,1.1858,1.1718,1.1814,1.1707,1.1574,1.1522,1.1555,1.1494,1.1543,1.1642,1.1663,1.1573,1.1673,1.1783,1.1801,1.1898,1.1866,1.1874,1.1918,1.2004,1.1993,1.199,1.1857,1.1698,1.1666,1.1706,1.1726,1.1709,1.1658,1.1497,1.1501,1.1387,1.1364,1.1293,1.1307,1.1356,1.1421,1.1365,1.1483,1.1481,1.158,1.1654,1.1754,1.1644,1.1453,1.1382,1.1367,1.1328,1.1141,1.1089,1.1049}</c:f>
              <c:numCache>
                <c:formatCode>General</c:formatCode>
                <c:ptCount val="60"/>
                <c:pt idx="0">
                  <c:v>1.2285</c:v>
                </c:pt>
                <c:pt idx="1">
                  <c:v>1.234</c:v>
                </c:pt>
                <c:pt idx="2">
                  <c:v>1.2263</c:v>
                </c:pt>
                <c:pt idx="3">
                  <c:v>1.2148</c:v>
                </c:pt>
                <c:pt idx="4">
                  <c:v>1.2166</c:v>
                </c:pt>
                <c:pt idx="5">
                  <c:v>1.2137</c:v>
                </c:pt>
                <c:pt idx="6">
                  <c:v>1.2158</c:v>
                </c:pt>
                <c:pt idx="7">
                  <c:v>1.2084</c:v>
                </c:pt>
                <c:pt idx="8">
                  <c:v>1.2022</c:v>
                </c:pt>
                <c:pt idx="9">
                  <c:v>1.1858</c:v>
                </c:pt>
                <c:pt idx="10">
                  <c:v>1.1718</c:v>
                </c:pt>
                <c:pt idx="11">
                  <c:v>1.1814</c:v>
                </c:pt>
                <c:pt idx="12">
                  <c:v>1.1707</c:v>
                </c:pt>
                <c:pt idx="13">
                  <c:v>1.1574</c:v>
                </c:pt>
                <c:pt idx="14">
                  <c:v>1.1522</c:v>
                </c:pt>
                <c:pt idx="15">
                  <c:v>1.1555</c:v>
                </c:pt>
                <c:pt idx="16">
                  <c:v>1.1494</c:v>
                </c:pt>
                <c:pt idx="17">
                  <c:v>1.1543</c:v>
                </c:pt>
                <c:pt idx="18">
                  <c:v>1.1642</c:v>
                </c:pt>
                <c:pt idx="19">
                  <c:v>1.1663</c:v>
                </c:pt>
                <c:pt idx="20">
                  <c:v>1.1573</c:v>
                </c:pt>
                <c:pt idx="21">
                  <c:v>1.1673</c:v>
                </c:pt>
                <c:pt idx="22">
                  <c:v>1.1783</c:v>
                </c:pt>
                <c:pt idx="23">
                  <c:v>1.1801</c:v>
                </c:pt>
                <c:pt idx="24">
                  <c:v>1.1898</c:v>
                </c:pt>
                <c:pt idx="25">
                  <c:v>1.1866</c:v>
                </c:pt>
                <c:pt idx="26">
                  <c:v>1.1874</c:v>
                </c:pt>
                <c:pt idx="27">
                  <c:v>1.1918</c:v>
                </c:pt>
                <c:pt idx="28">
                  <c:v>1.2004</c:v>
                </c:pt>
                <c:pt idx="29">
                  <c:v>1.1993</c:v>
                </c:pt>
                <c:pt idx="30">
                  <c:v>1.199</c:v>
                </c:pt>
                <c:pt idx="31">
                  <c:v>1.1857</c:v>
                </c:pt>
                <c:pt idx="32">
                  <c:v>1.1698</c:v>
                </c:pt>
                <c:pt idx="33">
                  <c:v>1.1666</c:v>
                </c:pt>
                <c:pt idx="34">
                  <c:v>1.1706</c:v>
                </c:pt>
                <c:pt idx="35">
                  <c:v>1.1726</c:v>
                </c:pt>
                <c:pt idx="36">
                  <c:v>1.1709</c:v>
                </c:pt>
                <c:pt idx="37">
                  <c:v>1.1658</c:v>
                </c:pt>
                <c:pt idx="38">
                  <c:v>1.1497</c:v>
                </c:pt>
                <c:pt idx="39">
                  <c:v>1.1501</c:v>
                </c:pt>
                <c:pt idx="40">
                  <c:v>1.1387</c:v>
                </c:pt>
                <c:pt idx="41">
                  <c:v>1.1364</c:v>
                </c:pt>
                <c:pt idx="42">
                  <c:v>1.1293</c:v>
                </c:pt>
                <c:pt idx="43">
                  <c:v>1.1307</c:v>
                </c:pt>
                <c:pt idx="44">
                  <c:v>1.1356</c:v>
                </c:pt>
                <c:pt idx="45">
                  <c:v>1.1421</c:v>
                </c:pt>
                <c:pt idx="46">
                  <c:v>1.1365</c:v>
                </c:pt>
                <c:pt idx="47">
                  <c:v>1.1483</c:v>
                </c:pt>
                <c:pt idx="48">
                  <c:v>1.1481</c:v>
                </c:pt>
                <c:pt idx="49">
                  <c:v>1.158</c:v>
                </c:pt>
                <c:pt idx="50">
                  <c:v>1.1654</c:v>
                </c:pt>
                <c:pt idx="51">
                  <c:v>1.1754</c:v>
                </c:pt>
                <c:pt idx="52">
                  <c:v>1.1644</c:v>
                </c:pt>
                <c:pt idx="53">
                  <c:v>1.1453</c:v>
                </c:pt>
                <c:pt idx="54">
                  <c:v>1.1382</c:v>
                </c:pt>
                <c:pt idx="55">
                  <c:v>1.1367</c:v>
                </c:pt>
                <c:pt idx="56">
                  <c:v>1.1328</c:v>
                </c:pt>
                <c:pt idx="57">
                  <c:v>1.1141</c:v>
                </c:pt>
                <c:pt idx="58">
                  <c:v>1.1089</c:v>
                </c:pt>
                <c:pt idx="59">
                  <c:v>1.1049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5735e8e-9979-4ba6-9300-8f556aed511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1.8244,1.8209,1.8199,1.8171,1.8136,1.8192,1.8128,1.7933,1.7829,1.7809,1.7812,1.7623,1.7627,1.751,1.7389,1.7548,1.7601,1.7697,1.7654,1.7444,1.7473,1.7654,1.7631,1.7648,1.767,1.7622,1.7592,1.7514,1.7588,1.7658,1.7585,1.7345,1.7382,1.7448,1.7519,1.7484,1.7405,1.7216,1.7193,1.709,1.7009,1.7036,1.7128,1.7081,1.7207,1.7275,1.7376,1.7476,1.7475,1.7427,1.7446,1.7324,1.727,1.7299,1.7375,1.7437,1.7454,1.7351,1.7314,1.717}</c:f>
              <c:numCache>
                <c:formatCode>General</c:formatCode>
                <c:ptCount val="60"/>
                <c:pt idx="0">
                  <c:v>1.8244</c:v>
                </c:pt>
                <c:pt idx="1">
                  <c:v>1.8209</c:v>
                </c:pt>
                <c:pt idx="2">
                  <c:v>1.8199</c:v>
                </c:pt>
                <c:pt idx="3">
                  <c:v>1.8171</c:v>
                </c:pt>
                <c:pt idx="4">
                  <c:v>1.8136</c:v>
                </c:pt>
                <c:pt idx="5">
                  <c:v>1.8192</c:v>
                </c:pt>
                <c:pt idx="6">
                  <c:v>1.8128</c:v>
                </c:pt>
                <c:pt idx="7">
                  <c:v>1.7933</c:v>
                </c:pt>
                <c:pt idx="8">
                  <c:v>1.7829</c:v>
                </c:pt>
                <c:pt idx="9">
                  <c:v>1.7809</c:v>
                </c:pt>
                <c:pt idx="10">
                  <c:v>1.7812</c:v>
                </c:pt>
                <c:pt idx="11">
                  <c:v>1.7623</c:v>
                </c:pt>
                <c:pt idx="12">
                  <c:v>1.7627</c:v>
                </c:pt>
                <c:pt idx="13">
                  <c:v>1.751</c:v>
                </c:pt>
                <c:pt idx="14">
                  <c:v>1.7389</c:v>
                </c:pt>
                <c:pt idx="15">
                  <c:v>1.7548</c:v>
                </c:pt>
                <c:pt idx="16">
                  <c:v>1.7601</c:v>
                </c:pt>
                <c:pt idx="17">
                  <c:v>1.7697</c:v>
                </c:pt>
                <c:pt idx="18">
                  <c:v>1.7654</c:v>
                </c:pt>
                <c:pt idx="19">
                  <c:v>1.7444</c:v>
                </c:pt>
                <c:pt idx="20">
                  <c:v>1.7473</c:v>
                </c:pt>
                <c:pt idx="21">
                  <c:v>1.7654</c:v>
                </c:pt>
                <c:pt idx="22">
                  <c:v>1.7631</c:v>
                </c:pt>
                <c:pt idx="23">
                  <c:v>1.7648</c:v>
                </c:pt>
                <c:pt idx="24">
                  <c:v>1.767</c:v>
                </c:pt>
                <c:pt idx="25">
                  <c:v>1.7622</c:v>
                </c:pt>
                <c:pt idx="26">
                  <c:v>1.7592</c:v>
                </c:pt>
                <c:pt idx="27">
                  <c:v>1.7514</c:v>
                </c:pt>
                <c:pt idx="28">
                  <c:v>1.7588</c:v>
                </c:pt>
                <c:pt idx="29">
                  <c:v>1.7658</c:v>
                </c:pt>
                <c:pt idx="30">
                  <c:v>1.7585</c:v>
                </c:pt>
                <c:pt idx="31">
                  <c:v>1.7345</c:v>
                </c:pt>
                <c:pt idx="32">
                  <c:v>1.7382</c:v>
                </c:pt>
                <c:pt idx="33">
                  <c:v>1.7448</c:v>
                </c:pt>
                <c:pt idx="34">
                  <c:v>1.7519</c:v>
                </c:pt>
                <c:pt idx="35">
                  <c:v>1.7484</c:v>
                </c:pt>
                <c:pt idx="36">
                  <c:v>1.7405</c:v>
                </c:pt>
                <c:pt idx="37">
                  <c:v>1.7216</c:v>
                </c:pt>
                <c:pt idx="38">
                  <c:v>1.7193</c:v>
                </c:pt>
                <c:pt idx="39">
                  <c:v>1.709</c:v>
                </c:pt>
                <c:pt idx="40">
                  <c:v>1.7009</c:v>
                </c:pt>
                <c:pt idx="41">
                  <c:v>1.7036</c:v>
                </c:pt>
                <c:pt idx="42">
                  <c:v>1.7128</c:v>
                </c:pt>
                <c:pt idx="43">
                  <c:v>1.7081</c:v>
                </c:pt>
                <c:pt idx="44">
                  <c:v>1.7207</c:v>
                </c:pt>
                <c:pt idx="45">
                  <c:v>1.7275</c:v>
                </c:pt>
                <c:pt idx="46">
                  <c:v>1.7376</c:v>
                </c:pt>
                <c:pt idx="47">
                  <c:v>1.7476</c:v>
                </c:pt>
                <c:pt idx="48">
                  <c:v>1.7475</c:v>
                </c:pt>
                <c:pt idx="49">
                  <c:v>1.7427</c:v>
                </c:pt>
                <c:pt idx="50">
                  <c:v>1.7446</c:v>
                </c:pt>
                <c:pt idx="51">
                  <c:v>1.7324</c:v>
                </c:pt>
                <c:pt idx="52">
                  <c:v>1.727</c:v>
                </c:pt>
                <c:pt idx="53">
                  <c:v>1.7299</c:v>
                </c:pt>
                <c:pt idx="54">
                  <c:v>1.7375</c:v>
                </c:pt>
                <c:pt idx="55">
                  <c:v>1.7437</c:v>
                </c:pt>
                <c:pt idx="56">
                  <c:v>1.7454</c:v>
                </c:pt>
                <c:pt idx="57">
                  <c:v>1.7351</c:v>
                </c:pt>
                <c:pt idx="58">
                  <c:v>1.7314</c:v>
                </c:pt>
                <c:pt idx="59">
                  <c:v>1.717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83fad53-d06d-4799-ac53-1924f64cfb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{58.07,59.51,60.94,58.09,59.2,59.36,58.67,59.93,61.07,61.54,60.12,57.81,59,59.81,58.48,58.47,57.72,57.56,57.18,55.96,55.84,56.65,55.95,54.88,56.84,57.82,58.13,57.58,56.96,55.58,56.96,55.89,56.22,56.72,58.35,57.74,58.51,58.54,60.11,59.93,59.94,61.21}</c:f>
              <c:numCache>
                <c:formatCode>General</c:formatCode>
                <c:ptCount val="42"/>
                <c:pt idx="0">
                  <c:v>58.07</c:v>
                </c:pt>
                <c:pt idx="1">
                  <c:v>59.51</c:v>
                </c:pt>
                <c:pt idx="2">
                  <c:v>60.94</c:v>
                </c:pt>
                <c:pt idx="3">
                  <c:v>58.09</c:v>
                </c:pt>
                <c:pt idx="4">
                  <c:v>59.2</c:v>
                </c:pt>
                <c:pt idx="5">
                  <c:v>59.36</c:v>
                </c:pt>
                <c:pt idx="6">
                  <c:v>58.67</c:v>
                </c:pt>
                <c:pt idx="7">
                  <c:v>59.93</c:v>
                </c:pt>
                <c:pt idx="8">
                  <c:v>61.07</c:v>
                </c:pt>
                <c:pt idx="9">
                  <c:v>61.54</c:v>
                </c:pt>
                <c:pt idx="10">
                  <c:v>60.12</c:v>
                </c:pt>
                <c:pt idx="11">
                  <c:v>57.81</c:v>
                </c:pt>
                <c:pt idx="12">
                  <c:v>59</c:v>
                </c:pt>
                <c:pt idx="13">
                  <c:v>59.81</c:v>
                </c:pt>
                <c:pt idx="14">
                  <c:v>58.48</c:v>
                </c:pt>
                <c:pt idx="15">
                  <c:v>58.47</c:v>
                </c:pt>
                <c:pt idx="16">
                  <c:v>57.72</c:v>
                </c:pt>
                <c:pt idx="17">
                  <c:v>57.56</c:v>
                </c:pt>
                <c:pt idx="18">
                  <c:v>57.18</c:v>
                </c:pt>
                <c:pt idx="19">
                  <c:v>55.96</c:v>
                </c:pt>
                <c:pt idx="20">
                  <c:v>55.84</c:v>
                </c:pt>
                <c:pt idx="21">
                  <c:v>56.65</c:v>
                </c:pt>
                <c:pt idx="22">
                  <c:v>55.95</c:v>
                </c:pt>
                <c:pt idx="23">
                  <c:v>54.88</c:v>
                </c:pt>
                <c:pt idx="24">
                  <c:v>56.84</c:v>
                </c:pt>
                <c:pt idx="25">
                  <c:v>57.82</c:v>
                </c:pt>
                <c:pt idx="26">
                  <c:v>58.13</c:v>
                </c:pt>
                <c:pt idx="27">
                  <c:v>57.58</c:v>
                </c:pt>
                <c:pt idx="28">
                  <c:v>56.96</c:v>
                </c:pt>
                <c:pt idx="29">
                  <c:v>55.58</c:v>
                </c:pt>
                <c:pt idx="30">
                  <c:v>56.96</c:v>
                </c:pt>
                <c:pt idx="31">
                  <c:v>55.89</c:v>
                </c:pt>
                <c:pt idx="32">
                  <c:v>56.22</c:v>
                </c:pt>
                <c:pt idx="33">
                  <c:v>56.72</c:v>
                </c:pt>
                <c:pt idx="34">
                  <c:v>58.35</c:v>
                </c:pt>
                <c:pt idx="35">
                  <c:v>57.74</c:v>
                </c:pt>
                <c:pt idx="36">
                  <c:v>58.51</c:v>
                </c:pt>
                <c:pt idx="37">
                  <c:v>58.54</c:v>
                </c:pt>
                <c:pt idx="38">
                  <c:v>60.11</c:v>
                </c:pt>
                <c:pt idx="39">
                  <c:v>59.93</c:v>
                </c:pt>
                <c:pt idx="40">
                  <c:v>59.94</c:v>
                </c:pt>
                <c:pt idx="41">
                  <c:v>61.21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dec45b3-e822-4eb6-8469-8c35a33ad63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{29.94,30.85,30.65,32.85,33.03,32.57,32.01,30.8,31.15,31.49,34.12,34.99,34.25,34.74,34.45,34.73,34.31,34.59,34.93,34.73,33.97,34.61,36.06,34.65,33.27,33.77,33.2,33.67,32.26,34.94,34.64,33.26,33.44,32.98,32.17,32.41,29.89,29.98,30.75,31.09,33.15,31.68}</c:f>
              <c:numCache>
                <c:formatCode>General</c:formatCode>
                <c:ptCount val="42"/>
                <c:pt idx="0">
                  <c:v>29.94</c:v>
                </c:pt>
                <c:pt idx="1">
                  <c:v>30.85</c:v>
                </c:pt>
                <c:pt idx="2">
                  <c:v>30.65</c:v>
                </c:pt>
                <c:pt idx="3">
                  <c:v>32.85</c:v>
                </c:pt>
                <c:pt idx="4">
                  <c:v>33.03</c:v>
                </c:pt>
                <c:pt idx="5">
                  <c:v>32.57</c:v>
                </c:pt>
                <c:pt idx="6">
                  <c:v>32.01</c:v>
                </c:pt>
                <c:pt idx="7">
                  <c:v>30.8</c:v>
                </c:pt>
                <c:pt idx="8">
                  <c:v>31.15</c:v>
                </c:pt>
                <c:pt idx="9">
                  <c:v>31.49</c:v>
                </c:pt>
                <c:pt idx="10">
                  <c:v>34.12</c:v>
                </c:pt>
                <c:pt idx="11">
                  <c:v>34.99</c:v>
                </c:pt>
                <c:pt idx="12">
                  <c:v>34.25</c:v>
                </c:pt>
                <c:pt idx="13">
                  <c:v>34.74</c:v>
                </c:pt>
                <c:pt idx="14">
                  <c:v>34.45</c:v>
                </c:pt>
                <c:pt idx="15">
                  <c:v>34.73</c:v>
                </c:pt>
                <c:pt idx="16">
                  <c:v>34.31</c:v>
                </c:pt>
                <c:pt idx="17">
                  <c:v>34.59</c:v>
                </c:pt>
                <c:pt idx="18">
                  <c:v>34.93</c:v>
                </c:pt>
                <c:pt idx="19">
                  <c:v>34.73</c:v>
                </c:pt>
                <c:pt idx="20">
                  <c:v>33.97</c:v>
                </c:pt>
                <c:pt idx="21">
                  <c:v>34.61</c:v>
                </c:pt>
                <c:pt idx="22">
                  <c:v>36.06</c:v>
                </c:pt>
                <c:pt idx="23">
                  <c:v>34.65</c:v>
                </c:pt>
                <c:pt idx="24">
                  <c:v>33.27</c:v>
                </c:pt>
                <c:pt idx="25">
                  <c:v>33.77</c:v>
                </c:pt>
                <c:pt idx="26">
                  <c:v>33.2</c:v>
                </c:pt>
                <c:pt idx="27">
                  <c:v>33.67</c:v>
                </c:pt>
                <c:pt idx="28">
                  <c:v>32.26</c:v>
                </c:pt>
                <c:pt idx="29">
                  <c:v>34.94</c:v>
                </c:pt>
                <c:pt idx="30">
                  <c:v>34.64</c:v>
                </c:pt>
                <c:pt idx="31">
                  <c:v>33.26</c:v>
                </c:pt>
                <c:pt idx="32">
                  <c:v>33.44</c:v>
                </c:pt>
                <c:pt idx="33">
                  <c:v>32.98</c:v>
                </c:pt>
                <c:pt idx="34">
                  <c:v>32.17</c:v>
                </c:pt>
                <c:pt idx="35">
                  <c:v>32.41</c:v>
                </c:pt>
                <c:pt idx="36">
                  <c:v>29.89</c:v>
                </c:pt>
                <c:pt idx="37">
                  <c:v>29.98</c:v>
                </c:pt>
                <c:pt idx="38">
                  <c:v>30.75</c:v>
                </c:pt>
                <c:pt idx="39">
                  <c:v>31.09</c:v>
                </c:pt>
                <c:pt idx="40">
                  <c:v>33.15</c:v>
                </c:pt>
                <c:pt idx="41">
                  <c:v>31.68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798469-ed6b-494b-be17-2fd2cdc3096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{6,6.1,6.2,7.9,8.3,8.4}</c:f>
              <c:numCache>
                <c:formatCode>General</c:formatCode>
                <c:ptCount val="6"/>
                <c:pt idx="0">
                  <c:v>6</c:v>
                </c:pt>
                <c:pt idx="1">
                  <c:v>6.1</c:v>
                </c:pt>
                <c:pt idx="2">
                  <c:v>6.2</c:v>
                </c:pt>
                <c:pt idx="3">
                  <c:v>7.9</c:v>
                </c:pt>
                <c:pt idx="4">
                  <c:v>8.3</c:v>
                </c:pt>
                <c:pt idx="5">
                  <c:v>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118bc43-eea1-4556-8390-43d1a9bcc84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1.285,1.2899,1.3033,1.3023,1.3215,1.3266,1.3289,1.3271,1.3204,1.3108,1.3084,1.2936,1.2923,1.2812,1.2601,1.255,1.2393,1.259,1.264,1.2565,1.2552,1.2802,1.2721,1.2808,1.2777,1.2779,1.2776,1.2717,1.2743,1.2733,1.2684,1.2617,1.2552,1.2583,1.2623,1.2561,1.2513,1.2378,1.2264,1.2256,1.2276,1.2285,1.2352,1.2369,1.2376,1.2587,1.2706,1.28,1.2881,1.2937,1.3012,1.2832,1.2662,1.2437,1.2462,1.2637,1.2562,1.2527,1.2462,1.2362}</c:f>
              <c:numCache>
                <c:formatCode>General</c:formatCode>
                <c:ptCount val="60"/>
                <c:pt idx="0">
                  <c:v>1.285</c:v>
                </c:pt>
                <c:pt idx="1">
                  <c:v>1.2899</c:v>
                </c:pt>
                <c:pt idx="2">
                  <c:v>1.3033</c:v>
                </c:pt>
                <c:pt idx="3">
                  <c:v>1.3023</c:v>
                </c:pt>
                <c:pt idx="4">
                  <c:v>1.3215</c:v>
                </c:pt>
                <c:pt idx="5">
                  <c:v>1.3266</c:v>
                </c:pt>
                <c:pt idx="6">
                  <c:v>1.3289</c:v>
                </c:pt>
                <c:pt idx="7">
                  <c:v>1.3271</c:v>
                </c:pt>
                <c:pt idx="8">
                  <c:v>1.3204</c:v>
                </c:pt>
                <c:pt idx="9">
                  <c:v>1.3108</c:v>
                </c:pt>
                <c:pt idx="10">
                  <c:v>1.3084</c:v>
                </c:pt>
                <c:pt idx="11">
                  <c:v>1.2936</c:v>
                </c:pt>
                <c:pt idx="12">
                  <c:v>1.2923</c:v>
                </c:pt>
                <c:pt idx="13">
                  <c:v>1.2812</c:v>
                </c:pt>
                <c:pt idx="14">
                  <c:v>1.2601</c:v>
                </c:pt>
                <c:pt idx="15">
                  <c:v>1.255</c:v>
                </c:pt>
                <c:pt idx="16">
                  <c:v>1.2393</c:v>
                </c:pt>
                <c:pt idx="17">
                  <c:v>1.259</c:v>
                </c:pt>
                <c:pt idx="18">
                  <c:v>1.264</c:v>
                </c:pt>
                <c:pt idx="19">
                  <c:v>1.2565</c:v>
                </c:pt>
                <c:pt idx="20">
                  <c:v>1.2552</c:v>
                </c:pt>
                <c:pt idx="21">
                  <c:v>1.2802</c:v>
                </c:pt>
                <c:pt idx="22">
                  <c:v>1.2721</c:v>
                </c:pt>
                <c:pt idx="23">
                  <c:v>1.2808</c:v>
                </c:pt>
                <c:pt idx="24">
                  <c:v>1.2777</c:v>
                </c:pt>
                <c:pt idx="25">
                  <c:v>1.2779</c:v>
                </c:pt>
                <c:pt idx="26">
                  <c:v>1.2776</c:v>
                </c:pt>
                <c:pt idx="27">
                  <c:v>1.2717</c:v>
                </c:pt>
                <c:pt idx="28">
                  <c:v>1.2743</c:v>
                </c:pt>
                <c:pt idx="29">
                  <c:v>1.2733</c:v>
                </c:pt>
                <c:pt idx="30">
                  <c:v>1.2684</c:v>
                </c:pt>
                <c:pt idx="31">
                  <c:v>1.2617</c:v>
                </c:pt>
                <c:pt idx="32">
                  <c:v>1.2552</c:v>
                </c:pt>
                <c:pt idx="33">
                  <c:v>1.2583</c:v>
                </c:pt>
                <c:pt idx="34">
                  <c:v>1.2623</c:v>
                </c:pt>
                <c:pt idx="35">
                  <c:v>1.2561</c:v>
                </c:pt>
                <c:pt idx="36">
                  <c:v>1.2513</c:v>
                </c:pt>
                <c:pt idx="37">
                  <c:v>1.2378</c:v>
                </c:pt>
                <c:pt idx="38">
                  <c:v>1.2264</c:v>
                </c:pt>
                <c:pt idx="39">
                  <c:v>1.2256</c:v>
                </c:pt>
                <c:pt idx="40">
                  <c:v>1.2276</c:v>
                </c:pt>
                <c:pt idx="41">
                  <c:v>1.2285</c:v>
                </c:pt>
                <c:pt idx="42">
                  <c:v>1.2352</c:v>
                </c:pt>
                <c:pt idx="43">
                  <c:v>1.2369</c:v>
                </c:pt>
                <c:pt idx="44">
                  <c:v>1.2376</c:v>
                </c:pt>
                <c:pt idx="45">
                  <c:v>1.2587</c:v>
                </c:pt>
                <c:pt idx="46">
                  <c:v>1.2706</c:v>
                </c:pt>
                <c:pt idx="47">
                  <c:v>1.28</c:v>
                </c:pt>
                <c:pt idx="48">
                  <c:v>1.2881</c:v>
                </c:pt>
                <c:pt idx="49">
                  <c:v>1.2937</c:v>
                </c:pt>
                <c:pt idx="50">
                  <c:v>1.3012</c:v>
                </c:pt>
                <c:pt idx="51">
                  <c:v>1.2832</c:v>
                </c:pt>
                <c:pt idx="52">
                  <c:v>1.2662</c:v>
                </c:pt>
                <c:pt idx="53">
                  <c:v>1.2437</c:v>
                </c:pt>
                <c:pt idx="54">
                  <c:v>1.2462</c:v>
                </c:pt>
                <c:pt idx="55">
                  <c:v>1.2637</c:v>
                </c:pt>
                <c:pt idx="56">
                  <c:v>1.2562</c:v>
                </c:pt>
                <c:pt idx="57">
                  <c:v>1.2527</c:v>
                </c:pt>
                <c:pt idx="58">
                  <c:v>1.2462</c:v>
                </c:pt>
                <c:pt idx="59">
                  <c:v>1.2362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29e211a-0b41-485d-8736-ae77a39ec8d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1.3326,1.3296,1.3339,1.343,1.3605,1.3597,1.3594,1.3569,1.3525,1.3427,1.3397,1.325,1.3259,1.3199,1.3031,1.2926,1.2779,1.2959,1.296,1.2745,1.2802,1.2882,1.289,1.2942,1.2954,1.2922,1.289,1.2897,1.2952,1.2917,1.2932,1.2889,1.2882,1.2874,1.302,1.2976,1.2976,1.2803,1.2628,1.2705,1.2709,1.2762,1.2838,1.2814,1.2839,1.2942,1.3018,1.3066,1.3141,1.3141,1.3156,1.3063,1.2971,1.2854,1.2938,1.2979,1.3003,1.2926,1.289,1.2734}</c:f>
              <c:numCache>
                <c:formatCode>General</c:formatCode>
                <c:ptCount val="60"/>
                <c:pt idx="0">
                  <c:v>1.3326</c:v>
                </c:pt>
                <c:pt idx="1">
                  <c:v>1.3296</c:v>
                </c:pt>
                <c:pt idx="2">
                  <c:v>1.3339</c:v>
                </c:pt>
                <c:pt idx="3">
                  <c:v>1.343</c:v>
                </c:pt>
                <c:pt idx="4">
                  <c:v>1.3605</c:v>
                </c:pt>
                <c:pt idx="5">
                  <c:v>1.3597</c:v>
                </c:pt>
                <c:pt idx="6">
                  <c:v>1.3594</c:v>
                </c:pt>
                <c:pt idx="7">
                  <c:v>1.3569</c:v>
                </c:pt>
                <c:pt idx="8">
                  <c:v>1.3525</c:v>
                </c:pt>
                <c:pt idx="9">
                  <c:v>1.3427</c:v>
                </c:pt>
                <c:pt idx="10">
                  <c:v>1.3397</c:v>
                </c:pt>
                <c:pt idx="11">
                  <c:v>1.325</c:v>
                </c:pt>
                <c:pt idx="12">
                  <c:v>1.3259</c:v>
                </c:pt>
                <c:pt idx="13">
                  <c:v>1.3199</c:v>
                </c:pt>
                <c:pt idx="14">
                  <c:v>1.3031</c:v>
                </c:pt>
                <c:pt idx="15">
                  <c:v>1.2926</c:v>
                </c:pt>
                <c:pt idx="16">
                  <c:v>1.2779</c:v>
                </c:pt>
                <c:pt idx="17">
                  <c:v>1.2959</c:v>
                </c:pt>
                <c:pt idx="18">
                  <c:v>1.296</c:v>
                </c:pt>
                <c:pt idx="19">
                  <c:v>1.2745</c:v>
                </c:pt>
                <c:pt idx="20">
                  <c:v>1.2802</c:v>
                </c:pt>
                <c:pt idx="21">
                  <c:v>1.2882</c:v>
                </c:pt>
                <c:pt idx="22">
                  <c:v>1.289</c:v>
                </c:pt>
                <c:pt idx="23">
                  <c:v>1.2942</c:v>
                </c:pt>
                <c:pt idx="24">
                  <c:v>1.2954</c:v>
                </c:pt>
                <c:pt idx="25">
                  <c:v>1.2922</c:v>
                </c:pt>
                <c:pt idx="26">
                  <c:v>1.289</c:v>
                </c:pt>
                <c:pt idx="27">
                  <c:v>1.2897</c:v>
                </c:pt>
                <c:pt idx="28">
                  <c:v>1.2952</c:v>
                </c:pt>
                <c:pt idx="29">
                  <c:v>1.2917</c:v>
                </c:pt>
                <c:pt idx="30">
                  <c:v>1.2932</c:v>
                </c:pt>
                <c:pt idx="31">
                  <c:v>1.2889</c:v>
                </c:pt>
                <c:pt idx="32">
                  <c:v>1.2882</c:v>
                </c:pt>
                <c:pt idx="33">
                  <c:v>1.2874</c:v>
                </c:pt>
                <c:pt idx="34">
                  <c:v>1.302</c:v>
                </c:pt>
                <c:pt idx="35">
                  <c:v>1.2976</c:v>
                </c:pt>
                <c:pt idx="36">
                  <c:v>1.2976</c:v>
                </c:pt>
                <c:pt idx="37">
                  <c:v>1.2803</c:v>
                </c:pt>
                <c:pt idx="38">
                  <c:v>1.2628</c:v>
                </c:pt>
                <c:pt idx="39">
                  <c:v>1.2705</c:v>
                </c:pt>
                <c:pt idx="40">
                  <c:v>1.2709</c:v>
                </c:pt>
                <c:pt idx="41">
                  <c:v>1.2762</c:v>
                </c:pt>
                <c:pt idx="42">
                  <c:v>1.2838</c:v>
                </c:pt>
                <c:pt idx="43">
                  <c:v>1.2814</c:v>
                </c:pt>
                <c:pt idx="44">
                  <c:v>1.2839</c:v>
                </c:pt>
                <c:pt idx="45">
                  <c:v>1.2942</c:v>
                </c:pt>
                <c:pt idx="46">
                  <c:v>1.3018</c:v>
                </c:pt>
                <c:pt idx="47">
                  <c:v>1.3066</c:v>
                </c:pt>
                <c:pt idx="48">
                  <c:v>1.3141</c:v>
                </c:pt>
                <c:pt idx="49">
                  <c:v>1.3141</c:v>
                </c:pt>
                <c:pt idx="50">
                  <c:v>1.3156</c:v>
                </c:pt>
                <c:pt idx="51">
                  <c:v>1.3063</c:v>
                </c:pt>
                <c:pt idx="52">
                  <c:v>1.2971</c:v>
                </c:pt>
                <c:pt idx="53">
                  <c:v>1.2854</c:v>
                </c:pt>
                <c:pt idx="54">
                  <c:v>1.2938</c:v>
                </c:pt>
                <c:pt idx="55">
                  <c:v>1.2979</c:v>
                </c:pt>
                <c:pt idx="56">
                  <c:v>1.3003</c:v>
                </c:pt>
                <c:pt idx="57">
                  <c:v>1.2926</c:v>
                </c:pt>
                <c:pt idx="58">
                  <c:v>1.289</c:v>
                </c:pt>
                <c:pt idx="59">
                  <c:v>1.2734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a227ac3-6dcc-409e-a0a7-54935296031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1.5803,1.5715,1.5595,1.5645,1.577,1.5887,1.5895,1.5908,1.5903,1.5733,1.5633,1.5482,1.5537,1.5484,1.5433,1.5446,1.5458,1.5581,1.5506,1.5381,1.5406,1.5481,1.5386,1.5354,1.5304,1.5221,1.5137,1.5079,1.5069,1.5069,1.5032,1.5079,1.5072,1.511,1.506,1.4983,1.4758,1.4608,1.4528,1.4528,1.446,1.451,1.4527,1.4452,1.4502,1.4502,1.4602,1.4667,1.4817,1.4817,1.4867,1.4749,1.4697,1.4597,1.4656,1.4676,1.4613,1.4567,1.4546,1.4438}</c:f>
              <c:numCache>
                <c:formatCode>General</c:formatCode>
                <c:ptCount val="60"/>
                <c:pt idx="0">
                  <c:v>1.5803</c:v>
                </c:pt>
                <c:pt idx="1">
                  <c:v>1.5715</c:v>
                </c:pt>
                <c:pt idx="2">
                  <c:v>1.5595</c:v>
                </c:pt>
                <c:pt idx="3">
                  <c:v>1.5645</c:v>
                </c:pt>
                <c:pt idx="4">
                  <c:v>1.577</c:v>
                </c:pt>
                <c:pt idx="5">
                  <c:v>1.5887</c:v>
                </c:pt>
                <c:pt idx="6">
                  <c:v>1.5895</c:v>
                </c:pt>
                <c:pt idx="7">
                  <c:v>1.5908</c:v>
                </c:pt>
                <c:pt idx="8">
                  <c:v>1.5903</c:v>
                </c:pt>
                <c:pt idx="9">
                  <c:v>1.5733</c:v>
                </c:pt>
                <c:pt idx="10">
                  <c:v>1.5633</c:v>
                </c:pt>
                <c:pt idx="11">
                  <c:v>1.5482</c:v>
                </c:pt>
                <c:pt idx="12">
                  <c:v>1.5537</c:v>
                </c:pt>
                <c:pt idx="13">
                  <c:v>1.5484</c:v>
                </c:pt>
                <c:pt idx="14">
                  <c:v>1.5433</c:v>
                </c:pt>
                <c:pt idx="15">
                  <c:v>1.5446</c:v>
                </c:pt>
                <c:pt idx="16">
                  <c:v>1.5458</c:v>
                </c:pt>
                <c:pt idx="17">
                  <c:v>1.5581</c:v>
                </c:pt>
                <c:pt idx="18">
                  <c:v>1.5506</c:v>
                </c:pt>
                <c:pt idx="19">
                  <c:v>1.5381</c:v>
                </c:pt>
                <c:pt idx="20">
                  <c:v>1.5406</c:v>
                </c:pt>
                <c:pt idx="21">
                  <c:v>1.5481</c:v>
                </c:pt>
                <c:pt idx="22">
                  <c:v>1.5386</c:v>
                </c:pt>
                <c:pt idx="23">
                  <c:v>1.5354</c:v>
                </c:pt>
                <c:pt idx="24">
                  <c:v>1.5304</c:v>
                </c:pt>
                <c:pt idx="25">
                  <c:v>1.5221</c:v>
                </c:pt>
                <c:pt idx="26">
                  <c:v>1.5137</c:v>
                </c:pt>
                <c:pt idx="27">
                  <c:v>1.5079</c:v>
                </c:pt>
                <c:pt idx="28">
                  <c:v>1.5069</c:v>
                </c:pt>
                <c:pt idx="29">
                  <c:v>1.5069</c:v>
                </c:pt>
                <c:pt idx="30">
                  <c:v>1.5032</c:v>
                </c:pt>
                <c:pt idx="31">
                  <c:v>1.5079</c:v>
                </c:pt>
                <c:pt idx="32">
                  <c:v>1.5072</c:v>
                </c:pt>
                <c:pt idx="33">
                  <c:v>1.511</c:v>
                </c:pt>
                <c:pt idx="34">
                  <c:v>1.506</c:v>
                </c:pt>
                <c:pt idx="35">
                  <c:v>1.4983</c:v>
                </c:pt>
                <c:pt idx="36">
                  <c:v>1.4758</c:v>
                </c:pt>
                <c:pt idx="37">
                  <c:v>1.4608</c:v>
                </c:pt>
                <c:pt idx="38">
                  <c:v>1.4528</c:v>
                </c:pt>
                <c:pt idx="39">
                  <c:v>1.4528</c:v>
                </c:pt>
                <c:pt idx="40">
                  <c:v>1.446</c:v>
                </c:pt>
                <c:pt idx="41">
                  <c:v>1.451</c:v>
                </c:pt>
                <c:pt idx="42">
                  <c:v>1.4527</c:v>
                </c:pt>
                <c:pt idx="43">
                  <c:v>1.4452</c:v>
                </c:pt>
                <c:pt idx="44">
                  <c:v>1.4502</c:v>
                </c:pt>
                <c:pt idx="45">
                  <c:v>1.4502</c:v>
                </c:pt>
                <c:pt idx="46">
                  <c:v>1.4602</c:v>
                </c:pt>
                <c:pt idx="47">
                  <c:v>1.4667</c:v>
                </c:pt>
                <c:pt idx="48">
                  <c:v>1.4817</c:v>
                </c:pt>
                <c:pt idx="49">
                  <c:v>1.4817</c:v>
                </c:pt>
                <c:pt idx="50">
                  <c:v>1.4867</c:v>
                </c:pt>
                <c:pt idx="51">
                  <c:v>1.4749</c:v>
                </c:pt>
                <c:pt idx="52">
                  <c:v>1.4697</c:v>
                </c:pt>
                <c:pt idx="53">
                  <c:v>1.4597</c:v>
                </c:pt>
                <c:pt idx="54">
                  <c:v>1.4656</c:v>
                </c:pt>
                <c:pt idx="55">
                  <c:v>1.4676</c:v>
                </c:pt>
                <c:pt idx="56">
                  <c:v>1.4613</c:v>
                </c:pt>
                <c:pt idx="57">
                  <c:v>1.4567</c:v>
                </c:pt>
                <c:pt idx="58">
                  <c:v>1.4546</c:v>
                </c:pt>
                <c:pt idx="59">
                  <c:v>1.4438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7a3895-8519-45b9-b732-e29d814507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1.4394,1.4289,1.412,1.4076,1.4235,1.431,1.4275,1.427,1.4291,1.4241,1.3991,1.3991,1.4041,1.3991,1.3791,1.3791,1.3691,1.4041,1.3865,1.3765,1.3691,1.3841,1.3841,1.3741,1.3707,1.3688,1.3663,1.3663,1.3663,1.3663,1.3638,1.3588,1.3538,1.3588,1.3588,1.3581,1.3521,1.3471,1.3471,1.3521,1.3521,1.3521,1.3542,1.3555,1.3576,1.3683,1.3718,1.3744,1.3745,1.3814,1.3796,1.3846,1.3774,1.375,1.3775,1.3909,1.3864,1.3764,1.3761,1.3456}</c:f>
              <c:numCache>
                <c:formatCode>General</c:formatCode>
                <c:ptCount val="60"/>
                <c:pt idx="0">
                  <c:v>1.4394</c:v>
                </c:pt>
                <c:pt idx="1">
                  <c:v>1.4289</c:v>
                </c:pt>
                <c:pt idx="2">
                  <c:v>1.412</c:v>
                </c:pt>
                <c:pt idx="3">
                  <c:v>1.4076</c:v>
                </c:pt>
                <c:pt idx="4">
                  <c:v>1.4235</c:v>
                </c:pt>
                <c:pt idx="5">
                  <c:v>1.431</c:v>
                </c:pt>
                <c:pt idx="6">
                  <c:v>1.4275</c:v>
                </c:pt>
                <c:pt idx="7">
                  <c:v>1.427</c:v>
                </c:pt>
                <c:pt idx="8">
                  <c:v>1.4291</c:v>
                </c:pt>
                <c:pt idx="9">
                  <c:v>1.4241</c:v>
                </c:pt>
                <c:pt idx="10">
                  <c:v>1.3991</c:v>
                </c:pt>
                <c:pt idx="11">
                  <c:v>1.3991</c:v>
                </c:pt>
                <c:pt idx="12">
                  <c:v>1.4041</c:v>
                </c:pt>
                <c:pt idx="13">
                  <c:v>1.3991</c:v>
                </c:pt>
                <c:pt idx="14">
                  <c:v>1.3791</c:v>
                </c:pt>
                <c:pt idx="15">
                  <c:v>1.3791</c:v>
                </c:pt>
                <c:pt idx="16">
                  <c:v>1.3691</c:v>
                </c:pt>
                <c:pt idx="17">
                  <c:v>1.4041</c:v>
                </c:pt>
                <c:pt idx="18">
                  <c:v>1.3865</c:v>
                </c:pt>
                <c:pt idx="19">
                  <c:v>1.3765</c:v>
                </c:pt>
                <c:pt idx="20">
                  <c:v>1.3691</c:v>
                </c:pt>
                <c:pt idx="21">
                  <c:v>1.3841</c:v>
                </c:pt>
                <c:pt idx="22">
                  <c:v>1.3841</c:v>
                </c:pt>
                <c:pt idx="23">
                  <c:v>1.3741</c:v>
                </c:pt>
                <c:pt idx="24">
                  <c:v>1.3707</c:v>
                </c:pt>
                <c:pt idx="25">
                  <c:v>1.3688</c:v>
                </c:pt>
                <c:pt idx="26">
                  <c:v>1.3663</c:v>
                </c:pt>
                <c:pt idx="27">
                  <c:v>1.3663</c:v>
                </c:pt>
                <c:pt idx="28">
                  <c:v>1.3663</c:v>
                </c:pt>
                <c:pt idx="29">
                  <c:v>1.3663</c:v>
                </c:pt>
                <c:pt idx="30">
                  <c:v>1.3638</c:v>
                </c:pt>
                <c:pt idx="31">
                  <c:v>1.3588</c:v>
                </c:pt>
                <c:pt idx="32">
                  <c:v>1.3538</c:v>
                </c:pt>
                <c:pt idx="33">
                  <c:v>1.3588</c:v>
                </c:pt>
                <c:pt idx="34">
                  <c:v>1.3588</c:v>
                </c:pt>
                <c:pt idx="35">
                  <c:v>1.3581</c:v>
                </c:pt>
                <c:pt idx="36">
                  <c:v>1.3521</c:v>
                </c:pt>
                <c:pt idx="37">
                  <c:v>1.3471</c:v>
                </c:pt>
                <c:pt idx="38">
                  <c:v>1.3471</c:v>
                </c:pt>
                <c:pt idx="39">
                  <c:v>1.3521</c:v>
                </c:pt>
                <c:pt idx="40">
                  <c:v>1.3521</c:v>
                </c:pt>
                <c:pt idx="41">
                  <c:v>1.3521</c:v>
                </c:pt>
                <c:pt idx="42">
                  <c:v>1.3542</c:v>
                </c:pt>
                <c:pt idx="43">
                  <c:v>1.3555</c:v>
                </c:pt>
                <c:pt idx="44">
                  <c:v>1.3576</c:v>
                </c:pt>
                <c:pt idx="45">
                  <c:v>1.3683</c:v>
                </c:pt>
                <c:pt idx="46">
                  <c:v>1.3718</c:v>
                </c:pt>
                <c:pt idx="47">
                  <c:v>1.3744</c:v>
                </c:pt>
                <c:pt idx="48">
                  <c:v>1.3745</c:v>
                </c:pt>
                <c:pt idx="49">
                  <c:v>1.3814</c:v>
                </c:pt>
                <c:pt idx="50">
                  <c:v>1.3796</c:v>
                </c:pt>
                <c:pt idx="51">
                  <c:v>1.3846</c:v>
                </c:pt>
                <c:pt idx="52">
                  <c:v>1.3774</c:v>
                </c:pt>
                <c:pt idx="53">
                  <c:v>1.375</c:v>
                </c:pt>
                <c:pt idx="54">
                  <c:v>1.3775</c:v>
                </c:pt>
                <c:pt idx="55">
                  <c:v>1.3909</c:v>
                </c:pt>
                <c:pt idx="56">
                  <c:v>1.3864</c:v>
                </c:pt>
                <c:pt idx="57">
                  <c:v>1.3764</c:v>
                </c:pt>
                <c:pt idx="58">
                  <c:v>1.3761</c:v>
                </c:pt>
                <c:pt idx="59">
                  <c:v>1.3456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5c492c3-cc91-45d2-9ac8-e905c6c9afc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1.5724,1.5727,1.5709,1.5577,1.5541,1.5486,1.5417,1.5426,1.5368,1.5318,1.5326,1.5221,1.5093,1.5143,1.521,1.5113,1.5146,1.5133,1.5233,1.5185,1.5145,1.5123,1.5142,1.5164,1.5271,1.5298,1.5261,1.5142,1.508,1.5035,1.5013,1.5002,1.4855,1.4843,1.4891,1.4823,1.4811,1.4727,1.4705,1.4727,1.4689,1.4664,1.4669,1.4601,1.4606,1.4593,1.4699,1.4822,1.5161,1.5298,1.5286,1.5251,1.5366,1.5232,1.5242,1.5359,1.5208,1.5045,1.5,1.5}</c:f>
              <c:numCache>
                <c:formatCode>General</c:formatCode>
                <c:ptCount val="60"/>
                <c:pt idx="0">
                  <c:v>1.5724</c:v>
                </c:pt>
                <c:pt idx="1">
                  <c:v>1.5727</c:v>
                </c:pt>
                <c:pt idx="2">
                  <c:v>1.5709</c:v>
                </c:pt>
                <c:pt idx="3">
                  <c:v>1.5577</c:v>
                </c:pt>
                <c:pt idx="4">
                  <c:v>1.5541</c:v>
                </c:pt>
                <c:pt idx="5">
                  <c:v>1.5486</c:v>
                </c:pt>
                <c:pt idx="6">
                  <c:v>1.5417</c:v>
                </c:pt>
                <c:pt idx="7">
                  <c:v>1.5426</c:v>
                </c:pt>
                <c:pt idx="8">
                  <c:v>1.5368</c:v>
                </c:pt>
                <c:pt idx="9">
                  <c:v>1.5318</c:v>
                </c:pt>
                <c:pt idx="10">
                  <c:v>1.5326</c:v>
                </c:pt>
                <c:pt idx="11">
                  <c:v>1.5221</c:v>
                </c:pt>
                <c:pt idx="12">
                  <c:v>1.5093</c:v>
                </c:pt>
                <c:pt idx="13">
                  <c:v>1.5143</c:v>
                </c:pt>
                <c:pt idx="14">
                  <c:v>1.521</c:v>
                </c:pt>
                <c:pt idx="15">
                  <c:v>1.5113</c:v>
                </c:pt>
                <c:pt idx="16">
                  <c:v>1.5146</c:v>
                </c:pt>
                <c:pt idx="17">
                  <c:v>1.5133</c:v>
                </c:pt>
                <c:pt idx="18">
                  <c:v>1.5233</c:v>
                </c:pt>
                <c:pt idx="19">
                  <c:v>1.5185</c:v>
                </c:pt>
                <c:pt idx="20">
                  <c:v>1.5145</c:v>
                </c:pt>
                <c:pt idx="21">
                  <c:v>1.5123</c:v>
                </c:pt>
                <c:pt idx="22">
                  <c:v>1.5142</c:v>
                </c:pt>
                <c:pt idx="23">
                  <c:v>1.5164</c:v>
                </c:pt>
                <c:pt idx="24">
                  <c:v>1.5271</c:v>
                </c:pt>
                <c:pt idx="25">
                  <c:v>1.5298</c:v>
                </c:pt>
                <c:pt idx="26">
                  <c:v>1.5261</c:v>
                </c:pt>
                <c:pt idx="27">
                  <c:v>1.5142</c:v>
                </c:pt>
                <c:pt idx="28">
                  <c:v>1.508</c:v>
                </c:pt>
                <c:pt idx="29">
                  <c:v>1.5035</c:v>
                </c:pt>
                <c:pt idx="30">
                  <c:v>1.5013</c:v>
                </c:pt>
                <c:pt idx="31">
                  <c:v>1.5002</c:v>
                </c:pt>
                <c:pt idx="32">
                  <c:v>1.4855</c:v>
                </c:pt>
                <c:pt idx="33">
                  <c:v>1.4843</c:v>
                </c:pt>
                <c:pt idx="34">
                  <c:v>1.4891</c:v>
                </c:pt>
                <c:pt idx="35">
                  <c:v>1.4823</c:v>
                </c:pt>
                <c:pt idx="36">
                  <c:v>1.4811</c:v>
                </c:pt>
                <c:pt idx="37">
                  <c:v>1.4727</c:v>
                </c:pt>
                <c:pt idx="38">
                  <c:v>1.4705</c:v>
                </c:pt>
                <c:pt idx="39">
                  <c:v>1.4727</c:v>
                </c:pt>
                <c:pt idx="40">
                  <c:v>1.4689</c:v>
                </c:pt>
                <c:pt idx="41">
                  <c:v>1.4664</c:v>
                </c:pt>
                <c:pt idx="42">
                  <c:v>1.4669</c:v>
                </c:pt>
                <c:pt idx="43">
                  <c:v>1.4601</c:v>
                </c:pt>
                <c:pt idx="44">
                  <c:v>1.4606</c:v>
                </c:pt>
                <c:pt idx="45">
                  <c:v>1.4593</c:v>
                </c:pt>
                <c:pt idx="46">
                  <c:v>1.4699</c:v>
                </c:pt>
                <c:pt idx="47">
                  <c:v>1.4822</c:v>
                </c:pt>
                <c:pt idx="48">
                  <c:v>1.5161</c:v>
                </c:pt>
                <c:pt idx="49">
                  <c:v>1.5298</c:v>
                </c:pt>
                <c:pt idx="50">
                  <c:v>1.5286</c:v>
                </c:pt>
                <c:pt idx="51">
                  <c:v>1.5251</c:v>
                </c:pt>
                <c:pt idx="52">
                  <c:v>1.5366</c:v>
                </c:pt>
                <c:pt idx="53">
                  <c:v>1.5232</c:v>
                </c:pt>
                <c:pt idx="54">
                  <c:v>1.5242</c:v>
                </c:pt>
                <c:pt idx="55">
                  <c:v>1.5359</c:v>
                </c:pt>
                <c:pt idx="56">
                  <c:v>1.5208</c:v>
                </c:pt>
                <c:pt idx="57">
                  <c:v>1.5045</c:v>
                </c:pt>
                <c:pt idx="58">
                  <c:v>1.5</c:v>
                </c:pt>
                <c:pt idx="59">
                  <c:v>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24f97c1-9ccc-4b8c-be2c-107e1859202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1.5957,1.5832,1.5672,1.5537,1.5541,1.5538,1.5431,1.549,1.5447,1.5474,1.5515,1.5547,1.5454,1.5455,1.5326,1.5293,1.5218,1.5186,1.5211,1.5126,1.5138,1.5188,1.5181,1.5211,1.5319,1.5258,1.5103,1.5001,1.5079,1.5037,1.5003,1.4901,1.4815,1.4727,1.4793,1.4753,1.4698,1.4677,1.4596,1.4613,1.4565,1.4475,1.4587,1.4579,1.4715,1.469,1.4835,1.4919,1.5219,1.5321,1.53,1.5301,1.5373,1.5208,1.5208,1.5243,1.5226,1.5167,1.5103,1.5036}</c:f>
              <c:numCache>
                <c:formatCode>General</c:formatCode>
                <c:ptCount val="60"/>
                <c:pt idx="0">
                  <c:v>1.5957</c:v>
                </c:pt>
                <c:pt idx="1">
                  <c:v>1.5832</c:v>
                </c:pt>
                <c:pt idx="2">
                  <c:v>1.5672</c:v>
                </c:pt>
                <c:pt idx="3">
                  <c:v>1.5537</c:v>
                </c:pt>
                <c:pt idx="4">
                  <c:v>1.5541</c:v>
                </c:pt>
                <c:pt idx="5">
                  <c:v>1.5538</c:v>
                </c:pt>
                <c:pt idx="6">
                  <c:v>1.5431</c:v>
                </c:pt>
                <c:pt idx="7">
                  <c:v>1.549</c:v>
                </c:pt>
                <c:pt idx="8">
                  <c:v>1.5447</c:v>
                </c:pt>
                <c:pt idx="9">
                  <c:v>1.5474</c:v>
                </c:pt>
                <c:pt idx="10">
                  <c:v>1.5515</c:v>
                </c:pt>
                <c:pt idx="11">
                  <c:v>1.5547</c:v>
                </c:pt>
                <c:pt idx="12">
                  <c:v>1.5454</c:v>
                </c:pt>
                <c:pt idx="13">
                  <c:v>1.5455</c:v>
                </c:pt>
                <c:pt idx="14">
                  <c:v>1.5326</c:v>
                </c:pt>
                <c:pt idx="15">
                  <c:v>1.5293</c:v>
                </c:pt>
                <c:pt idx="16">
                  <c:v>1.5218</c:v>
                </c:pt>
                <c:pt idx="17">
                  <c:v>1.5186</c:v>
                </c:pt>
                <c:pt idx="18">
                  <c:v>1.5211</c:v>
                </c:pt>
                <c:pt idx="19">
                  <c:v>1.5126</c:v>
                </c:pt>
                <c:pt idx="20">
                  <c:v>1.5138</c:v>
                </c:pt>
                <c:pt idx="21">
                  <c:v>1.5188</c:v>
                </c:pt>
                <c:pt idx="22">
                  <c:v>1.5181</c:v>
                </c:pt>
                <c:pt idx="23">
                  <c:v>1.5211</c:v>
                </c:pt>
                <c:pt idx="24">
                  <c:v>1.5319</c:v>
                </c:pt>
                <c:pt idx="25">
                  <c:v>1.5258</c:v>
                </c:pt>
                <c:pt idx="26">
                  <c:v>1.5103</c:v>
                </c:pt>
                <c:pt idx="27">
                  <c:v>1.5001</c:v>
                </c:pt>
                <c:pt idx="28">
                  <c:v>1.5079</c:v>
                </c:pt>
                <c:pt idx="29">
                  <c:v>1.5037</c:v>
                </c:pt>
                <c:pt idx="30">
                  <c:v>1.5003</c:v>
                </c:pt>
                <c:pt idx="31">
                  <c:v>1.4901</c:v>
                </c:pt>
                <c:pt idx="32">
                  <c:v>1.4815</c:v>
                </c:pt>
                <c:pt idx="33">
                  <c:v>1.4727</c:v>
                </c:pt>
                <c:pt idx="34">
                  <c:v>1.4793</c:v>
                </c:pt>
                <c:pt idx="35">
                  <c:v>1.4753</c:v>
                </c:pt>
                <c:pt idx="36">
                  <c:v>1.4698</c:v>
                </c:pt>
                <c:pt idx="37">
                  <c:v>1.4677</c:v>
                </c:pt>
                <c:pt idx="38">
                  <c:v>1.4596</c:v>
                </c:pt>
                <c:pt idx="39">
                  <c:v>1.4613</c:v>
                </c:pt>
                <c:pt idx="40">
                  <c:v>1.4565</c:v>
                </c:pt>
                <c:pt idx="41">
                  <c:v>1.4475</c:v>
                </c:pt>
                <c:pt idx="42">
                  <c:v>1.4587</c:v>
                </c:pt>
                <c:pt idx="43">
                  <c:v>1.4579</c:v>
                </c:pt>
                <c:pt idx="44">
                  <c:v>1.4715</c:v>
                </c:pt>
                <c:pt idx="45">
                  <c:v>1.469</c:v>
                </c:pt>
                <c:pt idx="46">
                  <c:v>1.4835</c:v>
                </c:pt>
                <c:pt idx="47">
                  <c:v>1.4919</c:v>
                </c:pt>
                <c:pt idx="48">
                  <c:v>1.5219</c:v>
                </c:pt>
                <c:pt idx="49">
                  <c:v>1.5321</c:v>
                </c:pt>
                <c:pt idx="50">
                  <c:v>1.53</c:v>
                </c:pt>
                <c:pt idx="51">
                  <c:v>1.5301</c:v>
                </c:pt>
                <c:pt idx="52">
                  <c:v>1.5373</c:v>
                </c:pt>
                <c:pt idx="53">
                  <c:v>1.5208</c:v>
                </c:pt>
                <c:pt idx="54">
                  <c:v>1.5208</c:v>
                </c:pt>
                <c:pt idx="55">
                  <c:v>1.5243</c:v>
                </c:pt>
                <c:pt idx="56">
                  <c:v>1.5226</c:v>
                </c:pt>
                <c:pt idx="57">
                  <c:v>1.5167</c:v>
                </c:pt>
                <c:pt idx="58">
                  <c:v>1.5103</c:v>
                </c:pt>
                <c:pt idx="59">
                  <c:v>1.5036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cc72d0-ca15-460d-86e0-cd98bd8910a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1.7658,1.762,1.7426,1.7358,1.7234,1.7219,1.7254,1.7261,1.7307,1.7339,1.7249,1.7311,1.7295,1.7253,1.725,1.7369,1.7365,1.7451,1.742,1.7388,1.7341,1.7393,1.7399,1.7418,1.7339,1.7369,1.7297,1.7222,1.7146,1.7032,1.7105,1.701,1.6908,1.6885,1.6917,1.6875,1.6747,1.6646,1.6555,1.651,1.6454,1.6461,1.6476,1.6412,1.6421,1.6559,1.6684,1.6667,1.6997,1.7114,1.7097,1.7056,1.6894,1.6692,1.6668,1.6736,1.6706,1.6587,1.6537,1.6402}</c:f>
              <c:numCache>
                <c:formatCode>General</c:formatCode>
                <c:ptCount val="60"/>
                <c:pt idx="0">
                  <c:v>1.7658</c:v>
                </c:pt>
                <c:pt idx="1">
                  <c:v>1.762</c:v>
                </c:pt>
                <c:pt idx="2">
                  <c:v>1.7426</c:v>
                </c:pt>
                <c:pt idx="3">
                  <c:v>1.7358</c:v>
                </c:pt>
                <c:pt idx="4">
                  <c:v>1.7234</c:v>
                </c:pt>
                <c:pt idx="5">
                  <c:v>1.7219</c:v>
                </c:pt>
                <c:pt idx="6">
                  <c:v>1.7254</c:v>
                </c:pt>
                <c:pt idx="7">
                  <c:v>1.7261</c:v>
                </c:pt>
                <c:pt idx="8">
                  <c:v>1.7307</c:v>
                </c:pt>
                <c:pt idx="9">
                  <c:v>1.7339</c:v>
                </c:pt>
                <c:pt idx="10">
                  <c:v>1.7249</c:v>
                </c:pt>
                <c:pt idx="11">
                  <c:v>1.7311</c:v>
                </c:pt>
                <c:pt idx="12">
                  <c:v>1.7295</c:v>
                </c:pt>
                <c:pt idx="13">
                  <c:v>1.7253</c:v>
                </c:pt>
                <c:pt idx="14">
                  <c:v>1.725</c:v>
                </c:pt>
                <c:pt idx="15">
                  <c:v>1.7369</c:v>
                </c:pt>
                <c:pt idx="16">
                  <c:v>1.7365</c:v>
                </c:pt>
                <c:pt idx="17">
                  <c:v>1.7451</c:v>
                </c:pt>
                <c:pt idx="18">
                  <c:v>1.742</c:v>
                </c:pt>
                <c:pt idx="19">
                  <c:v>1.7388</c:v>
                </c:pt>
                <c:pt idx="20">
                  <c:v>1.7341</c:v>
                </c:pt>
                <c:pt idx="21">
                  <c:v>1.7393</c:v>
                </c:pt>
                <c:pt idx="22">
                  <c:v>1.7399</c:v>
                </c:pt>
                <c:pt idx="23">
                  <c:v>1.7418</c:v>
                </c:pt>
                <c:pt idx="24">
                  <c:v>1.7339</c:v>
                </c:pt>
                <c:pt idx="25">
                  <c:v>1.7369</c:v>
                </c:pt>
                <c:pt idx="26">
                  <c:v>1.7297</c:v>
                </c:pt>
                <c:pt idx="27">
                  <c:v>1.7222</c:v>
                </c:pt>
                <c:pt idx="28">
                  <c:v>1.7146</c:v>
                </c:pt>
                <c:pt idx="29">
                  <c:v>1.7032</c:v>
                </c:pt>
                <c:pt idx="30">
                  <c:v>1.7105</c:v>
                </c:pt>
                <c:pt idx="31">
                  <c:v>1.701</c:v>
                </c:pt>
                <c:pt idx="32">
                  <c:v>1.6908</c:v>
                </c:pt>
                <c:pt idx="33">
                  <c:v>1.6885</c:v>
                </c:pt>
                <c:pt idx="34">
                  <c:v>1.6917</c:v>
                </c:pt>
                <c:pt idx="35">
                  <c:v>1.6875</c:v>
                </c:pt>
                <c:pt idx="36">
                  <c:v>1.6747</c:v>
                </c:pt>
                <c:pt idx="37">
                  <c:v>1.6646</c:v>
                </c:pt>
                <c:pt idx="38">
                  <c:v>1.6555</c:v>
                </c:pt>
                <c:pt idx="39">
                  <c:v>1.651</c:v>
                </c:pt>
                <c:pt idx="40">
                  <c:v>1.6454</c:v>
                </c:pt>
                <c:pt idx="41">
                  <c:v>1.6461</c:v>
                </c:pt>
                <c:pt idx="42">
                  <c:v>1.6476</c:v>
                </c:pt>
                <c:pt idx="43">
                  <c:v>1.6412</c:v>
                </c:pt>
                <c:pt idx="44">
                  <c:v>1.6421</c:v>
                </c:pt>
                <c:pt idx="45">
                  <c:v>1.6559</c:v>
                </c:pt>
                <c:pt idx="46">
                  <c:v>1.6684</c:v>
                </c:pt>
                <c:pt idx="47">
                  <c:v>1.6667</c:v>
                </c:pt>
                <c:pt idx="48">
                  <c:v>1.6997</c:v>
                </c:pt>
                <c:pt idx="49">
                  <c:v>1.7114</c:v>
                </c:pt>
                <c:pt idx="50">
                  <c:v>1.7097</c:v>
                </c:pt>
                <c:pt idx="51">
                  <c:v>1.7056</c:v>
                </c:pt>
                <c:pt idx="52">
                  <c:v>1.6894</c:v>
                </c:pt>
                <c:pt idx="53">
                  <c:v>1.6692</c:v>
                </c:pt>
                <c:pt idx="54">
                  <c:v>1.6668</c:v>
                </c:pt>
                <c:pt idx="55">
                  <c:v>1.6736</c:v>
                </c:pt>
                <c:pt idx="56">
                  <c:v>1.6706</c:v>
                </c:pt>
                <c:pt idx="57">
                  <c:v>1.6587</c:v>
                </c:pt>
                <c:pt idx="58">
                  <c:v>1.6537</c:v>
                </c:pt>
                <c:pt idx="59">
                  <c:v>1.6402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8e3712a-7835-4c1f-89a7-8e7aecd6974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1.7536,1.7493,1.7345,1.7268,1.7218,1.7017,1.7068,1.7145,1.7179,1.7196,1.7232,1.7182,1.7151,1.7097,1.7057,1.7053,1.7041,1.7083,1.7243,1.7146,1.7179,1.724,1.7234,1.7271,1.7274,1.7287,1.7146,1.7047,1.7027,1.6973,1.6943,1.6959,1.6697,1.6665,1.6734,1.6688,1.6658,1.6592,1.6502,1.6365,1.6219,1.6132,1.6219,1.6106,1.6147,1.6083,1.6182,1.6179,1.6585,1.6585,1.6577,1.6511,1.6444,1.6417,1.6341,1.6295,1.6437,1.6374,1.633,1.6053}</c:f>
              <c:numCache>
                <c:formatCode>General</c:formatCode>
                <c:ptCount val="60"/>
                <c:pt idx="0">
                  <c:v>1.7536</c:v>
                </c:pt>
                <c:pt idx="1">
                  <c:v>1.7493</c:v>
                </c:pt>
                <c:pt idx="2">
                  <c:v>1.7345</c:v>
                </c:pt>
                <c:pt idx="3">
                  <c:v>1.7268</c:v>
                </c:pt>
                <c:pt idx="4">
                  <c:v>1.7218</c:v>
                </c:pt>
                <c:pt idx="5">
                  <c:v>1.7017</c:v>
                </c:pt>
                <c:pt idx="6">
                  <c:v>1.7068</c:v>
                </c:pt>
                <c:pt idx="7">
                  <c:v>1.7145</c:v>
                </c:pt>
                <c:pt idx="8">
                  <c:v>1.7179</c:v>
                </c:pt>
                <c:pt idx="9">
                  <c:v>1.7196</c:v>
                </c:pt>
                <c:pt idx="10">
                  <c:v>1.7232</c:v>
                </c:pt>
                <c:pt idx="11">
                  <c:v>1.7182</c:v>
                </c:pt>
                <c:pt idx="12">
                  <c:v>1.7151</c:v>
                </c:pt>
                <c:pt idx="13">
                  <c:v>1.7097</c:v>
                </c:pt>
                <c:pt idx="14">
                  <c:v>1.7057</c:v>
                </c:pt>
                <c:pt idx="15">
                  <c:v>1.7053</c:v>
                </c:pt>
                <c:pt idx="16">
                  <c:v>1.7041</c:v>
                </c:pt>
                <c:pt idx="17">
                  <c:v>1.7083</c:v>
                </c:pt>
                <c:pt idx="18">
                  <c:v>1.7243</c:v>
                </c:pt>
                <c:pt idx="19">
                  <c:v>1.7146</c:v>
                </c:pt>
                <c:pt idx="20">
                  <c:v>1.7179</c:v>
                </c:pt>
                <c:pt idx="21">
                  <c:v>1.724</c:v>
                </c:pt>
                <c:pt idx="22">
                  <c:v>1.7234</c:v>
                </c:pt>
                <c:pt idx="23">
                  <c:v>1.7271</c:v>
                </c:pt>
                <c:pt idx="24">
                  <c:v>1.7274</c:v>
                </c:pt>
                <c:pt idx="25">
                  <c:v>1.7287</c:v>
                </c:pt>
                <c:pt idx="26">
                  <c:v>1.7146</c:v>
                </c:pt>
                <c:pt idx="27">
                  <c:v>1.7047</c:v>
                </c:pt>
                <c:pt idx="28">
                  <c:v>1.7027</c:v>
                </c:pt>
                <c:pt idx="29">
                  <c:v>1.6973</c:v>
                </c:pt>
                <c:pt idx="30">
                  <c:v>1.6943</c:v>
                </c:pt>
                <c:pt idx="31">
                  <c:v>1.6959</c:v>
                </c:pt>
                <c:pt idx="32">
                  <c:v>1.6697</c:v>
                </c:pt>
                <c:pt idx="33">
                  <c:v>1.6665</c:v>
                </c:pt>
                <c:pt idx="34">
                  <c:v>1.6734</c:v>
                </c:pt>
                <c:pt idx="35">
                  <c:v>1.6688</c:v>
                </c:pt>
                <c:pt idx="36">
                  <c:v>1.6658</c:v>
                </c:pt>
                <c:pt idx="37">
                  <c:v>1.6592</c:v>
                </c:pt>
                <c:pt idx="38">
                  <c:v>1.6502</c:v>
                </c:pt>
                <c:pt idx="39">
                  <c:v>1.6365</c:v>
                </c:pt>
                <c:pt idx="40">
                  <c:v>1.6219</c:v>
                </c:pt>
                <c:pt idx="41">
                  <c:v>1.6132</c:v>
                </c:pt>
                <c:pt idx="42">
                  <c:v>1.6219</c:v>
                </c:pt>
                <c:pt idx="43">
                  <c:v>1.6106</c:v>
                </c:pt>
                <c:pt idx="44">
                  <c:v>1.6147</c:v>
                </c:pt>
                <c:pt idx="45">
                  <c:v>1.6083</c:v>
                </c:pt>
                <c:pt idx="46">
                  <c:v>1.6182</c:v>
                </c:pt>
                <c:pt idx="47">
                  <c:v>1.6179</c:v>
                </c:pt>
                <c:pt idx="48">
                  <c:v>1.6585</c:v>
                </c:pt>
                <c:pt idx="49">
                  <c:v>1.6585</c:v>
                </c:pt>
                <c:pt idx="50">
                  <c:v>1.6577</c:v>
                </c:pt>
                <c:pt idx="51">
                  <c:v>1.6511</c:v>
                </c:pt>
                <c:pt idx="52">
                  <c:v>1.6444</c:v>
                </c:pt>
                <c:pt idx="53">
                  <c:v>1.6417</c:v>
                </c:pt>
                <c:pt idx="54">
                  <c:v>1.6341</c:v>
                </c:pt>
                <c:pt idx="55">
                  <c:v>1.6295</c:v>
                </c:pt>
                <c:pt idx="56">
                  <c:v>1.6437</c:v>
                </c:pt>
                <c:pt idx="57">
                  <c:v>1.6374</c:v>
                </c:pt>
                <c:pt idx="58">
                  <c:v>1.633</c:v>
                </c:pt>
                <c:pt idx="59">
                  <c:v>1.6053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8a770da-c2a0-43bb-9432-539ca3de275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2.3667,2.3733,2.3725,2.3597,2.3377,2.3393,2.3055,2.2816,2.2805,2.2784,2.281,2.25,2.2556,2.2375,2.2137,2.2353,2.2472,2.2557,2.242,2.219,2.218,2.239,2.238,2.2455,2.248,2.2361,2.232,2.234,2.241,2.253,2.244,2.221,2.2311,2.231,2.2345,2.226,2.2205,2.208,2.2095,2.205,2.191,2.191,2.205,2.191,2.204,2.213,2.22,2.235,2.238,2.2215,2.2215,2.2175,2.2181,2.2201,2.2216,2.2291,2.2311,2.2201,2.2176,2.209}</c:f>
              <c:numCache>
                <c:formatCode>General</c:formatCode>
                <c:ptCount val="60"/>
                <c:pt idx="0">
                  <c:v>2.3667</c:v>
                </c:pt>
                <c:pt idx="1">
                  <c:v>2.3733</c:v>
                </c:pt>
                <c:pt idx="2">
                  <c:v>2.3725</c:v>
                </c:pt>
                <c:pt idx="3">
                  <c:v>2.3597</c:v>
                </c:pt>
                <c:pt idx="4">
                  <c:v>2.3377</c:v>
                </c:pt>
                <c:pt idx="5">
                  <c:v>2.3393</c:v>
                </c:pt>
                <c:pt idx="6">
                  <c:v>2.3055</c:v>
                </c:pt>
                <c:pt idx="7">
                  <c:v>2.2816</c:v>
                </c:pt>
                <c:pt idx="8">
                  <c:v>2.2805</c:v>
                </c:pt>
                <c:pt idx="9">
                  <c:v>2.2784</c:v>
                </c:pt>
                <c:pt idx="10">
                  <c:v>2.281</c:v>
                </c:pt>
                <c:pt idx="11">
                  <c:v>2.25</c:v>
                </c:pt>
                <c:pt idx="12">
                  <c:v>2.2556</c:v>
                </c:pt>
                <c:pt idx="13">
                  <c:v>2.2375</c:v>
                </c:pt>
                <c:pt idx="14">
                  <c:v>2.2137</c:v>
                </c:pt>
                <c:pt idx="15">
                  <c:v>2.2353</c:v>
                </c:pt>
                <c:pt idx="16">
                  <c:v>2.2472</c:v>
                </c:pt>
                <c:pt idx="17">
                  <c:v>2.2557</c:v>
                </c:pt>
                <c:pt idx="18">
                  <c:v>2.242</c:v>
                </c:pt>
                <c:pt idx="19">
                  <c:v>2.219</c:v>
                </c:pt>
                <c:pt idx="20">
                  <c:v>2.218</c:v>
                </c:pt>
                <c:pt idx="21">
                  <c:v>2.239</c:v>
                </c:pt>
                <c:pt idx="22">
                  <c:v>2.238</c:v>
                </c:pt>
                <c:pt idx="23">
                  <c:v>2.2455</c:v>
                </c:pt>
                <c:pt idx="24">
                  <c:v>2.248</c:v>
                </c:pt>
                <c:pt idx="25">
                  <c:v>2.2361</c:v>
                </c:pt>
                <c:pt idx="26">
                  <c:v>2.232</c:v>
                </c:pt>
                <c:pt idx="27">
                  <c:v>2.234</c:v>
                </c:pt>
                <c:pt idx="28">
                  <c:v>2.241</c:v>
                </c:pt>
                <c:pt idx="29">
                  <c:v>2.253</c:v>
                </c:pt>
                <c:pt idx="30">
                  <c:v>2.244</c:v>
                </c:pt>
                <c:pt idx="31">
                  <c:v>2.221</c:v>
                </c:pt>
                <c:pt idx="32">
                  <c:v>2.2311</c:v>
                </c:pt>
                <c:pt idx="33">
                  <c:v>2.231</c:v>
                </c:pt>
                <c:pt idx="34">
                  <c:v>2.2345</c:v>
                </c:pt>
                <c:pt idx="35">
                  <c:v>2.226</c:v>
                </c:pt>
                <c:pt idx="36">
                  <c:v>2.2205</c:v>
                </c:pt>
                <c:pt idx="37">
                  <c:v>2.208</c:v>
                </c:pt>
                <c:pt idx="38">
                  <c:v>2.2095</c:v>
                </c:pt>
                <c:pt idx="39">
                  <c:v>2.205</c:v>
                </c:pt>
                <c:pt idx="40">
                  <c:v>2.191</c:v>
                </c:pt>
                <c:pt idx="41">
                  <c:v>2.191</c:v>
                </c:pt>
                <c:pt idx="42">
                  <c:v>2.205</c:v>
                </c:pt>
                <c:pt idx="43">
                  <c:v>2.191</c:v>
                </c:pt>
                <c:pt idx="44">
                  <c:v>2.204</c:v>
                </c:pt>
                <c:pt idx="45">
                  <c:v>2.213</c:v>
                </c:pt>
                <c:pt idx="46">
                  <c:v>2.22</c:v>
                </c:pt>
                <c:pt idx="47">
                  <c:v>2.235</c:v>
                </c:pt>
                <c:pt idx="48">
                  <c:v>2.238</c:v>
                </c:pt>
                <c:pt idx="49">
                  <c:v>2.2215</c:v>
                </c:pt>
                <c:pt idx="50">
                  <c:v>2.2215</c:v>
                </c:pt>
                <c:pt idx="51">
                  <c:v>2.2175</c:v>
                </c:pt>
                <c:pt idx="52">
                  <c:v>2.2181</c:v>
                </c:pt>
                <c:pt idx="53">
                  <c:v>2.2201</c:v>
                </c:pt>
                <c:pt idx="54">
                  <c:v>2.2216</c:v>
                </c:pt>
                <c:pt idx="55">
                  <c:v>2.2291</c:v>
                </c:pt>
                <c:pt idx="56">
                  <c:v>2.2311</c:v>
                </c:pt>
                <c:pt idx="57">
                  <c:v>2.2201</c:v>
                </c:pt>
                <c:pt idx="58">
                  <c:v>2.2176</c:v>
                </c:pt>
                <c:pt idx="59">
                  <c:v>2.209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5f3aca3-7c82-41b8-b9a3-6280c3da5dc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1.9551,1.9553,1.9451,1.9326,1.9209,1.926,1.911,1.8868,1.8745,1.869,1.8681,1.8408,1.8374,1.8348,1.8304,1.8464,1.8639,1.8744,1.8505,1.8306,1.838,1.8523,1.8407,1.8332,1.8327,1.8298,1.8238,1.8153,1.8232,1.8274,1.8209,1.8059,1.8116,1.8158,1.8233,1.8165,1.811,1.7776,1.7693,1.7669,1.7592,1.7603,1.7678,1.7613,1.771,1.781,1.791,1.807,1.816,1.802,1.802,1.783,1.774,1.775,1.784,1.791,1.789,1.777,1.777,1.765}</c:f>
              <c:numCache>
                <c:formatCode>General</c:formatCode>
                <c:ptCount val="60"/>
                <c:pt idx="0">
                  <c:v>1.9551</c:v>
                </c:pt>
                <c:pt idx="1">
                  <c:v>1.9553</c:v>
                </c:pt>
                <c:pt idx="2">
                  <c:v>1.9451</c:v>
                </c:pt>
                <c:pt idx="3">
                  <c:v>1.9326</c:v>
                </c:pt>
                <c:pt idx="4">
                  <c:v>1.9209</c:v>
                </c:pt>
                <c:pt idx="5">
                  <c:v>1.926</c:v>
                </c:pt>
                <c:pt idx="6">
                  <c:v>1.911</c:v>
                </c:pt>
                <c:pt idx="7">
                  <c:v>1.8868</c:v>
                </c:pt>
                <c:pt idx="8">
                  <c:v>1.8745</c:v>
                </c:pt>
                <c:pt idx="9">
                  <c:v>1.869</c:v>
                </c:pt>
                <c:pt idx="10">
                  <c:v>1.8681</c:v>
                </c:pt>
                <c:pt idx="11">
                  <c:v>1.8408</c:v>
                </c:pt>
                <c:pt idx="12">
                  <c:v>1.8374</c:v>
                </c:pt>
                <c:pt idx="13">
                  <c:v>1.8348</c:v>
                </c:pt>
                <c:pt idx="14">
                  <c:v>1.8304</c:v>
                </c:pt>
                <c:pt idx="15">
                  <c:v>1.8464</c:v>
                </c:pt>
                <c:pt idx="16">
                  <c:v>1.8639</c:v>
                </c:pt>
                <c:pt idx="17">
                  <c:v>1.8744</c:v>
                </c:pt>
                <c:pt idx="18">
                  <c:v>1.8505</c:v>
                </c:pt>
                <c:pt idx="19">
                  <c:v>1.8306</c:v>
                </c:pt>
                <c:pt idx="20">
                  <c:v>1.838</c:v>
                </c:pt>
                <c:pt idx="21">
                  <c:v>1.8523</c:v>
                </c:pt>
                <c:pt idx="22">
                  <c:v>1.8407</c:v>
                </c:pt>
                <c:pt idx="23">
                  <c:v>1.8332</c:v>
                </c:pt>
                <c:pt idx="24">
                  <c:v>1.8327</c:v>
                </c:pt>
                <c:pt idx="25">
                  <c:v>1.8298</c:v>
                </c:pt>
                <c:pt idx="26">
                  <c:v>1.8238</c:v>
                </c:pt>
                <c:pt idx="27">
                  <c:v>1.8153</c:v>
                </c:pt>
                <c:pt idx="28">
                  <c:v>1.8232</c:v>
                </c:pt>
                <c:pt idx="29">
                  <c:v>1.8274</c:v>
                </c:pt>
                <c:pt idx="30">
                  <c:v>1.8209</c:v>
                </c:pt>
                <c:pt idx="31">
                  <c:v>1.8059</c:v>
                </c:pt>
                <c:pt idx="32">
                  <c:v>1.8116</c:v>
                </c:pt>
                <c:pt idx="33">
                  <c:v>1.8158</c:v>
                </c:pt>
                <c:pt idx="34">
                  <c:v>1.8233</c:v>
                </c:pt>
                <c:pt idx="35">
                  <c:v>1.8165</c:v>
                </c:pt>
                <c:pt idx="36">
                  <c:v>1.811</c:v>
                </c:pt>
                <c:pt idx="37">
                  <c:v>1.7776</c:v>
                </c:pt>
                <c:pt idx="38">
                  <c:v>1.7693</c:v>
                </c:pt>
                <c:pt idx="39">
                  <c:v>1.7669</c:v>
                </c:pt>
                <c:pt idx="40">
                  <c:v>1.7592</c:v>
                </c:pt>
                <c:pt idx="41">
                  <c:v>1.7603</c:v>
                </c:pt>
                <c:pt idx="42">
                  <c:v>1.7678</c:v>
                </c:pt>
                <c:pt idx="43">
                  <c:v>1.7613</c:v>
                </c:pt>
                <c:pt idx="44">
                  <c:v>1.771</c:v>
                </c:pt>
                <c:pt idx="45">
                  <c:v>1.781</c:v>
                </c:pt>
                <c:pt idx="46">
                  <c:v>1.791</c:v>
                </c:pt>
                <c:pt idx="47">
                  <c:v>1.807</c:v>
                </c:pt>
                <c:pt idx="48">
                  <c:v>1.816</c:v>
                </c:pt>
                <c:pt idx="49">
                  <c:v>1.802</c:v>
                </c:pt>
                <c:pt idx="50">
                  <c:v>1.802</c:v>
                </c:pt>
                <c:pt idx="51">
                  <c:v>1.783</c:v>
                </c:pt>
                <c:pt idx="52">
                  <c:v>1.774</c:v>
                </c:pt>
                <c:pt idx="53">
                  <c:v>1.775</c:v>
                </c:pt>
                <c:pt idx="54">
                  <c:v>1.784</c:v>
                </c:pt>
                <c:pt idx="55">
                  <c:v>1.791</c:v>
                </c:pt>
                <c:pt idx="56">
                  <c:v>1.789</c:v>
                </c:pt>
                <c:pt idx="57">
                  <c:v>1.777</c:v>
                </c:pt>
                <c:pt idx="58">
                  <c:v>1.777</c:v>
                </c:pt>
                <c:pt idx="59">
                  <c:v>1.765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3e68656-fa7f-4ac8-b1f1-d363c6b0b3b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2.2436,2.2438,2.2391,2.2291,2.222,2.212,2.2,2.1948,2.1739,2.1775,2.1746,2.1693,2.1677,2.1605,2.1505,2.1544,2.1754,2.1893,2.1917,2.1805,2.1805,2.1997,2.1852,2.1805,2.1758,2.1757,2.1731,2.1626,2.1629,2.1735,2.1815,2.1524,2.1443,2.1535,2.1553,2.1532,2.1336,2.127,2.1157,2.0995,2.0936,2.0901,2.0895,2.0854,2.0699,2.0808,2.0985,2.1179,2.1475,2.1433,2.1395,2.1234,2.1127,2.1121,2.1122,2.1235,2.1122,2.1022,2.0861,2.0818}</c:f>
              <c:numCache>
                <c:formatCode>General</c:formatCode>
                <c:ptCount val="60"/>
                <c:pt idx="0">
                  <c:v>2.2436</c:v>
                </c:pt>
                <c:pt idx="1">
                  <c:v>2.2438</c:v>
                </c:pt>
                <c:pt idx="2">
                  <c:v>2.2391</c:v>
                </c:pt>
                <c:pt idx="3">
                  <c:v>2.2291</c:v>
                </c:pt>
                <c:pt idx="4">
                  <c:v>2.222</c:v>
                </c:pt>
                <c:pt idx="5">
                  <c:v>2.212</c:v>
                </c:pt>
                <c:pt idx="6">
                  <c:v>2.2</c:v>
                </c:pt>
                <c:pt idx="7">
                  <c:v>2.1948</c:v>
                </c:pt>
                <c:pt idx="8">
                  <c:v>2.1739</c:v>
                </c:pt>
                <c:pt idx="9">
                  <c:v>2.1775</c:v>
                </c:pt>
                <c:pt idx="10">
                  <c:v>2.1746</c:v>
                </c:pt>
                <c:pt idx="11">
                  <c:v>2.1693</c:v>
                </c:pt>
                <c:pt idx="12">
                  <c:v>2.1677</c:v>
                </c:pt>
                <c:pt idx="13">
                  <c:v>2.1605</c:v>
                </c:pt>
                <c:pt idx="14">
                  <c:v>2.1505</c:v>
                </c:pt>
                <c:pt idx="15">
                  <c:v>2.1544</c:v>
                </c:pt>
                <c:pt idx="16">
                  <c:v>2.1754</c:v>
                </c:pt>
                <c:pt idx="17">
                  <c:v>2.1893</c:v>
                </c:pt>
                <c:pt idx="18">
                  <c:v>2.1917</c:v>
                </c:pt>
                <c:pt idx="19">
                  <c:v>2.1805</c:v>
                </c:pt>
                <c:pt idx="20">
                  <c:v>2.1805</c:v>
                </c:pt>
                <c:pt idx="21">
                  <c:v>2.1997</c:v>
                </c:pt>
                <c:pt idx="22">
                  <c:v>2.1852</c:v>
                </c:pt>
                <c:pt idx="23">
                  <c:v>2.1805</c:v>
                </c:pt>
                <c:pt idx="24">
                  <c:v>2.1758</c:v>
                </c:pt>
                <c:pt idx="25">
                  <c:v>2.1757</c:v>
                </c:pt>
                <c:pt idx="26">
                  <c:v>2.1731</c:v>
                </c:pt>
                <c:pt idx="27">
                  <c:v>2.1626</c:v>
                </c:pt>
                <c:pt idx="28">
                  <c:v>2.1629</c:v>
                </c:pt>
                <c:pt idx="29">
                  <c:v>2.1735</c:v>
                </c:pt>
                <c:pt idx="30">
                  <c:v>2.1815</c:v>
                </c:pt>
                <c:pt idx="31">
                  <c:v>2.1524</c:v>
                </c:pt>
                <c:pt idx="32">
                  <c:v>2.1443</c:v>
                </c:pt>
                <c:pt idx="33">
                  <c:v>2.1535</c:v>
                </c:pt>
                <c:pt idx="34">
                  <c:v>2.1553</c:v>
                </c:pt>
                <c:pt idx="35">
                  <c:v>2.1532</c:v>
                </c:pt>
                <c:pt idx="36">
                  <c:v>2.1336</c:v>
                </c:pt>
                <c:pt idx="37">
                  <c:v>2.127</c:v>
                </c:pt>
                <c:pt idx="38">
                  <c:v>2.1157</c:v>
                </c:pt>
                <c:pt idx="39">
                  <c:v>2.0995</c:v>
                </c:pt>
                <c:pt idx="40">
                  <c:v>2.0936</c:v>
                </c:pt>
                <c:pt idx="41">
                  <c:v>2.0901</c:v>
                </c:pt>
                <c:pt idx="42">
                  <c:v>2.0895</c:v>
                </c:pt>
                <c:pt idx="43">
                  <c:v>2.0854</c:v>
                </c:pt>
                <c:pt idx="44">
                  <c:v>2.0699</c:v>
                </c:pt>
                <c:pt idx="45">
                  <c:v>2.0808</c:v>
                </c:pt>
                <c:pt idx="46">
                  <c:v>2.0985</c:v>
                </c:pt>
                <c:pt idx="47">
                  <c:v>2.1179</c:v>
                </c:pt>
                <c:pt idx="48">
                  <c:v>2.1475</c:v>
                </c:pt>
                <c:pt idx="49">
                  <c:v>2.1433</c:v>
                </c:pt>
                <c:pt idx="50">
                  <c:v>2.1395</c:v>
                </c:pt>
                <c:pt idx="51">
                  <c:v>2.1234</c:v>
                </c:pt>
                <c:pt idx="52">
                  <c:v>2.1127</c:v>
                </c:pt>
                <c:pt idx="53">
                  <c:v>2.1121</c:v>
                </c:pt>
                <c:pt idx="54">
                  <c:v>2.1122</c:v>
                </c:pt>
                <c:pt idx="55">
                  <c:v>2.1235</c:v>
                </c:pt>
                <c:pt idx="56">
                  <c:v>2.1122</c:v>
                </c:pt>
                <c:pt idx="57">
                  <c:v>2.1022</c:v>
                </c:pt>
                <c:pt idx="58">
                  <c:v>2.0861</c:v>
                </c:pt>
                <c:pt idx="59">
                  <c:v>2.0818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4dcb730-55d2-41af-bda6-da5281aeac2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2.2811,2.2814,2.2717,2.2605,2.2505,2.2455,2.2334,2.2282,2.2163,2.2199,2.217,2.1964,2.1958,2.1953,2.1938,2.1934,2.1931,2.217,2.2123,2.205,2.2065,2.2257,2.2248,2.225,2.2203,2.2226,2.2262,2.2228,2.2289,2.2395,2.2475,2.2393,2.2247,2.2247,2.2266,2.1904,2.1704,2.1654,2.1501,2.1439,2.13,2.115,2.1051,2.1039,2.1103,2.1212,2.1302,2.1352,2.1703,2.1833,2.1817,2.1666,2.1482,2.1301,2.1309,2.1363,2.1407,2.1299,2.1331,2.1236}</c:f>
              <c:numCache>
                <c:formatCode>General</c:formatCode>
                <c:ptCount val="60"/>
                <c:pt idx="0">
                  <c:v>2.2811</c:v>
                </c:pt>
                <c:pt idx="1">
                  <c:v>2.2814</c:v>
                </c:pt>
                <c:pt idx="2">
                  <c:v>2.2717</c:v>
                </c:pt>
                <c:pt idx="3">
                  <c:v>2.2605</c:v>
                </c:pt>
                <c:pt idx="4">
                  <c:v>2.2505</c:v>
                </c:pt>
                <c:pt idx="5">
                  <c:v>2.2455</c:v>
                </c:pt>
                <c:pt idx="6">
                  <c:v>2.2334</c:v>
                </c:pt>
                <c:pt idx="7">
                  <c:v>2.2282</c:v>
                </c:pt>
                <c:pt idx="8">
                  <c:v>2.2163</c:v>
                </c:pt>
                <c:pt idx="9">
                  <c:v>2.2199</c:v>
                </c:pt>
                <c:pt idx="10">
                  <c:v>2.217</c:v>
                </c:pt>
                <c:pt idx="11">
                  <c:v>2.1964</c:v>
                </c:pt>
                <c:pt idx="12">
                  <c:v>2.1958</c:v>
                </c:pt>
                <c:pt idx="13">
                  <c:v>2.1953</c:v>
                </c:pt>
                <c:pt idx="14">
                  <c:v>2.1938</c:v>
                </c:pt>
                <c:pt idx="15">
                  <c:v>2.1934</c:v>
                </c:pt>
                <c:pt idx="16">
                  <c:v>2.1931</c:v>
                </c:pt>
                <c:pt idx="17">
                  <c:v>2.217</c:v>
                </c:pt>
                <c:pt idx="18">
                  <c:v>2.2123</c:v>
                </c:pt>
                <c:pt idx="19">
                  <c:v>2.205</c:v>
                </c:pt>
                <c:pt idx="20">
                  <c:v>2.2065</c:v>
                </c:pt>
                <c:pt idx="21">
                  <c:v>2.2257</c:v>
                </c:pt>
                <c:pt idx="22">
                  <c:v>2.2248</c:v>
                </c:pt>
                <c:pt idx="23">
                  <c:v>2.225</c:v>
                </c:pt>
                <c:pt idx="24">
                  <c:v>2.2203</c:v>
                </c:pt>
                <c:pt idx="25">
                  <c:v>2.2226</c:v>
                </c:pt>
                <c:pt idx="26">
                  <c:v>2.2262</c:v>
                </c:pt>
                <c:pt idx="27">
                  <c:v>2.2228</c:v>
                </c:pt>
                <c:pt idx="28">
                  <c:v>2.2289</c:v>
                </c:pt>
                <c:pt idx="29">
                  <c:v>2.2395</c:v>
                </c:pt>
                <c:pt idx="30">
                  <c:v>2.2475</c:v>
                </c:pt>
                <c:pt idx="31">
                  <c:v>2.2393</c:v>
                </c:pt>
                <c:pt idx="32">
                  <c:v>2.2247</c:v>
                </c:pt>
                <c:pt idx="33">
                  <c:v>2.2247</c:v>
                </c:pt>
                <c:pt idx="34">
                  <c:v>2.2266</c:v>
                </c:pt>
                <c:pt idx="35">
                  <c:v>2.1904</c:v>
                </c:pt>
                <c:pt idx="36">
                  <c:v>2.1704</c:v>
                </c:pt>
                <c:pt idx="37">
                  <c:v>2.1654</c:v>
                </c:pt>
                <c:pt idx="38">
                  <c:v>2.1501</c:v>
                </c:pt>
                <c:pt idx="39">
                  <c:v>2.1439</c:v>
                </c:pt>
                <c:pt idx="40">
                  <c:v>2.13</c:v>
                </c:pt>
                <c:pt idx="41">
                  <c:v>2.115</c:v>
                </c:pt>
                <c:pt idx="42">
                  <c:v>2.1051</c:v>
                </c:pt>
                <c:pt idx="43">
                  <c:v>2.1039</c:v>
                </c:pt>
                <c:pt idx="44">
                  <c:v>2.1103</c:v>
                </c:pt>
                <c:pt idx="45">
                  <c:v>2.1212</c:v>
                </c:pt>
                <c:pt idx="46">
                  <c:v>2.1302</c:v>
                </c:pt>
                <c:pt idx="47">
                  <c:v>2.1352</c:v>
                </c:pt>
                <c:pt idx="48">
                  <c:v>2.1703</c:v>
                </c:pt>
                <c:pt idx="49">
                  <c:v>2.1833</c:v>
                </c:pt>
                <c:pt idx="50">
                  <c:v>2.1817</c:v>
                </c:pt>
                <c:pt idx="51">
                  <c:v>2.1666</c:v>
                </c:pt>
                <c:pt idx="52">
                  <c:v>2.1482</c:v>
                </c:pt>
                <c:pt idx="53">
                  <c:v>2.1301</c:v>
                </c:pt>
                <c:pt idx="54">
                  <c:v>2.1309</c:v>
                </c:pt>
                <c:pt idx="55">
                  <c:v>2.1363</c:v>
                </c:pt>
                <c:pt idx="56">
                  <c:v>2.1407</c:v>
                </c:pt>
                <c:pt idx="57">
                  <c:v>2.1299</c:v>
                </c:pt>
                <c:pt idx="58">
                  <c:v>2.1331</c:v>
                </c:pt>
                <c:pt idx="59">
                  <c:v>2.1236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f73dc46-778a-4386-a325-ad7de975455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1.2693,1.2674,1.234,1.2201,1.2178,1.2209,1.2257,1.2258,1.2258,1.2228,1.2205,1.2219,1.2167,1.217,1.2181,1.2171,1.2188,1.2386,1.2397,1.2385,1.3196,1.2691,1.272,1.243,1.2179,1.2188,1.2583,1.267,1.2651,1.2646,1.2659,1.2667,1.2871,1.2897,1.323,1.329,1.3189,1.3152,1.3149,1.3349,1.3242,1.315,1.3229,1.3226,1.3408,1.3675,1.3965,1.3939,1.4046,1.4162,1.4356,1.436,1.4246,1.4317,1.4334,1.455,1.4119,1.4003,1.3702,1.3535}</c:f>
              <c:numCache>
                <c:formatCode>General</c:formatCode>
                <c:ptCount val="60"/>
                <c:pt idx="0">
                  <c:v>1.2693</c:v>
                </c:pt>
                <c:pt idx="1">
                  <c:v>1.2674</c:v>
                </c:pt>
                <c:pt idx="2">
                  <c:v>1.234</c:v>
                </c:pt>
                <c:pt idx="3">
                  <c:v>1.2201</c:v>
                </c:pt>
                <c:pt idx="4">
                  <c:v>1.2178</c:v>
                </c:pt>
                <c:pt idx="5">
                  <c:v>1.2209</c:v>
                </c:pt>
                <c:pt idx="6">
                  <c:v>1.2257</c:v>
                </c:pt>
                <c:pt idx="7">
                  <c:v>1.2258</c:v>
                </c:pt>
                <c:pt idx="8">
                  <c:v>1.2258</c:v>
                </c:pt>
                <c:pt idx="9">
                  <c:v>1.2228</c:v>
                </c:pt>
                <c:pt idx="10">
                  <c:v>1.2205</c:v>
                </c:pt>
                <c:pt idx="11">
                  <c:v>1.2219</c:v>
                </c:pt>
                <c:pt idx="12">
                  <c:v>1.2167</c:v>
                </c:pt>
                <c:pt idx="13">
                  <c:v>1.217</c:v>
                </c:pt>
                <c:pt idx="14">
                  <c:v>1.2181</c:v>
                </c:pt>
                <c:pt idx="15">
                  <c:v>1.2171</c:v>
                </c:pt>
                <c:pt idx="16">
                  <c:v>1.2188</c:v>
                </c:pt>
                <c:pt idx="17">
                  <c:v>1.2386</c:v>
                </c:pt>
                <c:pt idx="18">
                  <c:v>1.2397</c:v>
                </c:pt>
                <c:pt idx="19">
                  <c:v>1.2385</c:v>
                </c:pt>
                <c:pt idx="20">
                  <c:v>1.3196</c:v>
                </c:pt>
                <c:pt idx="21">
                  <c:v>1.2691</c:v>
                </c:pt>
                <c:pt idx="22">
                  <c:v>1.272</c:v>
                </c:pt>
                <c:pt idx="23">
                  <c:v>1.243</c:v>
                </c:pt>
                <c:pt idx="24">
                  <c:v>1.2179</c:v>
                </c:pt>
                <c:pt idx="25">
                  <c:v>1.2188</c:v>
                </c:pt>
                <c:pt idx="26">
                  <c:v>1.2583</c:v>
                </c:pt>
                <c:pt idx="27">
                  <c:v>1.267</c:v>
                </c:pt>
                <c:pt idx="28">
                  <c:v>1.2651</c:v>
                </c:pt>
                <c:pt idx="29">
                  <c:v>1.2646</c:v>
                </c:pt>
                <c:pt idx="30">
                  <c:v>1.2659</c:v>
                </c:pt>
                <c:pt idx="31">
                  <c:v>1.2667</c:v>
                </c:pt>
                <c:pt idx="32">
                  <c:v>1.2871</c:v>
                </c:pt>
                <c:pt idx="33">
                  <c:v>1.2897</c:v>
                </c:pt>
                <c:pt idx="34">
                  <c:v>1.323</c:v>
                </c:pt>
                <c:pt idx="35">
                  <c:v>1.329</c:v>
                </c:pt>
                <c:pt idx="36">
                  <c:v>1.3189</c:v>
                </c:pt>
                <c:pt idx="37">
                  <c:v>1.3152</c:v>
                </c:pt>
                <c:pt idx="38">
                  <c:v>1.3149</c:v>
                </c:pt>
                <c:pt idx="39">
                  <c:v>1.3349</c:v>
                </c:pt>
                <c:pt idx="40">
                  <c:v>1.3242</c:v>
                </c:pt>
                <c:pt idx="41">
                  <c:v>1.315</c:v>
                </c:pt>
                <c:pt idx="42">
                  <c:v>1.3229</c:v>
                </c:pt>
                <c:pt idx="43">
                  <c:v>1.3226</c:v>
                </c:pt>
                <c:pt idx="44">
                  <c:v>1.3408</c:v>
                </c:pt>
                <c:pt idx="45">
                  <c:v>1.3675</c:v>
                </c:pt>
                <c:pt idx="46">
                  <c:v>1.3965</c:v>
                </c:pt>
                <c:pt idx="47">
                  <c:v>1.3939</c:v>
                </c:pt>
                <c:pt idx="48">
                  <c:v>1.4046</c:v>
                </c:pt>
                <c:pt idx="49">
                  <c:v>1.4162</c:v>
                </c:pt>
                <c:pt idx="50">
                  <c:v>1.4356</c:v>
                </c:pt>
                <c:pt idx="51">
                  <c:v>1.436</c:v>
                </c:pt>
                <c:pt idx="52">
                  <c:v>1.4246</c:v>
                </c:pt>
                <c:pt idx="53">
                  <c:v>1.4317</c:v>
                </c:pt>
                <c:pt idx="54">
                  <c:v>1.4334</c:v>
                </c:pt>
                <c:pt idx="55">
                  <c:v>1.455</c:v>
                </c:pt>
                <c:pt idx="56">
                  <c:v>1.4119</c:v>
                </c:pt>
                <c:pt idx="57">
                  <c:v>1.4003</c:v>
                </c:pt>
                <c:pt idx="58">
                  <c:v>1.3702</c:v>
                </c:pt>
                <c:pt idx="59">
                  <c:v>1.3535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bdbcbbc-d6de-4e68-81e7-dec969e150b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1.4226,1.4094,1.3372,1.3226,1.3235,1.331,1.3233,1.3679,1.3648,1.3664,1.328,1.3201,1.3358,1.3271,1.3202,1.3238,1.3257,1.3611,1.363,1.3729,1.3897,1.3699,1.3724,1.3365,1.2987,1.3401,1.3011,1.2942,1.3021,1.3186,1.3283,1.3214,1.3287,1.328,1.3634,1.3936,1.3752,1.365,1.3578,1.3809,1.3644,1.3442,1.3428,1.3479,1.3822,1.4031,1.4154,1.4152,1.4435,1.4551,1.4671,1.4856,1.4645,1.4606,1.4713,1.4944,1.5434,1.5098,1.4672,1.4531}</c:f>
              <c:numCache>
                <c:formatCode>General</c:formatCode>
                <c:ptCount val="60"/>
                <c:pt idx="0">
                  <c:v>1.4226</c:v>
                </c:pt>
                <c:pt idx="1">
                  <c:v>1.4094</c:v>
                </c:pt>
                <c:pt idx="2">
                  <c:v>1.3372</c:v>
                </c:pt>
                <c:pt idx="3">
                  <c:v>1.3226</c:v>
                </c:pt>
                <c:pt idx="4">
                  <c:v>1.3235</c:v>
                </c:pt>
                <c:pt idx="5">
                  <c:v>1.331</c:v>
                </c:pt>
                <c:pt idx="6">
                  <c:v>1.3233</c:v>
                </c:pt>
                <c:pt idx="7">
                  <c:v>1.3679</c:v>
                </c:pt>
                <c:pt idx="8">
                  <c:v>1.3648</c:v>
                </c:pt>
                <c:pt idx="9">
                  <c:v>1.3664</c:v>
                </c:pt>
                <c:pt idx="10">
                  <c:v>1.328</c:v>
                </c:pt>
                <c:pt idx="11">
                  <c:v>1.3201</c:v>
                </c:pt>
                <c:pt idx="12">
                  <c:v>1.3358</c:v>
                </c:pt>
                <c:pt idx="13">
                  <c:v>1.3271</c:v>
                </c:pt>
                <c:pt idx="14">
                  <c:v>1.3202</c:v>
                </c:pt>
                <c:pt idx="15">
                  <c:v>1.3238</c:v>
                </c:pt>
                <c:pt idx="16">
                  <c:v>1.3257</c:v>
                </c:pt>
                <c:pt idx="17">
                  <c:v>1.3611</c:v>
                </c:pt>
                <c:pt idx="18">
                  <c:v>1.363</c:v>
                </c:pt>
                <c:pt idx="19">
                  <c:v>1.3729</c:v>
                </c:pt>
                <c:pt idx="20">
                  <c:v>1.3897</c:v>
                </c:pt>
                <c:pt idx="21">
                  <c:v>1.3699</c:v>
                </c:pt>
                <c:pt idx="22">
                  <c:v>1.3724</c:v>
                </c:pt>
                <c:pt idx="23">
                  <c:v>1.3365</c:v>
                </c:pt>
                <c:pt idx="24">
                  <c:v>1.2987</c:v>
                </c:pt>
                <c:pt idx="25">
                  <c:v>1.3401</c:v>
                </c:pt>
                <c:pt idx="26">
                  <c:v>1.3011</c:v>
                </c:pt>
                <c:pt idx="27">
                  <c:v>1.2942</c:v>
                </c:pt>
                <c:pt idx="28">
                  <c:v>1.3021</c:v>
                </c:pt>
                <c:pt idx="29">
                  <c:v>1.3186</c:v>
                </c:pt>
                <c:pt idx="30">
                  <c:v>1.3283</c:v>
                </c:pt>
                <c:pt idx="31">
                  <c:v>1.3214</c:v>
                </c:pt>
                <c:pt idx="32">
                  <c:v>1.3287</c:v>
                </c:pt>
                <c:pt idx="33">
                  <c:v>1.328</c:v>
                </c:pt>
                <c:pt idx="34">
                  <c:v>1.3634</c:v>
                </c:pt>
                <c:pt idx="35">
                  <c:v>1.3936</c:v>
                </c:pt>
                <c:pt idx="36">
                  <c:v>1.3752</c:v>
                </c:pt>
                <c:pt idx="37">
                  <c:v>1.365</c:v>
                </c:pt>
                <c:pt idx="38">
                  <c:v>1.3578</c:v>
                </c:pt>
                <c:pt idx="39">
                  <c:v>1.3809</c:v>
                </c:pt>
                <c:pt idx="40">
                  <c:v>1.3644</c:v>
                </c:pt>
                <c:pt idx="41">
                  <c:v>1.3442</c:v>
                </c:pt>
                <c:pt idx="42">
                  <c:v>1.3428</c:v>
                </c:pt>
                <c:pt idx="43">
                  <c:v>1.3479</c:v>
                </c:pt>
                <c:pt idx="44">
                  <c:v>1.3822</c:v>
                </c:pt>
                <c:pt idx="45">
                  <c:v>1.4031</c:v>
                </c:pt>
                <c:pt idx="46">
                  <c:v>1.4154</c:v>
                </c:pt>
                <c:pt idx="47">
                  <c:v>1.4152</c:v>
                </c:pt>
                <c:pt idx="48">
                  <c:v>1.4435</c:v>
                </c:pt>
                <c:pt idx="49">
                  <c:v>1.4551</c:v>
                </c:pt>
                <c:pt idx="50">
                  <c:v>1.4671</c:v>
                </c:pt>
                <c:pt idx="51">
                  <c:v>1.4856</c:v>
                </c:pt>
                <c:pt idx="52">
                  <c:v>1.4645</c:v>
                </c:pt>
                <c:pt idx="53">
                  <c:v>1.4606</c:v>
                </c:pt>
                <c:pt idx="54">
                  <c:v>1.4713</c:v>
                </c:pt>
                <c:pt idx="55">
                  <c:v>1.4944</c:v>
                </c:pt>
                <c:pt idx="56">
                  <c:v>1.5434</c:v>
                </c:pt>
                <c:pt idx="57">
                  <c:v>1.5098</c:v>
                </c:pt>
                <c:pt idx="58">
                  <c:v>1.4672</c:v>
                </c:pt>
                <c:pt idx="59">
                  <c:v>1.4531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64c5ab3-1efa-4699-9563-7880e7d4967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1.354,1.3267,1.2892,1.274,1.2718,1.2785,1.2869,1.2962,1.2985,1.2941,1.2879,1.2878,1.2858,1.2853,1.2891,1.2902,1.2911,1.3124,1.3129,1.3122,1.3749,1.3456,1.3385,1.2548,1.2257,1.2779,1.2852,1.2873,1.2897,1.2909,1.2978,1.3025,1.3186,1.3248,1.361,1.3735,1.3557,1.3488,1.3485,1.3889,1.3607,1.3508,1.3556,1.3562,1.3864,1.4174,1.4274,1.4212,1.4406,1.4472,1.4646,1.4685,1.4537,1.454,1.4702,1.5066,1.4547,1.4268,1.4015,1.3958}</c:f>
              <c:numCache>
                <c:formatCode>General</c:formatCode>
                <c:ptCount val="60"/>
                <c:pt idx="0">
                  <c:v>1.354</c:v>
                </c:pt>
                <c:pt idx="1">
                  <c:v>1.3267</c:v>
                </c:pt>
                <c:pt idx="2">
                  <c:v>1.2892</c:v>
                </c:pt>
                <c:pt idx="3">
                  <c:v>1.274</c:v>
                </c:pt>
                <c:pt idx="4">
                  <c:v>1.2718</c:v>
                </c:pt>
                <c:pt idx="5">
                  <c:v>1.2785</c:v>
                </c:pt>
                <c:pt idx="6">
                  <c:v>1.2869</c:v>
                </c:pt>
                <c:pt idx="7">
                  <c:v>1.2962</c:v>
                </c:pt>
                <c:pt idx="8">
                  <c:v>1.2985</c:v>
                </c:pt>
                <c:pt idx="9">
                  <c:v>1.2941</c:v>
                </c:pt>
                <c:pt idx="10">
                  <c:v>1.2879</c:v>
                </c:pt>
                <c:pt idx="11">
                  <c:v>1.2878</c:v>
                </c:pt>
                <c:pt idx="12">
                  <c:v>1.2858</c:v>
                </c:pt>
                <c:pt idx="13">
                  <c:v>1.2853</c:v>
                </c:pt>
                <c:pt idx="14">
                  <c:v>1.2891</c:v>
                </c:pt>
                <c:pt idx="15">
                  <c:v>1.2902</c:v>
                </c:pt>
                <c:pt idx="16">
                  <c:v>1.2911</c:v>
                </c:pt>
                <c:pt idx="17">
                  <c:v>1.3124</c:v>
                </c:pt>
                <c:pt idx="18">
                  <c:v>1.3129</c:v>
                </c:pt>
                <c:pt idx="19">
                  <c:v>1.3122</c:v>
                </c:pt>
                <c:pt idx="20">
                  <c:v>1.3749</c:v>
                </c:pt>
                <c:pt idx="21">
                  <c:v>1.3456</c:v>
                </c:pt>
                <c:pt idx="22">
                  <c:v>1.3385</c:v>
                </c:pt>
                <c:pt idx="23">
                  <c:v>1.2548</c:v>
                </c:pt>
                <c:pt idx="24">
                  <c:v>1.2257</c:v>
                </c:pt>
                <c:pt idx="25">
                  <c:v>1.2779</c:v>
                </c:pt>
                <c:pt idx="26">
                  <c:v>1.2852</c:v>
                </c:pt>
                <c:pt idx="27">
                  <c:v>1.2873</c:v>
                </c:pt>
                <c:pt idx="28">
                  <c:v>1.2897</c:v>
                </c:pt>
                <c:pt idx="29">
                  <c:v>1.2909</c:v>
                </c:pt>
                <c:pt idx="30">
                  <c:v>1.2978</c:v>
                </c:pt>
                <c:pt idx="31">
                  <c:v>1.3025</c:v>
                </c:pt>
                <c:pt idx="32">
                  <c:v>1.3186</c:v>
                </c:pt>
                <c:pt idx="33">
                  <c:v>1.3248</c:v>
                </c:pt>
                <c:pt idx="34">
                  <c:v>1.361</c:v>
                </c:pt>
                <c:pt idx="35">
                  <c:v>1.3735</c:v>
                </c:pt>
                <c:pt idx="36">
                  <c:v>1.3557</c:v>
                </c:pt>
                <c:pt idx="37">
                  <c:v>1.3488</c:v>
                </c:pt>
                <c:pt idx="38">
                  <c:v>1.3485</c:v>
                </c:pt>
                <c:pt idx="39">
                  <c:v>1.3889</c:v>
                </c:pt>
                <c:pt idx="40">
                  <c:v>1.3607</c:v>
                </c:pt>
                <c:pt idx="41">
                  <c:v>1.3508</c:v>
                </c:pt>
                <c:pt idx="42">
                  <c:v>1.3556</c:v>
                </c:pt>
                <c:pt idx="43">
                  <c:v>1.3562</c:v>
                </c:pt>
                <c:pt idx="44">
                  <c:v>1.3864</c:v>
                </c:pt>
                <c:pt idx="45">
                  <c:v>1.4174</c:v>
                </c:pt>
                <c:pt idx="46">
                  <c:v>1.4274</c:v>
                </c:pt>
                <c:pt idx="47">
                  <c:v>1.4212</c:v>
                </c:pt>
                <c:pt idx="48">
                  <c:v>1.4406</c:v>
                </c:pt>
                <c:pt idx="49">
                  <c:v>1.4472</c:v>
                </c:pt>
                <c:pt idx="50">
                  <c:v>1.4646</c:v>
                </c:pt>
                <c:pt idx="51">
                  <c:v>1.4685</c:v>
                </c:pt>
                <c:pt idx="52">
                  <c:v>1.4537</c:v>
                </c:pt>
                <c:pt idx="53">
                  <c:v>1.454</c:v>
                </c:pt>
                <c:pt idx="54">
                  <c:v>1.4702</c:v>
                </c:pt>
                <c:pt idx="55">
                  <c:v>1.5066</c:v>
                </c:pt>
                <c:pt idx="56">
                  <c:v>1.4547</c:v>
                </c:pt>
                <c:pt idx="57">
                  <c:v>1.4268</c:v>
                </c:pt>
                <c:pt idx="58">
                  <c:v>1.4015</c:v>
                </c:pt>
                <c:pt idx="59">
                  <c:v>1.3958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87b4dfa-70f3-4282-83df-8df69adf3ce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1.4654,1.4333,1.3931,1.3942,1.3972,1.4011,1.3991,1.4075,1.409,1.4082,1.3995,1.3914,1.391,1.3945,1.3921,1.3869,1.3702,1.3826,1.3885,1.399,1.3998,1.3961,1.3931,1.3678,1.3007,1.3693,1.3489,1.3445,1.3478,1.3565,1.3586,1.3566,1.3599,1.3659,1.3831,1.4034,1.3891,1.3764,1.3782,1.3997,1.376,1.3725,1.3726,1.3767,1.3907,1.4043,1.4132,1.4156,1.4398,1.4625,1.4678,1.484,1.4739,1.4729,1.4807,1.5229,1.5684,1.5429,1.5103,1.5023}</c:f>
              <c:numCache>
                <c:formatCode>General</c:formatCode>
                <c:ptCount val="60"/>
                <c:pt idx="0">
                  <c:v>1.4654</c:v>
                </c:pt>
                <c:pt idx="1">
                  <c:v>1.4333</c:v>
                </c:pt>
                <c:pt idx="2">
                  <c:v>1.3931</c:v>
                </c:pt>
                <c:pt idx="3">
                  <c:v>1.3942</c:v>
                </c:pt>
                <c:pt idx="4">
                  <c:v>1.3972</c:v>
                </c:pt>
                <c:pt idx="5">
                  <c:v>1.4011</c:v>
                </c:pt>
                <c:pt idx="6">
                  <c:v>1.3991</c:v>
                </c:pt>
                <c:pt idx="7">
                  <c:v>1.4075</c:v>
                </c:pt>
                <c:pt idx="8">
                  <c:v>1.409</c:v>
                </c:pt>
                <c:pt idx="9">
                  <c:v>1.4082</c:v>
                </c:pt>
                <c:pt idx="10">
                  <c:v>1.3995</c:v>
                </c:pt>
                <c:pt idx="11">
                  <c:v>1.3914</c:v>
                </c:pt>
                <c:pt idx="12">
                  <c:v>1.391</c:v>
                </c:pt>
                <c:pt idx="13">
                  <c:v>1.3945</c:v>
                </c:pt>
                <c:pt idx="14">
                  <c:v>1.3921</c:v>
                </c:pt>
                <c:pt idx="15">
                  <c:v>1.3869</c:v>
                </c:pt>
                <c:pt idx="16">
                  <c:v>1.3702</c:v>
                </c:pt>
                <c:pt idx="17">
                  <c:v>1.3826</c:v>
                </c:pt>
                <c:pt idx="18">
                  <c:v>1.3885</c:v>
                </c:pt>
                <c:pt idx="19">
                  <c:v>1.399</c:v>
                </c:pt>
                <c:pt idx="20">
                  <c:v>1.3998</c:v>
                </c:pt>
                <c:pt idx="21">
                  <c:v>1.3961</c:v>
                </c:pt>
                <c:pt idx="22">
                  <c:v>1.3931</c:v>
                </c:pt>
                <c:pt idx="23">
                  <c:v>1.3678</c:v>
                </c:pt>
                <c:pt idx="24">
                  <c:v>1.3007</c:v>
                </c:pt>
                <c:pt idx="25">
                  <c:v>1.3693</c:v>
                </c:pt>
                <c:pt idx="26">
                  <c:v>1.3489</c:v>
                </c:pt>
                <c:pt idx="27">
                  <c:v>1.3445</c:v>
                </c:pt>
                <c:pt idx="28">
                  <c:v>1.3478</c:v>
                </c:pt>
                <c:pt idx="29">
                  <c:v>1.3565</c:v>
                </c:pt>
                <c:pt idx="30">
                  <c:v>1.3586</c:v>
                </c:pt>
                <c:pt idx="31">
                  <c:v>1.3566</c:v>
                </c:pt>
                <c:pt idx="32">
                  <c:v>1.3599</c:v>
                </c:pt>
                <c:pt idx="33">
                  <c:v>1.3659</c:v>
                </c:pt>
                <c:pt idx="34">
                  <c:v>1.3831</c:v>
                </c:pt>
                <c:pt idx="35">
                  <c:v>1.4034</c:v>
                </c:pt>
                <c:pt idx="36">
                  <c:v>1.3891</c:v>
                </c:pt>
                <c:pt idx="37">
                  <c:v>1.3764</c:v>
                </c:pt>
                <c:pt idx="38">
                  <c:v>1.3782</c:v>
                </c:pt>
                <c:pt idx="39">
                  <c:v>1.3997</c:v>
                </c:pt>
                <c:pt idx="40">
                  <c:v>1.376</c:v>
                </c:pt>
                <c:pt idx="41">
                  <c:v>1.3725</c:v>
                </c:pt>
                <c:pt idx="42">
                  <c:v>1.3726</c:v>
                </c:pt>
                <c:pt idx="43">
                  <c:v>1.3767</c:v>
                </c:pt>
                <c:pt idx="44">
                  <c:v>1.3907</c:v>
                </c:pt>
                <c:pt idx="45">
                  <c:v>1.4043</c:v>
                </c:pt>
                <c:pt idx="46">
                  <c:v>1.4132</c:v>
                </c:pt>
                <c:pt idx="47">
                  <c:v>1.4156</c:v>
                </c:pt>
                <c:pt idx="48">
                  <c:v>1.4398</c:v>
                </c:pt>
                <c:pt idx="49">
                  <c:v>1.4625</c:v>
                </c:pt>
                <c:pt idx="50">
                  <c:v>1.4678</c:v>
                </c:pt>
                <c:pt idx="51">
                  <c:v>1.484</c:v>
                </c:pt>
                <c:pt idx="52">
                  <c:v>1.4739</c:v>
                </c:pt>
                <c:pt idx="53">
                  <c:v>1.4729</c:v>
                </c:pt>
                <c:pt idx="54">
                  <c:v>1.4807</c:v>
                </c:pt>
                <c:pt idx="55">
                  <c:v>1.5229</c:v>
                </c:pt>
                <c:pt idx="56">
                  <c:v>1.5684</c:v>
                </c:pt>
                <c:pt idx="57">
                  <c:v>1.5429</c:v>
                </c:pt>
                <c:pt idx="58">
                  <c:v>1.5103</c:v>
                </c:pt>
                <c:pt idx="59">
                  <c:v>1.5023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8aef26a-b3c9-410b-bf9c-7130812858f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1.5155,1.5,1.48,1.4775,1.48,1.4825,1.4825,1.486,1.4872,1.483,1.48,1.475,1.4725,1.455,1.443,1.4485,1.4475,1.4635,1.4575,1.4459,1.4484,1.47,1.45,1.4475,1.4435,1.444,1.4375,1.44,1.44,1.445,1.4475,1.445,1.4455,1.4475,1.4525,1.4475,1.445,1.438,1.4355,1.435,1.4325,1.434,1.435,1.4375,1.445,1.455,1.4617,1.465,1.4825,1.495,1.5,1.5,1.4765,1.4775,1.49,1.4975,1.49,1.485,1.485,1.47}</c:f>
              <c:numCache>
                <c:formatCode>General</c:formatCode>
                <c:ptCount val="60"/>
                <c:pt idx="0">
                  <c:v>1.5155</c:v>
                </c:pt>
                <c:pt idx="1">
                  <c:v>1.5</c:v>
                </c:pt>
                <c:pt idx="2">
                  <c:v>1.48</c:v>
                </c:pt>
                <c:pt idx="3">
                  <c:v>1.4775</c:v>
                </c:pt>
                <c:pt idx="4">
                  <c:v>1.48</c:v>
                </c:pt>
                <c:pt idx="5">
                  <c:v>1.4825</c:v>
                </c:pt>
                <c:pt idx="6">
                  <c:v>1.4825</c:v>
                </c:pt>
                <c:pt idx="7">
                  <c:v>1.486</c:v>
                </c:pt>
                <c:pt idx="8">
                  <c:v>1.4872</c:v>
                </c:pt>
                <c:pt idx="9">
                  <c:v>1.483</c:v>
                </c:pt>
                <c:pt idx="10">
                  <c:v>1.48</c:v>
                </c:pt>
                <c:pt idx="11">
                  <c:v>1.475</c:v>
                </c:pt>
                <c:pt idx="12">
                  <c:v>1.4725</c:v>
                </c:pt>
                <c:pt idx="13">
                  <c:v>1.455</c:v>
                </c:pt>
                <c:pt idx="14">
                  <c:v>1.443</c:v>
                </c:pt>
                <c:pt idx="15">
                  <c:v>1.4485</c:v>
                </c:pt>
                <c:pt idx="16">
                  <c:v>1.4475</c:v>
                </c:pt>
                <c:pt idx="17">
                  <c:v>1.4635</c:v>
                </c:pt>
                <c:pt idx="18">
                  <c:v>1.4575</c:v>
                </c:pt>
                <c:pt idx="19">
                  <c:v>1.4459</c:v>
                </c:pt>
                <c:pt idx="20">
                  <c:v>1.4484</c:v>
                </c:pt>
                <c:pt idx="21">
                  <c:v>1.47</c:v>
                </c:pt>
                <c:pt idx="22">
                  <c:v>1.45</c:v>
                </c:pt>
                <c:pt idx="23">
                  <c:v>1.4475</c:v>
                </c:pt>
                <c:pt idx="24">
                  <c:v>1.4435</c:v>
                </c:pt>
                <c:pt idx="25">
                  <c:v>1.444</c:v>
                </c:pt>
                <c:pt idx="26">
                  <c:v>1.4375</c:v>
                </c:pt>
                <c:pt idx="27">
                  <c:v>1.44</c:v>
                </c:pt>
                <c:pt idx="28">
                  <c:v>1.44</c:v>
                </c:pt>
                <c:pt idx="29">
                  <c:v>1.445</c:v>
                </c:pt>
                <c:pt idx="30">
                  <c:v>1.4475</c:v>
                </c:pt>
                <c:pt idx="31">
                  <c:v>1.445</c:v>
                </c:pt>
                <c:pt idx="32">
                  <c:v>1.4455</c:v>
                </c:pt>
                <c:pt idx="33">
                  <c:v>1.4475</c:v>
                </c:pt>
                <c:pt idx="34">
                  <c:v>1.4525</c:v>
                </c:pt>
                <c:pt idx="35">
                  <c:v>1.4475</c:v>
                </c:pt>
                <c:pt idx="36">
                  <c:v>1.445</c:v>
                </c:pt>
                <c:pt idx="37">
                  <c:v>1.438</c:v>
                </c:pt>
                <c:pt idx="38">
                  <c:v>1.4355</c:v>
                </c:pt>
                <c:pt idx="39">
                  <c:v>1.435</c:v>
                </c:pt>
                <c:pt idx="40">
                  <c:v>1.4325</c:v>
                </c:pt>
                <c:pt idx="41">
                  <c:v>1.434</c:v>
                </c:pt>
                <c:pt idx="42">
                  <c:v>1.435</c:v>
                </c:pt>
                <c:pt idx="43">
                  <c:v>1.4375</c:v>
                </c:pt>
                <c:pt idx="44">
                  <c:v>1.445</c:v>
                </c:pt>
                <c:pt idx="45">
                  <c:v>1.455</c:v>
                </c:pt>
                <c:pt idx="46">
                  <c:v>1.4617</c:v>
                </c:pt>
                <c:pt idx="47">
                  <c:v>1.465</c:v>
                </c:pt>
                <c:pt idx="48">
                  <c:v>1.4825</c:v>
                </c:pt>
                <c:pt idx="49">
                  <c:v>1.495</c:v>
                </c:pt>
                <c:pt idx="50">
                  <c:v>1.5</c:v>
                </c:pt>
                <c:pt idx="51">
                  <c:v>1.5</c:v>
                </c:pt>
                <c:pt idx="52">
                  <c:v>1.4765</c:v>
                </c:pt>
                <c:pt idx="53">
                  <c:v>1.4775</c:v>
                </c:pt>
                <c:pt idx="54">
                  <c:v>1.49</c:v>
                </c:pt>
                <c:pt idx="55">
                  <c:v>1.4975</c:v>
                </c:pt>
                <c:pt idx="56">
                  <c:v>1.49</c:v>
                </c:pt>
                <c:pt idx="57">
                  <c:v>1.485</c:v>
                </c:pt>
                <c:pt idx="58">
                  <c:v>1.485</c:v>
                </c:pt>
                <c:pt idx="59">
                  <c:v>1.47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e995d2c-d74f-44ab-aad5-c01cf175311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{1541,5033,1522,3910,4520,1680}</c:f>
              <c:numCache>
                <c:formatCode>General</c:formatCode>
                <c:ptCount val="6"/>
                <c:pt idx="0">
                  <c:v>1541</c:v>
                </c:pt>
                <c:pt idx="1">
                  <c:v>5033</c:v>
                </c:pt>
                <c:pt idx="2">
                  <c:v>1522</c:v>
                </c:pt>
                <c:pt idx="3">
                  <c:v>3910</c:v>
                </c:pt>
                <c:pt idx="4">
                  <c:v>4520</c:v>
                </c:pt>
                <c:pt idx="5">
                  <c:v>1680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c317f18-0cd3-4b67-b7d3-e465f2e1a84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1.504,1.4995,1.493,1.484,1.4795,1.476,1.4715,1.466,1.4635,1.4615,1.455,1.4525,1.449,1.442,1.4375,1.4345,1.4275,1.429,1.424,1.4195,1.416,1.42,1.417,1.417,1.414,1.414,1.412,1.409,1.406,1.408,1.405,1.404,1.4045,1.4065,1.405,1.4065,1.4065,1.4045,1.4055,1.4075,1.4065,1.4035,1.4035,1.4015,1.402,1.402,1.402,1.402,1.408,1.414,1.4225,1.428,1.429,1.43,1.43,1.431,1.436,1.4395,1.44,1.437}</c:f>
              <c:numCache>
                <c:formatCode>General</c:formatCode>
                <c:ptCount val="60"/>
                <c:pt idx="0">
                  <c:v>1.504</c:v>
                </c:pt>
                <c:pt idx="1">
                  <c:v>1.4995</c:v>
                </c:pt>
                <c:pt idx="2">
                  <c:v>1.493</c:v>
                </c:pt>
                <c:pt idx="3">
                  <c:v>1.484</c:v>
                </c:pt>
                <c:pt idx="4">
                  <c:v>1.4795</c:v>
                </c:pt>
                <c:pt idx="5">
                  <c:v>1.476</c:v>
                </c:pt>
                <c:pt idx="6">
                  <c:v>1.4715</c:v>
                </c:pt>
                <c:pt idx="7">
                  <c:v>1.466</c:v>
                </c:pt>
                <c:pt idx="8">
                  <c:v>1.4635</c:v>
                </c:pt>
                <c:pt idx="9">
                  <c:v>1.4615</c:v>
                </c:pt>
                <c:pt idx="10">
                  <c:v>1.455</c:v>
                </c:pt>
                <c:pt idx="11">
                  <c:v>1.4525</c:v>
                </c:pt>
                <c:pt idx="12">
                  <c:v>1.449</c:v>
                </c:pt>
                <c:pt idx="13">
                  <c:v>1.442</c:v>
                </c:pt>
                <c:pt idx="14">
                  <c:v>1.4375</c:v>
                </c:pt>
                <c:pt idx="15">
                  <c:v>1.4345</c:v>
                </c:pt>
                <c:pt idx="16">
                  <c:v>1.4275</c:v>
                </c:pt>
                <c:pt idx="17">
                  <c:v>1.429</c:v>
                </c:pt>
                <c:pt idx="18">
                  <c:v>1.424</c:v>
                </c:pt>
                <c:pt idx="19">
                  <c:v>1.4195</c:v>
                </c:pt>
                <c:pt idx="20">
                  <c:v>1.416</c:v>
                </c:pt>
                <c:pt idx="21">
                  <c:v>1.42</c:v>
                </c:pt>
                <c:pt idx="22">
                  <c:v>1.417</c:v>
                </c:pt>
                <c:pt idx="23">
                  <c:v>1.417</c:v>
                </c:pt>
                <c:pt idx="24">
                  <c:v>1.414</c:v>
                </c:pt>
                <c:pt idx="25">
                  <c:v>1.414</c:v>
                </c:pt>
                <c:pt idx="26">
                  <c:v>1.412</c:v>
                </c:pt>
                <c:pt idx="27">
                  <c:v>1.409</c:v>
                </c:pt>
                <c:pt idx="28">
                  <c:v>1.406</c:v>
                </c:pt>
                <c:pt idx="29">
                  <c:v>1.408</c:v>
                </c:pt>
                <c:pt idx="30">
                  <c:v>1.405</c:v>
                </c:pt>
                <c:pt idx="31">
                  <c:v>1.404</c:v>
                </c:pt>
                <c:pt idx="32">
                  <c:v>1.4045</c:v>
                </c:pt>
                <c:pt idx="33">
                  <c:v>1.4065</c:v>
                </c:pt>
                <c:pt idx="34">
                  <c:v>1.405</c:v>
                </c:pt>
                <c:pt idx="35">
                  <c:v>1.4065</c:v>
                </c:pt>
                <c:pt idx="36">
                  <c:v>1.4065</c:v>
                </c:pt>
                <c:pt idx="37">
                  <c:v>1.4045</c:v>
                </c:pt>
                <c:pt idx="38">
                  <c:v>1.4055</c:v>
                </c:pt>
                <c:pt idx="39">
                  <c:v>1.4075</c:v>
                </c:pt>
                <c:pt idx="40">
                  <c:v>1.4065</c:v>
                </c:pt>
                <c:pt idx="41">
                  <c:v>1.4035</c:v>
                </c:pt>
                <c:pt idx="42">
                  <c:v>1.4035</c:v>
                </c:pt>
                <c:pt idx="43">
                  <c:v>1.4015</c:v>
                </c:pt>
                <c:pt idx="44">
                  <c:v>1.402</c:v>
                </c:pt>
                <c:pt idx="45">
                  <c:v>1.402</c:v>
                </c:pt>
                <c:pt idx="46">
                  <c:v>1.402</c:v>
                </c:pt>
                <c:pt idx="47">
                  <c:v>1.402</c:v>
                </c:pt>
                <c:pt idx="48">
                  <c:v>1.408</c:v>
                </c:pt>
                <c:pt idx="49">
                  <c:v>1.414</c:v>
                </c:pt>
                <c:pt idx="50">
                  <c:v>1.4225</c:v>
                </c:pt>
                <c:pt idx="51">
                  <c:v>1.428</c:v>
                </c:pt>
                <c:pt idx="52">
                  <c:v>1.429</c:v>
                </c:pt>
                <c:pt idx="53">
                  <c:v>1.43</c:v>
                </c:pt>
                <c:pt idx="54">
                  <c:v>1.43</c:v>
                </c:pt>
                <c:pt idx="55">
                  <c:v>1.431</c:v>
                </c:pt>
                <c:pt idx="56">
                  <c:v>1.436</c:v>
                </c:pt>
                <c:pt idx="57">
                  <c:v>1.4395</c:v>
                </c:pt>
                <c:pt idx="58">
                  <c:v>1.44</c:v>
                </c:pt>
                <c:pt idx="59">
                  <c:v>1.437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e2853bd-d58b-4ff8-9bd8-72c4342564b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{3,3,3,3,3,3}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f3a9ba-5ccc-4cc3-bc84-3d4ad77c455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1.8215,1.8251,1.8176,1.8198,1.8168,1.8181,1.8174,1.8081,1.79,1.7854,1.781,1.7781,1.7682,1.7573,1.7391,1.7451,1.742,1.766,1.764,1.7618,1.7569,1.7731,1.7685,1.7655,1.7696,1.7702,1.7611,1.7564,1.7592,1.7598,1.7656,1.7543,1.7507,1.7564,1.7616,1.7599,1.7593,1.7527,1.7328,1.7285,1.7389,1.7416,1.744,1.7385,1.7386,1.7506,1.7563,1.7614,1.7743,1.7731,1.7731,1.7714,1.7626,1.7554,1.7632,1.7706,1.7689,1.7632,1.7598,1.7482}</c:f>
              <c:numCache>
                <c:formatCode>General</c:formatCode>
                <c:ptCount val="60"/>
                <c:pt idx="0">
                  <c:v>1.8215</c:v>
                </c:pt>
                <c:pt idx="1">
                  <c:v>1.8251</c:v>
                </c:pt>
                <c:pt idx="2">
                  <c:v>1.8176</c:v>
                </c:pt>
                <c:pt idx="3">
                  <c:v>1.8198</c:v>
                </c:pt>
                <c:pt idx="4">
                  <c:v>1.8168</c:v>
                </c:pt>
                <c:pt idx="5">
                  <c:v>1.8181</c:v>
                </c:pt>
                <c:pt idx="6">
                  <c:v>1.8174</c:v>
                </c:pt>
                <c:pt idx="7">
                  <c:v>1.8081</c:v>
                </c:pt>
                <c:pt idx="8">
                  <c:v>1.79</c:v>
                </c:pt>
                <c:pt idx="9">
                  <c:v>1.7854</c:v>
                </c:pt>
                <c:pt idx="10">
                  <c:v>1.781</c:v>
                </c:pt>
                <c:pt idx="11">
                  <c:v>1.7781</c:v>
                </c:pt>
                <c:pt idx="12">
                  <c:v>1.7682</c:v>
                </c:pt>
                <c:pt idx="13">
                  <c:v>1.7573</c:v>
                </c:pt>
                <c:pt idx="14">
                  <c:v>1.7391</c:v>
                </c:pt>
                <c:pt idx="15">
                  <c:v>1.7451</c:v>
                </c:pt>
                <c:pt idx="16">
                  <c:v>1.742</c:v>
                </c:pt>
                <c:pt idx="17">
                  <c:v>1.766</c:v>
                </c:pt>
                <c:pt idx="18">
                  <c:v>1.764</c:v>
                </c:pt>
                <c:pt idx="19">
                  <c:v>1.7618</c:v>
                </c:pt>
                <c:pt idx="20">
                  <c:v>1.7569</c:v>
                </c:pt>
                <c:pt idx="21">
                  <c:v>1.7731</c:v>
                </c:pt>
                <c:pt idx="22">
                  <c:v>1.7685</c:v>
                </c:pt>
                <c:pt idx="23">
                  <c:v>1.7655</c:v>
                </c:pt>
                <c:pt idx="24">
                  <c:v>1.7696</c:v>
                </c:pt>
                <c:pt idx="25">
                  <c:v>1.7702</c:v>
                </c:pt>
                <c:pt idx="26">
                  <c:v>1.7611</c:v>
                </c:pt>
                <c:pt idx="27">
                  <c:v>1.7564</c:v>
                </c:pt>
                <c:pt idx="28">
                  <c:v>1.7592</c:v>
                </c:pt>
                <c:pt idx="29">
                  <c:v>1.7598</c:v>
                </c:pt>
                <c:pt idx="30">
                  <c:v>1.7656</c:v>
                </c:pt>
                <c:pt idx="31">
                  <c:v>1.7543</c:v>
                </c:pt>
                <c:pt idx="32">
                  <c:v>1.7507</c:v>
                </c:pt>
                <c:pt idx="33">
                  <c:v>1.7564</c:v>
                </c:pt>
                <c:pt idx="34">
                  <c:v>1.7616</c:v>
                </c:pt>
                <c:pt idx="35">
                  <c:v>1.7599</c:v>
                </c:pt>
                <c:pt idx="36">
                  <c:v>1.7593</c:v>
                </c:pt>
                <c:pt idx="37">
                  <c:v>1.7527</c:v>
                </c:pt>
                <c:pt idx="38">
                  <c:v>1.7328</c:v>
                </c:pt>
                <c:pt idx="39">
                  <c:v>1.7285</c:v>
                </c:pt>
                <c:pt idx="40">
                  <c:v>1.7389</c:v>
                </c:pt>
                <c:pt idx="41">
                  <c:v>1.7416</c:v>
                </c:pt>
                <c:pt idx="42">
                  <c:v>1.744</c:v>
                </c:pt>
                <c:pt idx="43">
                  <c:v>1.7385</c:v>
                </c:pt>
                <c:pt idx="44">
                  <c:v>1.7386</c:v>
                </c:pt>
                <c:pt idx="45">
                  <c:v>1.7506</c:v>
                </c:pt>
                <c:pt idx="46">
                  <c:v>1.7563</c:v>
                </c:pt>
                <c:pt idx="47">
                  <c:v>1.7614</c:v>
                </c:pt>
                <c:pt idx="48">
                  <c:v>1.7743</c:v>
                </c:pt>
                <c:pt idx="49">
                  <c:v>1.7731</c:v>
                </c:pt>
                <c:pt idx="50">
                  <c:v>1.7731</c:v>
                </c:pt>
                <c:pt idx="51">
                  <c:v>1.7714</c:v>
                </c:pt>
                <c:pt idx="52">
                  <c:v>1.7626</c:v>
                </c:pt>
                <c:pt idx="53">
                  <c:v>1.7554</c:v>
                </c:pt>
                <c:pt idx="54">
                  <c:v>1.7632</c:v>
                </c:pt>
                <c:pt idx="55">
                  <c:v>1.7706</c:v>
                </c:pt>
                <c:pt idx="56">
                  <c:v>1.7689</c:v>
                </c:pt>
                <c:pt idx="57">
                  <c:v>1.7632</c:v>
                </c:pt>
                <c:pt idx="58">
                  <c:v>1.7598</c:v>
                </c:pt>
                <c:pt idx="59">
                  <c:v>1.7482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ecf0692-0b98-49e5-b2d4-8f6d380caf0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-2.4024,-2.3648,-2.4334,-2.4381,-2.5605,-2.5013,-2.5587,-2.5012,-2.6043,-2.6226,-2.5326,-2.4905,-2.5085,-2.4849,-2.5324,-2.5102,-2.4732,-2.4719,-2.4926,-2.4919,-2.47,-2.5046,-2.539,-2.4819,-2.4918,-2.5427,-2.5609,-2.5949,-2.568,-2.584,-2.596,-2.6582,-2.6431,-2.5869,-2.6415,-2.6145,-2.6498,-2.6989,-2.7036,-2.7108,-2.8302,-2.8444,-2.9157,-2.8193,-2.8136,-2.7984,-2.7407,-2.7273,-2.7172,-2.7215,-2.7311,-2.7184,-2.746,-2.7315,-2.8114,-2.8094,-2.7737,-2.7886,-2.6757,-2.7069}</c:f>
              <c:numCache>
                <c:formatCode>General</c:formatCode>
                <c:ptCount val="60"/>
                <c:pt idx="0">
                  <c:v>-2.4024</c:v>
                </c:pt>
                <c:pt idx="1">
                  <c:v>-2.3648</c:v>
                </c:pt>
                <c:pt idx="2">
                  <c:v>-2.4334</c:v>
                </c:pt>
                <c:pt idx="3">
                  <c:v>-2.4381</c:v>
                </c:pt>
                <c:pt idx="4">
                  <c:v>-2.5605</c:v>
                </c:pt>
                <c:pt idx="5">
                  <c:v>-2.5013</c:v>
                </c:pt>
                <c:pt idx="6">
                  <c:v>-2.5587</c:v>
                </c:pt>
                <c:pt idx="7">
                  <c:v>-2.5012</c:v>
                </c:pt>
                <c:pt idx="8">
                  <c:v>-2.6043</c:v>
                </c:pt>
                <c:pt idx="9">
                  <c:v>-2.6226</c:v>
                </c:pt>
                <c:pt idx="10">
                  <c:v>-2.5326</c:v>
                </c:pt>
                <c:pt idx="11">
                  <c:v>-2.4905</c:v>
                </c:pt>
                <c:pt idx="12">
                  <c:v>-2.5085</c:v>
                </c:pt>
                <c:pt idx="13">
                  <c:v>-2.4849</c:v>
                </c:pt>
                <c:pt idx="14">
                  <c:v>-2.5324</c:v>
                </c:pt>
                <c:pt idx="15">
                  <c:v>-2.5102</c:v>
                </c:pt>
                <c:pt idx="16">
                  <c:v>-2.4732</c:v>
                </c:pt>
                <c:pt idx="17">
                  <c:v>-2.4719</c:v>
                </c:pt>
                <c:pt idx="18">
                  <c:v>-2.4926</c:v>
                </c:pt>
                <c:pt idx="19">
                  <c:v>-2.4919</c:v>
                </c:pt>
                <c:pt idx="20">
                  <c:v>-2.47</c:v>
                </c:pt>
                <c:pt idx="21">
                  <c:v>-2.5046</c:v>
                </c:pt>
                <c:pt idx="22">
                  <c:v>-2.539</c:v>
                </c:pt>
                <c:pt idx="23">
                  <c:v>-2.4819</c:v>
                </c:pt>
                <c:pt idx="24">
                  <c:v>-2.4918</c:v>
                </c:pt>
                <c:pt idx="25">
                  <c:v>-2.5427</c:v>
                </c:pt>
                <c:pt idx="26">
                  <c:v>-2.5609</c:v>
                </c:pt>
                <c:pt idx="27">
                  <c:v>-2.5949</c:v>
                </c:pt>
                <c:pt idx="28">
                  <c:v>-2.568</c:v>
                </c:pt>
                <c:pt idx="29">
                  <c:v>-2.584</c:v>
                </c:pt>
                <c:pt idx="30">
                  <c:v>-2.596</c:v>
                </c:pt>
                <c:pt idx="31">
                  <c:v>-2.6582</c:v>
                </c:pt>
                <c:pt idx="32">
                  <c:v>-2.6431</c:v>
                </c:pt>
                <c:pt idx="33">
                  <c:v>-2.5869</c:v>
                </c:pt>
                <c:pt idx="34">
                  <c:v>-2.6415</c:v>
                </c:pt>
                <c:pt idx="35">
                  <c:v>-2.6145</c:v>
                </c:pt>
                <c:pt idx="36">
                  <c:v>-2.6498</c:v>
                </c:pt>
                <c:pt idx="37">
                  <c:v>-2.6989</c:v>
                </c:pt>
                <c:pt idx="38">
                  <c:v>-2.7036</c:v>
                </c:pt>
                <c:pt idx="39">
                  <c:v>-2.7108</c:v>
                </c:pt>
                <c:pt idx="40">
                  <c:v>-2.8302</c:v>
                </c:pt>
                <c:pt idx="41">
                  <c:v>-2.8444</c:v>
                </c:pt>
                <c:pt idx="42">
                  <c:v>-2.9157</c:v>
                </c:pt>
                <c:pt idx="43">
                  <c:v>-2.8193</c:v>
                </c:pt>
                <c:pt idx="44">
                  <c:v>-2.8136</c:v>
                </c:pt>
                <c:pt idx="45">
                  <c:v>-2.7984</c:v>
                </c:pt>
                <c:pt idx="46">
                  <c:v>-2.7407</c:v>
                </c:pt>
                <c:pt idx="47">
                  <c:v>-2.7273</c:v>
                </c:pt>
                <c:pt idx="48">
                  <c:v>-2.7172</c:v>
                </c:pt>
                <c:pt idx="49">
                  <c:v>-2.7215</c:v>
                </c:pt>
                <c:pt idx="50">
                  <c:v>-2.7311</c:v>
                </c:pt>
                <c:pt idx="51">
                  <c:v>-2.7184</c:v>
                </c:pt>
                <c:pt idx="52">
                  <c:v>-2.746</c:v>
                </c:pt>
                <c:pt idx="53">
                  <c:v>-2.7315</c:v>
                </c:pt>
                <c:pt idx="54">
                  <c:v>-2.8114</c:v>
                </c:pt>
                <c:pt idx="55">
                  <c:v>-2.8094</c:v>
                </c:pt>
                <c:pt idx="56">
                  <c:v>-2.7737</c:v>
                </c:pt>
                <c:pt idx="57">
                  <c:v>-2.7886</c:v>
                </c:pt>
                <c:pt idx="58">
                  <c:v>-2.6757</c:v>
                </c:pt>
                <c:pt idx="59">
                  <c:v>-2.7069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7440303-1ffe-4c34-8184-81e84d4c68d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{1.4,1.4,1.4,1.4,1.4,1.4,1.4,1.4,1.4,1.4,1.4,1.4,1.4,1.4,1.4,1.4,1.4,1.4,1.4,1.4,1.4,1.4,1.4,1.4,1.4,1.4,1.4,1.4,1.4,1.4,1.4,1.4,1.4,1.4,1.4,1.4,1.4,1.4,1.4,1.4,1.4,1.4,1.4,1.4,1.4,1.4,1.4,1.4,1.4,1.4,1.4,1.4,1.4,1.4,1.4,1.4,1.4,1.4,1.4,1.4}</c:f>
              <c:numCache>
                <c:formatCode>General</c:formatCode>
                <c:ptCount val="60"/>
                <c:pt idx="0">
                  <c:v>1.4</c:v>
                </c:pt>
                <c:pt idx="1">
                  <c:v>1.4</c:v>
                </c:pt>
                <c:pt idx="2">
                  <c:v>1.4</c:v>
                </c:pt>
                <c:pt idx="3">
                  <c:v>1.4</c:v>
                </c:pt>
                <c:pt idx="4">
                  <c:v>1.4</c:v>
                </c:pt>
                <c:pt idx="5">
                  <c:v>1.4</c:v>
                </c:pt>
                <c:pt idx="6">
                  <c:v>1.4</c:v>
                </c:pt>
                <c:pt idx="7">
                  <c:v>1.4</c:v>
                </c:pt>
                <c:pt idx="8">
                  <c:v>1.4</c:v>
                </c:pt>
                <c:pt idx="9">
                  <c:v>1.4</c:v>
                </c:pt>
                <c:pt idx="10">
                  <c:v>1.4</c:v>
                </c:pt>
                <c:pt idx="11">
                  <c:v>1.4</c:v>
                </c:pt>
                <c:pt idx="12">
                  <c:v>1.4</c:v>
                </c:pt>
                <c:pt idx="13">
                  <c:v>1.4</c:v>
                </c:pt>
                <c:pt idx="14">
                  <c:v>1.4</c:v>
                </c:pt>
                <c:pt idx="15">
                  <c:v>1.4</c:v>
                </c:pt>
                <c:pt idx="16">
                  <c:v>1.4</c:v>
                </c:pt>
                <c:pt idx="17">
                  <c:v>1.4</c:v>
                </c:pt>
                <c:pt idx="18">
                  <c:v>1.4</c:v>
                </c:pt>
                <c:pt idx="19">
                  <c:v>1.4</c:v>
                </c:pt>
                <c:pt idx="20">
                  <c:v>1.4</c:v>
                </c:pt>
                <c:pt idx="21">
                  <c:v>1.4</c:v>
                </c:pt>
                <c:pt idx="22">
                  <c:v>1.4</c:v>
                </c:pt>
                <c:pt idx="23">
                  <c:v>1.4</c:v>
                </c:pt>
                <c:pt idx="24">
                  <c:v>1.4</c:v>
                </c:pt>
                <c:pt idx="25">
                  <c:v>1.4</c:v>
                </c:pt>
                <c:pt idx="26">
                  <c:v>1.4</c:v>
                </c:pt>
                <c:pt idx="27">
                  <c:v>1.4</c:v>
                </c:pt>
                <c:pt idx="28">
                  <c:v>1.4</c:v>
                </c:pt>
                <c:pt idx="29">
                  <c:v>1.4</c:v>
                </c:pt>
                <c:pt idx="30">
                  <c:v>1.4</c:v>
                </c:pt>
                <c:pt idx="31">
                  <c:v>1.4</c:v>
                </c:pt>
                <c:pt idx="32">
                  <c:v>1.4</c:v>
                </c:pt>
                <c:pt idx="33">
                  <c:v>1.4</c:v>
                </c:pt>
                <c:pt idx="34">
                  <c:v>1.4</c:v>
                </c:pt>
                <c:pt idx="35">
                  <c:v>1.4</c:v>
                </c:pt>
                <c:pt idx="36">
                  <c:v>1.4</c:v>
                </c:pt>
                <c:pt idx="37">
                  <c:v>1.4</c:v>
                </c:pt>
                <c:pt idx="38">
                  <c:v>1.4</c:v>
                </c:pt>
                <c:pt idx="39">
                  <c:v>1.4</c:v>
                </c:pt>
                <c:pt idx="40">
                  <c:v>1.4</c:v>
                </c:pt>
                <c:pt idx="41">
                  <c:v>1.4</c:v>
                </c:pt>
                <c:pt idx="42">
                  <c:v>1.4</c:v>
                </c:pt>
                <c:pt idx="43">
                  <c:v>1.4</c:v>
                </c:pt>
                <c:pt idx="44">
                  <c:v>1.4</c:v>
                </c:pt>
                <c:pt idx="45">
                  <c:v>1.4</c:v>
                </c:pt>
                <c:pt idx="46">
                  <c:v>1.4</c:v>
                </c:pt>
                <c:pt idx="47">
                  <c:v>1.4</c:v>
                </c:pt>
                <c:pt idx="48">
                  <c:v>1.4</c:v>
                </c:pt>
                <c:pt idx="49">
                  <c:v>1.4</c:v>
                </c:pt>
                <c:pt idx="50">
                  <c:v>1.4</c:v>
                </c:pt>
                <c:pt idx="51">
                  <c:v>1.4</c:v>
                </c:pt>
                <c:pt idx="52">
                  <c:v>1.4</c:v>
                </c:pt>
                <c:pt idx="53">
                  <c:v>1.4</c:v>
                </c:pt>
                <c:pt idx="54">
                  <c:v>1.4</c:v>
                </c:pt>
                <c:pt idx="55">
                  <c:v>1.4</c:v>
                </c:pt>
                <c:pt idx="56">
                  <c:v>1.4</c:v>
                </c:pt>
                <c:pt idx="57">
                  <c:v>1.4</c:v>
                </c:pt>
                <c:pt idx="58">
                  <c:v>1.4</c:v>
                </c:pt>
                <c:pt idx="59">
                  <c:v>1.4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f057436-c274-40c8-9370-724645f392c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{9,9,9,9,9,9}</c:f>
              <c:numCache>
                <c:formatCode>General</c:formatCode>
                <c:ptCount val="6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24e3a1e-9237-4790-99b8-0314374e73f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{-780,-2235,-1452,-3015,0,0,10,5,5,0,0,-15,0,40,55,0,45,2180,385,199,1257,-2669,-992,5,5,5,5,-255,-265,0,0,0,495,995,1525,2570,2485,1276,13,-300,-2470,-2488,-1776,-1013,920,2075,1528,1590,1885,1780,2065,2965,2613,595,-3415,750,2422,1225,2315,-3190}</c:f>
              <c:numCache>
                <c:formatCode>General</c:formatCode>
                <c:ptCount val="60"/>
                <c:pt idx="0">
                  <c:v>-780</c:v>
                </c:pt>
                <c:pt idx="1">
                  <c:v>-2235</c:v>
                </c:pt>
                <c:pt idx="2">
                  <c:v>-1452</c:v>
                </c:pt>
                <c:pt idx="3">
                  <c:v>-3015</c:v>
                </c:pt>
                <c:pt idx="4">
                  <c:v>0</c:v>
                </c:pt>
                <c:pt idx="5">
                  <c:v>0</c:v>
                </c:pt>
                <c:pt idx="6">
                  <c:v>10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0</c:v>
                </c:pt>
                <c:pt idx="11">
                  <c:v>-15</c:v>
                </c:pt>
                <c:pt idx="12">
                  <c:v>0</c:v>
                </c:pt>
                <c:pt idx="13">
                  <c:v>40</c:v>
                </c:pt>
                <c:pt idx="14">
                  <c:v>55</c:v>
                </c:pt>
                <c:pt idx="15">
                  <c:v>0</c:v>
                </c:pt>
                <c:pt idx="16">
                  <c:v>45</c:v>
                </c:pt>
                <c:pt idx="17">
                  <c:v>2180</c:v>
                </c:pt>
                <c:pt idx="18">
                  <c:v>385</c:v>
                </c:pt>
                <c:pt idx="19">
                  <c:v>199</c:v>
                </c:pt>
                <c:pt idx="20">
                  <c:v>1257</c:v>
                </c:pt>
                <c:pt idx="21">
                  <c:v>-2669</c:v>
                </c:pt>
                <c:pt idx="22">
                  <c:v>-992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-255</c:v>
                </c:pt>
                <c:pt idx="28">
                  <c:v>-265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495</c:v>
                </c:pt>
                <c:pt idx="33">
                  <c:v>995</c:v>
                </c:pt>
                <c:pt idx="34">
                  <c:v>1525</c:v>
                </c:pt>
                <c:pt idx="35">
                  <c:v>2570</c:v>
                </c:pt>
                <c:pt idx="36">
                  <c:v>2485</c:v>
                </c:pt>
                <c:pt idx="37">
                  <c:v>1276</c:v>
                </c:pt>
                <c:pt idx="38">
                  <c:v>13</c:v>
                </c:pt>
                <c:pt idx="39">
                  <c:v>-300</c:v>
                </c:pt>
                <c:pt idx="40">
                  <c:v>-2470</c:v>
                </c:pt>
                <c:pt idx="41">
                  <c:v>-2488</c:v>
                </c:pt>
                <c:pt idx="42">
                  <c:v>-1776</c:v>
                </c:pt>
                <c:pt idx="43">
                  <c:v>-1013</c:v>
                </c:pt>
                <c:pt idx="44">
                  <c:v>920</c:v>
                </c:pt>
                <c:pt idx="45">
                  <c:v>2075</c:v>
                </c:pt>
                <c:pt idx="46">
                  <c:v>1528</c:v>
                </c:pt>
                <c:pt idx="47">
                  <c:v>1590</c:v>
                </c:pt>
                <c:pt idx="48">
                  <c:v>1885</c:v>
                </c:pt>
                <c:pt idx="49">
                  <c:v>1780</c:v>
                </c:pt>
                <c:pt idx="50">
                  <c:v>2065</c:v>
                </c:pt>
                <c:pt idx="51">
                  <c:v>2965</c:v>
                </c:pt>
                <c:pt idx="52">
                  <c:v>2613</c:v>
                </c:pt>
                <c:pt idx="53">
                  <c:v>595</c:v>
                </c:pt>
                <c:pt idx="54">
                  <c:v>-3415</c:v>
                </c:pt>
                <c:pt idx="55">
                  <c:v>750</c:v>
                </c:pt>
                <c:pt idx="56">
                  <c:v>2422</c:v>
                </c:pt>
                <c:pt idx="57">
                  <c:v>1225</c:v>
                </c:pt>
                <c:pt idx="58">
                  <c:v>2315</c:v>
                </c:pt>
                <c:pt idx="59">
                  <c:v>-3190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85bcd70-4fbb-4734-9016-fea476b62f0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{2401,2609,9306,2924,2236,10593}</c:f>
              <c:numCache>
                <c:formatCode>General</c:formatCode>
                <c:ptCount val="6"/>
                <c:pt idx="0">
                  <c:v>2401</c:v>
                </c:pt>
                <c:pt idx="1">
                  <c:v>2609</c:v>
                </c:pt>
                <c:pt idx="2">
                  <c:v>9306</c:v>
                </c:pt>
                <c:pt idx="3">
                  <c:v>2924</c:v>
                </c:pt>
                <c:pt idx="4">
                  <c:v>2236</c:v>
                </c:pt>
                <c:pt idx="5">
                  <c:v>10593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381d413-f256-41c5-b994-3428d59fbe0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1.2693,1.2674,1.234,1.2201,1.2178,1.2209,1.2257,1.2258,1.2258,1.2228,1.2205,1.2219,1.2167,1.217,1.2181,1.2171,1.2188,1.2386,1.2397,1.2385,1.3196,1.2691,1.272,1.243,1.2179,1.2188,1.2583,1.267,1.2651,1.2646,1.2659,1.2667,1.2871,1.2897,1.323,1.329,1.3189,1.3152,1.3149,1.3349,1.3242,1.315,1.3229,1.3226,1.3408,1.3675,1.3965,1.3939,1.4046,1.4162,1.4356,1.436,1.4246,1.4317,1.4334,1.455,1.4119,1.4003,1.3702,1.3535}</c:f>
              <c:numCache>
                <c:formatCode>General</c:formatCode>
                <c:ptCount val="60"/>
                <c:pt idx="0">
                  <c:v>1.2693</c:v>
                </c:pt>
                <c:pt idx="1">
                  <c:v>1.2674</c:v>
                </c:pt>
                <c:pt idx="2">
                  <c:v>1.234</c:v>
                </c:pt>
                <c:pt idx="3">
                  <c:v>1.2201</c:v>
                </c:pt>
                <c:pt idx="4">
                  <c:v>1.2178</c:v>
                </c:pt>
                <c:pt idx="5">
                  <c:v>1.2209</c:v>
                </c:pt>
                <c:pt idx="6">
                  <c:v>1.2257</c:v>
                </c:pt>
                <c:pt idx="7">
                  <c:v>1.2258</c:v>
                </c:pt>
                <c:pt idx="8">
                  <c:v>1.2258</c:v>
                </c:pt>
                <c:pt idx="9">
                  <c:v>1.2228</c:v>
                </c:pt>
                <c:pt idx="10">
                  <c:v>1.2205</c:v>
                </c:pt>
                <c:pt idx="11">
                  <c:v>1.2219</c:v>
                </c:pt>
                <c:pt idx="12">
                  <c:v>1.2167</c:v>
                </c:pt>
                <c:pt idx="13">
                  <c:v>1.217</c:v>
                </c:pt>
                <c:pt idx="14">
                  <c:v>1.2181</c:v>
                </c:pt>
                <c:pt idx="15">
                  <c:v>1.2171</c:v>
                </c:pt>
                <c:pt idx="16">
                  <c:v>1.2188</c:v>
                </c:pt>
                <c:pt idx="17">
                  <c:v>1.2386</c:v>
                </c:pt>
                <c:pt idx="18">
                  <c:v>1.2397</c:v>
                </c:pt>
                <c:pt idx="19">
                  <c:v>1.2385</c:v>
                </c:pt>
                <c:pt idx="20">
                  <c:v>1.3196</c:v>
                </c:pt>
                <c:pt idx="21">
                  <c:v>1.2691</c:v>
                </c:pt>
                <c:pt idx="22">
                  <c:v>1.272</c:v>
                </c:pt>
                <c:pt idx="23">
                  <c:v>1.243</c:v>
                </c:pt>
                <c:pt idx="24">
                  <c:v>1.2179</c:v>
                </c:pt>
                <c:pt idx="25">
                  <c:v>1.2188</c:v>
                </c:pt>
                <c:pt idx="26">
                  <c:v>1.2583</c:v>
                </c:pt>
                <c:pt idx="27">
                  <c:v>1.267</c:v>
                </c:pt>
                <c:pt idx="28">
                  <c:v>1.2651</c:v>
                </c:pt>
                <c:pt idx="29">
                  <c:v>1.2646</c:v>
                </c:pt>
                <c:pt idx="30">
                  <c:v>1.2659</c:v>
                </c:pt>
                <c:pt idx="31">
                  <c:v>1.2667</c:v>
                </c:pt>
                <c:pt idx="32">
                  <c:v>1.2871</c:v>
                </c:pt>
                <c:pt idx="33">
                  <c:v>1.2897</c:v>
                </c:pt>
                <c:pt idx="34">
                  <c:v>1.323</c:v>
                </c:pt>
                <c:pt idx="35">
                  <c:v>1.329</c:v>
                </c:pt>
                <c:pt idx="36">
                  <c:v>1.3189</c:v>
                </c:pt>
                <c:pt idx="37">
                  <c:v>1.3152</c:v>
                </c:pt>
                <c:pt idx="38">
                  <c:v>1.3149</c:v>
                </c:pt>
                <c:pt idx="39">
                  <c:v>1.3349</c:v>
                </c:pt>
                <c:pt idx="40">
                  <c:v>1.3242</c:v>
                </c:pt>
                <c:pt idx="41">
                  <c:v>1.315</c:v>
                </c:pt>
                <c:pt idx="42">
                  <c:v>1.3229</c:v>
                </c:pt>
                <c:pt idx="43">
                  <c:v>1.3226</c:v>
                </c:pt>
                <c:pt idx="44">
                  <c:v>1.3408</c:v>
                </c:pt>
                <c:pt idx="45">
                  <c:v>1.3675</c:v>
                </c:pt>
                <c:pt idx="46">
                  <c:v>1.3965</c:v>
                </c:pt>
                <c:pt idx="47">
                  <c:v>1.3939</c:v>
                </c:pt>
                <c:pt idx="48">
                  <c:v>1.4046</c:v>
                </c:pt>
                <c:pt idx="49">
                  <c:v>1.4162</c:v>
                </c:pt>
                <c:pt idx="50">
                  <c:v>1.4356</c:v>
                </c:pt>
                <c:pt idx="51">
                  <c:v>1.436</c:v>
                </c:pt>
                <c:pt idx="52">
                  <c:v>1.4246</c:v>
                </c:pt>
                <c:pt idx="53">
                  <c:v>1.4317</c:v>
                </c:pt>
                <c:pt idx="54">
                  <c:v>1.4334</c:v>
                </c:pt>
                <c:pt idx="55">
                  <c:v>1.455</c:v>
                </c:pt>
                <c:pt idx="56">
                  <c:v>1.4119</c:v>
                </c:pt>
                <c:pt idx="57">
                  <c:v>1.4003</c:v>
                </c:pt>
                <c:pt idx="58">
                  <c:v>1.3702</c:v>
                </c:pt>
                <c:pt idx="59">
                  <c:v>1.3535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58c8c8b-eb1d-42bd-a42d-38a068e4bbf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1.4226,1.4094,1.3372,1.3226,1.3235,1.331,1.3233,1.3679,1.3648,1.3664,1.328,1.3201,1.3358,1.3271,1.3202,1.3238,1.3257,1.3611,1.363,1.3729,1.3897,1.3699,1.3724,1.3365,1.2987,1.3401,1.3011,1.2942,1.3021,1.3186,1.3283,1.3214,1.3287,1.328,1.3634,1.3936,1.3752,1.365,1.3578,1.3809,1.3644,1.3442,1.3428,1.3479,1.3822,1.4031,1.4154,1.4152,1.4435,1.4551,1.4671,1.4856,1.4645,1.4606,1.4713,1.4944,1.5434,1.5098,1.4672,1.4531}</c:f>
              <c:numCache>
                <c:formatCode>General</c:formatCode>
                <c:ptCount val="60"/>
                <c:pt idx="0">
                  <c:v>1.4226</c:v>
                </c:pt>
                <c:pt idx="1">
                  <c:v>1.4094</c:v>
                </c:pt>
                <c:pt idx="2">
                  <c:v>1.3372</c:v>
                </c:pt>
                <c:pt idx="3">
                  <c:v>1.3226</c:v>
                </c:pt>
                <c:pt idx="4">
                  <c:v>1.3235</c:v>
                </c:pt>
                <c:pt idx="5">
                  <c:v>1.331</c:v>
                </c:pt>
                <c:pt idx="6">
                  <c:v>1.3233</c:v>
                </c:pt>
                <c:pt idx="7">
                  <c:v>1.3679</c:v>
                </c:pt>
                <c:pt idx="8">
                  <c:v>1.3648</c:v>
                </c:pt>
                <c:pt idx="9">
                  <c:v>1.3664</c:v>
                </c:pt>
                <c:pt idx="10">
                  <c:v>1.328</c:v>
                </c:pt>
                <c:pt idx="11">
                  <c:v>1.3201</c:v>
                </c:pt>
                <c:pt idx="12">
                  <c:v>1.3358</c:v>
                </c:pt>
                <c:pt idx="13">
                  <c:v>1.3271</c:v>
                </c:pt>
                <c:pt idx="14">
                  <c:v>1.3202</c:v>
                </c:pt>
                <c:pt idx="15">
                  <c:v>1.3238</c:v>
                </c:pt>
                <c:pt idx="16">
                  <c:v>1.3257</c:v>
                </c:pt>
                <c:pt idx="17">
                  <c:v>1.3611</c:v>
                </c:pt>
                <c:pt idx="18">
                  <c:v>1.363</c:v>
                </c:pt>
                <c:pt idx="19">
                  <c:v>1.3729</c:v>
                </c:pt>
                <c:pt idx="20">
                  <c:v>1.3897</c:v>
                </c:pt>
                <c:pt idx="21">
                  <c:v>1.3699</c:v>
                </c:pt>
                <c:pt idx="22">
                  <c:v>1.3724</c:v>
                </c:pt>
                <c:pt idx="23">
                  <c:v>1.3365</c:v>
                </c:pt>
                <c:pt idx="24">
                  <c:v>1.2987</c:v>
                </c:pt>
                <c:pt idx="25">
                  <c:v>1.3401</c:v>
                </c:pt>
                <c:pt idx="26">
                  <c:v>1.3011</c:v>
                </c:pt>
                <c:pt idx="27">
                  <c:v>1.2942</c:v>
                </c:pt>
                <c:pt idx="28">
                  <c:v>1.3021</c:v>
                </c:pt>
                <c:pt idx="29">
                  <c:v>1.3186</c:v>
                </c:pt>
                <c:pt idx="30">
                  <c:v>1.3283</c:v>
                </c:pt>
                <c:pt idx="31">
                  <c:v>1.3214</c:v>
                </c:pt>
                <c:pt idx="32">
                  <c:v>1.3287</c:v>
                </c:pt>
                <c:pt idx="33">
                  <c:v>1.328</c:v>
                </c:pt>
                <c:pt idx="34">
                  <c:v>1.3634</c:v>
                </c:pt>
                <c:pt idx="35">
                  <c:v>1.3936</c:v>
                </c:pt>
                <c:pt idx="36">
                  <c:v>1.3752</c:v>
                </c:pt>
                <c:pt idx="37">
                  <c:v>1.365</c:v>
                </c:pt>
                <c:pt idx="38">
                  <c:v>1.3578</c:v>
                </c:pt>
                <c:pt idx="39">
                  <c:v>1.3809</c:v>
                </c:pt>
                <c:pt idx="40">
                  <c:v>1.3644</c:v>
                </c:pt>
                <c:pt idx="41">
                  <c:v>1.3442</c:v>
                </c:pt>
                <c:pt idx="42">
                  <c:v>1.3428</c:v>
                </c:pt>
                <c:pt idx="43">
                  <c:v>1.3479</c:v>
                </c:pt>
                <c:pt idx="44">
                  <c:v>1.3822</c:v>
                </c:pt>
                <c:pt idx="45">
                  <c:v>1.4031</c:v>
                </c:pt>
                <c:pt idx="46">
                  <c:v>1.4154</c:v>
                </c:pt>
                <c:pt idx="47">
                  <c:v>1.4152</c:v>
                </c:pt>
                <c:pt idx="48">
                  <c:v>1.4435</c:v>
                </c:pt>
                <c:pt idx="49">
                  <c:v>1.4551</c:v>
                </c:pt>
                <c:pt idx="50">
                  <c:v>1.4671</c:v>
                </c:pt>
                <c:pt idx="51">
                  <c:v>1.4856</c:v>
                </c:pt>
                <c:pt idx="52">
                  <c:v>1.4645</c:v>
                </c:pt>
                <c:pt idx="53">
                  <c:v>1.4606</c:v>
                </c:pt>
                <c:pt idx="54">
                  <c:v>1.4713</c:v>
                </c:pt>
                <c:pt idx="55">
                  <c:v>1.4944</c:v>
                </c:pt>
                <c:pt idx="56">
                  <c:v>1.5434</c:v>
                </c:pt>
                <c:pt idx="57">
                  <c:v>1.5098</c:v>
                </c:pt>
                <c:pt idx="58">
                  <c:v>1.4672</c:v>
                </c:pt>
                <c:pt idx="59">
                  <c:v>1.4531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765d87b-d8ac-4062-b6fa-d7085249f89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1.354,1.3267,1.2892,1.274,1.2718,1.2785,1.2869,1.2962,1.2985,1.2941,1.2879,1.2878,1.2858,1.2853,1.2891,1.2902,1.2911,1.3124,1.3129,1.3122,1.3749,1.3456,1.3385,1.2548,1.2257,1.2779,1.2852,1.2873,1.2897,1.2909,1.2978,1.3025,1.3186,1.3248,1.361,1.3735,1.3557,1.3488,1.3485,1.3889,1.3607,1.3508,1.3556,1.3562,1.3864,1.4174,1.4274,1.4212,1.4406,1.4472,1.4646,1.4685,1.4537,1.454,1.4702,1.5066,1.4547,1.4268,1.4015,1.3958}</c:f>
              <c:numCache>
                <c:formatCode>General</c:formatCode>
                <c:ptCount val="60"/>
                <c:pt idx="0">
                  <c:v>1.354</c:v>
                </c:pt>
                <c:pt idx="1">
                  <c:v>1.3267</c:v>
                </c:pt>
                <c:pt idx="2">
                  <c:v>1.2892</c:v>
                </c:pt>
                <c:pt idx="3">
                  <c:v>1.274</c:v>
                </c:pt>
                <c:pt idx="4">
                  <c:v>1.2718</c:v>
                </c:pt>
                <c:pt idx="5">
                  <c:v>1.2785</c:v>
                </c:pt>
                <c:pt idx="6">
                  <c:v>1.2869</c:v>
                </c:pt>
                <c:pt idx="7">
                  <c:v>1.2962</c:v>
                </c:pt>
                <c:pt idx="8">
                  <c:v>1.2985</c:v>
                </c:pt>
                <c:pt idx="9">
                  <c:v>1.2941</c:v>
                </c:pt>
                <c:pt idx="10">
                  <c:v>1.2879</c:v>
                </c:pt>
                <c:pt idx="11">
                  <c:v>1.2878</c:v>
                </c:pt>
                <c:pt idx="12">
                  <c:v>1.2858</c:v>
                </c:pt>
                <c:pt idx="13">
                  <c:v>1.2853</c:v>
                </c:pt>
                <c:pt idx="14">
                  <c:v>1.2891</c:v>
                </c:pt>
                <c:pt idx="15">
                  <c:v>1.2902</c:v>
                </c:pt>
                <c:pt idx="16">
                  <c:v>1.2911</c:v>
                </c:pt>
                <c:pt idx="17">
                  <c:v>1.3124</c:v>
                </c:pt>
                <c:pt idx="18">
                  <c:v>1.3129</c:v>
                </c:pt>
                <c:pt idx="19">
                  <c:v>1.3122</c:v>
                </c:pt>
                <c:pt idx="20">
                  <c:v>1.3749</c:v>
                </c:pt>
                <c:pt idx="21">
                  <c:v>1.3456</c:v>
                </c:pt>
                <c:pt idx="22">
                  <c:v>1.3385</c:v>
                </c:pt>
                <c:pt idx="23">
                  <c:v>1.2548</c:v>
                </c:pt>
                <c:pt idx="24">
                  <c:v>1.2257</c:v>
                </c:pt>
                <c:pt idx="25">
                  <c:v>1.2779</c:v>
                </c:pt>
                <c:pt idx="26">
                  <c:v>1.2852</c:v>
                </c:pt>
                <c:pt idx="27">
                  <c:v>1.2873</c:v>
                </c:pt>
                <c:pt idx="28">
                  <c:v>1.2897</c:v>
                </c:pt>
                <c:pt idx="29">
                  <c:v>1.2909</c:v>
                </c:pt>
                <c:pt idx="30">
                  <c:v>1.2978</c:v>
                </c:pt>
                <c:pt idx="31">
                  <c:v>1.3025</c:v>
                </c:pt>
                <c:pt idx="32">
                  <c:v>1.3186</c:v>
                </c:pt>
                <c:pt idx="33">
                  <c:v>1.3248</c:v>
                </c:pt>
                <c:pt idx="34">
                  <c:v>1.361</c:v>
                </c:pt>
                <c:pt idx="35">
                  <c:v>1.3735</c:v>
                </c:pt>
                <c:pt idx="36">
                  <c:v>1.3557</c:v>
                </c:pt>
                <c:pt idx="37">
                  <c:v>1.3488</c:v>
                </c:pt>
                <c:pt idx="38">
                  <c:v>1.3485</c:v>
                </c:pt>
                <c:pt idx="39">
                  <c:v>1.3889</c:v>
                </c:pt>
                <c:pt idx="40">
                  <c:v>1.3607</c:v>
                </c:pt>
                <c:pt idx="41">
                  <c:v>1.3508</c:v>
                </c:pt>
                <c:pt idx="42">
                  <c:v>1.3556</c:v>
                </c:pt>
                <c:pt idx="43">
                  <c:v>1.3562</c:v>
                </c:pt>
                <c:pt idx="44">
                  <c:v>1.3864</c:v>
                </c:pt>
                <c:pt idx="45">
                  <c:v>1.4174</c:v>
                </c:pt>
                <c:pt idx="46">
                  <c:v>1.4274</c:v>
                </c:pt>
                <c:pt idx="47">
                  <c:v>1.4212</c:v>
                </c:pt>
                <c:pt idx="48">
                  <c:v>1.4406</c:v>
                </c:pt>
                <c:pt idx="49">
                  <c:v>1.4472</c:v>
                </c:pt>
                <c:pt idx="50">
                  <c:v>1.4646</c:v>
                </c:pt>
                <c:pt idx="51">
                  <c:v>1.4685</c:v>
                </c:pt>
                <c:pt idx="52">
                  <c:v>1.4537</c:v>
                </c:pt>
                <c:pt idx="53">
                  <c:v>1.454</c:v>
                </c:pt>
                <c:pt idx="54">
                  <c:v>1.4702</c:v>
                </c:pt>
                <c:pt idx="55">
                  <c:v>1.5066</c:v>
                </c:pt>
                <c:pt idx="56">
                  <c:v>1.4547</c:v>
                </c:pt>
                <c:pt idx="57">
                  <c:v>1.4268</c:v>
                </c:pt>
                <c:pt idx="58">
                  <c:v>1.4015</c:v>
                </c:pt>
                <c:pt idx="59">
                  <c:v>1.3958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d06e53-727f-4c5d-af67-166baa78fb6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1.4654,1.4333,1.3931,1.3942,1.3972,1.4011,1.3991,1.4075,1.409,1.4082,1.3995,1.3914,1.391,1.3945,1.3921,1.3869,1.3702,1.3826,1.3885,1.399,1.3998,1.3961,1.3931,1.3678,1.3007,1.3693,1.3489,1.3445,1.3478,1.3565,1.3586,1.3566,1.3599,1.3659,1.3831,1.4034,1.3891,1.3764,1.3782,1.3997,1.376,1.3725,1.3726,1.3767,1.3907,1.4043,1.4132,1.4156,1.4398,1.4625,1.4678,1.484,1.4739,1.4729,1.4807,1.5229,1.5684,1.5429,1.5103,1.5023}</c:f>
              <c:numCache>
                <c:formatCode>General</c:formatCode>
                <c:ptCount val="60"/>
                <c:pt idx="0">
                  <c:v>1.4654</c:v>
                </c:pt>
                <c:pt idx="1">
                  <c:v>1.4333</c:v>
                </c:pt>
                <c:pt idx="2">
                  <c:v>1.3931</c:v>
                </c:pt>
                <c:pt idx="3">
                  <c:v>1.3942</c:v>
                </c:pt>
                <c:pt idx="4">
                  <c:v>1.3972</c:v>
                </c:pt>
                <c:pt idx="5">
                  <c:v>1.4011</c:v>
                </c:pt>
                <c:pt idx="6">
                  <c:v>1.3991</c:v>
                </c:pt>
                <c:pt idx="7">
                  <c:v>1.4075</c:v>
                </c:pt>
                <c:pt idx="8">
                  <c:v>1.409</c:v>
                </c:pt>
                <c:pt idx="9">
                  <c:v>1.4082</c:v>
                </c:pt>
                <c:pt idx="10">
                  <c:v>1.3995</c:v>
                </c:pt>
                <c:pt idx="11">
                  <c:v>1.3914</c:v>
                </c:pt>
                <c:pt idx="12">
                  <c:v>1.391</c:v>
                </c:pt>
                <c:pt idx="13">
                  <c:v>1.3945</c:v>
                </c:pt>
                <c:pt idx="14">
                  <c:v>1.3921</c:v>
                </c:pt>
                <c:pt idx="15">
                  <c:v>1.3869</c:v>
                </c:pt>
                <c:pt idx="16">
                  <c:v>1.3702</c:v>
                </c:pt>
                <c:pt idx="17">
                  <c:v>1.3826</c:v>
                </c:pt>
                <c:pt idx="18">
                  <c:v>1.3885</c:v>
                </c:pt>
                <c:pt idx="19">
                  <c:v>1.399</c:v>
                </c:pt>
                <c:pt idx="20">
                  <c:v>1.3998</c:v>
                </c:pt>
                <c:pt idx="21">
                  <c:v>1.3961</c:v>
                </c:pt>
                <c:pt idx="22">
                  <c:v>1.3931</c:v>
                </c:pt>
                <c:pt idx="23">
                  <c:v>1.3678</c:v>
                </c:pt>
                <c:pt idx="24">
                  <c:v>1.3007</c:v>
                </c:pt>
                <c:pt idx="25">
                  <c:v>1.3693</c:v>
                </c:pt>
                <c:pt idx="26">
                  <c:v>1.3489</c:v>
                </c:pt>
                <c:pt idx="27">
                  <c:v>1.3445</c:v>
                </c:pt>
                <c:pt idx="28">
                  <c:v>1.3478</c:v>
                </c:pt>
                <c:pt idx="29">
                  <c:v>1.3565</c:v>
                </c:pt>
                <c:pt idx="30">
                  <c:v>1.3586</c:v>
                </c:pt>
                <c:pt idx="31">
                  <c:v>1.3566</c:v>
                </c:pt>
                <c:pt idx="32">
                  <c:v>1.3599</c:v>
                </c:pt>
                <c:pt idx="33">
                  <c:v>1.3659</c:v>
                </c:pt>
                <c:pt idx="34">
                  <c:v>1.3831</c:v>
                </c:pt>
                <c:pt idx="35">
                  <c:v>1.4034</c:v>
                </c:pt>
                <c:pt idx="36">
                  <c:v>1.3891</c:v>
                </c:pt>
                <c:pt idx="37">
                  <c:v>1.3764</c:v>
                </c:pt>
                <c:pt idx="38">
                  <c:v>1.3782</c:v>
                </c:pt>
                <c:pt idx="39">
                  <c:v>1.3997</c:v>
                </c:pt>
                <c:pt idx="40">
                  <c:v>1.376</c:v>
                </c:pt>
                <c:pt idx="41">
                  <c:v>1.3725</c:v>
                </c:pt>
                <c:pt idx="42">
                  <c:v>1.3726</c:v>
                </c:pt>
                <c:pt idx="43">
                  <c:v>1.3767</c:v>
                </c:pt>
                <c:pt idx="44">
                  <c:v>1.3907</c:v>
                </c:pt>
                <c:pt idx="45">
                  <c:v>1.4043</c:v>
                </c:pt>
                <c:pt idx="46">
                  <c:v>1.4132</c:v>
                </c:pt>
                <c:pt idx="47">
                  <c:v>1.4156</c:v>
                </c:pt>
                <c:pt idx="48">
                  <c:v>1.4398</c:v>
                </c:pt>
                <c:pt idx="49">
                  <c:v>1.4625</c:v>
                </c:pt>
                <c:pt idx="50">
                  <c:v>1.4678</c:v>
                </c:pt>
                <c:pt idx="51">
                  <c:v>1.484</c:v>
                </c:pt>
                <c:pt idx="52">
                  <c:v>1.4739</c:v>
                </c:pt>
                <c:pt idx="53">
                  <c:v>1.4729</c:v>
                </c:pt>
                <c:pt idx="54">
                  <c:v>1.4807</c:v>
                </c:pt>
                <c:pt idx="55">
                  <c:v>1.5229</c:v>
                </c:pt>
                <c:pt idx="56">
                  <c:v>1.5684</c:v>
                </c:pt>
                <c:pt idx="57">
                  <c:v>1.5429</c:v>
                </c:pt>
                <c:pt idx="58">
                  <c:v>1.5103</c:v>
                </c:pt>
                <c:pt idx="59">
                  <c:v>1.5023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2f33f06-bdbf-4447-9764-48f49bbc023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{8.3,8.2,8.2,7.9,7.8,7.7}</c:f>
              <c:numCache>
                <c:formatCode>General</c:formatCode>
                <c:ptCount val="6"/>
                <c:pt idx="0">
                  <c:v>8.3</c:v>
                </c:pt>
                <c:pt idx="1">
                  <c:v>8.2</c:v>
                </c:pt>
                <c:pt idx="2">
                  <c:v>8.2</c:v>
                </c:pt>
                <c:pt idx="3">
                  <c:v>7.9</c:v>
                </c:pt>
                <c:pt idx="4">
                  <c:v>7.8</c:v>
                </c:pt>
                <c:pt idx="5">
                  <c:v>7.7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5c49ebb-2eba-46a5-831f-ebab6ce87c2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{6.3,6.1,6.1,5.8,5.6,5.5}</c:f>
              <c:numCache>
                <c:formatCode>General</c:formatCode>
                <c:ptCount val="6"/>
                <c:pt idx="0">
                  <c:v>6.3</c:v>
                </c:pt>
                <c:pt idx="1">
                  <c:v>6.1</c:v>
                </c:pt>
                <c:pt idx="2">
                  <c:v>6.1</c:v>
                </c:pt>
                <c:pt idx="3">
                  <c:v>5.8</c:v>
                </c:pt>
                <c:pt idx="4">
                  <c:v>5.6</c:v>
                </c:pt>
                <c:pt idx="5">
                  <c:v>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832d462-3d01-4945-93ef-08186cc2671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{3.8,4.9,5.9,5.1,5,5.5}</c:f>
              <c:numCache>
                <c:formatCode>General</c:formatCode>
                <c:ptCount val="6"/>
                <c:pt idx="0">
                  <c:v>3.8</c:v>
                </c:pt>
                <c:pt idx="1">
                  <c:v>4.9</c:v>
                </c:pt>
                <c:pt idx="2">
                  <c:v>5.9</c:v>
                </c:pt>
                <c:pt idx="3">
                  <c:v>5.1</c:v>
                </c:pt>
                <c:pt idx="4">
                  <c:v>5</c:v>
                </c:pt>
                <c:pt idx="5">
                  <c:v>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d63ad4e-29fd-49ad-88bf-f62c066f7d3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{8,8.5,9,9,8.5,8.6}</c:f>
              <c:numCache>
                <c:formatCode>General</c:formatCode>
                <c:ptCount val="6"/>
                <c:pt idx="0">
                  <c:v>8</c:v>
                </c:pt>
                <c:pt idx="1">
                  <c:v>8.5</c:v>
                </c:pt>
                <c:pt idx="2">
                  <c:v>9</c:v>
                </c:pt>
                <c:pt idx="3">
                  <c:v>9</c:v>
                </c:pt>
                <c:pt idx="4">
                  <c:v>8.5</c:v>
                </c:pt>
                <c:pt idx="5">
                  <c:v>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0486654-0291-479c-8242-8dd95f50870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{1.3,0.9,2.8,1.7,0.2,-0.6}</c:f>
              <c:numCache>
                <c:formatCode>General</c:formatCode>
                <c:ptCount val="6"/>
                <c:pt idx="0">
                  <c:v>1.3</c:v>
                </c:pt>
                <c:pt idx="1">
                  <c:v>0.9</c:v>
                </c:pt>
                <c:pt idx="2">
                  <c:v>2.8</c:v>
                </c:pt>
                <c:pt idx="3">
                  <c:v>1.7</c:v>
                </c:pt>
                <c:pt idx="4">
                  <c:v>0.2</c:v>
                </c:pt>
                <c:pt idx="5">
                  <c:v>-0.6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9f7e9d7-a7fc-4c83-9292-9234fa1c9e0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{-2.6,-3.8,1.8,1.7,-1.6,-4.1}</c:f>
              <c:numCache>
                <c:formatCode>General</c:formatCode>
                <c:ptCount val="6"/>
                <c:pt idx="0">
                  <c:v>-2.6</c:v>
                </c:pt>
                <c:pt idx="1">
                  <c:v>-3.8</c:v>
                </c:pt>
                <c:pt idx="2">
                  <c:v>1.8</c:v>
                </c:pt>
                <c:pt idx="3">
                  <c:v>1.7</c:v>
                </c:pt>
                <c:pt idx="4">
                  <c:v>-1.6</c:v>
                </c:pt>
                <c:pt idx="5">
                  <c:v>-4.1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3f7d3d0-b5ff-4368-a020-88d0309d81c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{-7.8,-8.7,-13.5,-10.4,-10.2,-10.8}</c:f>
              <c:numCache>
                <c:formatCode>General</c:formatCode>
                <c:ptCount val="6"/>
                <c:pt idx="0">
                  <c:v>-7.8</c:v>
                </c:pt>
                <c:pt idx="1">
                  <c:v>-8.7</c:v>
                </c:pt>
                <c:pt idx="2">
                  <c:v>-13.5</c:v>
                </c:pt>
                <c:pt idx="3">
                  <c:v>-10.4</c:v>
                </c:pt>
                <c:pt idx="4">
                  <c:v>-10.2</c:v>
                </c:pt>
                <c:pt idx="5">
                  <c:v>-10.8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8ae62db-34b9-41fc-82ce-b5de91e216e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{50.1,49.3,49,50.4,50.3,50}</c:f>
              <c:numCache>
                <c:formatCode>General</c:formatCode>
                <c:ptCount val="6"/>
                <c:pt idx="0">
                  <c:v>50.1</c:v>
                </c:pt>
                <c:pt idx="1">
                  <c:v>49.3</c:v>
                </c:pt>
                <c:pt idx="2">
                  <c:v>49</c:v>
                </c:pt>
                <c:pt idx="3">
                  <c:v>50.4</c:v>
                </c:pt>
                <c:pt idx="4">
                  <c:v>50.3</c:v>
                </c:pt>
                <c:pt idx="5">
                  <c:v>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ba1175-3208-452f-bbf3-01b960bd70e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{50.2,49.4,49.5,50.1,49.4,50.1}</c:f>
              <c:numCache>
                <c:formatCode>General</c:formatCode>
                <c:ptCount val="6"/>
                <c:pt idx="0">
                  <c:v>50.2</c:v>
                </c:pt>
                <c:pt idx="1">
                  <c:v>49.4</c:v>
                </c:pt>
                <c:pt idx="2">
                  <c:v>49.5</c:v>
                </c:pt>
                <c:pt idx="3">
                  <c:v>50.1</c:v>
                </c:pt>
                <c:pt idx="4">
                  <c:v>49.4</c:v>
                </c:pt>
                <c:pt idx="5">
                  <c:v>50.1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0992f3d-4536-46e8-b8b9-63b78ccd448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{5.2,6.3,6.3,5.7,4.1,4.5}</c:f>
              <c:numCache>
                <c:formatCode>General</c:formatCode>
                <c:ptCount val="6"/>
                <c:pt idx="0">
                  <c:v>5.2</c:v>
                </c:pt>
                <c:pt idx="1">
                  <c:v>6.3</c:v>
                </c:pt>
                <c:pt idx="2">
                  <c:v>6.3</c:v>
                </c:pt>
                <c:pt idx="3">
                  <c:v>5.7</c:v>
                </c:pt>
                <c:pt idx="4">
                  <c:v>4.1</c:v>
                </c:pt>
                <c:pt idx="5">
                  <c:v>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7c05d2-fc52-4f51-8cfb-ff918fedd5e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{6.46,10,39.6,2.5,14.1,19.4}</c:f>
              <c:numCache>
                <c:formatCode>General</c:formatCode>
                <c:ptCount val="6"/>
                <c:pt idx="0">
                  <c:v>6.46</c:v>
                </c:pt>
                <c:pt idx="1">
                  <c:v>10</c:v>
                </c:pt>
                <c:pt idx="2">
                  <c:v>39.6</c:v>
                </c:pt>
                <c:pt idx="3">
                  <c:v>2.5</c:v>
                </c:pt>
                <c:pt idx="4">
                  <c:v>14.1</c:v>
                </c:pt>
                <c:pt idx="5">
                  <c:v>19.4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6d34dfe-8f2f-4f45-8da8-59c2e6aaaa6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{-1.9,-1.4,-0.9,0.5,2.8,3.9}</c:f>
              <c:numCache>
                <c:formatCode>General</c:formatCode>
                <c:ptCount val="6"/>
                <c:pt idx="0">
                  <c:v>-1.9</c:v>
                </c:pt>
                <c:pt idx="1">
                  <c:v>-1.4</c:v>
                </c:pt>
                <c:pt idx="2">
                  <c:v>-0.9</c:v>
                </c:pt>
                <c:pt idx="3">
                  <c:v>0.5</c:v>
                </c:pt>
                <c:pt idx="4">
                  <c:v>2.8</c:v>
                </c:pt>
                <c:pt idx="5">
                  <c:v>3.9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910c72a-c2ac-4613-a2f7-99840526f66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{0.7,0.8,0.2,1.3,1,1.2}</c:f>
              <c:numCache>
                <c:formatCode>General</c:formatCode>
                <c:ptCount val="6"/>
                <c:pt idx="0">
                  <c:v>0.7</c:v>
                </c:pt>
                <c:pt idx="1">
                  <c:v>0.8</c:v>
                </c:pt>
                <c:pt idx="2">
                  <c:v>0.2</c:v>
                </c:pt>
                <c:pt idx="3">
                  <c:v>1.3</c:v>
                </c:pt>
                <c:pt idx="4">
                  <c:v>1</c:v>
                </c:pt>
                <c:pt idx="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d74f02c-d829-4b50-bb9f-bc11aeb2f51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{53.1,56.1,54.8,63.9,63.7,60.5}</c:f>
              <c:numCache>
                <c:formatCode>General</c:formatCode>
                <c:ptCount val="6"/>
                <c:pt idx="0">
                  <c:v>53.1</c:v>
                </c:pt>
                <c:pt idx="1">
                  <c:v>56.1</c:v>
                </c:pt>
                <c:pt idx="2">
                  <c:v>54.8</c:v>
                </c:pt>
                <c:pt idx="3">
                  <c:v>63.9</c:v>
                </c:pt>
                <c:pt idx="4">
                  <c:v>63.7</c:v>
                </c:pt>
                <c:pt idx="5">
                  <c:v>60.5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3143370-ff3c-4b3e-8723-5e376488bee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{22075,72185,23837,52240,6238,20264}</c:f>
              <c:numCache>
                <c:formatCode>General</c:formatCode>
                <c:ptCount val="6"/>
                <c:pt idx="0">
                  <c:v>22075</c:v>
                </c:pt>
                <c:pt idx="1">
                  <c:v>72185</c:v>
                </c:pt>
                <c:pt idx="2">
                  <c:v>23837</c:v>
                </c:pt>
                <c:pt idx="3">
                  <c:v>52240</c:v>
                </c:pt>
                <c:pt idx="4">
                  <c:v>6238</c:v>
                </c:pt>
                <c:pt idx="5">
                  <c:v>20264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d2eec0-da92-49d4-b755-d0f8e33d558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{9804,49016,8458,31522,-4006,4965}</c:f>
              <c:numCache>
                <c:formatCode>General</c:formatCode>
                <c:ptCount val="6"/>
                <c:pt idx="0">
                  <c:v>9804</c:v>
                </c:pt>
                <c:pt idx="1">
                  <c:v>49016</c:v>
                </c:pt>
                <c:pt idx="2">
                  <c:v>8458</c:v>
                </c:pt>
                <c:pt idx="3">
                  <c:v>31522</c:v>
                </c:pt>
                <c:pt idx="4">
                  <c:v>-4006</c:v>
                </c:pt>
                <c:pt idx="5">
                  <c:v>4965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3de0b8e-0ef4-41f8-8688-c139fe891ae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{6833,9764,14014,11658,9041,12236}</c:f>
              <c:numCache>
                <c:formatCode>General</c:formatCode>
                <c:ptCount val="6"/>
                <c:pt idx="0">
                  <c:v>6833</c:v>
                </c:pt>
                <c:pt idx="1">
                  <c:v>9764</c:v>
                </c:pt>
                <c:pt idx="2">
                  <c:v>14014</c:v>
                </c:pt>
                <c:pt idx="3">
                  <c:v>11658</c:v>
                </c:pt>
                <c:pt idx="4">
                  <c:v>9041</c:v>
                </c:pt>
                <c:pt idx="5">
                  <c:v>12236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0a38eef-1ee9-4197-aa65-e5f1b578bba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{1541,5033,1522,3910,4520,1680}</c:f>
              <c:numCache>
                <c:formatCode>General</c:formatCode>
                <c:ptCount val="6"/>
                <c:pt idx="0">
                  <c:v>1541</c:v>
                </c:pt>
                <c:pt idx="1">
                  <c:v>5033</c:v>
                </c:pt>
                <c:pt idx="2">
                  <c:v>1522</c:v>
                </c:pt>
                <c:pt idx="3">
                  <c:v>3910</c:v>
                </c:pt>
                <c:pt idx="4">
                  <c:v>4520</c:v>
                </c:pt>
                <c:pt idx="5">
                  <c:v>1680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b9c9886-d922-495c-a53d-1dc0c2c96fb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{-1492,6293,-1755,1258,-5284,-685}</c:f>
              <c:numCache>
                <c:formatCode>General</c:formatCode>
                <c:ptCount val="6"/>
                <c:pt idx="0">
                  <c:v>-1492</c:v>
                </c:pt>
                <c:pt idx="1">
                  <c:v>6293</c:v>
                </c:pt>
                <c:pt idx="2">
                  <c:v>-1755</c:v>
                </c:pt>
                <c:pt idx="3">
                  <c:v>1258</c:v>
                </c:pt>
                <c:pt idx="4">
                  <c:v>-5284</c:v>
                </c:pt>
                <c:pt idx="5">
                  <c:v>-685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896d87d-8f57-4be7-b660-cbe5f3e9871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{-675,468,-36,420,184,117}</c:f>
              <c:numCache>
                <c:formatCode>General</c:formatCode>
                <c:ptCount val="6"/>
                <c:pt idx="0">
                  <c:v>-675</c:v>
                </c:pt>
                <c:pt idx="1">
                  <c:v>468</c:v>
                </c:pt>
                <c:pt idx="2">
                  <c:v>-36</c:v>
                </c:pt>
                <c:pt idx="3">
                  <c:v>420</c:v>
                </c:pt>
                <c:pt idx="4">
                  <c:v>184</c:v>
                </c:pt>
                <c:pt idx="5">
                  <c:v>117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5641f64-678f-4f71-bf3e-aa602f81baf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{-13821,15500,-3500,-7394,7394,7100}</c:f>
              <c:numCache>
                <c:formatCode>General</c:formatCode>
                <c:ptCount val="6"/>
                <c:pt idx="0">
                  <c:v>-13821</c:v>
                </c:pt>
                <c:pt idx="1">
                  <c:v>15500</c:v>
                </c:pt>
                <c:pt idx="2">
                  <c:v>-3500</c:v>
                </c:pt>
                <c:pt idx="3">
                  <c:v>-7394</c:v>
                </c:pt>
                <c:pt idx="4">
                  <c:v>7394</c:v>
                </c:pt>
                <c:pt idx="5">
                  <c:v>7100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c51bdd-59d4-4f3e-8920-9e90d4e152f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{-6.1,-6.2,-6.3,-6.3,-6.2,-5.9}</c:f>
              <c:numCache>
                <c:formatCode>General</c:formatCode>
                <c:ptCount val="6"/>
                <c:pt idx="0">
                  <c:v>-6.1</c:v>
                </c:pt>
                <c:pt idx="1">
                  <c:v>-6.2</c:v>
                </c:pt>
                <c:pt idx="2">
                  <c:v>-6.3</c:v>
                </c:pt>
                <c:pt idx="3">
                  <c:v>-6.3</c:v>
                </c:pt>
                <c:pt idx="4">
                  <c:v>-6.2</c:v>
                </c:pt>
                <c:pt idx="5">
                  <c:v>-5.9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9f69a3-fd37-4e5c-bb32-12b8f4d212e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{50.8,49.2,48.6,51.6,50.6,49.9}</c:f>
              <c:numCache>
                <c:formatCode>General</c:formatCode>
                <c:ptCount val="6"/>
                <c:pt idx="0">
                  <c:v>50.8</c:v>
                </c:pt>
                <c:pt idx="1">
                  <c:v>49.2</c:v>
                </c:pt>
                <c:pt idx="2">
                  <c:v>48.6</c:v>
                </c:pt>
                <c:pt idx="3">
                  <c:v>51.6</c:v>
                </c:pt>
                <c:pt idx="4">
                  <c:v>50.6</c:v>
                </c:pt>
                <c:pt idx="5">
                  <c:v>49.9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105e73a-bab2-42ee-9585-73e04890e3d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{51.7,50.6,49.6,51.4,51.5,51.2}</c:f>
              <c:numCache>
                <c:formatCode>General</c:formatCode>
                <c:ptCount val="6"/>
                <c:pt idx="0">
                  <c:v>51.7</c:v>
                </c:pt>
                <c:pt idx="1">
                  <c:v>50.6</c:v>
                </c:pt>
                <c:pt idx="2">
                  <c:v>49.6</c:v>
                </c:pt>
                <c:pt idx="3">
                  <c:v>51.4</c:v>
                </c:pt>
                <c:pt idx="4">
                  <c:v>51.5</c:v>
                </c:pt>
                <c:pt idx="5">
                  <c:v>51.2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6087984-8cdf-4f1f-b72d-5ae16ba8e02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{5.29,5.31,4.92,5.11,5.43,5.56}</c:f>
              <c:numCache>
                <c:formatCode>General</c:formatCode>
                <c:ptCount val="6"/>
                <c:pt idx="0">
                  <c:v>5.29</c:v>
                </c:pt>
                <c:pt idx="1">
                  <c:v>5.31</c:v>
                </c:pt>
                <c:pt idx="2">
                  <c:v>4.92</c:v>
                </c:pt>
                <c:pt idx="3">
                  <c:v>5.11</c:v>
                </c:pt>
                <c:pt idx="4">
                  <c:v>5.43</c:v>
                </c:pt>
                <c:pt idx="5">
                  <c:v>5.56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c11ac5-cf06-4fc2-a9d8-d6a4e362051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{0.1,0.6,15.2,15.5,18.2,18.8}</c:f>
              <c:numCache>
                <c:formatCode>General</c:formatCode>
                <c:ptCount val="6"/>
                <c:pt idx="0">
                  <c:v>0.1</c:v>
                </c:pt>
                <c:pt idx="1">
                  <c:v>0.6</c:v>
                </c:pt>
                <c:pt idx="2">
                  <c:v>15.2</c:v>
                </c:pt>
                <c:pt idx="3">
                  <c:v>15.5</c:v>
                </c:pt>
                <c:pt idx="4">
                  <c:v>18.2</c:v>
                </c:pt>
                <c:pt idx="5">
                  <c:v>18.8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7434254-725c-4fac-b1e8-e417f559e22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{49.31,49.88,50.18,50.25,50.03,50.2}</c:f>
              <c:numCache>
                <c:formatCode>General</c:formatCode>
                <c:ptCount val="6"/>
                <c:pt idx="0">
                  <c:v>49.31</c:v>
                </c:pt>
                <c:pt idx="1">
                  <c:v>49.88</c:v>
                </c:pt>
                <c:pt idx="2">
                  <c:v>50.18</c:v>
                </c:pt>
                <c:pt idx="3">
                  <c:v>50.25</c:v>
                </c:pt>
                <c:pt idx="4">
                  <c:v>50.03</c:v>
                </c:pt>
                <c:pt idx="5">
                  <c:v>50.2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71cefc1-59bf-46d1-93e2-9331b6f380a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{50.4,50.1,50.3,49.85,49.85,49.9}</c:f>
              <c:numCache>
                <c:formatCode>General</c:formatCode>
                <c:ptCount val="6"/>
                <c:pt idx="0">
                  <c:v>50.4</c:v>
                </c:pt>
                <c:pt idx="1">
                  <c:v>50.1</c:v>
                </c:pt>
                <c:pt idx="2">
                  <c:v>50.3</c:v>
                </c:pt>
                <c:pt idx="3">
                  <c:v>49.85</c:v>
                </c:pt>
                <c:pt idx="4">
                  <c:v>49.85</c:v>
                </c:pt>
                <c:pt idx="5">
                  <c:v>49.9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2087222-0303-41b5-83c8-1f3d66ca5c4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{49,47.8,45,49.1,50.3,48.6}</c:f>
              <c:numCache>
                <c:formatCode>General</c:formatCode>
                <c:ptCount val="6"/>
                <c:pt idx="0">
                  <c:v>49</c:v>
                </c:pt>
                <c:pt idx="1">
                  <c:v>47.8</c:v>
                </c:pt>
                <c:pt idx="2">
                  <c:v>45</c:v>
                </c:pt>
                <c:pt idx="3">
                  <c:v>49.1</c:v>
                </c:pt>
                <c:pt idx="4">
                  <c:v>50.3</c:v>
                </c:pt>
                <c:pt idx="5">
                  <c:v>48.6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a9d3199-7b2b-4f98-839f-4254e7eac33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{1.42,2.8,2.45,2.03,0.09,0.27}</c:f>
              <c:numCache>
                <c:formatCode>General</c:formatCode>
                <c:ptCount val="6"/>
                <c:pt idx="0">
                  <c:v>1.42</c:v>
                </c:pt>
                <c:pt idx="1">
                  <c:v>2.8</c:v>
                </c:pt>
                <c:pt idx="2">
                  <c:v>2.45</c:v>
                </c:pt>
                <c:pt idx="3">
                  <c:v>2.03</c:v>
                </c:pt>
                <c:pt idx="4">
                  <c:v>0.09</c:v>
                </c:pt>
                <c:pt idx="5">
                  <c:v>0.27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d053342-fc25-4ffb-bd29-298b688e73b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{1.73,-1.69,-0.97,0.75,1.72,3.4}</c:f>
              <c:numCache>
                <c:formatCode>General</c:formatCode>
                <c:ptCount val="6"/>
                <c:pt idx="0">
                  <c:v>1.73</c:v>
                </c:pt>
                <c:pt idx="1">
                  <c:v>-1.69</c:v>
                </c:pt>
                <c:pt idx="2">
                  <c:v>-0.97</c:v>
                </c:pt>
                <c:pt idx="3">
                  <c:v>0.75</c:v>
                </c:pt>
                <c:pt idx="4">
                  <c:v>1.72</c:v>
                </c:pt>
                <c:pt idx="5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e1dbfff-3878-49cf-b547-81afb976923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{2.4,4.25,0.1,0.3,0.8,3.29}</c:f>
              <c:numCache>
                <c:formatCode>General</c:formatCode>
                <c:ptCount val="6"/>
                <c:pt idx="0">
                  <c:v>2.4</c:v>
                </c:pt>
                <c:pt idx="1">
                  <c:v>4.25</c:v>
                </c:pt>
                <c:pt idx="2">
                  <c:v>0.1</c:v>
                </c:pt>
                <c:pt idx="3">
                  <c:v>0.3</c:v>
                </c:pt>
                <c:pt idx="4">
                  <c:v>0.8</c:v>
                </c:pt>
                <c:pt idx="5">
                  <c:v>3.29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b82b1ef-d8b3-4595-8cd1-c4ed18dcad5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{7.08,8.23,2.05,3.7,3.6,4.94}</c:f>
              <c:numCache>
                <c:formatCode>General</c:formatCode>
                <c:ptCount val="6"/>
                <c:pt idx="0">
                  <c:v>7.08</c:v>
                </c:pt>
                <c:pt idx="1">
                  <c:v>8.23</c:v>
                </c:pt>
                <c:pt idx="2">
                  <c:v>2.05</c:v>
                </c:pt>
                <c:pt idx="3">
                  <c:v>3.7</c:v>
                </c:pt>
                <c:pt idx="4">
                  <c:v>3.6</c:v>
                </c:pt>
                <c:pt idx="5">
                  <c:v>4.94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55280e1-a10c-4be7-b1f8-1cf2ac39aa5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{-13.68,-11.25,-14.63,-15,-14.5,-12.89}</c:f>
              <c:numCache>
                <c:formatCode>General</c:formatCode>
                <c:ptCount val="6"/>
                <c:pt idx="0">
                  <c:v>-13.68</c:v>
                </c:pt>
                <c:pt idx="1">
                  <c:v>-11.25</c:v>
                </c:pt>
                <c:pt idx="2">
                  <c:v>-14.63</c:v>
                </c:pt>
                <c:pt idx="3">
                  <c:v>-15</c:v>
                </c:pt>
                <c:pt idx="4">
                  <c:v>-14.5</c:v>
                </c:pt>
                <c:pt idx="5">
                  <c:v>-12.89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81d3b42-fa22-471b-b0a9-f84c7a78f6f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{1.9,0.6,3.1,4.1,1.2,-0.4}</c:f>
              <c:numCache>
                <c:formatCode>General</c:formatCode>
                <c:ptCount val="6"/>
                <c:pt idx="0">
                  <c:v>1.9</c:v>
                </c:pt>
                <c:pt idx="1">
                  <c:v>0.6</c:v>
                </c:pt>
                <c:pt idx="2">
                  <c:v>3.1</c:v>
                </c:pt>
                <c:pt idx="3">
                  <c:v>4.1</c:v>
                </c:pt>
                <c:pt idx="4">
                  <c:v>1.2</c:v>
                </c:pt>
                <c:pt idx="5">
                  <c:v>-0.4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c7342b5-5d5d-44f4-9ab4-c30cdc616c2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{0.13,-1.48,9.76,9.24,4.92,0.75}</c:f>
              <c:numCache>
                <c:formatCode>General</c:formatCode>
                <c:ptCount val="6"/>
                <c:pt idx="0">
                  <c:v>0.13</c:v>
                </c:pt>
                <c:pt idx="1">
                  <c:v>-1.48</c:v>
                </c:pt>
                <c:pt idx="2">
                  <c:v>9.76</c:v>
                </c:pt>
                <c:pt idx="3">
                  <c:v>9.24</c:v>
                </c:pt>
                <c:pt idx="4">
                  <c:v>4.92</c:v>
                </c:pt>
                <c:pt idx="5">
                  <c:v>0.75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dc13c90-0007-4bed-933f-d2049eb9480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{-16,-17.5,-10.7,-10.6,-13.4,-15.9}</c:f>
              <c:numCache>
                <c:formatCode>General</c:formatCode>
                <c:ptCount val="6"/>
                <c:pt idx="0">
                  <c:v>-16</c:v>
                </c:pt>
                <c:pt idx="1">
                  <c:v>-17.5</c:v>
                </c:pt>
                <c:pt idx="2">
                  <c:v>-10.7</c:v>
                </c:pt>
                <c:pt idx="3">
                  <c:v>-10.6</c:v>
                </c:pt>
                <c:pt idx="4">
                  <c:v>-13.4</c:v>
                </c:pt>
                <c:pt idx="5">
                  <c:v>-15.9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3c5fc5f-e34e-49a1-b658-8ac29f39b62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{-5.3,-6.4,-2.6,-2.2,-5.2,-7.1}</c:f>
              <c:numCache>
                <c:formatCode>General</c:formatCode>
                <c:ptCount val="6"/>
                <c:pt idx="0">
                  <c:v>-5.3</c:v>
                </c:pt>
                <c:pt idx="1">
                  <c:v>-6.4</c:v>
                </c:pt>
                <c:pt idx="2">
                  <c:v>-2.6</c:v>
                </c:pt>
                <c:pt idx="3">
                  <c:v>-2.2</c:v>
                </c:pt>
                <c:pt idx="4">
                  <c:v>-5.2</c:v>
                </c:pt>
                <c:pt idx="5">
                  <c:v>-7.1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7f5c170-5468-465c-8588-f57db7968d5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{4.68,6,3.96,7.15,12.33,16.67}</c:f>
              <c:numCache>
                <c:formatCode>General</c:formatCode>
                <c:ptCount val="6"/>
                <c:pt idx="0">
                  <c:v>4.68</c:v>
                </c:pt>
                <c:pt idx="1">
                  <c:v>6</c:v>
                </c:pt>
                <c:pt idx="2">
                  <c:v>3.96</c:v>
                </c:pt>
                <c:pt idx="3">
                  <c:v>7.15</c:v>
                </c:pt>
                <c:pt idx="4">
                  <c:v>12.33</c:v>
                </c:pt>
                <c:pt idx="5">
                  <c:v>16.67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0ffdcaf-7e06-4b74-a7de-191f1b20eb0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{0.45,1.56,3.53,4.7,4.5,-0.65}</c:f>
              <c:numCache>
                <c:formatCode>General</c:formatCode>
                <c:ptCount val="6"/>
                <c:pt idx="0">
                  <c:v>0.45</c:v>
                </c:pt>
                <c:pt idx="1">
                  <c:v>1.56</c:v>
                </c:pt>
                <c:pt idx="2">
                  <c:v>3.53</c:v>
                </c:pt>
                <c:pt idx="3">
                  <c:v>4.7</c:v>
                </c:pt>
                <c:pt idx="4">
                  <c:v>4.5</c:v>
                </c:pt>
                <c:pt idx="5">
                  <c:v>-0.65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ad6d08b-57ba-40bb-83d4-db75992d92b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{0.8,0.2,1.3,1,1.2,1.2}</c:f>
              <c:numCache>
                <c:formatCode>General</c:formatCode>
                <c:ptCount val="6"/>
                <c:pt idx="0">
                  <c:v>0.8</c:v>
                </c:pt>
                <c:pt idx="1">
                  <c:v>0.2</c:v>
                </c:pt>
                <c:pt idx="2">
                  <c:v>1.3</c:v>
                </c:pt>
                <c:pt idx="3">
                  <c:v>1</c:v>
                </c:pt>
                <c:pt idx="4">
                  <c:v>1.2</c:v>
                </c:pt>
                <c:pt idx="5">
                  <c:v>1.2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98a5861-b62a-4cb0-a817-291c32e844c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{71,-79,0,8,-7,9}</c:f>
              <c:numCache>
                <c:formatCode>General</c:formatCode>
                <c:ptCount val="6"/>
                <c:pt idx="0">
                  <c:v>71</c:v>
                </c:pt>
                <c:pt idx="1">
                  <c:v>-79</c:v>
                </c:pt>
                <c:pt idx="2">
                  <c:v>0</c:v>
                </c:pt>
                <c:pt idx="3">
                  <c:v>8</c:v>
                </c:pt>
                <c:pt idx="4">
                  <c:v>-7</c:v>
                </c:pt>
                <c:pt idx="5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20aca68-2061-4188-92bc-2c53715c19f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{1000,7000,3000,500,-2000,1000}</c:f>
              <c:numCache>
                <c:formatCode>General</c:formatCode>
                <c:ptCount val="6"/>
                <c:pt idx="0">
                  <c:v>1000</c:v>
                </c:pt>
                <c:pt idx="1">
                  <c:v>7000</c:v>
                </c:pt>
                <c:pt idx="2">
                  <c:v>3000</c:v>
                </c:pt>
                <c:pt idx="3">
                  <c:v>500</c:v>
                </c:pt>
                <c:pt idx="4">
                  <c:v>-2000</c:v>
                </c:pt>
                <c:pt idx="5">
                  <c:v>1000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3b0daf5-50fa-45b6-9560-f3c9c5eea03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{-56,1744,0,0,-2000,-1545}</c:f>
              <c:numCache>
                <c:formatCode>General</c:formatCode>
                <c:ptCount val="6"/>
                <c:pt idx="0">
                  <c:v>-56</c:v>
                </c:pt>
                <c:pt idx="1">
                  <c:v>1744</c:v>
                </c:pt>
                <c:pt idx="2">
                  <c:v>0</c:v>
                </c:pt>
                <c:pt idx="3">
                  <c:v>0</c:v>
                </c:pt>
                <c:pt idx="4">
                  <c:v>-2000</c:v>
                </c:pt>
                <c:pt idx="5">
                  <c:v>-1545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a9b6e46-f969-49de-8508-bc226fe2bda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{1594,641,-76,1728,3667,1129}</c:f>
              <c:numCache>
                <c:formatCode>General</c:formatCode>
                <c:ptCount val="6"/>
                <c:pt idx="0">
                  <c:v>1594</c:v>
                </c:pt>
                <c:pt idx="1">
                  <c:v>641</c:v>
                </c:pt>
                <c:pt idx="2">
                  <c:v>-76</c:v>
                </c:pt>
                <c:pt idx="3">
                  <c:v>1728</c:v>
                </c:pt>
                <c:pt idx="4">
                  <c:v>3667</c:v>
                </c:pt>
                <c:pt idx="5">
                  <c:v>1129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aeea8db-3fef-4b4c-b306-4bc6c1de1ee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{10000}</c:f>
              <c:numCache>
                <c:formatCode>General</c:formatCode>
                <c:ptCount val="1"/>
                <c:pt idx="0">
                  <c:v>10000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e6d59e-0a3b-4936-a21d-ec13e786d6e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{7.89,7.59,7.95,7.9,7.74,8.3}</c:f>
              <c:numCache>
                <c:formatCode>General</c:formatCode>
                <c:ptCount val="6"/>
                <c:pt idx="0">
                  <c:v>7.89</c:v>
                </c:pt>
                <c:pt idx="1">
                  <c:v>7.59</c:v>
                </c:pt>
                <c:pt idx="2">
                  <c:v>7.95</c:v>
                </c:pt>
                <c:pt idx="3">
                  <c:v>7.9</c:v>
                </c:pt>
                <c:pt idx="4">
                  <c:v>7.74</c:v>
                </c:pt>
                <c:pt idx="5">
                  <c:v>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1e3276f-9c71-4c3f-8d8f-89efe6c6fe3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{-0.3,6.7,12.9,2.3,-7.9,-6.2}</c:f>
              <c:numCache>
                <c:formatCode>General</c:formatCode>
                <c:ptCount val="6"/>
                <c:pt idx="0">
                  <c:v>-0.3</c:v>
                </c:pt>
                <c:pt idx="1">
                  <c:v>6.7</c:v>
                </c:pt>
                <c:pt idx="2">
                  <c:v>12.9</c:v>
                </c:pt>
                <c:pt idx="3">
                  <c:v>2.3</c:v>
                </c:pt>
                <c:pt idx="4">
                  <c:v>-7.9</c:v>
                </c:pt>
                <c:pt idx="5">
                  <c:v>-6.2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2e278e0-3f30-4868-8c21-9478240f584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{17.1,17.3,16.6,15.9,15.6,15.1}</c:f>
              <c:numCache>
                <c:formatCode>General</c:formatCode>
                <c:ptCount val="6"/>
                <c:pt idx="0">
                  <c:v>17.1</c:v>
                </c:pt>
                <c:pt idx="1">
                  <c:v>17.3</c:v>
                </c:pt>
                <c:pt idx="2">
                  <c:v>16.6</c:v>
                </c:pt>
                <c:pt idx="3">
                  <c:v>15.9</c:v>
                </c:pt>
                <c:pt idx="4">
                  <c:v>15.6</c:v>
                </c:pt>
                <c:pt idx="5">
                  <c:v>15.1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2871015-29bf-4489-bf81-c763956b8f3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{3.7,3.8,5,3.4,3.2,4.8}</c:f>
              <c:numCache>
                <c:formatCode>General</c:formatCode>
                <c:ptCount val="6"/>
                <c:pt idx="0">
                  <c:v>3.7</c:v>
                </c:pt>
                <c:pt idx="1">
                  <c:v>3.8</c:v>
                </c:pt>
                <c:pt idx="2">
                  <c:v>5</c:v>
                </c:pt>
                <c:pt idx="3">
                  <c:v>3.4</c:v>
                </c:pt>
                <c:pt idx="4">
                  <c:v>3.2</c:v>
                </c:pt>
                <c:pt idx="5">
                  <c:v>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7a5f44d-0c90-40c9-8239-a84591642c7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{8.42,8.55,7.6,7.1,7.94,7.1}</c:f>
              <c:numCache>
                <c:formatCode>General</c:formatCode>
                <c:ptCount val="6"/>
                <c:pt idx="0">
                  <c:v>8.42</c:v>
                </c:pt>
                <c:pt idx="1">
                  <c:v>8.55</c:v>
                </c:pt>
                <c:pt idx="2">
                  <c:v>7.6</c:v>
                </c:pt>
                <c:pt idx="3">
                  <c:v>7.1</c:v>
                </c:pt>
                <c:pt idx="4">
                  <c:v>7.94</c:v>
                </c:pt>
                <c:pt idx="5">
                  <c:v>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3565f94-e101-4f45-9ebc-3e2ce9c10e9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{3015,6044,-6827,8858,8238,3297}</c:f>
              <c:numCache>
                <c:formatCode>General</c:formatCode>
                <c:ptCount val="6"/>
                <c:pt idx="0">
                  <c:v>3015</c:v>
                </c:pt>
                <c:pt idx="1">
                  <c:v>6044</c:v>
                </c:pt>
                <c:pt idx="2">
                  <c:v>-6827</c:v>
                </c:pt>
                <c:pt idx="3">
                  <c:v>8858</c:v>
                </c:pt>
                <c:pt idx="4">
                  <c:v>8238</c:v>
                </c:pt>
                <c:pt idx="5">
                  <c:v>3297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e9da2a5-b8a6-44d6-acaa-755a994b075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{-1023,1097,-4693,1956,-4462,-840}</c:f>
              <c:numCache>
                <c:formatCode>General</c:formatCode>
                <c:ptCount val="6"/>
                <c:pt idx="0">
                  <c:v>-1023</c:v>
                </c:pt>
                <c:pt idx="1">
                  <c:v>1097</c:v>
                </c:pt>
                <c:pt idx="2">
                  <c:v>-4693</c:v>
                </c:pt>
                <c:pt idx="3">
                  <c:v>1956</c:v>
                </c:pt>
                <c:pt idx="4">
                  <c:v>-4462</c:v>
                </c:pt>
                <c:pt idx="5">
                  <c:v>-840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4d399db-9f9b-40b8-b6e3-3850c4267ff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{100,3469,-1815,2953,-3408,-571}</c:f>
              <c:numCache>
                <c:formatCode>General</c:formatCode>
                <c:ptCount val="6"/>
                <c:pt idx="0">
                  <c:v>100</c:v>
                </c:pt>
                <c:pt idx="1">
                  <c:v>3469</c:v>
                </c:pt>
                <c:pt idx="2">
                  <c:v>-1815</c:v>
                </c:pt>
                <c:pt idx="3">
                  <c:v>2953</c:v>
                </c:pt>
                <c:pt idx="4">
                  <c:v>-3408</c:v>
                </c:pt>
                <c:pt idx="5">
                  <c:v>-571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13920b-dc42-42fc-8715-5332a9bda46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{4417,4565,-1942,2967,-4902,-6314}</c:f>
              <c:numCache>
                <c:formatCode>General</c:formatCode>
                <c:ptCount val="6"/>
                <c:pt idx="0">
                  <c:v>4417</c:v>
                </c:pt>
                <c:pt idx="1">
                  <c:v>4565</c:v>
                </c:pt>
                <c:pt idx="2">
                  <c:v>-1942</c:v>
                </c:pt>
                <c:pt idx="3">
                  <c:v>2967</c:v>
                </c:pt>
                <c:pt idx="4">
                  <c:v>-4902</c:v>
                </c:pt>
                <c:pt idx="5">
                  <c:v>-6314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43f8790-d0df-4e0d-850b-c51c6b2212c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{3300,31800,8900,13500,-4100,-200}</c:f>
              <c:numCache>
                <c:formatCode>General</c:formatCode>
                <c:ptCount val="6"/>
                <c:pt idx="0">
                  <c:v>3300</c:v>
                </c:pt>
                <c:pt idx="1">
                  <c:v>31800</c:v>
                </c:pt>
                <c:pt idx="2">
                  <c:v>8900</c:v>
                </c:pt>
                <c:pt idx="3">
                  <c:v>13500</c:v>
                </c:pt>
                <c:pt idx="4">
                  <c:v>-4100</c:v>
                </c:pt>
                <c:pt idx="5">
                  <c:v>-200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7eb7b99-f476-4cc1-ac4d-361b2946487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{56349,12858,13815,28660,32027,37757}</c:f>
              <c:numCache>
                <c:formatCode>General</c:formatCode>
                <c:ptCount val="6"/>
                <c:pt idx="0">
                  <c:v>56349</c:v>
                </c:pt>
                <c:pt idx="1">
                  <c:v>12858</c:v>
                </c:pt>
                <c:pt idx="2">
                  <c:v>13815</c:v>
                </c:pt>
                <c:pt idx="3">
                  <c:v>28660</c:v>
                </c:pt>
                <c:pt idx="4">
                  <c:v>32027</c:v>
                </c:pt>
                <c:pt idx="5">
                  <c:v>37757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169ec30-84fb-4815-b0d3-99dabec2e62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96.2,95.96,95.58,95.49,95.92,95.36,95.35,95.3,95.6,96.14,95.71,96.76,96.94,96.04,96.17,96.57,96.57,96.77,96.6,96.36,96.97,96.77,97.32,97.08,97.55,97.61,97.96,97.83,98.22,97.92,97.65,97.71,97.88,97.64,97.99,98.54,98.79,98.24,96.99,98.34,97.81,98.58,99.65,100.15,100.58,100.6,100.87,100.84,100.25,99.88,100.08,100.17,99.7,100.28,100.47,100.66,101.33,101.49,101.77,102.57}</c:f>
              <c:numCache>
                <c:formatCode>General</c:formatCode>
                <c:ptCount val="60"/>
                <c:pt idx="0">
                  <c:v>96.2</c:v>
                </c:pt>
                <c:pt idx="1">
                  <c:v>95.96</c:v>
                </c:pt>
                <c:pt idx="2">
                  <c:v>95.58</c:v>
                </c:pt>
                <c:pt idx="3">
                  <c:v>95.49</c:v>
                </c:pt>
                <c:pt idx="4">
                  <c:v>95.92</c:v>
                </c:pt>
                <c:pt idx="5">
                  <c:v>95.36</c:v>
                </c:pt>
                <c:pt idx="6">
                  <c:v>95.35</c:v>
                </c:pt>
                <c:pt idx="7">
                  <c:v>95.3</c:v>
                </c:pt>
                <c:pt idx="8">
                  <c:v>95.6</c:v>
                </c:pt>
                <c:pt idx="9">
                  <c:v>96.14</c:v>
                </c:pt>
                <c:pt idx="10">
                  <c:v>95.71</c:v>
                </c:pt>
                <c:pt idx="11">
                  <c:v>96.76</c:v>
                </c:pt>
                <c:pt idx="12">
                  <c:v>96.94</c:v>
                </c:pt>
                <c:pt idx="13">
                  <c:v>96.04</c:v>
                </c:pt>
                <c:pt idx="14">
                  <c:v>96.17</c:v>
                </c:pt>
                <c:pt idx="15">
                  <c:v>96.57</c:v>
                </c:pt>
                <c:pt idx="16">
                  <c:v>96.57</c:v>
                </c:pt>
                <c:pt idx="17">
                  <c:v>96.77</c:v>
                </c:pt>
                <c:pt idx="18">
                  <c:v>96.6</c:v>
                </c:pt>
                <c:pt idx="19">
                  <c:v>96.36</c:v>
                </c:pt>
                <c:pt idx="20">
                  <c:v>96.97</c:v>
                </c:pt>
                <c:pt idx="21">
                  <c:v>96.77</c:v>
                </c:pt>
                <c:pt idx="22">
                  <c:v>97.32</c:v>
                </c:pt>
                <c:pt idx="23">
                  <c:v>97.08</c:v>
                </c:pt>
                <c:pt idx="24">
                  <c:v>97.55</c:v>
                </c:pt>
                <c:pt idx="25">
                  <c:v>97.61</c:v>
                </c:pt>
                <c:pt idx="26">
                  <c:v>97.96</c:v>
                </c:pt>
                <c:pt idx="27">
                  <c:v>97.83</c:v>
                </c:pt>
                <c:pt idx="28">
                  <c:v>98.22</c:v>
                </c:pt>
                <c:pt idx="29">
                  <c:v>97.92</c:v>
                </c:pt>
                <c:pt idx="30">
                  <c:v>97.65</c:v>
                </c:pt>
                <c:pt idx="31">
                  <c:v>97.71</c:v>
                </c:pt>
                <c:pt idx="32">
                  <c:v>97.88</c:v>
                </c:pt>
                <c:pt idx="33">
                  <c:v>97.64</c:v>
                </c:pt>
                <c:pt idx="34">
                  <c:v>97.99</c:v>
                </c:pt>
                <c:pt idx="35">
                  <c:v>98.54</c:v>
                </c:pt>
                <c:pt idx="36">
                  <c:v>98.79</c:v>
                </c:pt>
                <c:pt idx="37">
                  <c:v>98.24</c:v>
                </c:pt>
                <c:pt idx="38">
                  <c:v>96.99</c:v>
                </c:pt>
                <c:pt idx="39">
                  <c:v>98.34</c:v>
                </c:pt>
                <c:pt idx="40">
                  <c:v>97.81</c:v>
                </c:pt>
                <c:pt idx="41">
                  <c:v>98.58</c:v>
                </c:pt>
                <c:pt idx="42">
                  <c:v>99.65</c:v>
                </c:pt>
                <c:pt idx="43">
                  <c:v>100.15</c:v>
                </c:pt>
                <c:pt idx="44">
                  <c:v>100.58</c:v>
                </c:pt>
                <c:pt idx="45">
                  <c:v>100.6</c:v>
                </c:pt>
                <c:pt idx="46">
                  <c:v>100.87</c:v>
                </c:pt>
                <c:pt idx="47">
                  <c:v>100.84</c:v>
                </c:pt>
                <c:pt idx="48">
                  <c:v>100.25</c:v>
                </c:pt>
                <c:pt idx="49">
                  <c:v>99.88</c:v>
                </c:pt>
                <c:pt idx="50">
                  <c:v>100.08</c:v>
                </c:pt>
                <c:pt idx="51">
                  <c:v>100.17</c:v>
                </c:pt>
                <c:pt idx="52">
                  <c:v>99.7</c:v>
                </c:pt>
                <c:pt idx="53">
                  <c:v>100.28</c:v>
                </c:pt>
                <c:pt idx="54">
                  <c:v>100.47</c:v>
                </c:pt>
                <c:pt idx="55">
                  <c:v>100.66</c:v>
                </c:pt>
                <c:pt idx="56">
                  <c:v>101.33</c:v>
                </c:pt>
                <c:pt idx="57">
                  <c:v>101.49</c:v>
                </c:pt>
                <c:pt idx="58">
                  <c:v>101.77</c:v>
                </c:pt>
                <c:pt idx="59">
                  <c:v>102.57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cf5f95c-d87e-4861-b1e2-0e177aea618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{-0.182041362765,-0.933960643685,-0.813550839473,-0.95671581403}</c:f>
              <c:numCache>
                <c:formatCode>General</c:formatCode>
                <c:ptCount val="4"/>
                <c:pt idx="0">
                  <c:v>-0.182041362765</c:v>
                </c:pt>
                <c:pt idx="1">
                  <c:v>-0.933960643685</c:v>
                </c:pt>
                <c:pt idx="2">
                  <c:v>-0.813550839473</c:v>
                </c:pt>
                <c:pt idx="3">
                  <c:v>-0.95671581403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a78ff3-cb97-4ec2-addc-5c35c3ced4f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{400.799,357.9242}</c:f>
              <c:numCache>
                <c:formatCode>General</c:formatCode>
                <c:ptCount val="2"/>
                <c:pt idx="0">
                  <c:v>400.799</c:v>
                </c:pt>
                <c:pt idx="1">
                  <c:v>357.9242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f465371-3027-4aae-8958-4f4fe17441c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{61.5,61.1,60.4,59.4,59}</c:f>
              <c:numCache>
                <c:formatCode>General</c:formatCode>
                <c:ptCount val="5"/>
                <c:pt idx="0">
                  <c:v>61.5</c:v>
                </c:pt>
                <c:pt idx="1">
                  <c:v>61.1</c:v>
                </c:pt>
                <c:pt idx="2">
                  <c:v>60.4</c:v>
                </c:pt>
                <c:pt idx="3">
                  <c:v>59.4</c:v>
                </c:pt>
                <c:pt idx="4">
                  <c:v>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292ea5e-2fe9-4c87-931f-2deb2b1c8ec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{63.2,65.3,67.5,68.4,70.3}</c:f>
              <c:numCache>
                <c:formatCode>General</c:formatCode>
                <c:ptCount val="5"/>
                <c:pt idx="0">
                  <c:v>63.2</c:v>
                </c:pt>
                <c:pt idx="1">
                  <c:v>65.3</c:v>
                </c:pt>
                <c:pt idx="2">
                  <c:v>67.5</c:v>
                </c:pt>
                <c:pt idx="3">
                  <c:v>68.4</c:v>
                </c:pt>
                <c:pt idx="4">
                  <c:v>70.3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b02b7bd-891e-4b45-b4f2-9ffac058fc6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{173.7,174,174.4,174.6,180}</c:f>
              <c:numCache>
                <c:formatCode>General</c:formatCode>
                <c:ptCount val="5"/>
                <c:pt idx="0">
                  <c:v>173.7</c:v>
                </c:pt>
                <c:pt idx="1">
                  <c:v>174</c:v>
                </c:pt>
                <c:pt idx="2">
                  <c:v>174.4</c:v>
                </c:pt>
                <c:pt idx="3">
                  <c:v>174.6</c:v>
                </c:pt>
                <c:pt idx="4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91c6771-6005-4913-bd38-ffd713412b3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{200516,216045,44154,61613,83404,100465}</c:f>
              <c:numCache>
                <c:formatCode>General</c:formatCode>
                <c:ptCount val="6"/>
                <c:pt idx="0">
                  <c:v>200516</c:v>
                </c:pt>
                <c:pt idx="1">
                  <c:v>216045</c:v>
                </c:pt>
                <c:pt idx="2">
                  <c:v>44154</c:v>
                </c:pt>
                <c:pt idx="3">
                  <c:v>61613</c:v>
                </c:pt>
                <c:pt idx="4">
                  <c:v>83404</c:v>
                </c:pt>
                <c:pt idx="5">
                  <c:v>100465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34522f-91c3-4d41-a57e-1d0276132ad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{1.4,1,3.6,2.6,1.3,0.8}</c:f>
              <c:numCache>
                <c:formatCode>General</c:formatCode>
                <c:ptCount val="6"/>
                <c:pt idx="0">
                  <c:v>1.4</c:v>
                </c:pt>
                <c:pt idx="1">
                  <c:v>1</c:v>
                </c:pt>
                <c:pt idx="2">
                  <c:v>3.6</c:v>
                </c:pt>
                <c:pt idx="3">
                  <c:v>2.6</c:v>
                </c:pt>
                <c:pt idx="4">
                  <c:v>1.3</c:v>
                </c:pt>
                <c:pt idx="5">
                  <c:v>0.8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d65a56c-f903-40ad-a513-f7371a4572f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{-10.7,-14.7,-25.2,-24.4,-27.2,-28.7}</c:f>
              <c:numCache>
                <c:formatCode>General</c:formatCode>
                <c:ptCount val="6"/>
                <c:pt idx="0">
                  <c:v>-10.7</c:v>
                </c:pt>
                <c:pt idx="1">
                  <c:v>-14.7</c:v>
                </c:pt>
                <c:pt idx="2">
                  <c:v>-25.2</c:v>
                </c:pt>
                <c:pt idx="3">
                  <c:v>-24.4</c:v>
                </c:pt>
                <c:pt idx="4">
                  <c:v>-27.2</c:v>
                </c:pt>
                <c:pt idx="5">
                  <c:v>-28.7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674552f-ca3c-416e-bd06-add8584e124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{36055.7,37963.8,40007.1,41231.8,42349.8}</c:f>
              <c:numCache>
                <c:formatCode>General</c:formatCode>
                <c:ptCount val="5"/>
                <c:pt idx="0">
                  <c:v>36055.7</c:v>
                </c:pt>
                <c:pt idx="1">
                  <c:v>37963.8</c:v>
                </c:pt>
                <c:pt idx="2">
                  <c:v>40007.1</c:v>
                </c:pt>
                <c:pt idx="3">
                  <c:v>41231.8</c:v>
                </c:pt>
                <c:pt idx="4">
                  <c:v>42349.8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28a0035-be22-4d46-a7e0-94466cf8943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{4}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e83716f-622e-4d47-8523-cef3693eca9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{318466.4,341395.3,354106.2,387911.3,334192.9}</c:f>
              <c:numCache>
                <c:formatCode>General</c:formatCode>
                <c:ptCount val="5"/>
                <c:pt idx="0">
                  <c:v>318466.4</c:v>
                </c:pt>
                <c:pt idx="1">
                  <c:v>341395.3</c:v>
                </c:pt>
                <c:pt idx="2">
                  <c:v>354106.2</c:v>
                </c:pt>
                <c:pt idx="3">
                  <c:v>387911.3</c:v>
                </c:pt>
                <c:pt idx="4">
                  <c:v>334192.9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cf4207-f658-48eb-aa75-b1417c1031d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{50.1,50.5,51.7,52,46.7}</c:f>
              <c:numCache>
                <c:formatCode>General</c:formatCode>
                <c:ptCount val="5"/>
                <c:pt idx="0">
                  <c:v>50.1</c:v>
                </c:pt>
                <c:pt idx="1">
                  <c:v>50.5</c:v>
                </c:pt>
                <c:pt idx="2">
                  <c:v>51.7</c:v>
                </c:pt>
                <c:pt idx="3">
                  <c:v>52</c:v>
                </c:pt>
                <c:pt idx="4">
                  <c:v>46.7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537cd4-c605-46ed-81f3-d19ffbb6a92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{4.7,14.6,15,15.3,38}</c:f>
              <c:numCache>
                <c:formatCode>General</c:formatCode>
                <c:ptCount val="5"/>
                <c:pt idx="0">
                  <c:v>4.7</c:v>
                </c:pt>
                <c:pt idx="1">
                  <c:v>14.6</c:v>
                </c:pt>
                <c:pt idx="2">
                  <c:v>15</c:v>
                </c:pt>
                <c:pt idx="3">
                  <c:v>15.3</c:v>
                </c:pt>
                <c:pt idx="4">
                  <c:v>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1a6a5d4-f259-4e12-9087-0d29383e63f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{45.2,34.9,33.3,32.7,15.3}</c:f>
              <c:numCache>
                <c:formatCode>General</c:formatCode>
                <c:ptCount val="5"/>
                <c:pt idx="0">
                  <c:v>45.2</c:v>
                </c:pt>
                <c:pt idx="1">
                  <c:v>34.9</c:v>
                </c:pt>
                <c:pt idx="2">
                  <c:v>33.3</c:v>
                </c:pt>
                <c:pt idx="3">
                  <c:v>32.7</c:v>
                </c:pt>
                <c:pt idx="4">
                  <c:v>15.3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0de8013-81bd-42f8-a404-9dafce6acef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{-15.9,-17.2,-11.1,-11.2,-13.7,-16.2}</c:f>
              <c:numCache>
                <c:formatCode>General</c:formatCode>
                <c:ptCount val="6"/>
                <c:pt idx="0">
                  <c:v>-15.9</c:v>
                </c:pt>
                <c:pt idx="1">
                  <c:v>-17.2</c:v>
                </c:pt>
                <c:pt idx="2">
                  <c:v>-11.1</c:v>
                </c:pt>
                <c:pt idx="3">
                  <c:v>-11.2</c:v>
                </c:pt>
                <c:pt idx="4">
                  <c:v>-13.7</c:v>
                </c:pt>
                <c:pt idx="5">
                  <c:v>-16.2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4cbfe25-117c-4a14-ad59-5ab34f0bf96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{-20,-23,-11,-16.3,-10.2,-2.7}</c:f>
              <c:numCache>
                <c:formatCode>General</c:formatCode>
                <c:ptCount val="6"/>
                <c:pt idx="0">
                  <c:v>-20</c:v>
                </c:pt>
                <c:pt idx="1">
                  <c:v>-23</c:v>
                </c:pt>
                <c:pt idx="2">
                  <c:v>-11</c:v>
                </c:pt>
                <c:pt idx="3">
                  <c:v>-16.3</c:v>
                </c:pt>
                <c:pt idx="4">
                  <c:v>-10.2</c:v>
                </c:pt>
                <c:pt idx="5">
                  <c:v>-2.7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8ef7d9d-c833-46bc-8b7f-7277b91ef11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{13.4,22.7,29.4,20.5,19.1,20.3}</c:f>
              <c:numCache>
                <c:formatCode>General</c:formatCode>
                <c:ptCount val="6"/>
                <c:pt idx="0">
                  <c:v>13.4</c:v>
                </c:pt>
                <c:pt idx="1">
                  <c:v>22.7</c:v>
                </c:pt>
                <c:pt idx="2">
                  <c:v>29.4</c:v>
                </c:pt>
                <c:pt idx="3">
                  <c:v>20.5</c:v>
                </c:pt>
                <c:pt idx="4">
                  <c:v>19.1</c:v>
                </c:pt>
                <c:pt idx="5">
                  <c:v>20.3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32f1708-8283-46f9-bb9c-b667a8a5b19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{1131.630316,1218.26047,904.838188,505.650166,848.239246,1054.335842}</c:f>
              <c:numCache>
                <c:formatCode>General</c:formatCode>
                <c:ptCount val="6"/>
                <c:pt idx="0">
                  <c:v>1131.630316</c:v>
                </c:pt>
                <c:pt idx="1">
                  <c:v>1218.26047</c:v>
                </c:pt>
                <c:pt idx="2">
                  <c:v>904.838188</c:v>
                </c:pt>
                <c:pt idx="3">
                  <c:v>505.650166</c:v>
                </c:pt>
                <c:pt idx="4">
                  <c:v>848.239246</c:v>
                </c:pt>
                <c:pt idx="5">
                  <c:v>1054.335842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9a4bc3e-a8df-409b-bd67-e5ab37ce03b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80.83,80.81,80.68,80.72,80.63,80.48,80.35,80.35,80.46,80.44,80.25,79.96,79.91,79.72,79.91,80.05,79.98,79.9,79.74,79.69,79.63,79.71,79.91,80.04,79.97,79.68,79.59,79.68,79.71,79.74,79.66,79.43,79.38,79.16,78.79,78.98,78.95,79.05,78.85,78.94,78.8,78.87,78.71,78.7,78.42,78.51,78.49,78.51,78.55,78.49,78.55,78.3,78.23,78.28,78.12,78.18,78.27,78.4,78.3,78.23}</c:f>
              <c:numCache>
                <c:formatCode>General</c:formatCode>
                <c:ptCount val="60"/>
                <c:pt idx="0">
                  <c:v>80.83</c:v>
                </c:pt>
                <c:pt idx="1">
                  <c:v>80.81</c:v>
                </c:pt>
                <c:pt idx="2">
                  <c:v>80.68</c:v>
                </c:pt>
                <c:pt idx="3">
                  <c:v>80.72</c:v>
                </c:pt>
                <c:pt idx="4">
                  <c:v>80.63</c:v>
                </c:pt>
                <c:pt idx="5">
                  <c:v>80.48</c:v>
                </c:pt>
                <c:pt idx="6">
                  <c:v>80.35</c:v>
                </c:pt>
                <c:pt idx="7">
                  <c:v>80.35</c:v>
                </c:pt>
                <c:pt idx="8">
                  <c:v>80.46</c:v>
                </c:pt>
                <c:pt idx="9">
                  <c:v>80.44</c:v>
                </c:pt>
                <c:pt idx="10">
                  <c:v>80.25</c:v>
                </c:pt>
                <c:pt idx="11">
                  <c:v>79.96</c:v>
                </c:pt>
                <c:pt idx="12">
                  <c:v>79.91</c:v>
                </c:pt>
                <c:pt idx="13">
                  <c:v>79.72</c:v>
                </c:pt>
                <c:pt idx="14">
                  <c:v>79.91</c:v>
                </c:pt>
                <c:pt idx="15">
                  <c:v>80.05</c:v>
                </c:pt>
                <c:pt idx="16">
                  <c:v>79.98</c:v>
                </c:pt>
                <c:pt idx="17">
                  <c:v>79.9</c:v>
                </c:pt>
                <c:pt idx="18">
                  <c:v>79.74</c:v>
                </c:pt>
                <c:pt idx="19">
                  <c:v>79.69</c:v>
                </c:pt>
                <c:pt idx="20">
                  <c:v>79.63</c:v>
                </c:pt>
                <c:pt idx="21">
                  <c:v>79.71</c:v>
                </c:pt>
                <c:pt idx="22">
                  <c:v>79.91</c:v>
                </c:pt>
                <c:pt idx="23">
                  <c:v>80.04</c:v>
                </c:pt>
                <c:pt idx="24">
                  <c:v>79.97</c:v>
                </c:pt>
                <c:pt idx="25">
                  <c:v>79.68</c:v>
                </c:pt>
                <c:pt idx="26">
                  <c:v>79.59</c:v>
                </c:pt>
                <c:pt idx="27">
                  <c:v>79.68</c:v>
                </c:pt>
                <c:pt idx="28">
                  <c:v>79.71</c:v>
                </c:pt>
                <c:pt idx="29">
                  <c:v>79.74</c:v>
                </c:pt>
                <c:pt idx="30">
                  <c:v>79.66</c:v>
                </c:pt>
                <c:pt idx="31">
                  <c:v>79.43</c:v>
                </c:pt>
                <c:pt idx="32">
                  <c:v>79.38</c:v>
                </c:pt>
                <c:pt idx="33">
                  <c:v>79.16</c:v>
                </c:pt>
                <c:pt idx="34">
                  <c:v>78.79</c:v>
                </c:pt>
                <c:pt idx="35">
                  <c:v>78.98</c:v>
                </c:pt>
                <c:pt idx="36">
                  <c:v>78.95</c:v>
                </c:pt>
                <c:pt idx="37">
                  <c:v>79.05</c:v>
                </c:pt>
                <c:pt idx="38">
                  <c:v>78.85</c:v>
                </c:pt>
                <c:pt idx="39">
                  <c:v>78.94</c:v>
                </c:pt>
                <c:pt idx="40">
                  <c:v>78.8</c:v>
                </c:pt>
                <c:pt idx="41">
                  <c:v>78.87</c:v>
                </c:pt>
                <c:pt idx="42">
                  <c:v>78.71</c:v>
                </c:pt>
                <c:pt idx="43">
                  <c:v>78.7</c:v>
                </c:pt>
                <c:pt idx="44">
                  <c:v>78.42</c:v>
                </c:pt>
                <c:pt idx="45">
                  <c:v>78.51</c:v>
                </c:pt>
                <c:pt idx="46">
                  <c:v>78.49</c:v>
                </c:pt>
                <c:pt idx="47">
                  <c:v>78.51</c:v>
                </c:pt>
                <c:pt idx="48">
                  <c:v>78.55</c:v>
                </c:pt>
                <c:pt idx="49">
                  <c:v>78.49</c:v>
                </c:pt>
                <c:pt idx="50">
                  <c:v>78.55</c:v>
                </c:pt>
                <c:pt idx="51">
                  <c:v>78.3</c:v>
                </c:pt>
                <c:pt idx="52">
                  <c:v>78.23</c:v>
                </c:pt>
                <c:pt idx="53">
                  <c:v>78.28</c:v>
                </c:pt>
                <c:pt idx="54">
                  <c:v>78.12</c:v>
                </c:pt>
                <c:pt idx="55">
                  <c:v>78.18</c:v>
                </c:pt>
                <c:pt idx="56">
                  <c:v>78.27</c:v>
                </c:pt>
                <c:pt idx="57">
                  <c:v>78.4</c:v>
                </c:pt>
                <c:pt idx="58">
                  <c:v>78.3</c:v>
                </c:pt>
                <c:pt idx="59">
                  <c:v>78.23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8aeae1-2658-44e7-8fe8-a1d2d4d308a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{4.6,3.9,6.6,5.2,6.7,8.8}</c:f>
              <c:numCache>
                <c:formatCode>General</c:formatCode>
                <c:ptCount val="6"/>
                <c:pt idx="0">
                  <c:v>4.6</c:v>
                </c:pt>
                <c:pt idx="1">
                  <c:v>3.9</c:v>
                </c:pt>
                <c:pt idx="2">
                  <c:v>6.6</c:v>
                </c:pt>
                <c:pt idx="3">
                  <c:v>5.2</c:v>
                </c:pt>
                <c:pt idx="4">
                  <c:v>6.7</c:v>
                </c:pt>
                <c:pt idx="5">
                  <c:v>8.8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b6b4b81-2cae-4de8-8518-5d1af485dd4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{5,5,18.9,19.1,20.4,20}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18.9</c:v>
                </c:pt>
                <c:pt idx="3">
                  <c:v>19.1</c:v>
                </c:pt>
                <c:pt idx="4">
                  <c:v>20.4</c:v>
                </c:pt>
                <c:pt idx="5">
                  <c:v>20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36edf36-20ab-4044-bd6f-d2fb0fcc65c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{6579,15500,12000,4606,12000,19100}</c:f>
              <c:numCache>
                <c:formatCode>General</c:formatCode>
                <c:ptCount val="6"/>
                <c:pt idx="0">
                  <c:v>6579</c:v>
                </c:pt>
                <c:pt idx="1">
                  <c:v>15500</c:v>
                </c:pt>
                <c:pt idx="2">
                  <c:v>12000</c:v>
                </c:pt>
                <c:pt idx="3">
                  <c:v>4606</c:v>
                </c:pt>
                <c:pt idx="4">
                  <c:v>12000</c:v>
                </c:pt>
                <c:pt idx="5">
                  <c:v>19100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838234-362e-4863-a4ee-4dff62ebdb3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{46291.3,43898,45135.9,41616,37246.5,41090}</c:f>
              <c:numCache>
                <c:formatCode>General</c:formatCode>
                <c:ptCount val="6"/>
                <c:pt idx="0">
                  <c:v>46291.3</c:v>
                </c:pt>
                <c:pt idx="1">
                  <c:v>43898</c:v>
                </c:pt>
                <c:pt idx="2">
                  <c:v>45135.9</c:v>
                </c:pt>
                <c:pt idx="3">
                  <c:v>41616</c:v>
                </c:pt>
                <c:pt idx="4">
                  <c:v>37246.5</c:v>
                </c:pt>
                <c:pt idx="5">
                  <c:v>41090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63dfd39-fcb2-4c73-b764-d7525efc7d9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{5.4,5.2,4.8,4.5,5}</c:f>
              <c:numCache>
                <c:formatCode>General</c:formatCode>
                <c:ptCount val="5"/>
                <c:pt idx="0">
                  <c:v>5.4</c:v>
                </c:pt>
                <c:pt idx="1">
                  <c:v>5.2</c:v>
                </c:pt>
                <c:pt idx="2">
                  <c:v>4.8</c:v>
                </c:pt>
                <c:pt idx="3">
                  <c:v>4.5</c:v>
                </c:pt>
                <c:pt idx="4">
                  <c:v>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1f4cf1a-aee1-4d74-aea9-e9344c1d643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3.84,3.84,3.81,3.79,3.78,3.81,3.78,3.76,3.76,3.78,3.71,3.72,3.78,3.79,3.83,3.78,3.78,3.84,3.92,3.88,3.88,3.95,3.93,3.87,3.92,3.9,3.95,4,3.98,4,4.09,4.07,4.13,4.04,4.08,4.13,4.01,4,3.99,3.98,4.05,4.05,4.08,4.05,4.17,4.15,4.13,4.13,4.05,4.09,4.07,4.05,4.2,4.19,4.24,4.16,4.11,4.09,4.07,4.1}</c:f>
              <c:numCache>
                <c:formatCode>General</c:formatCode>
                <c:ptCount val="60"/>
                <c:pt idx="0">
                  <c:v>3.84</c:v>
                </c:pt>
                <c:pt idx="1">
                  <c:v>3.84</c:v>
                </c:pt>
                <c:pt idx="2">
                  <c:v>3.81</c:v>
                </c:pt>
                <c:pt idx="3">
                  <c:v>3.79</c:v>
                </c:pt>
                <c:pt idx="4">
                  <c:v>3.78</c:v>
                </c:pt>
                <c:pt idx="5">
                  <c:v>3.81</c:v>
                </c:pt>
                <c:pt idx="6">
                  <c:v>3.78</c:v>
                </c:pt>
                <c:pt idx="7">
                  <c:v>3.76</c:v>
                </c:pt>
                <c:pt idx="8">
                  <c:v>3.76</c:v>
                </c:pt>
                <c:pt idx="9">
                  <c:v>3.78</c:v>
                </c:pt>
                <c:pt idx="10">
                  <c:v>3.71</c:v>
                </c:pt>
                <c:pt idx="11">
                  <c:v>3.72</c:v>
                </c:pt>
                <c:pt idx="12">
                  <c:v>3.78</c:v>
                </c:pt>
                <c:pt idx="13">
                  <c:v>3.79</c:v>
                </c:pt>
                <c:pt idx="14">
                  <c:v>3.83</c:v>
                </c:pt>
                <c:pt idx="15">
                  <c:v>3.78</c:v>
                </c:pt>
                <c:pt idx="16">
                  <c:v>3.78</c:v>
                </c:pt>
                <c:pt idx="17">
                  <c:v>3.84</c:v>
                </c:pt>
                <c:pt idx="18">
                  <c:v>3.92</c:v>
                </c:pt>
                <c:pt idx="19">
                  <c:v>3.88</c:v>
                </c:pt>
                <c:pt idx="20">
                  <c:v>3.88</c:v>
                </c:pt>
                <c:pt idx="21">
                  <c:v>3.95</c:v>
                </c:pt>
                <c:pt idx="22">
                  <c:v>3.93</c:v>
                </c:pt>
                <c:pt idx="23">
                  <c:v>3.87</c:v>
                </c:pt>
                <c:pt idx="24">
                  <c:v>3.92</c:v>
                </c:pt>
                <c:pt idx="25">
                  <c:v>3.9</c:v>
                </c:pt>
                <c:pt idx="26">
                  <c:v>3.95</c:v>
                </c:pt>
                <c:pt idx="27">
                  <c:v>4</c:v>
                </c:pt>
                <c:pt idx="28">
                  <c:v>3.98</c:v>
                </c:pt>
                <c:pt idx="29">
                  <c:v>4</c:v>
                </c:pt>
                <c:pt idx="30">
                  <c:v>4.09</c:v>
                </c:pt>
                <c:pt idx="31">
                  <c:v>4.07</c:v>
                </c:pt>
                <c:pt idx="32">
                  <c:v>4.13</c:v>
                </c:pt>
                <c:pt idx="33">
                  <c:v>4.04</c:v>
                </c:pt>
                <c:pt idx="34">
                  <c:v>4.08</c:v>
                </c:pt>
                <c:pt idx="35">
                  <c:v>4.13</c:v>
                </c:pt>
                <c:pt idx="36">
                  <c:v>4.01</c:v>
                </c:pt>
                <c:pt idx="37">
                  <c:v>4</c:v>
                </c:pt>
                <c:pt idx="38">
                  <c:v>3.99</c:v>
                </c:pt>
                <c:pt idx="39">
                  <c:v>3.98</c:v>
                </c:pt>
                <c:pt idx="40">
                  <c:v>4.05</c:v>
                </c:pt>
                <c:pt idx="41">
                  <c:v>4.05</c:v>
                </c:pt>
                <c:pt idx="42">
                  <c:v>4.08</c:v>
                </c:pt>
                <c:pt idx="43">
                  <c:v>4.05</c:v>
                </c:pt>
                <c:pt idx="44">
                  <c:v>4.17</c:v>
                </c:pt>
                <c:pt idx="45">
                  <c:v>4.15</c:v>
                </c:pt>
                <c:pt idx="46">
                  <c:v>4.13</c:v>
                </c:pt>
                <c:pt idx="47">
                  <c:v>4.13</c:v>
                </c:pt>
                <c:pt idx="48">
                  <c:v>4.05</c:v>
                </c:pt>
                <c:pt idx="49">
                  <c:v>4.09</c:v>
                </c:pt>
                <c:pt idx="50">
                  <c:v>4.07</c:v>
                </c:pt>
                <c:pt idx="51">
                  <c:v>4.05</c:v>
                </c:pt>
                <c:pt idx="52">
                  <c:v>4.2</c:v>
                </c:pt>
                <c:pt idx="53">
                  <c:v>4.19</c:v>
                </c:pt>
                <c:pt idx="54">
                  <c:v>4.24</c:v>
                </c:pt>
                <c:pt idx="55">
                  <c:v>4.16</c:v>
                </c:pt>
                <c:pt idx="56">
                  <c:v>4.11</c:v>
                </c:pt>
                <c:pt idx="57">
                  <c:v>4.09</c:v>
                </c:pt>
                <c:pt idx="58">
                  <c:v>4.07</c:v>
                </c:pt>
                <c:pt idx="59">
                  <c:v>4.1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b031a40-4c77-4312-8d89-e0c9ec3f668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4.35,4.34,4.33,4.29,4.29,4.31,4.3,4.26,4.29,4.32,4.26,4.26,4.3,4.3,4.34,4.31,4.35,4.36,4.42,4.4,4.39,4.45,4.43,4.36,4.41,4.38,4.42,4.46,4.46,4.47,4.59,4.61,4.67,4.57,4.57,4.56,4.5,4.48,4.45,4.45,4.47,4.46,4.49,4.47,4.55,4.56,4.53,4.55,4.45,4.48,4.47,4.43,4.49,4.46,4.51,4.5,4.41,4.4,4.38,4.38}</c:f>
              <c:numCache>
                <c:formatCode>General</c:formatCode>
                <c:ptCount val="60"/>
                <c:pt idx="0">
                  <c:v>4.35</c:v>
                </c:pt>
                <c:pt idx="1">
                  <c:v>4.34</c:v>
                </c:pt>
                <c:pt idx="2">
                  <c:v>4.33</c:v>
                </c:pt>
                <c:pt idx="3">
                  <c:v>4.29</c:v>
                </c:pt>
                <c:pt idx="4">
                  <c:v>4.29</c:v>
                </c:pt>
                <c:pt idx="5">
                  <c:v>4.31</c:v>
                </c:pt>
                <c:pt idx="6">
                  <c:v>4.3</c:v>
                </c:pt>
                <c:pt idx="7">
                  <c:v>4.26</c:v>
                </c:pt>
                <c:pt idx="8">
                  <c:v>4.29</c:v>
                </c:pt>
                <c:pt idx="9">
                  <c:v>4.32</c:v>
                </c:pt>
                <c:pt idx="10">
                  <c:v>4.26</c:v>
                </c:pt>
                <c:pt idx="11">
                  <c:v>4.26</c:v>
                </c:pt>
                <c:pt idx="12">
                  <c:v>4.3</c:v>
                </c:pt>
                <c:pt idx="13">
                  <c:v>4.3</c:v>
                </c:pt>
                <c:pt idx="14">
                  <c:v>4.34</c:v>
                </c:pt>
                <c:pt idx="15">
                  <c:v>4.31</c:v>
                </c:pt>
                <c:pt idx="16">
                  <c:v>4.35</c:v>
                </c:pt>
                <c:pt idx="17">
                  <c:v>4.36</c:v>
                </c:pt>
                <c:pt idx="18">
                  <c:v>4.42</c:v>
                </c:pt>
                <c:pt idx="19">
                  <c:v>4.4</c:v>
                </c:pt>
                <c:pt idx="20">
                  <c:v>4.39</c:v>
                </c:pt>
                <c:pt idx="21">
                  <c:v>4.45</c:v>
                </c:pt>
                <c:pt idx="22">
                  <c:v>4.43</c:v>
                </c:pt>
                <c:pt idx="23">
                  <c:v>4.36</c:v>
                </c:pt>
                <c:pt idx="24">
                  <c:v>4.41</c:v>
                </c:pt>
                <c:pt idx="25">
                  <c:v>4.38</c:v>
                </c:pt>
                <c:pt idx="26">
                  <c:v>4.42</c:v>
                </c:pt>
                <c:pt idx="27">
                  <c:v>4.46</c:v>
                </c:pt>
                <c:pt idx="28">
                  <c:v>4.46</c:v>
                </c:pt>
                <c:pt idx="29">
                  <c:v>4.47</c:v>
                </c:pt>
                <c:pt idx="30">
                  <c:v>4.59</c:v>
                </c:pt>
                <c:pt idx="31">
                  <c:v>4.61</c:v>
                </c:pt>
                <c:pt idx="32">
                  <c:v>4.67</c:v>
                </c:pt>
                <c:pt idx="33">
                  <c:v>4.57</c:v>
                </c:pt>
                <c:pt idx="34">
                  <c:v>4.57</c:v>
                </c:pt>
                <c:pt idx="35">
                  <c:v>4.56</c:v>
                </c:pt>
                <c:pt idx="36">
                  <c:v>4.5</c:v>
                </c:pt>
                <c:pt idx="37">
                  <c:v>4.48</c:v>
                </c:pt>
                <c:pt idx="38">
                  <c:v>4.45</c:v>
                </c:pt>
                <c:pt idx="39">
                  <c:v>4.45</c:v>
                </c:pt>
                <c:pt idx="40">
                  <c:v>4.47</c:v>
                </c:pt>
                <c:pt idx="41">
                  <c:v>4.46</c:v>
                </c:pt>
                <c:pt idx="42">
                  <c:v>4.49</c:v>
                </c:pt>
                <c:pt idx="43">
                  <c:v>4.47</c:v>
                </c:pt>
                <c:pt idx="44">
                  <c:v>4.55</c:v>
                </c:pt>
                <c:pt idx="45">
                  <c:v>4.56</c:v>
                </c:pt>
                <c:pt idx="46">
                  <c:v>4.53</c:v>
                </c:pt>
                <c:pt idx="47">
                  <c:v>4.55</c:v>
                </c:pt>
                <c:pt idx="48">
                  <c:v>4.45</c:v>
                </c:pt>
                <c:pt idx="49">
                  <c:v>4.48</c:v>
                </c:pt>
                <c:pt idx="50">
                  <c:v>4.47</c:v>
                </c:pt>
                <c:pt idx="51">
                  <c:v>4.43</c:v>
                </c:pt>
                <c:pt idx="52">
                  <c:v>4.49</c:v>
                </c:pt>
                <c:pt idx="53">
                  <c:v>4.46</c:v>
                </c:pt>
                <c:pt idx="54">
                  <c:v>4.51</c:v>
                </c:pt>
                <c:pt idx="55">
                  <c:v>4.5</c:v>
                </c:pt>
                <c:pt idx="56">
                  <c:v>4.41</c:v>
                </c:pt>
                <c:pt idx="57">
                  <c:v>4.4</c:v>
                </c:pt>
                <c:pt idx="58">
                  <c:v>4.38</c:v>
                </c:pt>
                <c:pt idx="59">
                  <c:v>4.38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c5288c4-e4b8-4ad7-993d-d88021bef66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99.6534,99.028,98.8157,98.6997,98.4094,98.0995,98.0792,98.2035,98.2289,98.0541,98.3767,98.6059,98.8279,98.5267,98.49,98.6293,98.9532,98.0997,98.2092,98.4633,98.4954,98.0266,98.2807,97.8485,97.9413,98.2839,98.478,98.882,99.2668,98.9803,99.3112,99.1296,99.2046,99.3351,98.9756,99.1464,99.2285,99.0065,98.9259,99.1891,99.2158,99.4733,99.4268,100.0786,100.0149,99.997,100.0435,99.6932,99.8037,99.6638,99.5171,100.383,100.8325,100.7528,101.0039,101.374,101.5745,101.4559,101.3565,101.1027}</c:f>
              <c:numCache>
                <c:formatCode>General</c:formatCode>
                <c:ptCount val="60"/>
                <c:pt idx="0">
                  <c:v>99.6534</c:v>
                </c:pt>
                <c:pt idx="1">
                  <c:v>99.028</c:v>
                </c:pt>
                <c:pt idx="2">
                  <c:v>98.8157</c:v>
                </c:pt>
                <c:pt idx="3">
                  <c:v>98.6997</c:v>
                </c:pt>
                <c:pt idx="4">
                  <c:v>98.4094</c:v>
                </c:pt>
                <c:pt idx="5">
                  <c:v>98.0995</c:v>
                </c:pt>
                <c:pt idx="6">
                  <c:v>98.0792</c:v>
                </c:pt>
                <c:pt idx="7">
                  <c:v>98.2035</c:v>
                </c:pt>
                <c:pt idx="8">
                  <c:v>98.2289</c:v>
                </c:pt>
                <c:pt idx="9">
                  <c:v>98.0541</c:v>
                </c:pt>
                <c:pt idx="10">
                  <c:v>98.3767</c:v>
                </c:pt>
                <c:pt idx="11">
                  <c:v>98.6059</c:v>
                </c:pt>
                <c:pt idx="12">
                  <c:v>98.8279</c:v>
                </c:pt>
                <c:pt idx="13">
                  <c:v>98.5267</c:v>
                </c:pt>
                <c:pt idx="14">
                  <c:v>98.49</c:v>
                </c:pt>
                <c:pt idx="15">
                  <c:v>98.6293</c:v>
                </c:pt>
                <c:pt idx="16">
                  <c:v>98.9532</c:v>
                </c:pt>
                <c:pt idx="17">
                  <c:v>98.0997</c:v>
                </c:pt>
                <c:pt idx="18">
                  <c:v>98.2092</c:v>
                </c:pt>
                <c:pt idx="19">
                  <c:v>98.4633</c:v>
                </c:pt>
                <c:pt idx="20">
                  <c:v>98.4954</c:v>
                </c:pt>
                <c:pt idx="21">
                  <c:v>98.0266</c:v>
                </c:pt>
                <c:pt idx="22">
                  <c:v>98.2807</c:v>
                </c:pt>
                <c:pt idx="23">
                  <c:v>97.8485</c:v>
                </c:pt>
                <c:pt idx="24">
                  <c:v>97.9413</c:v>
                </c:pt>
                <c:pt idx="25">
                  <c:v>98.2839</c:v>
                </c:pt>
                <c:pt idx="26">
                  <c:v>98.478</c:v>
                </c:pt>
                <c:pt idx="27">
                  <c:v>98.882</c:v>
                </c:pt>
                <c:pt idx="28">
                  <c:v>99.2668</c:v>
                </c:pt>
                <c:pt idx="29">
                  <c:v>98.9803</c:v>
                </c:pt>
                <c:pt idx="30">
                  <c:v>99.3112</c:v>
                </c:pt>
                <c:pt idx="31">
                  <c:v>99.1296</c:v>
                </c:pt>
                <c:pt idx="32">
                  <c:v>99.2046</c:v>
                </c:pt>
                <c:pt idx="33">
                  <c:v>99.3351</c:v>
                </c:pt>
                <c:pt idx="34">
                  <c:v>98.9756</c:v>
                </c:pt>
                <c:pt idx="35">
                  <c:v>99.1464</c:v>
                </c:pt>
                <c:pt idx="36">
                  <c:v>99.2285</c:v>
                </c:pt>
                <c:pt idx="37">
                  <c:v>99.0065</c:v>
                </c:pt>
                <c:pt idx="38">
                  <c:v>98.9259</c:v>
                </c:pt>
                <c:pt idx="39">
                  <c:v>99.1891</c:v>
                </c:pt>
                <c:pt idx="40">
                  <c:v>99.2158</c:v>
                </c:pt>
                <c:pt idx="41">
                  <c:v>99.4733</c:v>
                </c:pt>
                <c:pt idx="42">
                  <c:v>99.4268</c:v>
                </c:pt>
                <c:pt idx="43">
                  <c:v>100.0786</c:v>
                </c:pt>
                <c:pt idx="44">
                  <c:v>100.0149</c:v>
                </c:pt>
                <c:pt idx="45">
                  <c:v>99.997</c:v>
                </c:pt>
                <c:pt idx="46">
                  <c:v>100.0435</c:v>
                </c:pt>
                <c:pt idx="47">
                  <c:v>99.6932</c:v>
                </c:pt>
                <c:pt idx="48">
                  <c:v>99.8037</c:v>
                </c:pt>
                <c:pt idx="49">
                  <c:v>99.6638</c:v>
                </c:pt>
                <c:pt idx="50">
                  <c:v>99.5171</c:v>
                </c:pt>
                <c:pt idx="51">
                  <c:v>100.383</c:v>
                </c:pt>
                <c:pt idx="52">
                  <c:v>100.8325</c:v>
                </c:pt>
                <c:pt idx="53">
                  <c:v>100.7528</c:v>
                </c:pt>
                <c:pt idx="54">
                  <c:v>101.0039</c:v>
                </c:pt>
                <c:pt idx="55">
                  <c:v>101.374</c:v>
                </c:pt>
                <c:pt idx="56">
                  <c:v>101.5745</c:v>
                </c:pt>
                <c:pt idx="57">
                  <c:v>101.4559</c:v>
                </c:pt>
                <c:pt idx="58">
                  <c:v>101.3565</c:v>
                </c:pt>
                <c:pt idx="59">
                  <c:v>101.1027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93712cb-8867-43ba-b371-27192d31abb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{2.7,2.4,2.4,3.3,3.8,4.2}</c:f>
              <c:numCache>
                <c:formatCode>General</c:formatCode>
                <c:ptCount val="6"/>
                <c:pt idx="0">
                  <c:v>2.7</c:v>
                </c:pt>
                <c:pt idx="1">
                  <c:v>2.4</c:v>
                </c:pt>
                <c:pt idx="2">
                  <c:v>2.4</c:v>
                </c:pt>
                <c:pt idx="3">
                  <c:v>3.3</c:v>
                </c:pt>
                <c:pt idx="4">
                  <c:v>3.8</c:v>
                </c:pt>
                <c:pt idx="5">
                  <c:v>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055666e-3473-4c8e-9eb4-1a1b99ca23b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37.85,37.04,37.43,34.21,31.66,30.46,30,31.04,29.97,28.65,28.95,28.46,29.31,27.09,27.87,25.88,25.37,26.19,27.77,26.64,26.43,27.92,26.61,26.34,27.03,26.48,27.48,27.16,26.56,25.79,26.34,26.2,26.63,25.17,24.59,23.86,24.27,24.47,24.83,24.91,25.64,24.44,24.49,23.87,28.89,27.17,28.04,32.18,28.33,26.85,26.47,25.18,28.45,27.9,26.15,27.41,31.6,29.58,27.18,27.7}</c:f>
              <c:numCache>
                <c:formatCode>General</c:formatCode>
                <c:ptCount val="60"/>
                <c:pt idx="0">
                  <c:v>37.85</c:v>
                </c:pt>
                <c:pt idx="1">
                  <c:v>37.04</c:v>
                </c:pt>
                <c:pt idx="2">
                  <c:v>37.43</c:v>
                </c:pt>
                <c:pt idx="3">
                  <c:v>34.21</c:v>
                </c:pt>
                <c:pt idx="4">
                  <c:v>31.66</c:v>
                </c:pt>
                <c:pt idx="5">
                  <c:v>30.46</c:v>
                </c:pt>
                <c:pt idx="6">
                  <c:v>30</c:v>
                </c:pt>
                <c:pt idx="7">
                  <c:v>31.04</c:v>
                </c:pt>
                <c:pt idx="8">
                  <c:v>29.97</c:v>
                </c:pt>
                <c:pt idx="9">
                  <c:v>28.65</c:v>
                </c:pt>
                <c:pt idx="10">
                  <c:v>28.95</c:v>
                </c:pt>
                <c:pt idx="11">
                  <c:v>28.46</c:v>
                </c:pt>
                <c:pt idx="12">
                  <c:v>29.31</c:v>
                </c:pt>
                <c:pt idx="13">
                  <c:v>27.09</c:v>
                </c:pt>
                <c:pt idx="14">
                  <c:v>27.87</c:v>
                </c:pt>
                <c:pt idx="15">
                  <c:v>25.88</c:v>
                </c:pt>
                <c:pt idx="16">
                  <c:v>25.37</c:v>
                </c:pt>
                <c:pt idx="17">
                  <c:v>26.19</c:v>
                </c:pt>
                <c:pt idx="18">
                  <c:v>27.77</c:v>
                </c:pt>
                <c:pt idx="19">
                  <c:v>26.64</c:v>
                </c:pt>
                <c:pt idx="20">
                  <c:v>26.43</c:v>
                </c:pt>
                <c:pt idx="21">
                  <c:v>27.92</c:v>
                </c:pt>
                <c:pt idx="22">
                  <c:v>26.61</c:v>
                </c:pt>
                <c:pt idx="23">
                  <c:v>26.34</c:v>
                </c:pt>
                <c:pt idx="24">
                  <c:v>27.03</c:v>
                </c:pt>
                <c:pt idx="25">
                  <c:v>26.48</c:v>
                </c:pt>
                <c:pt idx="26">
                  <c:v>27.48</c:v>
                </c:pt>
                <c:pt idx="27">
                  <c:v>27.16</c:v>
                </c:pt>
                <c:pt idx="28">
                  <c:v>26.56</c:v>
                </c:pt>
                <c:pt idx="29">
                  <c:v>25.79</c:v>
                </c:pt>
                <c:pt idx="30">
                  <c:v>26.34</c:v>
                </c:pt>
                <c:pt idx="31">
                  <c:v>26.2</c:v>
                </c:pt>
                <c:pt idx="32">
                  <c:v>26.63</c:v>
                </c:pt>
                <c:pt idx="33">
                  <c:v>25.17</c:v>
                </c:pt>
                <c:pt idx="34">
                  <c:v>24.59</c:v>
                </c:pt>
                <c:pt idx="35">
                  <c:v>23.86</c:v>
                </c:pt>
                <c:pt idx="36">
                  <c:v>24.27</c:v>
                </c:pt>
                <c:pt idx="37">
                  <c:v>24.47</c:v>
                </c:pt>
                <c:pt idx="38">
                  <c:v>24.83</c:v>
                </c:pt>
                <c:pt idx="39">
                  <c:v>24.91</c:v>
                </c:pt>
                <c:pt idx="40">
                  <c:v>25.64</c:v>
                </c:pt>
                <c:pt idx="41">
                  <c:v>24.44</c:v>
                </c:pt>
                <c:pt idx="42">
                  <c:v>24.49</c:v>
                </c:pt>
                <c:pt idx="43">
                  <c:v>23.87</c:v>
                </c:pt>
                <c:pt idx="44">
                  <c:v>28.89</c:v>
                </c:pt>
                <c:pt idx="45">
                  <c:v>27.17</c:v>
                </c:pt>
                <c:pt idx="46">
                  <c:v>28.04</c:v>
                </c:pt>
                <c:pt idx="47">
                  <c:v>32.18</c:v>
                </c:pt>
                <c:pt idx="48">
                  <c:v>28.33</c:v>
                </c:pt>
                <c:pt idx="49">
                  <c:v>26.85</c:v>
                </c:pt>
                <c:pt idx="50">
                  <c:v>26.47</c:v>
                </c:pt>
                <c:pt idx="51">
                  <c:v>25.18</c:v>
                </c:pt>
                <c:pt idx="52">
                  <c:v>28.45</c:v>
                </c:pt>
                <c:pt idx="53">
                  <c:v>27.9</c:v>
                </c:pt>
                <c:pt idx="54">
                  <c:v>26.15</c:v>
                </c:pt>
                <c:pt idx="55">
                  <c:v>27.41</c:v>
                </c:pt>
                <c:pt idx="56">
                  <c:v>31.6</c:v>
                </c:pt>
                <c:pt idx="57">
                  <c:v>29.58</c:v>
                </c:pt>
                <c:pt idx="58">
                  <c:v>27.18</c:v>
                </c:pt>
                <c:pt idx="59">
                  <c:v>27.7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e51db7d-b3e7-4c11-a1fe-452542bb46e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6.9081,6.874,6.8936,6.8803,6.8597,6.8274,6.841,6.8333,6.8338,6.8164,6.8185,6.8197,6.8263,6.8195,6.8165,6.8219,6.8336,6.8342,6.8239,6.836,6.8329,6.8335,6.8149,6.8015,6.8017,6.7954,6.7946,6.7905,6.7862,6.8052,6.7979,6.8039,6.806,6.796,6.7947,6.7837,6.787,6.7817,6.78,6.7685,6.765,6.7622,6.772,6.7768,6.7712,6.7844,6.7702,6.7774,6.7773,6.7616,6.7572,6.7574,6.7569,6.7623,6.7763,6.7865,6.8052,6.7995,6.7997,6.7929}</c:f>
              <c:numCache>
                <c:formatCode>General</c:formatCode>
                <c:ptCount val="60"/>
                <c:pt idx="0">
                  <c:v>6.9081</c:v>
                </c:pt>
                <c:pt idx="1">
                  <c:v>6.874</c:v>
                </c:pt>
                <c:pt idx="2">
                  <c:v>6.8936</c:v>
                </c:pt>
                <c:pt idx="3">
                  <c:v>6.8803</c:v>
                </c:pt>
                <c:pt idx="4">
                  <c:v>6.8597</c:v>
                </c:pt>
                <c:pt idx="5">
                  <c:v>6.8274</c:v>
                </c:pt>
                <c:pt idx="6">
                  <c:v>6.841</c:v>
                </c:pt>
                <c:pt idx="7">
                  <c:v>6.8333</c:v>
                </c:pt>
                <c:pt idx="8">
                  <c:v>6.8338</c:v>
                </c:pt>
                <c:pt idx="9">
                  <c:v>6.8164</c:v>
                </c:pt>
                <c:pt idx="10">
                  <c:v>6.8185</c:v>
                </c:pt>
                <c:pt idx="11">
                  <c:v>6.8197</c:v>
                </c:pt>
                <c:pt idx="12">
                  <c:v>6.8263</c:v>
                </c:pt>
                <c:pt idx="13">
                  <c:v>6.8195</c:v>
                </c:pt>
                <c:pt idx="14">
                  <c:v>6.8165</c:v>
                </c:pt>
                <c:pt idx="15">
                  <c:v>6.8219</c:v>
                </c:pt>
                <c:pt idx="16">
                  <c:v>6.8336</c:v>
                </c:pt>
                <c:pt idx="17">
                  <c:v>6.8342</c:v>
                </c:pt>
                <c:pt idx="18">
                  <c:v>6.8239</c:v>
                </c:pt>
                <c:pt idx="19">
                  <c:v>6.836</c:v>
                </c:pt>
                <c:pt idx="20">
                  <c:v>6.8329</c:v>
                </c:pt>
                <c:pt idx="21">
                  <c:v>6.8335</c:v>
                </c:pt>
                <c:pt idx="22">
                  <c:v>6.8149</c:v>
                </c:pt>
                <c:pt idx="23">
                  <c:v>6.8015</c:v>
                </c:pt>
                <c:pt idx="24">
                  <c:v>6.8017</c:v>
                </c:pt>
                <c:pt idx="25">
                  <c:v>6.7954</c:v>
                </c:pt>
                <c:pt idx="26">
                  <c:v>6.7946</c:v>
                </c:pt>
                <c:pt idx="27">
                  <c:v>6.7905</c:v>
                </c:pt>
                <c:pt idx="28">
                  <c:v>6.7862</c:v>
                </c:pt>
                <c:pt idx="29">
                  <c:v>6.8052</c:v>
                </c:pt>
                <c:pt idx="30">
                  <c:v>6.7979</c:v>
                </c:pt>
                <c:pt idx="31">
                  <c:v>6.8039</c:v>
                </c:pt>
                <c:pt idx="32">
                  <c:v>6.806</c:v>
                </c:pt>
                <c:pt idx="33">
                  <c:v>6.796</c:v>
                </c:pt>
                <c:pt idx="34">
                  <c:v>6.7947</c:v>
                </c:pt>
                <c:pt idx="35">
                  <c:v>6.7837</c:v>
                </c:pt>
                <c:pt idx="36">
                  <c:v>6.787</c:v>
                </c:pt>
                <c:pt idx="37">
                  <c:v>6.7817</c:v>
                </c:pt>
                <c:pt idx="38">
                  <c:v>6.78</c:v>
                </c:pt>
                <c:pt idx="39">
                  <c:v>6.7685</c:v>
                </c:pt>
                <c:pt idx="40">
                  <c:v>6.765</c:v>
                </c:pt>
                <c:pt idx="41">
                  <c:v>6.7622</c:v>
                </c:pt>
                <c:pt idx="42">
                  <c:v>6.772</c:v>
                </c:pt>
                <c:pt idx="43">
                  <c:v>6.7768</c:v>
                </c:pt>
                <c:pt idx="44">
                  <c:v>6.7712</c:v>
                </c:pt>
                <c:pt idx="45">
                  <c:v>6.7844</c:v>
                </c:pt>
                <c:pt idx="46">
                  <c:v>6.7702</c:v>
                </c:pt>
                <c:pt idx="47">
                  <c:v>6.7774</c:v>
                </c:pt>
                <c:pt idx="48">
                  <c:v>6.7773</c:v>
                </c:pt>
                <c:pt idx="49">
                  <c:v>6.7616</c:v>
                </c:pt>
                <c:pt idx="50">
                  <c:v>6.7572</c:v>
                </c:pt>
                <c:pt idx="51">
                  <c:v>6.7574</c:v>
                </c:pt>
                <c:pt idx="52">
                  <c:v>6.7569</c:v>
                </c:pt>
                <c:pt idx="53">
                  <c:v>6.7623</c:v>
                </c:pt>
                <c:pt idx="54">
                  <c:v>6.7763</c:v>
                </c:pt>
                <c:pt idx="55">
                  <c:v>6.7865</c:v>
                </c:pt>
                <c:pt idx="56">
                  <c:v>6.8052</c:v>
                </c:pt>
                <c:pt idx="57">
                  <c:v>6.7995</c:v>
                </c:pt>
                <c:pt idx="58">
                  <c:v>6.7997</c:v>
                </c:pt>
                <c:pt idx="59">
                  <c:v>6.7929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f05aee5-7e89-43c8-95a1-09fa4a548d1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{3.1,3.1,3.4,4.3,5.7,6.5}</c:f>
              <c:numCache>
                <c:formatCode>General</c:formatCode>
                <c:ptCount val="6"/>
                <c:pt idx="0">
                  <c:v>3.1</c:v>
                </c:pt>
                <c:pt idx="1">
                  <c:v>3.1</c:v>
                </c:pt>
                <c:pt idx="2">
                  <c:v>3.4</c:v>
                </c:pt>
                <c:pt idx="3">
                  <c:v>4.3</c:v>
                </c:pt>
                <c:pt idx="4">
                  <c:v>5.7</c:v>
                </c:pt>
                <c:pt idx="5">
                  <c:v>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e6cbe15-d9ac-49a0-ba7e-d0f13b35aa0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{2.9711,3.1047,3.0493,3.2538,3.3187,3.412}</c:f>
              <c:numCache>
                <c:formatCode>General</c:formatCode>
                <c:ptCount val="6"/>
                <c:pt idx="0">
                  <c:v>2.9711</c:v>
                </c:pt>
                <c:pt idx="1">
                  <c:v>3.1047</c:v>
                </c:pt>
                <c:pt idx="2">
                  <c:v>3.0493</c:v>
                </c:pt>
                <c:pt idx="3">
                  <c:v>3.2538</c:v>
                </c:pt>
                <c:pt idx="4">
                  <c:v>3.3187</c:v>
                </c:pt>
                <c:pt idx="5">
                  <c:v>3.412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dc04cad-b136-447b-a29a-d12d59291ed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{6713643,6704383,6711495,6725397,6736424,6735645}</c:f>
              <c:numCache>
                <c:formatCode>General</c:formatCode>
                <c:ptCount val="6"/>
                <c:pt idx="0">
                  <c:v>6713643</c:v>
                </c:pt>
                <c:pt idx="1">
                  <c:v>6704383</c:v>
                </c:pt>
                <c:pt idx="2">
                  <c:v>6711495</c:v>
                </c:pt>
                <c:pt idx="3">
                  <c:v>6725397</c:v>
                </c:pt>
                <c:pt idx="4">
                  <c:v>6736424</c:v>
                </c:pt>
                <c:pt idx="5">
                  <c:v>6735645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a446afc-f92a-4839-b03c-71d6e62dc4d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{30267.250446,30341.430665,30612.326803,30842.197397,30673.111525,30909.941308}</c:f>
              <c:numCache>
                <c:formatCode>General</c:formatCode>
                <c:ptCount val="6"/>
                <c:pt idx="0">
                  <c:v>30267.250446</c:v>
                </c:pt>
                <c:pt idx="1">
                  <c:v>30341.430665</c:v>
                </c:pt>
                <c:pt idx="2">
                  <c:v>30612.326803</c:v>
                </c:pt>
                <c:pt idx="3">
                  <c:v>30842.197397</c:v>
                </c:pt>
                <c:pt idx="4">
                  <c:v>30673.111525</c:v>
                </c:pt>
                <c:pt idx="5">
                  <c:v>30909.941308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a1094cd-ec46-4fc3-ab73-6ed74ed4c083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3.64,3.64,3.64,3.64,3.64,3.64,3.64,3.64,3.64,3.64,3.64,3.64,3.64,3.64,3.64,3.64,3.64,3.64,3.64,3.64,3.64,3.64,3.64,3.64,3.64,3.64,3.64,3.64,3.64,3.64,3.64,3.64,3.63,3.63,3.63,3.63,3.63,3.63,3.63,3.63,3.62,3.62,3.62,3.62,3.62,3.62,3.62,3.62,3.62,3.62,3.62,3.62,3.62,3.62,3.62,3.62,3.62,3.62,3.62,3.63}</c:f>
              <c:numCache>
                <c:formatCode>General</c:formatCode>
                <c:ptCount val="60"/>
                <c:pt idx="0">
                  <c:v>3.64</c:v>
                </c:pt>
                <c:pt idx="1">
                  <c:v>3.64</c:v>
                </c:pt>
                <c:pt idx="2">
                  <c:v>3.64</c:v>
                </c:pt>
                <c:pt idx="3">
                  <c:v>3.64</c:v>
                </c:pt>
                <c:pt idx="4">
                  <c:v>3.64</c:v>
                </c:pt>
                <c:pt idx="5">
                  <c:v>3.64</c:v>
                </c:pt>
                <c:pt idx="6">
                  <c:v>3.64</c:v>
                </c:pt>
                <c:pt idx="7">
                  <c:v>3.64</c:v>
                </c:pt>
                <c:pt idx="8">
                  <c:v>3.64</c:v>
                </c:pt>
                <c:pt idx="9">
                  <c:v>3.64</c:v>
                </c:pt>
                <c:pt idx="10">
                  <c:v>3.64</c:v>
                </c:pt>
                <c:pt idx="11">
                  <c:v>3.64</c:v>
                </c:pt>
                <c:pt idx="12">
                  <c:v>3.64</c:v>
                </c:pt>
                <c:pt idx="13">
                  <c:v>3.64</c:v>
                </c:pt>
                <c:pt idx="14">
                  <c:v>3.64</c:v>
                </c:pt>
                <c:pt idx="15">
                  <c:v>3.64</c:v>
                </c:pt>
                <c:pt idx="16">
                  <c:v>3.64</c:v>
                </c:pt>
                <c:pt idx="17">
                  <c:v>3.64</c:v>
                </c:pt>
                <c:pt idx="18">
                  <c:v>3.64</c:v>
                </c:pt>
                <c:pt idx="19">
                  <c:v>3.64</c:v>
                </c:pt>
                <c:pt idx="20">
                  <c:v>3.64</c:v>
                </c:pt>
                <c:pt idx="21">
                  <c:v>3.64</c:v>
                </c:pt>
                <c:pt idx="22">
                  <c:v>3.64</c:v>
                </c:pt>
                <c:pt idx="23">
                  <c:v>3.64</c:v>
                </c:pt>
                <c:pt idx="24">
                  <c:v>3.64</c:v>
                </c:pt>
                <c:pt idx="25">
                  <c:v>3.64</c:v>
                </c:pt>
                <c:pt idx="26">
                  <c:v>3.64</c:v>
                </c:pt>
                <c:pt idx="27">
                  <c:v>3.64</c:v>
                </c:pt>
                <c:pt idx="28">
                  <c:v>3.64</c:v>
                </c:pt>
                <c:pt idx="29">
                  <c:v>3.64</c:v>
                </c:pt>
                <c:pt idx="30">
                  <c:v>3.64</c:v>
                </c:pt>
                <c:pt idx="31">
                  <c:v>3.64</c:v>
                </c:pt>
                <c:pt idx="32">
                  <c:v>3.63</c:v>
                </c:pt>
                <c:pt idx="33">
                  <c:v>3.63</c:v>
                </c:pt>
                <c:pt idx="34">
                  <c:v>3.63</c:v>
                </c:pt>
                <c:pt idx="35">
                  <c:v>3.63</c:v>
                </c:pt>
                <c:pt idx="36">
                  <c:v>3.63</c:v>
                </c:pt>
                <c:pt idx="37">
                  <c:v>3.63</c:v>
                </c:pt>
                <c:pt idx="38">
                  <c:v>3.63</c:v>
                </c:pt>
                <c:pt idx="39">
                  <c:v>3.63</c:v>
                </c:pt>
                <c:pt idx="40">
                  <c:v>3.62</c:v>
                </c:pt>
                <c:pt idx="41">
                  <c:v>3.62</c:v>
                </c:pt>
                <c:pt idx="42">
                  <c:v>3.62</c:v>
                </c:pt>
                <c:pt idx="43">
                  <c:v>3.62</c:v>
                </c:pt>
                <c:pt idx="44">
                  <c:v>3.62</c:v>
                </c:pt>
                <c:pt idx="45">
                  <c:v>3.62</c:v>
                </c:pt>
                <c:pt idx="46">
                  <c:v>3.62</c:v>
                </c:pt>
                <c:pt idx="47">
                  <c:v>3.62</c:v>
                </c:pt>
                <c:pt idx="48">
                  <c:v>3.62</c:v>
                </c:pt>
                <c:pt idx="49">
                  <c:v>3.62</c:v>
                </c:pt>
                <c:pt idx="50">
                  <c:v>3.62</c:v>
                </c:pt>
                <c:pt idx="51">
                  <c:v>3.62</c:v>
                </c:pt>
                <c:pt idx="52">
                  <c:v>3.62</c:v>
                </c:pt>
                <c:pt idx="53">
                  <c:v>3.62</c:v>
                </c:pt>
                <c:pt idx="54">
                  <c:v>3.62</c:v>
                </c:pt>
                <c:pt idx="55">
                  <c:v>3.62</c:v>
                </c:pt>
                <c:pt idx="56">
                  <c:v>3.62</c:v>
                </c:pt>
                <c:pt idx="57">
                  <c:v>3.62</c:v>
                </c:pt>
                <c:pt idx="58">
                  <c:v>3.62</c:v>
                </c:pt>
                <c:pt idx="59">
                  <c:v>3.63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4ddd89f-e88a-4fd1-92a8-d24895a3789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{3.59,3.6,3.65,3.69,3.63,3.63,3.62,3.61,3.62,3.62,3.64,3.62}</c:f>
              <c:numCache>
                <c:formatCode>General</c:formatCode>
                <c:ptCount val="12"/>
                <c:pt idx="0">
                  <c:v>3.59</c:v>
                </c:pt>
                <c:pt idx="1">
                  <c:v>3.6</c:v>
                </c:pt>
                <c:pt idx="2">
                  <c:v>3.65</c:v>
                </c:pt>
                <c:pt idx="3">
                  <c:v>3.69</c:v>
                </c:pt>
                <c:pt idx="4">
                  <c:v>3.63</c:v>
                </c:pt>
                <c:pt idx="5">
                  <c:v>3.63</c:v>
                </c:pt>
                <c:pt idx="6">
                  <c:v>3.62</c:v>
                </c:pt>
                <c:pt idx="7">
                  <c:v>3.61</c:v>
                </c:pt>
                <c:pt idx="8">
                  <c:v>3.62</c:v>
                </c:pt>
                <c:pt idx="9">
                  <c:v>3.62</c:v>
                </c:pt>
                <c:pt idx="10">
                  <c:v>3.64</c:v>
                </c:pt>
                <c:pt idx="11">
                  <c:v>3.62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627320f-9783-46fd-8ffd-c8f03cba280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{47.9,52.6,52.4,52.7,52.7,54}</c:f>
              <c:numCache>
                <c:formatCode>General</c:formatCode>
                <c:ptCount val="6"/>
                <c:pt idx="0">
                  <c:v>47.9</c:v>
                </c:pt>
                <c:pt idx="1">
                  <c:v>52.6</c:v>
                </c:pt>
                <c:pt idx="2">
                  <c:v>52.4</c:v>
                </c:pt>
                <c:pt idx="3">
                  <c:v>52.7</c:v>
                </c:pt>
                <c:pt idx="4">
                  <c:v>52.7</c:v>
                </c:pt>
                <c:pt idx="5">
                  <c:v>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19c9aeee-858d-4ba0-aa82-86d3fcd18ee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{-0.000136,-0.029127,0.922392,1.717979,0.400921,0.880936}</c:f>
              <c:numCache>
                <c:formatCode>General</c:formatCode>
                <c:ptCount val="6"/>
                <c:pt idx="0">
                  <c:v>-0.000136</c:v>
                </c:pt>
                <c:pt idx="1">
                  <c:v>-0.029127</c:v>
                </c:pt>
                <c:pt idx="2">
                  <c:v>0.922392</c:v>
                </c:pt>
                <c:pt idx="3">
                  <c:v>1.717979</c:v>
                </c:pt>
                <c:pt idx="4">
                  <c:v>0.400921</c:v>
                </c:pt>
                <c:pt idx="5">
                  <c:v>0.880936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47f3fd-30e8-4bfc-9e69-170041ed24a4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{56.4,56.6,53.3,49.8,44.8,49.5}</c:f>
              <c:numCache>
                <c:formatCode>General</c:formatCode>
                <c:ptCount val="6"/>
                <c:pt idx="0">
                  <c:v>56.4</c:v>
                </c:pt>
                <c:pt idx="1">
                  <c:v>56.6</c:v>
                </c:pt>
                <c:pt idx="2">
                  <c:v>53.3</c:v>
                </c:pt>
                <c:pt idx="3">
                  <c:v>49.8</c:v>
                </c:pt>
                <c:pt idx="4">
                  <c:v>44.8</c:v>
                </c:pt>
                <c:pt idx="5">
                  <c:v>49.5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01b29f-97e6-4153-9ecb-ac762a7f98d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{56,47,55,63,59,51}</c:f>
              <c:numCache>
                <c:formatCode>General</c:formatCode>
                <c:ptCount val="6"/>
                <c:pt idx="0">
                  <c:v>56</c:v>
                </c:pt>
                <c:pt idx="1">
                  <c:v>47</c:v>
                </c:pt>
                <c:pt idx="2">
                  <c:v>55</c:v>
                </c:pt>
                <c:pt idx="3">
                  <c:v>63</c:v>
                </c:pt>
                <c:pt idx="4">
                  <c:v>59</c:v>
                </c:pt>
                <c:pt idx="5">
                  <c:v>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6ec330e6-bb41-4db7-b454-d085720f19d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{178643,166851,154001,153864,169573,179735}</c:f>
              <c:numCache>
                <c:formatCode>General</c:formatCode>
                <c:ptCount val="6"/>
                <c:pt idx="0">
                  <c:v>178643</c:v>
                </c:pt>
                <c:pt idx="1">
                  <c:v>166851</c:v>
                </c:pt>
                <c:pt idx="2">
                  <c:v>154001</c:v>
                </c:pt>
                <c:pt idx="3">
                  <c:v>153864</c:v>
                </c:pt>
                <c:pt idx="4">
                  <c:v>169573</c:v>
                </c:pt>
                <c:pt idx="5">
                  <c:v>179735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318bcfc-ec50-474d-a4e6-9b56e26eedb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{57.9,53.1,58.6,60.6,53.5,57.3}</c:f>
              <c:numCache>
                <c:formatCode>General</c:formatCode>
                <c:ptCount val="6"/>
                <c:pt idx="0">
                  <c:v>57.9</c:v>
                </c:pt>
                <c:pt idx="1">
                  <c:v>53.1</c:v>
                </c:pt>
                <c:pt idx="2">
                  <c:v>58.6</c:v>
                </c:pt>
                <c:pt idx="3">
                  <c:v>60.6</c:v>
                </c:pt>
                <c:pt idx="4">
                  <c:v>53.5</c:v>
                </c:pt>
                <c:pt idx="5">
                  <c:v>57.3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a862d6-3a60-4387-ace7-62b34bfb44c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{4.64,5.42,9.09,11.15,12.5,12.56}</c:f>
              <c:numCache>
                <c:formatCode>General</c:formatCode>
                <c:ptCount val="6"/>
                <c:pt idx="0">
                  <c:v>4.64</c:v>
                </c:pt>
                <c:pt idx="1">
                  <c:v>5.42</c:v>
                </c:pt>
                <c:pt idx="2">
                  <c:v>9.09</c:v>
                </c:pt>
                <c:pt idx="3">
                  <c:v>11.15</c:v>
                </c:pt>
                <c:pt idx="4">
                  <c:v>12.5</c:v>
                </c:pt>
                <c:pt idx="5">
                  <c:v>12.56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a8db13b-bbf7-4edb-b0c6-686b32070b0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5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{4.5,4.4,4.3,4.4,4.3,4.3}</c:f>
              <c:numCache>
                <c:formatCode>General</c:formatCode>
                <c:ptCount val="6"/>
                <c:pt idx="0">
                  <c:v>4.5</c:v>
                </c:pt>
                <c:pt idx="1">
                  <c:v>4.4</c:v>
                </c:pt>
                <c:pt idx="2">
                  <c:v>4.3</c:v>
                </c:pt>
                <c:pt idx="3">
                  <c:v>4.4</c:v>
                </c:pt>
                <c:pt idx="4">
                  <c:v>4.3</c:v>
                </c:pt>
                <c:pt idx="5">
                  <c:v>4.3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2b2864-5edc-437d-b087-1907c19150d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{37000,11000,66000,61000,105000,122000}</c:f>
              <c:numCache>
                <c:formatCode>General</c:formatCode>
                <c:ptCount val="6"/>
                <c:pt idx="0">
                  <c:v>37000</c:v>
                </c:pt>
                <c:pt idx="1">
                  <c:v>11000</c:v>
                </c:pt>
                <c:pt idx="2">
                  <c:v>66000</c:v>
                </c:pt>
                <c:pt idx="3">
                  <c:v>61000</c:v>
                </c:pt>
                <c:pt idx="4">
                  <c:v>105000</c:v>
                </c:pt>
                <c:pt idx="5">
                  <c:v>122000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7d04c45-fc15-48bb-8c68-d04ab070823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{66.9,-26.45,0.16,2.22,16.79,-7.29}</c:f>
              <c:numCache>
                <c:formatCode>General</c:formatCode>
                <c:ptCount val="6"/>
                <c:pt idx="0">
                  <c:v>66.9</c:v>
                </c:pt>
                <c:pt idx="1">
                  <c:v>-26.45</c:v>
                </c:pt>
                <c:pt idx="2">
                  <c:v>0.16</c:v>
                </c:pt>
                <c:pt idx="3">
                  <c:v>2.22</c:v>
                </c:pt>
                <c:pt idx="4">
                  <c:v>16.79</c:v>
                </c:pt>
                <c:pt idx="5">
                  <c:v>-7.29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0a03635-a791-4b07-860c-39bab0732167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{54.4,53.8,56.1,54,53.6,54.5}</c:f>
              <c:numCache>
                <c:formatCode>General</c:formatCode>
                <c:ptCount val="6"/>
                <c:pt idx="0">
                  <c:v>54.4</c:v>
                </c:pt>
                <c:pt idx="1">
                  <c:v>53.8</c:v>
                </c:pt>
                <c:pt idx="2">
                  <c:v>56.1</c:v>
                </c:pt>
                <c:pt idx="3">
                  <c:v>54</c:v>
                </c:pt>
                <c:pt idx="4">
                  <c:v>53.6</c:v>
                </c:pt>
                <c:pt idx="5">
                  <c:v>54.5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f1e34ed-d9c8-489b-be90-e23e1405353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{19535722.1,19571053.7,19582582.2,19565262.6,19621000,19628099.2}</c:f>
              <c:numCache>
                <c:formatCode>General</c:formatCode>
                <c:ptCount val="6"/>
                <c:pt idx="0">
                  <c:v>19535722.1</c:v>
                </c:pt>
                <c:pt idx="1">
                  <c:v>19571053.7</c:v>
                </c:pt>
                <c:pt idx="2">
                  <c:v>19582582.2</c:v>
                </c:pt>
                <c:pt idx="3">
                  <c:v>19565262.6</c:v>
                </c:pt>
                <c:pt idx="4">
                  <c:v>19621000</c:v>
                </c:pt>
                <c:pt idx="5">
                  <c:v>19628099.2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b89039a-91c9-4dd3-863e-9a5ae3d80e6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{781979,842660,845722,801084,956502,901845}</c:f>
              <c:numCache>
                <c:formatCode>General</c:formatCode>
                <c:ptCount val="6"/>
                <c:pt idx="0">
                  <c:v>781979</c:v>
                </c:pt>
                <c:pt idx="1">
                  <c:v>842660</c:v>
                </c:pt>
                <c:pt idx="2">
                  <c:v>845722</c:v>
                </c:pt>
                <c:pt idx="3">
                  <c:v>801084</c:v>
                </c:pt>
                <c:pt idx="4">
                  <c:v>956502</c:v>
                </c:pt>
                <c:pt idx="5">
                  <c:v>901845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f02e296-d033-4343-9d6f-20440671761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25.78,21.04,19.49,19.23,19.12,18.36,18.17,17.94,17.48,18.87,19.5,18.92,19.31,18.71,18.02,17.83,18.81,16.89,16.99,18.29,17.38,17.39,17.08,17.19,18.38,17.99,17.87,17.26,18.43,17.82,18.06,17.44,16.76,16.7,16.59,17.01,16.29,15.74,15.32,16.05,15.77,16.06,15.4,21.51,18.92,19.87,22.22,19.44,17.68,16.2,16.41,18.44,16.4,16.78,17.28,19.49,18.63,18.89,18.41,17.65}</c:f>
              <c:numCache>
                <c:formatCode>General</c:formatCode>
                <c:ptCount val="60"/>
                <c:pt idx="0">
                  <c:v>25.78</c:v>
                </c:pt>
                <c:pt idx="1">
                  <c:v>21.04</c:v>
                </c:pt>
                <c:pt idx="2">
                  <c:v>19.49</c:v>
                </c:pt>
                <c:pt idx="3">
                  <c:v>19.23</c:v>
                </c:pt>
                <c:pt idx="4">
                  <c:v>19.12</c:v>
                </c:pt>
                <c:pt idx="5">
                  <c:v>18.36</c:v>
                </c:pt>
                <c:pt idx="6">
                  <c:v>18.17</c:v>
                </c:pt>
                <c:pt idx="7">
                  <c:v>17.94</c:v>
                </c:pt>
                <c:pt idx="8">
                  <c:v>17.48</c:v>
                </c:pt>
                <c:pt idx="9">
                  <c:v>18.87</c:v>
                </c:pt>
                <c:pt idx="10">
                  <c:v>19.5</c:v>
                </c:pt>
                <c:pt idx="11">
                  <c:v>18.92</c:v>
                </c:pt>
                <c:pt idx="12">
                  <c:v>19.31</c:v>
                </c:pt>
                <c:pt idx="13">
                  <c:v>18.71</c:v>
                </c:pt>
                <c:pt idx="14">
                  <c:v>18.02</c:v>
                </c:pt>
                <c:pt idx="15">
                  <c:v>17.83</c:v>
                </c:pt>
                <c:pt idx="16">
                  <c:v>18.81</c:v>
                </c:pt>
                <c:pt idx="17">
                  <c:v>16.89</c:v>
                </c:pt>
                <c:pt idx="18">
                  <c:v>16.99</c:v>
                </c:pt>
                <c:pt idx="19">
                  <c:v>18.29</c:v>
                </c:pt>
                <c:pt idx="20">
                  <c:v>17.38</c:v>
                </c:pt>
                <c:pt idx="21">
                  <c:v>17.39</c:v>
                </c:pt>
                <c:pt idx="22">
                  <c:v>17.08</c:v>
                </c:pt>
                <c:pt idx="23">
                  <c:v>17.19</c:v>
                </c:pt>
                <c:pt idx="24">
                  <c:v>18.38</c:v>
                </c:pt>
                <c:pt idx="25">
                  <c:v>17.99</c:v>
                </c:pt>
                <c:pt idx="26">
                  <c:v>17.87</c:v>
                </c:pt>
                <c:pt idx="27">
                  <c:v>17.26</c:v>
                </c:pt>
                <c:pt idx="28">
                  <c:v>18.43</c:v>
                </c:pt>
                <c:pt idx="29">
                  <c:v>17.82</c:v>
                </c:pt>
                <c:pt idx="30">
                  <c:v>18.06</c:v>
                </c:pt>
                <c:pt idx="31">
                  <c:v>17.44</c:v>
                </c:pt>
                <c:pt idx="32">
                  <c:v>16.76</c:v>
                </c:pt>
                <c:pt idx="33">
                  <c:v>16.7</c:v>
                </c:pt>
                <c:pt idx="34">
                  <c:v>16.59</c:v>
                </c:pt>
                <c:pt idx="35">
                  <c:v>17.01</c:v>
                </c:pt>
                <c:pt idx="36">
                  <c:v>16.29</c:v>
                </c:pt>
                <c:pt idx="37">
                  <c:v>15.74</c:v>
                </c:pt>
                <c:pt idx="38">
                  <c:v>15.32</c:v>
                </c:pt>
                <c:pt idx="39">
                  <c:v>16.05</c:v>
                </c:pt>
                <c:pt idx="40">
                  <c:v>15.77</c:v>
                </c:pt>
                <c:pt idx="41">
                  <c:v>16.06</c:v>
                </c:pt>
                <c:pt idx="42">
                  <c:v>15.4</c:v>
                </c:pt>
                <c:pt idx="43">
                  <c:v>21.51</c:v>
                </c:pt>
                <c:pt idx="44">
                  <c:v>18.92</c:v>
                </c:pt>
                <c:pt idx="45">
                  <c:v>19.87</c:v>
                </c:pt>
                <c:pt idx="46">
                  <c:v>22.22</c:v>
                </c:pt>
                <c:pt idx="47">
                  <c:v>19.44</c:v>
                </c:pt>
                <c:pt idx="48">
                  <c:v>17.68</c:v>
                </c:pt>
                <c:pt idx="49">
                  <c:v>16.2</c:v>
                </c:pt>
                <c:pt idx="50">
                  <c:v>16.41</c:v>
                </c:pt>
                <c:pt idx="51">
                  <c:v>18.44</c:v>
                </c:pt>
                <c:pt idx="52">
                  <c:v>16.4</c:v>
                </c:pt>
                <c:pt idx="53">
                  <c:v>16.78</c:v>
                </c:pt>
                <c:pt idx="54">
                  <c:v>17.28</c:v>
                </c:pt>
                <c:pt idx="55">
                  <c:v>19.49</c:v>
                </c:pt>
                <c:pt idx="56">
                  <c:v>18.63</c:v>
                </c:pt>
                <c:pt idx="57">
                  <c:v>18.89</c:v>
                </c:pt>
                <c:pt idx="58">
                  <c:v>18.41</c:v>
                </c:pt>
                <c:pt idx="59">
                  <c:v>17.65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d5e41e5-d1ba-4fb4-bc7b-c9c82176616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{27.8243,27.7934,27.7541,27.7541,27.7539,28.1218}</c:f>
              <c:numCache>
                <c:formatCode>General</c:formatCode>
                <c:ptCount val="6"/>
                <c:pt idx="0">
                  <c:v>27.8243</c:v>
                </c:pt>
                <c:pt idx="1">
                  <c:v>27.7934</c:v>
                </c:pt>
                <c:pt idx="2">
                  <c:v>27.7541</c:v>
                </c:pt>
                <c:pt idx="3">
                  <c:v>27.7541</c:v>
                </c:pt>
                <c:pt idx="4">
                  <c:v>27.7539</c:v>
                </c:pt>
                <c:pt idx="5">
                  <c:v>28.1218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2794297-35a7-407c-a546-67d6e5f3a84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{2.6344,2.4551,2.3055,2.4686,2.428,2.4295}</c:f>
              <c:numCache>
                <c:formatCode>General</c:formatCode>
                <c:ptCount val="6"/>
                <c:pt idx="0">
                  <c:v>2.6344</c:v>
                </c:pt>
                <c:pt idx="1">
                  <c:v>2.4551</c:v>
                </c:pt>
                <c:pt idx="2">
                  <c:v>2.3055</c:v>
                </c:pt>
                <c:pt idx="3">
                  <c:v>2.4686</c:v>
                </c:pt>
                <c:pt idx="4">
                  <c:v>2.428</c:v>
                </c:pt>
                <c:pt idx="5">
                  <c:v>2.4295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b5be06b-ced7-47ec-88c1-ab28cddea34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{2.2492,2.1779,2.1668,2.181,2.168,2.1751}</c:f>
              <c:numCache>
                <c:formatCode>General</c:formatCode>
                <c:ptCount val="6"/>
                <c:pt idx="0">
                  <c:v>2.2492</c:v>
                </c:pt>
                <c:pt idx="1">
                  <c:v>2.1779</c:v>
                </c:pt>
                <c:pt idx="2">
                  <c:v>2.1668</c:v>
                </c:pt>
                <c:pt idx="3">
                  <c:v>2.181</c:v>
                </c:pt>
                <c:pt idx="4">
                  <c:v>2.168</c:v>
                </c:pt>
                <c:pt idx="5">
                  <c:v>2.1751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d85b349-9326-4583-9e16-fb33dd1ce82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6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{2.2034,2.0813,2.4491,2.2134,2.1331,2.5652}</c:f>
              <c:numCache>
                <c:formatCode>General</c:formatCode>
                <c:ptCount val="6"/>
                <c:pt idx="0">
                  <c:v>2.2034</c:v>
                </c:pt>
                <c:pt idx="1">
                  <c:v>2.0813</c:v>
                </c:pt>
                <c:pt idx="2">
                  <c:v>2.4491</c:v>
                </c:pt>
                <c:pt idx="3">
                  <c:v>2.2134</c:v>
                </c:pt>
                <c:pt idx="4">
                  <c:v>2.1331</c:v>
                </c:pt>
                <c:pt idx="5">
                  <c:v>2.5652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fb00fe1-2608-426c-bcb5-6936065bd1c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{2.0987,2.2951,2.4516,2.1767,2.0527,2.3282}</c:f>
              <c:numCache>
                <c:formatCode>General</c:formatCode>
                <c:ptCount val="6"/>
                <c:pt idx="0">
                  <c:v>2.0987</c:v>
                </c:pt>
                <c:pt idx="1">
                  <c:v>2.2951</c:v>
                </c:pt>
                <c:pt idx="2">
                  <c:v>2.4516</c:v>
                </c:pt>
                <c:pt idx="3">
                  <c:v>2.1767</c:v>
                </c:pt>
                <c:pt idx="4">
                  <c:v>2.0527</c:v>
                </c:pt>
                <c:pt idx="5">
                  <c:v>2.3282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291694a-6493-4e61-b697-917d2f9e42f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{201757,215042,206433,180670,180313,191451,186338,188099,188558,228955,220642,207133}</c:f>
              <c:numCache>
                <c:formatCode>General</c:formatCode>
                <c:ptCount val="12"/>
                <c:pt idx="0">
                  <c:v>201757</c:v>
                </c:pt>
                <c:pt idx="1">
                  <c:v>215042</c:v>
                </c:pt>
                <c:pt idx="2">
                  <c:v>206433</c:v>
                </c:pt>
                <c:pt idx="3">
                  <c:v>180670</c:v>
                </c:pt>
                <c:pt idx="4">
                  <c:v>180313</c:v>
                </c:pt>
                <c:pt idx="5">
                  <c:v>191451</c:v>
                </c:pt>
                <c:pt idx="6">
                  <c:v>186338</c:v>
                </c:pt>
                <c:pt idx="7">
                  <c:v>188099</c:v>
                </c:pt>
                <c:pt idx="8">
                  <c:v>188558</c:v>
                </c:pt>
                <c:pt idx="9">
                  <c:v>228955</c:v>
                </c:pt>
                <c:pt idx="10">
                  <c:v>220642</c:v>
                </c:pt>
                <c:pt idx="11">
                  <c:v>207133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c046fd7-7259-414e-b787-37b42d79b7c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{4,3.4,3.8,4.7,4.8,4.6}</c:f>
              <c:numCache>
                <c:formatCode>General</c:formatCode>
                <c:ptCount val="6"/>
                <c:pt idx="0">
                  <c:v>4</c:v>
                </c:pt>
                <c:pt idx="1">
                  <c:v>3.4</c:v>
                </c:pt>
                <c:pt idx="2">
                  <c:v>3.8</c:v>
                </c:pt>
                <c:pt idx="3">
                  <c:v>4.7</c:v>
                </c:pt>
                <c:pt idx="4">
                  <c:v>4.8</c:v>
                </c:pt>
                <c:pt idx="5">
                  <c:v>4.6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a2bcec-0c2e-47cb-b5e8-0d169902b12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{50,130,-92,178,115,172}</c:f>
              <c:numCache>
                <c:formatCode>General</c:formatCode>
                <c:ptCount val="6"/>
                <c:pt idx="0">
                  <c:v>50</c:v>
                </c:pt>
                <c:pt idx="1">
                  <c:v>130</c:v>
                </c:pt>
                <c:pt idx="2">
                  <c:v>-92</c:v>
                </c:pt>
                <c:pt idx="3">
                  <c:v>178</c:v>
                </c:pt>
                <c:pt idx="4">
                  <c:v>115</c:v>
                </c:pt>
                <c:pt idx="5">
                  <c:v>172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08983f4-18d4-48dd-93d9-a206a109d7e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109.27,94.75,95.92,95.2,99.36,94.79,94.93,99.39,90.38,95.48,98.48,101.91,105.07,105.33,108.23,111.26,118.03,114.01,108.17,114.44,109.87,101.27,100.06,101.29,104.21,107.77,105.63,105.72,109.26,112.1,111.28,105.02,102.58,103.54,96.14,99.58,94.29,93.71,92.05,94.98,96,97.81,95.03,93.09,94.25,91.45,93.1,90.38,87.33,83.17,78.96,79.55,79.85,80.57,77.9,77.08,73.74,75.26,71.99,73.15}</c:f>
              <c:numCache>
                <c:formatCode>General</c:formatCode>
                <c:ptCount val="60"/>
                <c:pt idx="0">
                  <c:v>109.27</c:v>
                </c:pt>
                <c:pt idx="1">
                  <c:v>94.75</c:v>
                </c:pt>
                <c:pt idx="2">
                  <c:v>95.92</c:v>
                </c:pt>
                <c:pt idx="3">
                  <c:v>95.2</c:v>
                </c:pt>
                <c:pt idx="4">
                  <c:v>99.36</c:v>
                </c:pt>
                <c:pt idx="5">
                  <c:v>94.79</c:v>
                </c:pt>
                <c:pt idx="6">
                  <c:v>94.93</c:v>
                </c:pt>
                <c:pt idx="7">
                  <c:v>99.39</c:v>
                </c:pt>
                <c:pt idx="8">
                  <c:v>90.38</c:v>
                </c:pt>
                <c:pt idx="9">
                  <c:v>95.48</c:v>
                </c:pt>
                <c:pt idx="10">
                  <c:v>98.48</c:v>
                </c:pt>
                <c:pt idx="11">
                  <c:v>101.91</c:v>
                </c:pt>
                <c:pt idx="12">
                  <c:v>105.07</c:v>
                </c:pt>
                <c:pt idx="13">
                  <c:v>105.33</c:v>
                </c:pt>
                <c:pt idx="14">
                  <c:v>108.23</c:v>
                </c:pt>
                <c:pt idx="15">
                  <c:v>111.26</c:v>
                </c:pt>
                <c:pt idx="16">
                  <c:v>118.03</c:v>
                </c:pt>
                <c:pt idx="17">
                  <c:v>114.01</c:v>
                </c:pt>
                <c:pt idx="18">
                  <c:v>108.17</c:v>
                </c:pt>
                <c:pt idx="19">
                  <c:v>114.44</c:v>
                </c:pt>
                <c:pt idx="20">
                  <c:v>109.87</c:v>
                </c:pt>
                <c:pt idx="21">
                  <c:v>101.27</c:v>
                </c:pt>
                <c:pt idx="22">
                  <c:v>100.06</c:v>
                </c:pt>
                <c:pt idx="23">
                  <c:v>101.29</c:v>
                </c:pt>
                <c:pt idx="24">
                  <c:v>104.21</c:v>
                </c:pt>
                <c:pt idx="25">
                  <c:v>107.77</c:v>
                </c:pt>
                <c:pt idx="26">
                  <c:v>105.63</c:v>
                </c:pt>
                <c:pt idx="27">
                  <c:v>105.72</c:v>
                </c:pt>
                <c:pt idx="28">
                  <c:v>109.26</c:v>
                </c:pt>
                <c:pt idx="29">
                  <c:v>112.1</c:v>
                </c:pt>
                <c:pt idx="30">
                  <c:v>111.28</c:v>
                </c:pt>
                <c:pt idx="31">
                  <c:v>105.02</c:v>
                </c:pt>
                <c:pt idx="32">
                  <c:v>102.58</c:v>
                </c:pt>
                <c:pt idx="33">
                  <c:v>103.54</c:v>
                </c:pt>
                <c:pt idx="34">
                  <c:v>96.14</c:v>
                </c:pt>
                <c:pt idx="35">
                  <c:v>99.58</c:v>
                </c:pt>
                <c:pt idx="36">
                  <c:v>94.29</c:v>
                </c:pt>
                <c:pt idx="37">
                  <c:v>93.71</c:v>
                </c:pt>
                <c:pt idx="38">
                  <c:v>92.05</c:v>
                </c:pt>
                <c:pt idx="39">
                  <c:v>94.98</c:v>
                </c:pt>
                <c:pt idx="40">
                  <c:v>96</c:v>
                </c:pt>
                <c:pt idx="41">
                  <c:v>97.81</c:v>
                </c:pt>
                <c:pt idx="42">
                  <c:v>95.03</c:v>
                </c:pt>
                <c:pt idx="43">
                  <c:v>93.09</c:v>
                </c:pt>
                <c:pt idx="44">
                  <c:v>94.25</c:v>
                </c:pt>
                <c:pt idx="45">
                  <c:v>91.45</c:v>
                </c:pt>
                <c:pt idx="46">
                  <c:v>93.1</c:v>
                </c:pt>
                <c:pt idx="47">
                  <c:v>90.38</c:v>
                </c:pt>
                <c:pt idx="48">
                  <c:v>87.33</c:v>
                </c:pt>
                <c:pt idx="49">
                  <c:v>83.17</c:v>
                </c:pt>
                <c:pt idx="50">
                  <c:v>78.96</c:v>
                </c:pt>
                <c:pt idx="51">
                  <c:v>79.55</c:v>
                </c:pt>
                <c:pt idx="52">
                  <c:v>79.85</c:v>
                </c:pt>
                <c:pt idx="53">
                  <c:v>80.57</c:v>
                </c:pt>
                <c:pt idx="54">
                  <c:v>77.9</c:v>
                </c:pt>
                <c:pt idx="55">
                  <c:v>77.08</c:v>
                </c:pt>
                <c:pt idx="56">
                  <c:v>73.74</c:v>
                </c:pt>
                <c:pt idx="57">
                  <c:v>75.26</c:v>
                </c:pt>
                <c:pt idx="58">
                  <c:v>71.99</c:v>
                </c:pt>
                <c:pt idx="59">
                  <c:v>73.15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3ef065d-eed0-4ec4-82a2-d68bc3eca91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{2.6,2.5,2.5,2.6,2.8,2.9}</c:f>
              <c:numCache>
                <c:formatCode>General</c:formatCode>
                <c:ptCount val="6"/>
                <c:pt idx="0">
                  <c:v>2.6</c:v>
                </c:pt>
                <c:pt idx="1">
                  <c:v>2.5</c:v>
                </c:pt>
                <c:pt idx="2">
                  <c:v>2.5</c:v>
                </c:pt>
                <c:pt idx="3">
                  <c:v>2.6</c:v>
                </c:pt>
                <c:pt idx="4">
                  <c:v>2.8</c:v>
                </c:pt>
                <c:pt idx="5">
                  <c:v>2.9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e118823-15f6-411f-a927-dd32e382414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{2.243,1.935,2.22,1.985,1.734,1.843,1.94,1.896,2.169}</c:f>
              <c:numCache>
                <c:formatCode>General</c:formatCode>
                <c:ptCount val="9"/>
                <c:pt idx="0">
                  <c:v>2.243</c:v>
                </c:pt>
                <c:pt idx="1">
                  <c:v>1.935</c:v>
                </c:pt>
                <c:pt idx="2">
                  <c:v>2.22</c:v>
                </c:pt>
                <c:pt idx="3">
                  <c:v>1.985</c:v>
                </c:pt>
                <c:pt idx="4">
                  <c:v>1.734</c:v>
                </c:pt>
                <c:pt idx="5">
                  <c:v>1.843</c:v>
                </c:pt>
                <c:pt idx="6">
                  <c:v>1.94</c:v>
                </c:pt>
                <c:pt idx="7">
                  <c:v>1.896</c:v>
                </c:pt>
                <c:pt idx="8">
                  <c:v>2.169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6a53242-43c8-47cc-83b7-0bebe2bc0bd5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{45.689317,34.123691,39.941551,28.441292,-53.18755,18.633123}</c:f>
              <c:numCache>
                <c:formatCode>General</c:formatCode>
                <c:ptCount val="6"/>
                <c:pt idx="0">
                  <c:v>45.689317</c:v>
                </c:pt>
                <c:pt idx="1">
                  <c:v>34.123691</c:v>
                </c:pt>
                <c:pt idx="2">
                  <c:v>39.941551</c:v>
                </c:pt>
                <c:pt idx="3">
                  <c:v>28.441292</c:v>
                </c:pt>
                <c:pt idx="4">
                  <c:v>-53.18755</c:v>
                </c:pt>
                <c:pt idx="5">
                  <c:v>18.633123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8d3b75b-ba25-4585-b598-3ebc2b0ff12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{0.46,0.454,0.581,10.721,6.828,0.251,3.925,6.484,4.534,5.718,6.426,3.546}</c:f>
              <c:numCache>
                <c:formatCode>General</c:formatCode>
                <c:ptCount val="12"/>
                <c:pt idx="0">
                  <c:v>0.46</c:v>
                </c:pt>
                <c:pt idx="1">
                  <c:v>0.454</c:v>
                </c:pt>
                <c:pt idx="2">
                  <c:v>0.581</c:v>
                </c:pt>
                <c:pt idx="3">
                  <c:v>10.721</c:v>
                </c:pt>
                <c:pt idx="4">
                  <c:v>6.828</c:v>
                </c:pt>
                <c:pt idx="5">
                  <c:v>0.251</c:v>
                </c:pt>
                <c:pt idx="6">
                  <c:v>3.925</c:v>
                </c:pt>
                <c:pt idx="7">
                  <c:v>6.484</c:v>
                </c:pt>
                <c:pt idx="8">
                  <c:v>4.534</c:v>
                </c:pt>
                <c:pt idx="9">
                  <c:v>5.718</c:v>
                </c:pt>
                <c:pt idx="10">
                  <c:v>6.426</c:v>
                </c:pt>
                <c:pt idx="11">
                  <c:v>3.546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73b9bfd4-d447-4422-93e2-d4a52204f69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7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,3.65}</c:f>
              <c:numCache>
                <c:formatCode>General</c:formatCode>
                <c:ptCount val="60"/>
                <c:pt idx="0">
                  <c:v>3.65</c:v>
                </c:pt>
                <c:pt idx="1">
                  <c:v>3.65</c:v>
                </c:pt>
                <c:pt idx="2">
                  <c:v>3.65</c:v>
                </c:pt>
                <c:pt idx="3">
                  <c:v>3.65</c:v>
                </c:pt>
                <c:pt idx="4">
                  <c:v>3.65</c:v>
                </c:pt>
                <c:pt idx="5">
                  <c:v>3.65</c:v>
                </c:pt>
                <c:pt idx="6">
                  <c:v>3.65</c:v>
                </c:pt>
                <c:pt idx="7">
                  <c:v>3.65</c:v>
                </c:pt>
                <c:pt idx="8">
                  <c:v>3.65</c:v>
                </c:pt>
                <c:pt idx="9">
                  <c:v>3.65</c:v>
                </c:pt>
                <c:pt idx="10">
                  <c:v>3.65</c:v>
                </c:pt>
                <c:pt idx="11">
                  <c:v>3.65</c:v>
                </c:pt>
                <c:pt idx="12">
                  <c:v>3.65</c:v>
                </c:pt>
                <c:pt idx="13">
                  <c:v>3.65</c:v>
                </c:pt>
                <c:pt idx="14">
                  <c:v>3.65</c:v>
                </c:pt>
                <c:pt idx="15">
                  <c:v>3.65</c:v>
                </c:pt>
                <c:pt idx="16">
                  <c:v>3.65</c:v>
                </c:pt>
                <c:pt idx="17">
                  <c:v>3.65</c:v>
                </c:pt>
                <c:pt idx="18">
                  <c:v>3.65</c:v>
                </c:pt>
                <c:pt idx="19">
                  <c:v>3.65</c:v>
                </c:pt>
                <c:pt idx="20">
                  <c:v>3.65</c:v>
                </c:pt>
                <c:pt idx="21">
                  <c:v>3.65</c:v>
                </c:pt>
                <c:pt idx="22">
                  <c:v>3.65</c:v>
                </c:pt>
                <c:pt idx="23">
                  <c:v>3.65</c:v>
                </c:pt>
                <c:pt idx="24">
                  <c:v>3.65</c:v>
                </c:pt>
                <c:pt idx="25">
                  <c:v>3.65</c:v>
                </c:pt>
                <c:pt idx="26">
                  <c:v>3.65</c:v>
                </c:pt>
                <c:pt idx="27">
                  <c:v>3.65</c:v>
                </c:pt>
                <c:pt idx="28">
                  <c:v>3.65</c:v>
                </c:pt>
                <c:pt idx="29">
                  <c:v>3.65</c:v>
                </c:pt>
                <c:pt idx="30">
                  <c:v>3.65</c:v>
                </c:pt>
                <c:pt idx="31">
                  <c:v>3.65</c:v>
                </c:pt>
                <c:pt idx="32">
                  <c:v>3.65</c:v>
                </c:pt>
                <c:pt idx="33">
                  <c:v>3.65</c:v>
                </c:pt>
                <c:pt idx="34">
                  <c:v>3.65</c:v>
                </c:pt>
                <c:pt idx="35">
                  <c:v>3.65</c:v>
                </c:pt>
                <c:pt idx="36">
                  <c:v>3.65</c:v>
                </c:pt>
                <c:pt idx="37">
                  <c:v>3.65</c:v>
                </c:pt>
                <c:pt idx="38">
                  <c:v>3.65</c:v>
                </c:pt>
                <c:pt idx="39">
                  <c:v>3.65</c:v>
                </c:pt>
                <c:pt idx="40">
                  <c:v>3.65</c:v>
                </c:pt>
                <c:pt idx="41">
                  <c:v>3.65</c:v>
                </c:pt>
                <c:pt idx="42">
                  <c:v>3.65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3.65</c:v>
                </c:pt>
                <c:pt idx="53">
                  <c:v>3.65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6fd3293-2ee6-488f-99a9-d75615c3890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{-0.06,-0.05,0,0.04,-0.02,-0.02,-0.03,-0.04,-0.03,-0.03,-0.01,-0.03}</c:f>
              <c:numCache>
                <c:formatCode>General</c:formatCode>
                <c:ptCount val="12"/>
                <c:pt idx="0">
                  <c:v>-0.06</c:v>
                </c:pt>
                <c:pt idx="1">
                  <c:v>-0.05</c:v>
                </c:pt>
                <c:pt idx="2">
                  <c:v>0</c:v>
                </c:pt>
                <c:pt idx="3">
                  <c:v>0.04</c:v>
                </c:pt>
                <c:pt idx="4">
                  <c:v>-0.02</c:v>
                </c:pt>
                <c:pt idx="5">
                  <c:v>-0.02</c:v>
                </c:pt>
                <c:pt idx="6">
                  <c:v>-0.03</c:v>
                </c:pt>
                <c:pt idx="7">
                  <c:v>-0.04</c:v>
                </c:pt>
                <c:pt idx="8">
                  <c:v>-0.03</c:v>
                </c:pt>
                <c:pt idx="9">
                  <c:v>-0.03</c:v>
                </c:pt>
                <c:pt idx="10">
                  <c:v>-0.01</c:v>
                </c:pt>
                <c:pt idx="11">
                  <c:v>-0.03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fc7b371b-76b6-43d2-9fa1-0f5f72caff3a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{3023,3061,3059,3147,3137,3114,3148,3073,3105,3116,3145,3171}</c:f>
              <c:numCache>
                <c:formatCode>General</c:formatCode>
                <c:ptCount val="12"/>
                <c:pt idx="0">
                  <c:v>3023</c:v>
                </c:pt>
                <c:pt idx="1">
                  <c:v>3061</c:v>
                </c:pt>
                <c:pt idx="2">
                  <c:v>3059</c:v>
                </c:pt>
                <c:pt idx="3">
                  <c:v>3147</c:v>
                </c:pt>
                <c:pt idx="4">
                  <c:v>3137</c:v>
                </c:pt>
                <c:pt idx="5">
                  <c:v>3114</c:v>
                </c:pt>
                <c:pt idx="6">
                  <c:v>3148</c:v>
                </c:pt>
                <c:pt idx="7">
                  <c:v>3073</c:v>
                </c:pt>
                <c:pt idx="8">
                  <c:v>3105</c:v>
                </c:pt>
                <c:pt idx="9">
                  <c:v>3116</c:v>
                </c:pt>
                <c:pt idx="10">
                  <c:v>3145</c:v>
                </c:pt>
                <c:pt idx="11">
                  <c:v>3171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c90d5b8-9b06-46e7-8fa3-3d80aa68a67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5.48,5.44,5.42,5.48,5.4,5.39,5.42,5.39,5.35,5.37,5.42,5.36,5.36,5.4,5.38,5.42,5.41,5.46,5.47,5.53,5.52,5.49,5.56,5.5,5.45,5.5,5.47,5.51,5.56,5.56,5.52,5.65,5.65,5.72,5.64,5.64,5.61,5.55,5.53,5.5,5.5,5.49,5.48,5.51,5.49,5.53,5.56,5.55,5.58,5.51,5.52,5.52,5.5,5.52,5.5,5.56,5.54,5.48,5.49,5.5}</c:f>
              <c:numCache>
                <c:formatCode>General</c:formatCode>
                <c:ptCount val="60"/>
                <c:pt idx="0">
                  <c:v>5.48</c:v>
                </c:pt>
                <c:pt idx="1">
                  <c:v>5.44</c:v>
                </c:pt>
                <c:pt idx="2">
                  <c:v>5.42</c:v>
                </c:pt>
                <c:pt idx="3">
                  <c:v>5.48</c:v>
                </c:pt>
                <c:pt idx="4">
                  <c:v>5.4</c:v>
                </c:pt>
                <c:pt idx="5">
                  <c:v>5.39</c:v>
                </c:pt>
                <c:pt idx="6">
                  <c:v>5.42</c:v>
                </c:pt>
                <c:pt idx="7">
                  <c:v>5.39</c:v>
                </c:pt>
                <c:pt idx="8">
                  <c:v>5.35</c:v>
                </c:pt>
                <c:pt idx="9">
                  <c:v>5.37</c:v>
                </c:pt>
                <c:pt idx="10">
                  <c:v>5.42</c:v>
                </c:pt>
                <c:pt idx="11">
                  <c:v>5.36</c:v>
                </c:pt>
                <c:pt idx="12">
                  <c:v>5.36</c:v>
                </c:pt>
                <c:pt idx="13">
                  <c:v>5.4</c:v>
                </c:pt>
                <c:pt idx="14">
                  <c:v>5.38</c:v>
                </c:pt>
                <c:pt idx="15">
                  <c:v>5.42</c:v>
                </c:pt>
                <c:pt idx="16">
                  <c:v>5.41</c:v>
                </c:pt>
                <c:pt idx="17">
                  <c:v>5.46</c:v>
                </c:pt>
                <c:pt idx="18">
                  <c:v>5.47</c:v>
                </c:pt>
                <c:pt idx="19">
                  <c:v>5.53</c:v>
                </c:pt>
                <c:pt idx="20">
                  <c:v>5.52</c:v>
                </c:pt>
                <c:pt idx="21">
                  <c:v>5.49</c:v>
                </c:pt>
                <c:pt idx="22">
                  <c:v>5.56</c:v>
                </c:pt>
                <c:pt idx="23">
                  <c:v>5.5</c:v>
                </c:pt>
                <c:pt idx="24">
                  <c:v>5.45</c:v>
                </c:pt>
                <c:pt idx="25">
                  <c:v>5.5</c:v>
                </c:pt>
                <c:pt idx="26">
                  <c:v>5.47</c:v>
                </c:pt>
                <c:pt idx="27">
                  <c:v>5.51</c:v>
                </c:pt>
                <c:pt idx="28">
                  <c:v>5.56</c:v>
                </c:pt>
                <c:pt idx="29">
                  <c:v>5.56</c:v>
                </c:pt>
                <c:pt idx="30">
                  <c:v>5.52</c:v>
                </c:pt>
                <c:pt idx="31">
                  <c:v>5.65</c:v>
                </c:pt>
                <c:pt idx="32">
                  <c:v>5.65</c:v>
                </c:pt>
                <c:pt idx="33">
                  <c:v>5.72</c:v>
                </c:pt>
                <c:pt idx="34">
                  <c:v>5.64</c:v>
                </c:pt>
                <c:pt idx="35">
                  <c:v>5.64</c:v>
                </c:pt>
                <c:pt idx="36">
                  <c:v>5.61</c:v>
                </c:pt>
                <c:pt idx="37">
                  <c:v>5.55</c:v>
                </c:pt>
                <c:pt idx="38">
                  <c:v>5.53</c:v>
                </c:pt>
                <c:pt idx="39">
                  <c:v>5.5</c:v>
                </c:pt>
                <c:pt idx="40">
                  <c:v>5.5</c:v>
                </c:pt>
                <c:pt idx="41">
                  <c:v>5.49</c:v>
                </c:pt>
                <c:pt idx="42">
                  <c:v>5.48</c:v>
                </c:pt>
                <c:pt idx="43">
                  <c:v>5.51</c:v>
                </c:pt>
                <c:pt idx="44">
                  <c:v>5.49</c:v>
                </c:pt>
                <c:pt idx="45">
                  <c:v>5.53</c:v>
                </c:pt>
                <c:pt idx="46">
                  <c:v>5.56</c:v>
                </c:pt>
                <c:pt idx="47">
                  <c:v>5.55</c:v>
                </c:pt>
                <c:pt idx="48">
                  <c:v>5.58</c:v>
                </c:pt>
                <c:pt idx="49">
                  <c:v>5.51</c:v>
                </c:pt>
                <c:pt idx="50">
                  <c:v>5.52</c:v>
                </c:pt>
                <c:pt idx="51">
                  <c:v>5.52</c:v>
                </c:pt>
                <c:pt idx="52">
                  <c:v>5.5</c:v>
                </c:pt>
                <c:pt idx="53">
                  <c:v>5.52</c:v>
                </c:pt>
                <c:pt idx="54">
                  <c:v>5.5</c:v>
                </c:pt>
                <c:pt idx="55">
                  <c:v>5.56</c:v>
                </c:pt>
                <c:pt idx="56">
                  <c:v>5.54</c:v>
                </c:pt>
                <c:pt idx="57">
                  <c:v>5.48</c:v>
                </c:pt>
                <c:pt idx="58">
                  <c:v>5.49</c:v>
                </c:pt>
                <c:pt idx="59">
                  <c:v>5.5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99aef935-e3b2-465d-a0d7-a4ce17b10171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{5637,6400,6120,6658,7642,7946}</c:f>
              <c:numCache>
                <c:formatCode>General</c:formatCode>
                <c:ptCount val="6"/>
                <c:pt idx="0">
                  <c:v>5637</c:v>
                </c:pt>
                <c:pt idx="1">
                  <c:v>6400</c:v>
                </c:pt>
                <c:pt idx="2">
                  <c:v>6120</c:v>
                </c:pt>
                <c:pt idx="3">
                  <c:v>6658</c:v>
                </c:pt>
                <c:pt idx="4">
                  <c:v>7642</c:v>
                </c:pt>
                <c:pt idx="5">
                  <c:v>7946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5130527-6d72-4c35-b7e2-3d6b1712d1f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{6666441,6657093,6664361,6678252,6688812,6688795}</c:f>
              <c:numCache>
                <c:formatCode>General</c:formatCode>
                <c:ptCount val="6"/>
                <c:pt idx="0">
                  <c:v>6666441</c:v>
                </c:pt>
                <c:pt idx="1">
                  <c:v>6657093</c:v>
                </c:pt>
                <c:pt idx="2">
                  <c:v>6664361</c:v>
                </c:pt>
                <c:pt idx="3">
                  <c:v>6678252</c:v>
                </c:pt>
                <c:pt idx="4">
                  <c:v>6688812</c:v>
                </c:pt>
                <c:pt idx="5">
                  <c:v>6688795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465c4d4-db60-498d-b60c-d008cf0fdb5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{3.2,6.9,5.9,4.7,7.5}</c:f>
              <c:numCache>
                <c:formatCode>General</c:formatCode>
                <c:ptCount val="5"/>
                <c:pt idx="0">
                  <c:v>3.2</c:v>
                </c:pt>
                <c:pt idx="1">
                  <c:v>6.9</c:v>
                </c:pt>
                <c:pt idx="2">
                  <c:v>5.9</c:v>
                </c:pt>
                <c:pt idx="3">
                  <c:v>4.7</c:v>
                </c:pt>
                <c:pt idx="4">
                  <c:v>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c6d385c4-0f90-47ee-a54e-c2355d851e20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{19512611,19540557,19565386,19584431,19592199,19624655}</c:f>
              <c:numCache>
                <c:formatCode>General</c:formatCode>
                <c:ptCount val="6"/>
                <c:pt idx="0">
                  <c:v>19512611</c:v>
                </c:pt>
                <c:pt idx="1">
                  <c:v>19540557</c:v>
                </c:pt>
                <c:pt idx="2">
                  <c:v>19565386</c:v>
                </c:pt>
                <c:pt idx="3">
                  <c:v>19584431</c:v>
                </c:pt>
                <c:pt idx="4">
                  <c:v>19592199</c:v>
                </c:pt>
                <c:pt idx="5">
                  <c:v>19624655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e2e9024-48a9-49f7-8b99-1ce0ee7023a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{19092.4,19191.8,19386.9,19436.1,19531.7,19750.9}</c:f>
              <c:numCache>
                <c:formatCode>General</c:formatCode>
                <c:ptCount val="6"/>
                <c:pt idx="0">
                  <c:v>19092.4</c:v>
                </c:pt>
                <c:pt idx="1">
                  <c:v>19191.8</c:v>
                </c:pt>
                <c:pt idx="2">
                  <c:v>19386.9</c:v>
                </c:pt>
                <c:pt idx="3">
                  <c:v>19436.1</c:v>
                </c:pt>
                <c:pt idx="4">
                  <c:v>19531.7</c:v>
                </c:pt>
                <c:pt idx="5">
                  <c:v>19750.9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f4ff251-a098-458e-a49b-d7e339847c5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{22353.4,22429.3,22626.9,22686.2,22804.5,23052.3}</c:f>
              <c:numCache>
                <c:formatCode>General</c:formatCode>
                <c:ptCount val="6"/>
                <c:pt idx="0">
                  <c:v>22353.4</c:v>
                </c:pt>
                <c:pt idx="1">
                  <c:v>22429.3</c:v>
                </c:pt>
                <c:pt idx="2">
                  <c:v>22626.9</c:v>
                </c:pt>
                <c:pt idx="3">
                  <c:v>22686.2</c:v>
                </c:pt>
                <c:pt idx="4">
                  <c:v>22804.5</c:v>
                </c:pt>
                <c:pt idx="5">
                  <c:v>23052.3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6c9b5d2-5e8a-4d09-82c6-6a3591153ef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8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{2891081.4,2900540.4,2904623.4,2906662.4,2907791.9,2903305.3}</c:f>
              <c:numCache>
                <c:formatCode>General</c:formatCode>
                <c:ptCount val="6"/>
                <c:pt idx="0">
                  <c:v>2891081.4</c:v>
                </c:pt>
                <c:pt idx="1">
                  <c:v>2900540.4</c:v>
                </c:pt>
                <c:pt idx="2">
                  <c:v>2904623.4</c:v>
                </c:pt>
                <c:pt idx="3">
                  <c:v>2906662.4</c:v>
                </c:pt>
                <c:pt idx="4">
                  <c:v>2907791.9</c:v>
                </c:pt>
                <c:pt idx="5">
                  <c:v>2903305.3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b65a7d9c-71a1-4d53-a4bf-8757980cadc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{605321.134}</c:f>
              <c:numCache>
                <c:formatCode>General</c:formatCode>
                <c:ptCount val="1"/>
                <c:pt idx="0">
                  <c:v>605321.134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e638c9b-ccc0-4ef9-bf55-bb31bea6eefb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{1906857.8,1909451.3,1910556.3,1908226.7,1910951.3,1909403.3}</c:f>
              <c:numCache>
                <c:formatCode>General</c:formatCode>
                <c:ptCount val="6"/>
                <c:pt idx="0">
                  <c:v>1906857.8</c:v>
                </c:pt>
                <c:pt idx="1">
                  <c:v>1909451.3</c:v>
                </c:pt>
                <c:pt idx="2">
                  <c:v>1910556.3</c:v>
                </c:pt>
                <c:pt idx="3">
                  <c:v>1908226.7</c:v>
                </c:pt>
                <c:pt idx="4">
                  <c:v>1910951.3</c:v>
                </c:pt>
                <c:pt idx="5">
                  <c:v>1909403.3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644ae72-ff67-4565-b731-90ffaba3285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{1.36,0.79,0.74,0.53,1.15,1.63}</c:f>
              <c:numCache>
                <c:formatCode>General</c:formatCode>
                <c:ptCount val="6"/>
                <c:pt idx="0">
                  <c:v>1.36</c:v>
                </c:pt>
                <c:pt idx="1">
                  <c:v>0.79</c:v>
                </c:pt>
                <c:pt idx="2">
                  <c:v>0.74</c:v>
                </c:pt>
                <c:pt idx="3">
                  <c:v>0.53</c:v>
                </c:pt>
                <c:pt idx="4">
                  <c:v>1.15</c:v>
                </c:pt>
                <c:pt idx="5">
                  <c:v>1.63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fb0ecd8-b24c-4cb5-8dec-1e7769093116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{2.0193,2.0806,2.3349,1.9893,2.6847}</c:f>
              <c:numCache>
                <c:formatCode>General</c:formatCode>
                <c:ptCount val="5"/>
                <c:pt idx="0">
                  <c:v>2.0193</c:v>
                </c:pt>
                <c:pt idx="1">
                  <c:v>2.0806</c:v>
                </c:pt>
                <c:pt idx="2">
                  <c:v>2.3349</c:v>
                </c:pt>
                <c:pt idx="3">
                  <c:v>1.9893</c:v>
                </c:pt>
                <c:pt idx="4">
                  <c:v>2.6847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9acc43f-3843-4ecc-a6ca-7287ed1e27f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{3.7,3.7,3.7,3.4,3.6,3.4}</c:f>
              <c:numCache>
                <c:formatCode>General</c:formatCode>
                <c:ptCount val="6"/>
                <c:pt idx="0">
                  <c:v>3.7</c:v>
                </c:pt>
                <c:pt idx="1">
                  <c:v>3.7</c:v>
                </c:pt>
                <c:pt idx="2">
                  <c:v>3.7</c:v>
                </c:pt>
                <c:pt idx="3">
                  <c:v>3.4</c:v>
                </c:pt>
                <c:pt idx="4">
                  <c:v>3.6</c:v>
                </c:pt>
                <c:pt idx="5">
                  <c:v>3.4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84793031-0b48-474a-9ce8-a5cd2b7a8508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{2,1.8,1.8,1,0.7}</c:f>
              <c:numCache>
                <c:formatCode>General</c:formatCode>
                <c:ptCount val="5"/>
                <c:pt idx="0">
                  <c:v>2</c:v>
                </c:pt>
                <c:pt idx="1">
                  <c:v>1.8</c:v>
                </c:pt>
                <c:pt idx="2">
                  <c:v>1.8</c:v>
                </c:pt>
                <c:pt idx="3">
                  <c:v>1</c:v>
                </c:pt>
                <c:pt idx="4">
                  <c:v>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a45b340b-875b-4b75-ad7f-9d26da1af45e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{5783005.4,5791745.7,5788087.4,5790135.9,5797086.3,5799882.4}</c:f>
              <c:numCache>
                <c:formatCode>General</c:formatCode>
                <c:ptCount val="6"/>
                <c:pt idx="0">
                  <c:v>5783005.4</c:v>
                </c:pt>
                <c:pt idx="1">
                  <c:v>5791745.7</c:v>
                </c:pt>
                <c:pt idx="2">
                  <c:v>5788087.4</c:v>
                </c:pt>
                <c:pt idx="3">
                  <c:v>5790135.9</c:v>
                </c:pt>
                <c:pt idx="4">
                  <c:v>5797086.3</c:v>
                </c:pt>
                <c:pt idx="5">
                  <c:v>5799882.4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234c2981-39db-4112-b298-68693423f91c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{2.7,2.8}</c:f>
              <c:numCache>
                <c:formatCode>General</c:formatCode>
                <c:ptCount val="2"/>
                <c:pt idx="0">
                  <c:v>2.7</c:v>
                </c:pt>
                <c:pt idx="1">
                  <c:v>2.8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4753096f-fb1c-46ad-a9d0-8f836b62a0e2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{250.807281,184.177048}</c:f>
              <c:numCache>
                <c:formatCode>General</c:formatCode>
                <c:ptCount val="2"/>
                <c:pt idx="0">
                  <c:v>250.807281</c:v>
                </c:pt>
                <c:pt idx="1">
                  <c:v>184.177048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f98b783-518a-4157-bc59-38ffcc0f1539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9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{95.9,95.3}</c:f>
              <c:numCache>
                <c:formatCode>General</c:formatCode>
                <c:ptCount val="2"/>
                <c:pt idx="0">
                  <c:v>95.9</c:v>
                </c:pt>
                <c:pt idx="1">
                  <c:v>95.3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2810675-b386-45c6-940d-ae1273adedaf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0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15120" cap="rnd" cmpd="sng" algn="ctr">
              <a:solidFill>
                <a:srgbClr val="C00000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val>
            <c:numRef>
              <c:f>{4.7}</c:f>
              <c:numCache>
                <c:formatCode>General</c:formatCode>
                <c:ptCount val="1"/>
                <c:pt idx="0">
                  <c:v>4.7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230315520"/>
        <c:axId val="230317568"/>
      </c:lineChart>
      <c:catAx>
        <c:axId val="230315520"/>
        <c:scaling>
          <c:orientation val="minMax"/>
        </c:scaling>
        <c:delete val="1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7568"/>
        <c:crosses val="autoZero"/>
        <c:auto val="1"/>
        <c:lblAlgn val="ctr"/>
        <c:lblOffset val="100"/>
        <c:noMultiLvlLbl val="0"/>
      </c:catAx>
      <c:valAx>
        <c:axId val="23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3031552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6f275af-66cd-44ba-81cf-ec7c9c154c0d}"/>
      </c:ext>
    </c:extLst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2" Type="http://schemas.openxmlformats.org/officeDocument/2006/relationships/chart" Target="../charts/chart22.xml"/><Relationship Id="rId21" Type="http://schemas.openxmlformats.org/officeDocument/2006/relationships/chart" Target="../charts/chart21.xml"/><Relationship Id="rId20" Type="http://schemas.openxmlformats.org/officeDocument/2006/relationships/chart" Target="../charts/chart20.xml"/><Relationship Id="rId2" Type="http://schemas.openxmlformats.org/officeDocument/2006/relationships/chart" Target="../charts/chart2.xml"/><Relationship Id="rId19" Type="http://schemas.openxmlformats.org/officeDocument/2006/relationships/chart" Target="../charts/chart19.xml"/><Relationship Id="rId18" Type="http://schemas.openxmlformats.org/officeDocument/2006/relationships/chart" Target="../charts/chart18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chart" Target="../charts/chart31.xml"/><Relationship Id="rId8" Type="http://schemas.openxmlformats.org/officeDocument/2006/relationships/chart" Target="../charts/chart30.xml"/><Relationship Id="rId7" Type="http://schemas.openxmlformats.org/officeDocument/2006/relationships/chart" Target="../charts/chart29.xml"/><Relationship Id="rId6" Type="http://schemas.openxmlformats.org/officeDocument/2006/relationships/chart" Target="../charts/chart28.xml"/><Relationship Id="rId5" Type="http://schemas.openxmlformats.org/officeDocument/2006/relationships/chart" Target="../charts/chart27.xml"/><Relationship Id="rId4" Type="http://schemas.openxmlformats.org/officeDocument/2006/relationships/chart" Target="../charts/chart26.xml"/><Relationship Id="rId3" Type="http://schemas.openxmlformats.org/officeDocument/2006/relationships/chart" Target="../charts/chart25.xml"/><Relationship Id="rId27" Type="http://schemas.openxmlformats.org/officeDocument/2006/relationships/chart" Target="../charts/chart49.xml"/><Relationship Id="rId26" Type="http://schemas.openxmlformats.org/officeDocument/2006/relationships/chart" Target="../charts/chart48.xml"/><Relationship Id="rId25" Type="http://schemas.openxmlformats.org/officeDocument/2006/relationships/chart" Target="../charts/chart47.xml"/><Relationship Id="rId24" Type="http://schemas.openxmlformats.org/officeDocument/2006/relationships/chart" Target="../charts/chart46.xml"/><Relationship Id="rId23" Type="http://schemas.openxmlformats.org/officeDocument/2006/relationships/chart" Target="../charts/chart45.xml"/><Relationship Id="rId22" Type="http://schemas.openxmlformats.org/officeDocument/2006/relationships/chart" Target="../charts/chart44.xml"/><Relationship Id="rId21" Type="http://schemas.openxmlformats.org/officeDocument/2006/relationships/chart" Target="../charts/chart43.xml"/><Relationship Id="rId20" Type="http://schemas.openxmlformats.org/officeDocument/2006/relationships/chart" Target="../charts/chart42.xml"/><Relationship Id="rId2" Type="http://schemas.openxmlformats.org/officeDocument/2006/relationships/chart" Target="../charts/chart24.xml"/><Relationship Id="rId19" Type="http://schemas.openxmlformats.org/officeDocument/2006/relationships/chart" Target="../charts/chart41.xml"/><Relationship Id="rId18" Type="http://schemas.openxmlformats.org/officeDocument/2006/relationships/chart" Target="../charts/chart40.xml"/><Relationship Id="rId17" Type="http://schemas.openxmlformats.org/officeDocument/2006/relationships/chart" Target="../charts/chart39.xml"/><Relationship Id="rId16" Type="http://schemas.openxmlformats.org/officeDocument/2006/relationships/chart" Target="../charts/chart38.xml"/><Relationship Id="rId15" Type="http://schemas.openxmlformats.org/officeDocument/2006/relationships/chart" Target="../charts/chart37.xml"/><Relationship Id="rId14" Type="http://schemas.openxmlformats.org/officeDocument/2006/relationships/chart" Target="../charts/chart36.xml"/><Relationship Id="rId13" Type="http://schemas.openxmlformats.org/officeDocument/2006/relationships/chart" Target="../charts/chart35.xml"/><Relationship Id="rId12" Type="http://schemas.openxmlformats.org/officeDocument/2006/relationships/chart" Target="../charts/chart34.xml"/><Relationship Id="rId11" Type="http://schemas.openxmlformats.org/officeDocument/2006/relationships/chart" Target="../charts/chart33.xml"/><Relationship Id="rId10" Type="http://schemas.openxmlformats.org/officeDocument/2006/relationships/chart" Target="../charts/chart32.xml"/><Relationship Id="rId1" Type="http://schemas.openxmlformats.org/officeDocument/2006/relationships/chart" Target="../charts/chart23.xml"/></Relationships>
</file>

<file path=xl/drawings/_rels/drawing3.xml.rels><?xml version="1.0" encoding="UTF-8" standalone="yes"?>
<Relationships xmlns="http://schemas.openxmlformats.org/package/2006/relationships"><Relationship Id="rId90" Type="http://schemas.openxmlformats.org/officeDocument/2006/relationships/chart" Target="../charts/chart139.xml"/><Relationship Id="rId9" Type="http://schemas.openxmlformats.org/officeDocument/2006/relationships/chart" Target="../charts/chart58.xml"/><Relationship Id="rId89" Type="http://schemas.openxmlformats.org/officeDocument/2006/relationships/chart" Target="../charts/chart138.xml"/><Relationship Id="rId88" Type="http://schemas.openxmlformats.org/officeDocument/2006/relationships/chart" Target="../charts/chart137.xml"/><Relationship Id="rId87" Type="http://schemas.openxmlformats.org/officeDocument/2006/relationships/chart" Target="../charts/chart136.xml"/><Relationship Id="rId86" Type="http://schemas.openxmlformats.org/officeDocument/2006/relationships/chart" Target="../charts/chart135.xml"/><Relationship Id="rId85" Type="http://schemas.openxmlformats.org/officeDocument/2006/relationships/chart" Target="../charts/chart134.xml"/><Relationship Id="rId84" Type="http://schemas.openxmlformats.org/officeDocument/2006/relationships/chart" Target="../charts/chart133.xml"/><Relationship Id="rId83" Type="http://schemas.openxmlformats.org/officeDocument/2006/relationships/chart" Target="../charts/chart132.xml"/><Relationship Id="rId82" Type="http://schemas.openxmlformats.org/officeDocument/2006/relationships/chart" Target="../charts/chart131.xml"/><Relationship Id="rId81" Type="http://schemas.openxmlformats.org/officeDocument/2006/relationships/chart" Target="../charts/chart130.xml"/><Relationship Id="rId80" Type="http://schemas.openxmlformats.org/officeDocument/2006/relationships/chart" Target="../charts/chart129.xml"/><Relationship Id="rId8" Type="http://schemas.openxmlformats.org/officeDocument/2006/relationships/chart" Target="../charts/chart57.xml"/><Relationship Id="rId79" Type="http://schemas.openxmlformats.org/officeDocument/2006/relationships/chart" Target="../charts/chart128.xml"/><Relationship Id="rId78" Type="http://schemas.openxmlformats.org/officeDocument/2006/relationships/chart" Target="../charts/chart127.xml"/><Relationship Id="rId77" Type="http://schemas.openxmlformats.org/officeDocument/2006/relationships/chart" Target="../charts/chart126.xml"/><Relationship Id="rId76" Type="http://schemas.openxmlformats.org/officeDocument/2006/relationships/chart" Target="../charts/chart125.xml"/><Relationship Id="rId75" Type="http://schemas.openxmlformats.org/officeDocument/2006/relationships/chart" Target="../charts/chart124.xml"/><Relationship Id="rId74" Type="http://schemas.openxmlformats.org/officeDocument/2006/relationships/chart" Target="../charts/chart123.xml"/><Relationship Id="rId73" Type="http://schemas.openxmlformats.org/officeDocument/2006/relationships/chart" Target="../charts/chart122.xml"/><Relationship Id="rId72" Type="http://schemas.openxmlformats.org/officeDocument/2006/relationships/chart" Target="../charts/chart121.xml"/><Relationship Id="rId71" Type="http://schemas.openxmlformats.org/officeDocument/2006/relationships/chart" Target="../charts/chart120.xml"/><Relationship Id="rId70" Type="http://schemas.openxmlformats.org/officeDocument/2006/relationships/chart" Target="../charts/chart119.xml"/><Relationship Id="rId7" Type="http://schemas.openxmlformats.org/officeDocument/2006/relationships/chart" Target="../charts/chart56.xml"/><Relationship Id="rId69" Type="http://schemas.openxmlformats.org/officeDocument/2006/relationships/chart" Target="../charts/chart118.xml"/><Relationship Id="rId68" Type="http://schemas.openxmlformats.org/officeDocument/2006/relationships/chart" Target="../charts/chart117.xml"/><Relationship Id="rId67" Type="http://schemas.openxmlformats.org/officeDocument/2006/relationships/chart" Target="../charts/chart116.xml"/><Relationship Id="rId66" Type="http://schemas.openxmlformats.org/officeDocument/2006/relationships/chart" Target="../charts/chart115.xml"/><Relationship Id="rId65" Type="http://schemas.openxmlformats.org/officeDocument/2006/relationships/chart" Target="../charts/chart114.xml"/><Relationship Id="rId64" Type="http://schemas.openxmlformats.org/officeDocument/2006/relationships/chart" Target="../charts/chart113.xml"/><Relationship Id="rId63" Type="http://schemas.openxmlformats.org/officeDocument/2006/relationships/chart" Target="../charts/chart112.xml"/><Relationship Id="rId62" Type="http://schemas.openxmlformats.org/officeDocument/2006/relationships/chart" Target="../charts/chart111.xml"/><Relationship Id="rId61" Type="http://schemas.openxmlformats.org/officeDocument/2006/relationships/chart" Target="../charts/chart110.xml"/><Relationship Id="rId60" Type="http://schemas.openxmlformats.org/officeDocument/2006/relationships/chart" Target="../charts/chart109.xml"/><Relationship Id="rId6" Type="http://schemas.openxmlformats.org/officeDocument/2006/relationships/chart" Target="../charts/chart55.xml"/><Relationship Id="rId59" Type="http://schemas.openxmlformats.org/officeDocument/2006/relationships/chart" Target="../charts/chart108.xml"/><Relationship Id="rId58" Type="http://schemas.openxmlformats.org/officeDocument/2006/relationships/chart" Target="../charts/chart107.xml"/><Relationship Id="rId57" Type="http://schemas.openxmlformats.org/officeDocument/2006/relationships/chart" Target="../charts/chart106.xml"/><Relationship Id="rId56" Type="http://schemas.openxmlformats.org/officeDocument/2006/relationships/chart" Target="../charts/chart105.xml"/><Relationship Id="rId55" Type="http://schemas.openxmlformats.org/officeDocument/2006/relationships/chart" Target="../charts/chart104.xml"/><Relationship Id="rId54" Type="http://schemas.openxmlformats.org/officeDocument/2006/relationships/chart" Target="../charts/chart103.xml"/><Relationship Id="rId53" Type="http://schemas.openxmlformats.org/officeDocument/2006/relationships/chart" Target="../charts/chart102.xml"/><Relationship Id="rId52" Type="http://schemas.openxmlformats.org/officeDocument/2006/relationships/chart" Target="../charts/chart101.xml"/><Relationship Id="rId51" Type="http://schemas.openxmlformats.org/officeDocument/2006/relationships/chart" Target="../charts/chart100.xml"/><Relationship Id="rId50" Type="http://schemas.openxmlformats.org/officeDocument/2006/relationships/chart" Target="../charts/chart99.xml"/><Relationship Id="rId5" Type="http://schemas.openxmlformats.org/officeDocument/2006/relationships/chart" Target="../charts/chart54.xml"/><Relationship Id="rId49" Type="http://schemas.openxmlformats.org/officeDocument/2006/relationships/chart" Target="../charts/chart98.xml"/><Relationship Id="rId48" Type="http://schemas.openxmlformats.org/officeDocument/2006/relationships/chart" Target="../charts/chart97.xml"/><Relationship Id="rId47" Type="http://schemas.openxmlformats.org/officeDocument/2006/relationships/chart" Target="../charts/chart96.xml"/><Relationship Id="rId46" Type="http://schemas.openxmlformats.org/officeDocument/2006/relationships/chart" Target="../charts/chart95.xml"/><Relationship Id="rId45" Type="http://schemas.openxmlformats.org/officeDocument/2006/relationships/chart" Target="../charts/chart94.xml"/><Relationship Id="rId44" Type="http://schemas.openxmlformats.org/officeDocument/2006/relationships/chart" Target="../charts/chart93.xml"/><Relationship Id="rId43" Type="http://schemas.openxmlformats.org/officeDocument/2006/relationships/chart" Target="../charts/chart92.xml"/><Relationship Id="rId42" Type="http://schemas.openxmlformats.org/officeDocument/2006/relationships/chart" Target="../charts/chart91.xml"/><Relationship Id="rId41" Type="http://schemas.openxmlformats.org/officeDocument/2006/relationships/chart" Target="../charts/chart90.xml"/><Relationship Id="rId40" Type="http://schemas.openxmlformats.org/officeDocument/2006/relationships/chart" Target="../charts/chart89.xml"/><Relationship Id="rId4" Type="http://schemas.openxmlformats.org/officeDocument/2006/relationships/chart" Target="../charts/chart53.xml"/><Relationship Id="rId39" Type="http://schemas.openxmlformats.org/officeDocument/2006/relationships/chart" Target="../charts/chart88.xml"/><Relationship Id="rId38" Type="http://schemas.openxmlformats.org/officeDocument/2006/relationships/chart" Target="../charts/chart87.xml"/><Relationship Id="rId37" Type="http://schemas.openxmlformats.org/officeDocument/2006/relationships/chart" Target="../charts/chart86.xml"/><Relationship Id="rId36" Type="http://schemas.openxmlformats.org/officeDocument/2006/relationships/chart" Target="../charts/chart85.xml"/><Relationship Id="rId35" Type="http://schemas.openxmlformats.org/officeDocument/2006/relationships/chart" Target="../charts/chart84.xml"/><Relationship Id="rId34" Type="http://schemas.openxmlformats.org/officeDocument/2006/relationships/chart" Target="../charts/chart83.xml"/><Relationship Id="rId33" Type="http://schemas.openxmlformats.org/officeDocument/2006/relationships/chart" Target="../charts/chart82.xml"/><Relationship Id="rId32" Type="http://schemas.openxmlformats.org/officeDocument/2006/relationships/chart" Target="../charts/chart81.xml"/><Relationship Id="rId31" Type="http://schemas.openxmlformats.org/officeDocument/2006/relationships/chart" Target="../charts/chart80.xml"/><Relationship Id="rId30" Type="http://schemas.openxmlformats.org/officeDocument/2006/relationships/chart" Target="../charts/chart79.xml"/><Relationship Id="rId3" Type="http://schemas.openxmlformats.org/officeDocument/2006/relationships/chart" Target="../charts/chart52.xml"/><Relationship Id="rId29" Type="http://schemas.openxmlformats.org/officeDocument/2006/relationships/chart" Target="../charts/chart78.xml"/><Relationship Id="rId28" Type="http://schemas.openxmlformats.org/officeDocument/2006/relationships/chart" Target="../charts/chart77.xml"/><Relationship Id="rId27" Type="http://schemas.openxmlformats.org/officeDocument/2006/relationships/chart" Target="../charts/chart76.xml"/><Relationship Id="rId26" Type="http://schemas.openxmlformats.org/officeDocument/2006/relationships/chart" Target="../charts/chart75.xml"/><Relationship Id="rId25" Type="http://schemas.openxmlformats.org/officeDocument/2006/relationships/chart" Target="../charts/chart74.xml"/><Relationship Id="rId24" Type="http://schemas.openxmlformats.org/officeDocument/2006/relationships/chart" Target="../charts/chart73.xml"/><Relationship Id="rId23" Type="http://schemas.openxmlformats.org/officeDocument/2006/relationships/chart" Target="../charts/chart72.xml"/><Relationship Id="rId22" Type="http://schemas.openxmlformats.org/officeDocument/2006/relationships/chart" Target="../charts/chart71.xml"/><Relationship Id="rId21" Type="http://schemas.openxmlformats.org/officeDocument/2006/relationships/chart" Target="../charts/chart70.xml"/><Relationship Id="rId20" Type="http://schemas.openxmlformats.org/officeDocument/2006/relationships/chart" Target="../charts/chart69.xml"/><Relationship Id="rId2" Type="http://schemas.openxmlformats.org/officeDocument/2006/relationships/chart" Target="../charts/chart51.xml"/><Relationship Id="rId19" Type="http://schemas.openxmlformats.org/officeDocument/2006/relationships/chart" Target="../charts/chart68.xml"/><Relationship Id="rId18" Type="http://schemas.openxmlformats.org/officeDocument/2006/relationships/chart" Target="../charts/chart67.xml"/><Relationship Id="rId17" Type="http://schemas.openxmlformats.org/officeDocument/2006/relationships/chart" Target="../charts/chart66.xml"/><Relationship Id="rId16" Type="http://schemas.openxmlformats.org/officeDocument/2006/relationships/chart" Target="../charts/chart65.xml"/><Relationship Id="rId15" Type="http://schemas.openxmlformats.org/officeDocument/2006/relationships/chart" Target="../charts/chart64.xml"/><Relationship Id="rId14" Type="http://schemas.openxmlformats.org/officeDocument/2006/relationships/chart" Target="../charts/chart63.xml"/><Relationship Id="rId13" Type="http://schemas.openxmlformats.org/officeDocument/2006/relationships/chart" Target="../charts/chart62.xml"/><Relationship Id="rId12" Type="http://schemas.openxmlformats.org/officeDocument/2006/relationships/chart" Target="../charts/chart61.xml"/><Relationship Id="rId11" Type="http://schemas.openxmlformats.org/officeDocument/2006/relationships/chart" Target="../charts/chart60.xml"/><Relationship Id="rId10" Type="http://schemas.openxmlformats.org/officeDocument/2006/relationships/chart" Target="../charts/chart59.xml"/><Relationship Id="rId1" Type="http://schemas.openxmlformats.org/officeDocument/2006/relationships/chart" Target="../charts/chart50.xml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chart" Target="../charts/chart148.xml"/><Relationship Id="rId8" Type="http://schemas.openxmlformats.org/officeDocument/2006/relationships/chart" Target="../charts/chart147.xml"/><Relationship Id="rId7" Type="http://schemas.openxmlformats.org/officeDocument/2006/relationships/chart" Target="../charts/chart146.xml"/><Relationship Id="rId61" Type="http://schemas.openxmlformats.org/officeDocument/2006/relationships/chart" Target="../charts/chart200.xml"/><Relationship Id="rId60" Type="http://schemas.openxmlformats.org/officeDocument/2006/relationships/chart" Target="../charts/chart199.xml"/><Relationship Id="rId6" Type="http://schemas.openxmlformats.org/officeDocument/2006/relationships/chart" Target="../charts/chart145.xml"/><Relationship Id="rId59" Type="http://schemas.openxmlformats.org/officeDocument/2006/relationships/chart" Target="../charts/chart198.xml"/><Relationship Id="rId58" Type="http://schemas.openxmlformats.org/officeDocument/2006/relationships/chart" Target="../charts/chart197.xml"/><Relationship Id="rId57" Type="http://schemas.openxmlformats.org/officeDocument/2006/relationships/chart" Target="../charts/chart196.xml"/><Relationship Id="rId56" Type="http://schemas.openxmlformats.org/officeDocument/2006/relationships/chart" Target="../charts/chart195.xml"/><Relationship Id="rId55" Type="http://schemas.openxmlformats.org/officeDocument/2006/relationships/chart" Target="../charts/chart194.xml"/><Relationship Id="rId54" Type="http://schemas.openxmlformats.org/officeDocument/2006/relationships/chart" Target="../charts/chart193.xml"/><Relationship Id="rId53" Type="http://schemas.openxmlformats.org/officeDocument/2006/relationships/chart" Target="../charts/chart192.xml"/><Relationship Id="rId52" Type="http://schemas.openxmlformats.org/officeDocument/2006/relationships/chart" Target="../charts/chart191.xml"/><Relationship Id="rId51" Type="http://schemas.openxmlformats.org/officeDocument/2006/relationships/chart" Target="../charts/chart190.xml"/><Relationship Id="rId50" Type="http://schemas.openxmlformats.org/officeDocument/2006/relationships/chart" Target="../charts/chart189.xml"/><Relationship Id="rId5" Type="http://schemas.openxmlformats.org/officeDocument/2006/relationships/chart" Target="../charts/chart144.xml"/><Relationship Id="rId49" Type="http://schemas.openxmlformats.org/officeDocument/2006/relationships/chart" Target="../charts/chart188.xml"/><Relationship Id="rId48" Type="http://schemas.openxmlformats.org/officeDocument/2006/relationships/chart" Target="../charts/chart187.xml"/><Relationship Id="rId47" Type="http://schemas.openxmlformats.org/officeDocument/2006/relationships/chart" Target="../charts/chart186.xml"/><Relationship Id="rId46" Type="http://schemas.openxmlformats.org/officeDocument/2006/relationships/chart" Target="../charts/chart185.xml"/><Relationship Id="rId45" Type="http://schemas.openxmlformats.org/officeDocument/2006/relationships/chart" Target="../charts/chart184.xml"/><Relationship Id="rId44" Type="http://schemas.openxmlformats.org/officeDocument/2006/relationships/chart" Target="../charts/chart183.xml"/><Relationship Id="rId43" Type="http://schemas.openxmlformats.org/officeDocument/2006/relationships/chart" Target="../charts/chart182.xml"/><Relationship Id="rId42" Type="http://schemas.openxmlformats.org/officeDocument/2006/relationships/chart" Target="../charts/chart181.xml"/><Relationship Id="rId41" Type="http://schemas.openxmlformats.org/officeDocument/2006/relationships/chart" Target="../charts/chart180.xml"/><Relationship Id="rId40" Type="http://schemas.openxmlformats.org/officeDocument/2006/relationships/chart" Target="../charts/chart179.xml"/><Relationship Id="rId4" Type="http://schemas.openxmlformats.org/officeDocument/2006/relationships/chart" Target="../charts/chart143.xml"/><Relationship Id="rId39" Type="http://schemas.openxmlformats.org/officeDocument/2006/relationships/chart" Target="../charts/chart178.xml"/><Relationship Id="rId38" Type="http://schemas.openxmlformats.org/officeDocument/2006/relationships/chart" Target="../charts/chart177.xml"/><Relationship Id="rId37" Type="http://schemas.openxmlformats.org/officeDocument/2006/relationships/chart" Target="../charts/chart176.xml"/><Relationship Id="rId36" Type="http://schemas.openxmlformats.org/officeDocument/2006/relationships/chart" Target="../charts/chart175.xml"/><Relationship Id="rId35" Type="http://schemas.openxmlformats.org/officeDocument/2006/relationships/chart" Target="../charts/chart174.xml"/><Relationship Id="rId34" Type="http://schemas.openxmlformats.org/officeDocument/2006/relationships/chart" Target="../charts/chart173.xml"/><Relationship Id="rId33" Type="http://schemas.openxmlformats.org/officeDocument/2006/relationships/chart" Target="../charts/chart172.xml"/><Relationship Id="rId32" Type="http://schemas.openxmlformats.org/officeDocument/2006/relationships/chart" Target="../charts/chart171.xml"/><Relationship Id="rId31" Type="http://schemas.openxmlformats.org/officeDocument/2006/relationships/chart" Target="../charts/chart170.xml"/><Relationship Id="rId30" Type="http://schemas.openxmlformats.org/officeDocument/2006/relationships/chart" Target="../charts/chart169.xml"/><Relationship Id="rId3" Type="http://schemas.openxmlformats.org/officeDocument/2006/relationships/chart" Target="../charts/chart142.xml"/><Relationship Id="rId29" Type="http://schemas.openxmlformats.org/officeDocument/2006/relationships/chart" Target="../charts/chart168.xml"/><Relationship Id="rId28" Type="http://schemas.openxmlformats.org/officeDocument/2006/relationships/chart" Target="../charts/chart167.xml"/><Relationship Id="rId27" Type="http://schemas.openxmlformats.org/officeDocument/2006/relationships/chart" Target="../charts/chart166.xml"/><Relationship Id="rId26" Type="http://schemas.openxmlformats.org/officeDocument/2006/relationships/chart" Target="../charts/chart165.xml"/><Relationship Id="rId25" Type="http://schemas.openxmlformats.org/officeDocument/2006/relationships/chart" Target="../charts/chart164.xml"/><Relationship Id="rId24" Type="http://schemas.openxmlformats.org/officeDocument/2006/relationships/chart" Target="../charts/chart163.xml"/><Relationship Id="rId23" Type="http://schemas.openxmlformats.org/officeDocument/2006/relationships/chart" Target="../charts/chart162.xml"/><Relationship Id="rId22" Type="http://schemas.openxmlformats.org/officeDocument/2006/relationships/chart" Target="../charts/chart161.xml"/><Relationship Id="rId21" Type="http://schemas.openxmlformats.org/officeDocument/2006/relationships/chart" Target="../charts/chart160.xml"/><Relationship Id="rId20" Type="http://schemas.openxmlformats.org/officeDocument/2006/relationships/chart" Target="../charts/chart159.xml"/><Relationship Id="rId2" Type="http://schemas.openxmlformats.org/officeDocument/2006/relationships/chart" Target="../charts/chart141.xml"/><Relationship Id="rId19" Type="http://schemas.openxmlformats.org/officeDocument/2006/relationships/chart" Target="../charts/chart158.xml"/><Relationship Id="rId18" Type="http://schemas.openxmlformats.org/officeDocument/2006/relationships/chart" Target="../charts/chart157.xml"/><Relationship Id="rId17" Type="http://schemas.openxmlformats.org/officeDocument/2006/relationships/chart" Target="../charts/chart156.xml"/><Relationship Id="rId16" Type="http://schemas.openxmlformats.org/officeDocument/2006/relationships/chart" Target="../charts/chart155.xml"/><Relationship Id="rId15" Type="http://schemas.openxmlformats.org/officeDocument/2006/relationships/chart" Target="../charts/chart154.xml"/><Relationship Id="rId14" Type="http://schemas.openxmlformats.org/officeDocument/2006/relationships/chart" Target="../charts/chart153.xml"/><Relationship Id="rId13" Type="http://schemas.openxmlformats.org/officeDocument/2006/relationships/chart" Target="../charts/chart152.xml"/><Relationship Id="rId12" Type="http://schemas.openxmlformats.org/officeDocument/2006/relationships/chart" Target="../charts/chart151.xml"/><Relationship Id="rId11" Type="http://schemas.openxmlformats.org/officeDocument/2006/relationships/chart" Target="../charts/chart150.xml"/><Relationship Id="rId10" Type="http://schemas.openxmlformats.org/officeDocument/2006/relationships/chart" Target="../charts/chart149.xml"/><Relationship Id="rId1" Type="http://schemas.openxmlformats.org/officeDocument/2006/relationships/chart" Target="../charts/chart14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559080</xdr:colOff>
      <xdr:row>2</xdr:row>
      <xdr:rowOff>286200</xdr:rowOff>
    </xdr:to>
    <xdr:graphicFrame>
      <xdr:nvGraphicFramePr>
        <xdr:cNvPr id="2" name="Chart 1"/>
        <xdr:cNvGraphicFramePr/>
      </xdr:nvGraphicFramePr>
      <xdr:xfrm>
        <a:off x="6304915" y="1714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559080</xdr:colOff>
      <xdr:row>3</xdr:row>
      <xdr:rowOff>286560</xdr:rowOff>
    </xdr:to>
    <xdr:graphicFrame>
      <xdr:nvGraphicFramePr>
        <xdr:cNvPr id="3" name="Chart 2"/>
        <xdr:cNvGraphicFramePr/>
      </xdr:nvGraphicFramePr>
      <xdr:xfrm>
        <a:off x="6304915" y="6762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559080</xdr:colOff>
      <xdr:row>4</xdr:row>
      <xdr:rowOff>286560</xdr:rowOff>
    </xdr:to>
    <xdr:graphicFrame>
      <xdr:nvGraphicFramePr>
        <xdr:cNvPr id="4" name="Chart 3"/>
        <xdr:cNvGraphicFramePr/>
      </xdr:nvGraphicFramePr>
      <xdr:xfrm>
        <a:off x="6304915" y="11811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559080</xdr:colOff>
      <xdr:row>5</xdr:row>
      <xdr:rowOff>286560</xdr:rowOff>
    </xdr:to>
    <xdr:graphicFrame>
      <xdr:nvGraphicFramePr>
        <xdr:cNvPr id="5" name="Chart 4"/>
        <xdr:cNvGraphicFramePr/>
      </xdr:nvGraphicFramePr>
      <xdr:xfrm>
        <a:off x="6304915" y="16859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559080</xdr:colOff>
      <xdr:row>6</xdr:row>
      <xdr:rowOff>286200</xdr:rowOff>
    </xdr:to>
    <xdr:graphicFrame>
      <xdr:nvGraphicFramePr>
        <xdr:cNvPr id="6" name="Chart 5"/>
        <xdr:cNvGraphicFramePr/>
      </xdr:nvGraphicFramePr>
      <xdr:xfrm>
        <a:off x="6304915" y="21907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559080</xdr:colOff>
      <xdr:row>7</xdr:row>
      <xdr:rowOff>286560</xdr:rowOff>
    </xdr:to>
    <xdr:graphicFrame>
      <xdr:nvGraphicFramePr>
        <xdr:cNvPr id="7" name="Chart 6"/>
        <xdr:cNvGraphicFramePr/>
      </xdr:nvGraphicFramePr>
      <xdr:xfrm>
        <a:off x="6304915" y="26955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559080</xdr:colOff>
      <xdr:row>8</xdr:row>
      <xdr:rowOff>286560</xdr:rowOff>
    </xdr:to>
    <xdr:graphicFrame>
      <xdr:nvGraphicFramePr>
        <xdr:cNvPr id="8" name="Chart 7"/>
        <xdr:cNvGraphicFramePr/>
      </xdr:nvGraphicFramePr>
      <xdr:xfrm>
        <a:off x="6304915" y="32004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559080</xdr:colOff>
      <xdr:row>9</xdr:row>
      <xdr:rowOff>286200</xdr:rowOff>
    </xdr:to>
    <xdr:graphicFrame>
      <xdr:nvGraphicFramePr>
        <xdr:cNvPr id="9" name="Chart 8"/>
        <xdr:cNvGraphicFramePr/>
      </xdr:nvGraphicFramePr>
      <xdr:xfrm>
        <a:off x="6304915" y="37052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559080</xdr:colOff>
      <xdr:row>10</xdr:row>
      <xdr:rowOff>286560</xdr:rowOff>
    </xdr:to>
    <xdr:graphicFrame>
      <xdr:nvGraphicFramePr>
        <xdr:cNvPr id="10" name="Chart 9"/>
        <xdr:cNvGraphicFramePr/>
      </xdr:nvGraphicFramePr>
      <xdr:xfrm>
        <a:off x="6304915" y="42100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559080</xdr:colOff>
      <xdr:row>11</xdr:row>
      <xdr:rowOff>286560</xdr:rowOff>
    </xdr:to>
    <xdr:graphicFrame>
      <xdr:nvGraphicFramePr>
        <xdr:cNvPr id="11" name="Chart 10"/>
        <xdr:cNvGraphicFramePr/>
      </xdr:nvGraphicFramePr>
      <xdr:xfrm>
        <a:off x="6304915" y="47148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559080</xdr:colOff>
      <xdr:row>12</xdr:row>
      <xdr:rowOff>286560</xdr:rowOff>
    </xdr:to>
    <xdr:graphicFrame>
      <xdr:nvGraphicFramePr>
        <xdr:cNvPr id="12" name="Chart 11"/>
        <xdr:cNvGraphicFramePr/>
      </xdr:nvGraphicFramePr>
      <xdr:xfrm>
        <a:off x="6304915" y="52197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559080</xdr:colOff>
      <xdr:row>13</xdr:row>
      <xdr:rowOff>286200</xdr:rowOff>
    </xdr:to>
    <xdr:graphicFrame>
      <xdr:nvGraphicFramePr>
        <xdr:cNvPr id="13" name="Chart 12"/>
        <xdr:cNvGraphicFramePr/>
      </xdr:nvGraphicFramePr>
      <xdr:xfrm>
        <a:off x="6304915" y="57245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559080</xdr:colOff>
      <xdr:row>14</xdr:row>
      <xdr:rowOff>294270</xdr:rowOff>
    </xdr:to>
    <xdr:graphicFrame>
      <xdr:nvGraphicFramePr>
        <xdr:cNvPr id="14" name="Chart 13"/>
        <xdr:cNvGraphicFramePr/>
      </xdr:nvGraphicFramePr>
      <xdr:xfrm>
        <a:off x="6304915" y="6229350"/>
        <a:ext cx="1827530" cy="798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22860</xdr:colOff>
      <xdr:row>14</xdr:row>
      <xdr:rowOff>19685</xdr:rowOff>
    </xdr:from>
    <xdr:to>
      <xdr:col>9</xdr:col>
      <xdr:colOff>1242060</xdr:colOff>
      <xdr:row>14</xdr:row>
      <xdr:rowOff>464185</xdr:rowOff>
    </xdr:to>
    <xdr:graphicFrame>
      <xdr:nvGraphicFramePr>
        <xdr:cNvPr id="15" name="Chart 14"/>
        <xdr:cNvGraphicFramePr/>
      </xdr:nvGraphicFramePr>
      <xdr:xfrm>
        <a:off x="6327775" y="675386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22225</xdr:colOff>
      <xdr:row>15</xdr:row>
      <xdr:rowOff>6350</xdr:rowOff>
    </xdr:from>
    <xdr:to>
      <xdr:col>9</xdr:col>
      <xdr:colOff>1241425</xdr:colOff>
      <xdr:row>15</xdr:row>
      <xdr:rowOff>450850</xdr:rowOff>
    </xdr:to>
    <xdr:graphicFrame>
      <xdr:nvGraphicFramePr>
        <xdr:cNvPr id="16" name="Chart 15"/>
        <xdr:cNvGraphicFramePr/>
      </xdr:nvGraphicFramePr>
      <xdr:xfrm>
        <a:off x="6327140" y="72453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22225</xdr:colOff>
      <xdr:row>16</xdr:row>
      <xdr:rowOff>6350</xdr:rowOff>
    </xdr:from>
    <xdr:to>
      <xdr:col>9</xdr:col>
      <xdr:colOff>1241425</xdr:colOff>
      <xdr:row>16</xdr:row>
      <xdr:rowOff>450850</xdr:rowOff>
    </xdr:to>
    <xdr:graphicFrame>
      <xdr:nvGraphicFramePr>
        <xdr:cNvPr id="17" name="Chart 16"/>
        <xdr:cNvGraphicFramePr/>
      </xdr:nvGraphicFramePr>
      <xdr:xfrm>
        <a:off x="6327140" y="77501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559080</xdr:colOff>
      <xdr:row>18</xdr:row>
      <xdr:rowOff>286200</xdr:rowOff>
    </xdr:to>
    <xdr:graphicFrame>
      <xdr:nvGraphicFramePr>
        <xdr:cNvPr id="18" name="Chart 17"/>
        <xdr:cNvGraphicFramePr/>
      </xdr:nvGraphicFramePr>
      <xdr:xfrm>
        <a:off x="6304915" y="82486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559080</xdr:colOff>
      <xdr:row>19</xdr:row>
      <xdr:rowOff>286200</xdr:rowOff>
    </xdr:to>
    <xdr:graphicFrame>
      <xdr:nvGraphicFramePr>
        <xdr:cNvPr id="19" name="Chart 18"/>
        <xdr:cNvGraphicFramePr/>
      </xdr:nvGraphicFramePr>
      <xdr:xfrm>
        <a:off x="6304915" y="875347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559080</xdr:colOff>
      <xdr:row>20</xdr:row>
      <xdr:rowOff>286200</xdr:rowOff>
    </xdr:to>
    <xdr:graphicFrame>
      <xdr:nvGraphicFramePr>
        <xdr:cNvPr id="20" name="Chart 19"/>
        <xdr:cNvGraphicFramePr/>
      </xdr:nvGraphicFramePr>
      <xdr:xfrm>
        <a:off x="6304915" y="925830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559080</xdr:colOff>
      <xdr:row>21</xdr:row>
      <xdr:rowOff>286200</xdr:rowOff>
    </xdr:to>
    <xdr:graphicFrame>
      <xdr:nvGraphicFramePr>
        <xdr:cNvPr id="21" name="Chart 20"/>
        <xdr:cNvGraphicFramePr/>
      </xdr:nvGraphicFramePr>
      <xdr:xfrm>
        <a:off x="6304915" y="97631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559080</xdr:colOff>
      <xdr:row>22</xdr:row>
      <xdr:rowOff>286200</xdr:rowOff>
    </xdr:to>
    <xdr:graphicFrame>
      <xdr:nvGraphicFramePr>
        <xdr:cNvPr id="22" name="Chart 21"/>
        <xdr:cNvGraphicFramePr/>
      </xdr:nvGraphicFramePr>
      <xdr:xfrm>
        <a:off x="6304915" y="102679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559080</xdr:colOff>
      <xdr:row>24</xdr:row>
      <xdr:rowOff>0</xdr:rowOff>
    </xdr:to>
    <xdr:graphicFrame>
      <xdr:nvGraphicFramePr>
        <xdr:cNvPr id="23" name="Chart 22"/>
        <xdr:cNvGraphicFramePr/>
      </xdr:nvGraphicFramePr>
      <xdr:xfrm>
        <a:off x="6304915" y="10772775"/>
        <a:ext cx="1827530" cy="683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559080</xdr:colOff>
      <xdr:row>2</xdr:row>
      <xdr:rowOff>286200</xdr:rowOff>
    </xdr:to>
    <xdr:graphicFrame>
      <xdr:nvGraphicFramePr>
        <xdr:cNvPr id="2" name="Chart 1"/>
        <xdr:cNvGraphicFramePr/>
      </xdr:nvGraphicFramePr>
      <xdr:xfrm>
        <a:off x="8119745" y="1714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559080</xdr:colOff>
      <xdr:row>3</xdr:row>
      <xdr:rowOff>286560</xdr:rowOff>
    </xdr:to>
    <xdr:graphicFrame>
      <xdr:nvGraphicFramePr>
        <xdr:cNvPr id="3" name="Chart 2"/>
        <xdr:cNvGraphicFramePr/>
      </xdr:nvGraphicFramePr>
      <xdr:xfrm>
        <a:off x="8119745" y="6762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559080</xdr:colOff>
      <xdr:row>4</xdr:row>
      <xdr:rowOff>286560</xdr:rowOff>
    </xdr:to>
    <xdr:graphicFrame>
      <xdr:nvGraphicFramePr>
        <xdr:cNvPr id="4" name="Chart 3"/>
        <xdr:cNvGraphicFramePr/>
      </xdr:nvGraphicFramePr>
      <xdr:xfrm>
        <a:off x="8119745" y="11811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559080</xdr:colOff>
      <xdr:row>6</xdr:row>
      <xdr:rowOff>114840</xdr:rowOff>
    </xdr:to>
    <xdr:graphicFrame>
      <xdr:nvGraphicFramePr>
        <xdr:cNvPr id="5" name="Chart 4"/>
        <xdr:cNvGraphicFramePr/>
      </xdr:nvGraphicFramePr>
      <xdr:xfrm>
        <a:off x="8119745" y="1685925"/>
        <a:ext cx="1827530" cy="7981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22225</xdr:colOff>
      <xdr:row>5</xdr:row>
      <xdr:rowOff>23495</xdr:rowOff>
    </xdr:from>
    <xdr:to>
      <xdr:col>9</xdr:col>
      <xdr:colOff>1241425</xdr:colOff>
      <xdr:row>6</xdr:row>
      <xdr:rowOff>77470</xdr:rowOff>
    </xdr:to>
    <xdr:graphicFrame>
      <xdr:nvGraphicFramePr>
        <xdr:cNvPr id="6" name="Chart 5"/>
        <xdr:cNvGraphicFramePr/>
      </xdr:nvGraphicFramePr>
      <xdr:xfrm>
        <a:off x="8141970" y="221424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22225</xdr:colOff>
      <xdr:row>6</xdr:row>
      <xdr:rowOff>22860</xdr:rowOff>
    </xdr:from>
    <xdr:to>
      <xdr:col>9</xdr:col>
      <xdr:colOff>1241425</xdr:colOff>
      <xdr:row>7</xdr:row>
      <xdr:rowOff>77470</xdr:rowOff>
    </xdr:to>
    <xdr:graphicFrame>
      <xdr:nvGraphicFramePr>
        <xdr:cNvPr id="7" name="Chart 6"/>
        <xdr:cNvGraphicFramePr/>
      </xdr:nvGraphicFramePr>
      <xdr:xfrm>
        <a:off x="8141970" y="239268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22225</xdr:colOff>
      <xdr:row>7</xdr:row>
      <xdr:rowOff>22860</xdr:rowOff>
    </xdr:from>
    <xdr:to>
      <xdr:col>9</xdr:col>
      <xdr:colOff>1241425</xdr:colOff>
      <xdr:row>8</xdr:row>
      <xdr:rowOff>77470</xdr:rowOff>
    </xdr:to>
    <xdr:graphicFrame>
      <xdr:nvGraphicFramePr>
        <xdr:cNvPr id="8" name="Chart 7"/>
        <xdr:cNvGraphicFramePr/>
      </xdr:nvGraphicFramePr>
      <xdr:xfrm>
        <a:off x="8141970" y="25717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22225</xdr:colOff>
      <xdr:row>8</xdr:row>
      <xdr:rowOff>22860</xdr:rowOff>
    </xdr:from>
    <xdr:to>
      <xdr:col>9</xdr:col>
      <xdr:colOff>1241425</xdr:colOff>
      <xdr:row>9</xdr:row>
      <xdr:rowOff>76835</xdr:rowOff>
    </xdr:to>
    <xdr:graphicFrame>
      <xdr:nvGraphicFramePr>
        <xdr:cNvPr id="9" name="Chart 8"/>
        <xdr:cNvGraphicFramePr/>
      </xdr:nvGraphicFramePr>
      <xdr:xfrm>
        <a:off x="8141970" y="275082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22225</xdr:colOff>
      <xdr:row>9</xdr:row>
      <xdr:rowOff>22225</xdr:rowOff>
    </xdr:from>
    <xdr:to>
      <xdr:col>9</xdr:col>
      <xdr:colOff>1241425</xdr:colOff>
      <xdr:row>10</xdr:row>
      <xdr:rowOff>76835</xdr:rowOff>
    </xdr:to>
    <xdr:graphicFrame>
      <xdr:nvGraphicFramePr>
        <xdr:cNvPr id="10" name="Chart 9"/>
        <xdr:cNvGraphicFramePr/>
      </xdr:nvGraphicFramePr>
      <xdr:xfrm>
        <a:off x="8141970" y="292925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22225</xdr:colOff>
      <xdr:row>10</xdr:row>
      <xdr:rowOff>22225</xdr:rowOff>
    </xdr:from>
    <xdr:to>
      <xdr:col>9</xdr:col>
      <xdr:colOff>1241425</xdr:colOff>
      <xdr:row>11</xdr:row>
      <xdr:rowOff>76835</xdr:rowOff>
    </xdr:to>
    <xdr:graphicFrame>
      <xdr:nvGraphicFramePr>
        <xdr:cNvPr id="11" name="Chart 10"/>
        <xdr:cNvGraphicFramePr/>
      </xdr:nvGraphicFramePr>
      <xdr:xfrm>
        <a:off x="8141970" y="310832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22225</xdr:colOff>
      <xdr:row>11</xdr:row>
      <xdr:rowOff>22225</xdr:rowOff>
    </xdr:from>
    <xdr:to>
      <xdr:col>9</xdr:col>
      <xdr:colOff>1241425</xdr:colOff>
      <xdr:row>12</xdr:row>
      <xdr:rowOff>76835</xdr:rowOff>
    </xdr:to>
    <xdr:graphicFrame>
      <xdr:nvGraphicFramePr>
        <xdr:cNvPr id="12" name="Chart 11"/>
        <xdr:cNvGraphicFramePr/>
      </xdr:nvGraphicFramePr>
      <xdr:xfrm>
        <a:off x="8141970" y="328739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22225</xdr:colOff>
      <xdr:row>12</xdr:row>
      <xdr:rowOff>22225</xdr:rowOff>
    </xdr:from>
    <xdr:to>
      <xdr:col>9</xdr:col>
      <xdr:colOff>1241425</xdr:colOff>
      <xdr:row>13</xdr:row>
      <xdr:rowOff>76200</xdr:rowOff>
    </xdr:to>
    <xdr:graphicFrame>
      <xdr:nvGraphicFramePr>
        <xdr:cNvPr id="13" name="Chart 12"/>
        <xdr:cNvGraphicFramePr/>
      </xdr:nvGraphicFramePr>
      <xdr:xfrm>
        <a:off x="8141970" y="346646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22225</xdr:colOff>
      <xdr:row>13</xdr:row>
      <xdr:rowOff>21590</xdr:rowOff>
    </xdr:from>
    <xdr:to>
      <xdr:col>9</xdr:col>
      <xdr:colOff>1241425</xdr:colOff>
      <xdr:row>14</xdr:row>
      <xdr:rowOff>76200</xdr:rowOff>
    </xdr:to>
    <xdr:graphicFrame>
      <xdr:nvGraphicFramePr>
        <xdr:cNvPr id="14" name="Chart 13"/>
        <xdr:cNvGraphicFramePr/>
      </xdr:nvGraphicFramePr>
      <xdr:xfrm>
        <a:off x="8141970" y="364490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22225</xdr:colOff>
      <xdr:row>14</xdr:row>
      <xdr:rowOff>21590</xdr:rowOff>
    </xdr:from>
    <xdr:to>
      <xdr:col>9</xdr:col>
      <xdr:colOff>1241425</xdr:colOff>
      <xdr:row>15</xdr:row>
      <xdr:rowOff>76200</xdr:rowOff>
    </xdr:to>
    <xdr:graphicFrame>
      <xdr:nvGraphicFramePr>
        <xdr:cNvPr id="15" name="Chart 14"/>
        <xdr:cNvGraphicFramePr/>
      </xdr:nvGraphicFramePr>
      <xdr:xfrm>
        <a:off x="8141970" y="38239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22225</xdr:colOff>
      <xdr:row>15</xdr:row>
      <xdr:rowOff>21590</xdr:rowOff>
    </xdr:from>
    <xdr:to>
      <xdr:col>9</xdr:col>
      <xdr:colOff>1241425</xdr:colOff>
      <xdr:row>16</xdr:row>
      <xdr:rowOff>75565</xdr:rowOff>
    </xdr:to>
    <xdr:graphicFrame>
      <xdr:nvGraphicFramePr>
        <xdr:cNvPr id="16" name="Chart 15"/>
        <xdr:cNvGraphicFramePr/>
      </xdr:nvGraphicFramePr>
      <xdr:xfrm>
        <a:off x="8141970" y="400304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22225</xdr:colOff>
      <xdr:row>16</xdr:row>
      <xdr:rowOff>20955</xdr:rowOff>
    </xdr:from>
    <xdr:to>
      <xdr:col>9</xdr:col>
      <xdr:colOff>1241425</xdr:colOff>
      <xdr:row>17</xdr:row>
      <xdr:rowOff>75565</xdr:rowOff>
    </xdr:to>
    <xdr:graphicFrame>
      <xdr:nvGraphicFramePr>
        <xdr:cNvPr id="17" name="Chart 16"/>
        <xdr:cNvGraphicFramePr/>
      </xdr:nvGraphicFramePr>
      <xdr:xfrm>
        <a:off x="8141970" y="418147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22225</xdr:colOff>
      <xdr:row>17</xdr:row>
      <xdr:rowOff>20955</xdr:rowOff>
    </xdr:from>
    <xdr:to>
      <xdr:col>9</xdr:col>
      <xdr:colOff>1241425</xdr:colOff>
      <xdr:row>18</xdr:row>
      <xdr:rowOff>75565</xdr:rowOff>
    </xdr:to>
    <xdr:graphicFrame>
      <xdr:nvGraphicFramePr>
        <xdr:cNvPr id="18" name="Chart 17"/>
        <xdr:cNvGraphicFramePr/>
      </xdr:nvGraphicFramePr>
      <xdr:xfrm>
        <a:off x="8141970" y="436054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22225</xdr:colOff>
      <xdr:row>18</xdr:row>
      <xdr:rowOff>20955</xdr:rowOff>
    </xdr:from>
    <xdr:to>
      <xdr:col>9</xdr:col>
      <xdr:colOff>1241425</xdr:colOff>
      <xdr:row>19</xdr:row>
      <xdr:rowOff>75565</xdr:rowOff>
    </xdr:to>
    <xdr:graphicFrame>
      <xdr:nvGraphicFramePr>
        <xdr:cNvPr id="19" name="Chart 18"/>
        <xdr:cNvGraphicFramePr/>
      </xdr:nvGraphicFramePr>
      <xdr:xfrm>
        <a:off x="8141970" y="453961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22225</xdr:colOff>
      <xdr:row>19</xdr:row>
      <xdr:rowOff>20955</xdr:rowOff>
    </xdr:from>
    <xdr:to>
      <xdr:col>9</xdr:col>
      <xdr:colOff>1241425</xdr:colOff>
      <xdr:row>20</xdr:row>
      <xdr:rowOff>74930</xdr:rowOff>
    </xdr:to>
    <xdr:graphicFrame>
      <xdr:nvGraphicFramePr>
        <xdr:cNvPr id="20" name="Chart 19"/>
        <xdr:cNvGraphicFramePr/>
      </xdr:nvGraphicFramePr>
      <xdr:xfrm>
        <a:off x="8141970" y="471868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22225</xdr:colOff>
      <xdr:row>20</xdr:row>
      <xdr:rowOff>20320</xdr:rowOff>
    </xdr:from>
    <xdr:to>
      <xdr:col>9</xdr:col>
      <xdr:colOff>1241425</xdr:colOff>
      <xdr:row>21</xdr:row>
      <xdr:rowOff>74930</xdr:rowOff>
    </xdr:to>
    <xdr:graphicFrame>
      <xdr:nvGraphicFramePr>
        <xdr:cNvPr id="21" name="Chart 20"/>
        <xdr:cNvGraphicFramePr/>
      </xdr:nvGraphicFramePr>
      <xdr:xfrm>
        <a:off x="8141970" y="489712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22225</xdr:colOff>
      <xdr:row>21</xdr:row>
      <xdr:rowOff>20320</xdr:rowOff>
    </xdr:from>
    <xdr:to>
      <xdr:col>9</xdr:col>
      <xdr:colOff>1241425</xdr:colOff>
      <xdr:row>22</xdr:row>
      <xdr:rowOff>74930</xdr:rowOff>
    </xdr:to>
    <xdr:graphicFrame>
      <xdr:nvGraphicFramePr>
        <xdr:cNvPr id="22" name="Chart 21"/>
        <xdr:cNvGraphicFramePr/>
      </xdr:nvGraphicFramePr>
      <xdr:xfrm>
        <a:off x="8141970" y="50761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22225</xdr:colOff>
      <xdr:row>22</xdr:row>
      <xdr:rowOff>20320</xdr:rowOff>
    </xdr:from>
    <xdr:to>
      <xdr:col>9</xdr:col>
      <xdr:colOff>1241425</xdr:colOff>
      <xdr:row>23</xdr:row>
      <xdr:rowOff>74295</xdr:rowOff>
    </xdr:to>
    <xdr:graphicFrame>
      <xdr:nvGraphicFramePr>
        <xdr:cNvPr id="23" name="Chart 22"/>
        <xdr:cNvGraphicFramePr/>
      </xdr:nvGraphicFramePr>
      <xdr:xfrm>
        <a:off x="8141970" y="525526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22225</xdr:colOff>
      <xdr:row>23</xdr:row>
      <xdr:rowOff>19685</xdr:rowOff>
    </xdr:from>
    <xdr:to>
      <xdr:col>9</xdr:col>
      <xdr:colOff>1241425</xdr:colOff>
      <xdr:row>23</xdr:row>
      <xdr:rowOff>464185</xdr:rowOff>
    </xdr:to>
    <xdr:graphicFrame>
      <xdr:nvGraphicFramePr>
        <xdr:cNvPr id="24" name="Chart 23"/>
        <xdr:cNvGraphicFramePr/>
      </xdr:nvGraphicFramePr>
      <xdr:xfrm>
        <a:off x="8141970" y="54336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22225</xdr:colOff>
      <xdr:row>24</xdr:row>
      <xdr:rowOff>19685</xdr:rowOff>
    </xdr:from>
    <xdr:to>
      <xdr:col>9</xdr:col>
      <xdr:colOff>1241425</xdr:colOff>
      <xdr:row>24</xdr:row>
      <xdr:rowOff>464185</xdr:rowOff>
    </xdr:to>
    <xdr:graphicFrame>
      <xdr:nvGraphicFramePr>
        <xdr:cNvPr id="25" name="Chart 24"/>
        <xdr:cNvGraphicFramePr/>
      </xdr:nvGraphicFramePr>
      <xdr:xfrm>
        <a:off x="8141970" y="593852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22225</xdr:colOff>
      <xdr:row>25</xdr:row>
      <xdr:rowOff>19685</xdr:rowOff>
    </xdr:from>
    <xdr:to>
      <xdr:col>9</xdr:col>
      <xdr:colOff>1241425</xdr:colOff>
      <xdr:row>25</xdr:row>
      <xdr:rowOff>464185</xdr:rowOff>
    </xdr:to>
    <xdr:graphicFrame>
      <xdr:nvGraphicFramePr>
        <xdr:cNvPr id="26" name="Chart 25"/>
        <xdr:cNvGraphicFramePr/>
      </xdr:nvGraphicFramePr>
      <xdr:xfrm>
        <a:off x="8141970" y="644334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22225</xdr:colOff>
      <xdr:row>26</xdr:row>
      <xdr:rowOff>19685</xdr:rowOff>
    </xdr:from>
    <xdr:to>
      <xdr:col>9</xdr:col>
      <xdr:colOff>1241425</xdr:colOff>
      <xdr:row>26</xdr:row>
      <xdr:rowOff>464185</xdr:rowOff>
    </xdr:to>
    <xdr:graphicFrame>
      <xdr:nvGraphicFramePr>
        <xdr:cNvPr id="27" name="Chart 26"/>
        <xdr:cNvGraphicFramePr/>
      </xdr:nvGraphicFramePr>
      <xdr:xfrm>
        <a:off x="8141970" y="694817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22225</xdr:colOff>
      <xdr:row>27</xdr:row>
      <xdr:rowOff>19685</xdr:rowOff>
    </xdr:from>
    <xdr:to>
      <xdr:col>9</xdr:col>
      <xdr:colOff>1241425</xdr:colOff>
      <xdr:row>27</xdr:row>
      <xdr:rowOff>464185</xdr:rowOff>
    </xdr:to>
    <xdr:graphicFrame>
      <xdr:nvGraphicFramePr>
        <xdr:cNvPr id="28" name="Chart 27"/>
        <xdr:cNvGraphicFramePr/>
      </xdr:nvGraphicFramePr>
      <xdr:xfrm>
        <a:off x="8141970" y="74529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10</xdr:col>
      <xdr:colOff>559080</xdr:colOff>
      <xdr:row>2</xdr:row>
      <xdr:rowOff>286200</xdr:rowOff>
    </xdr:to>
    <xdr:graphicFrame>
      <xdr:nvGraphicFramePr>
        <xdr:cNvPr id="2" name="Chart 1"/>
        <xdr:cNvGraphicFramePr/>
      </xdr:nvGraphicFramePr>
      <xdr:xfrm>
        <a:off x="10088245" y="1714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10</xdr:col>
      <xdr:colOff>559080</xdr:colOff>
      <xdr:row>3</xdr:row>
      <xdr:rowOff>286560</xdr:rowOff>
    </xdr:to>
    <xdr:graphicFrame>
      <xdr:nvGraphicFramePr>
        <xdr:cNvPr id="3" name="Chart 2"/>
        <xdr:cNvGraphicFramePr/>
      </xdr:nvGraphicFramePr>
      <xdr:xfrm>
        <a:off x="10088245" y="6762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3</xdr:row>
      <xdr:rowOff>0</xdr:rowOff>
    </xdr:from>
    <xdr:to>
      <xdr:col>10</xdr:col>
      <xdr:colOff>559080</xdr:colOff>
      <xdr:row>4</xdr:row>
      <xdr:rowOff>286560</xdr:rowOff>
    </xdr:to>
    <xdr:graphicFrame>
      <xdr:nvGraphicFramePr>
        <xdr:cNvPr id="4" name="Chart 3"/>
        <xdr:cNvGraphicFramePr/>
      </xdr:nvGraphicFramePr>
      <xdr:xfrm>
        <a:off x="10088245" y="11811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4</xdr:row>
      <xdr:rowOff>0</xdr:rowOff>
    </xdr:from>
    <xdr:to>
      <xdr:col>10</xdr:col>
      <xdr:colOff>559080</xdr:colOff>
      <xdr:row>5</xdr:row>
      <xdr:rowOff>286560</xdr:rowOff>
    </xdr:to>
    <xdr:graphicFrame>
      <xdr:nvGraphicFramePr>
        <xdr:cNvPr id="5" name="Chart 4"/>
        <xdr:cNvGraphicFramePr/>
      </xdr:nvGraphicFramePr>
      <xdr:xfrm>
        <a:off x="10088245" y="16859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9</xdr:col>
      <xdr:colOff>0</xdr:colOff>
      <xdr:row>5</xdr:row>
      <xdr:rowOff>0</xdr:rowOff>
    </xdr:from>
    <xdr:to>
      <xdr:col>10</xdr:col>
      <xdr:colOff>559080</xdr:colOff>
      <xdr:row>6</xdr:row>
      <xdr:rowOff>286200</xdr:rowOff>
    </xdr:to>
    <xdr:graphicFrame>
      <xdr:nvGraphicFramePr>
        <xdr:cNvPr id="6" name="Chart 5"/>
        <xdr:cNvGraphicFramePr/>
      </xdr:nvGraphicFramePr>
      <xdr:xfrm>
        <a:off x="10088245" y="219075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0</xdr:colOff>
      <xdr:row>6</xdr:row>
      <xdr:rowOff>0</xdr:rowOff>
    </xdr:from>
    <xdr:to>
      <xdr:col>10</xdr:col>
      <xdr:colOff>559080</xdr:colOff>
      <xdr:row>7</xdr:row>
      <xdr:rowOff>286560</xdr:rowOff>
    </xdr:to>
    <xdr:graphicFrame>
      <xdr:nvGraphicFramePr>
        <xdr:cNvPr id="7" name="Chart 6"/>
        <xdr:cNvGraphicFramePr/>
      </xdr:nvGraphicFramePr>
      <xdr:xfrm>
        <a:off x="10088245" y="26955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9</xdr:col>
      <xdr:colOff>0</xdr:colOff>
      <xdr:row>7</xdr:row>
      <xdr:rowOff>0</xdr:rowOff>
    </xdr:from>
    <xdr:to>
      <xdr:col>10</xdr:col>
      <xdr:colOff>559080</xdr:colOff>
      <xdr:row>8</xdr:row>
      <xdr:rowOff>286560</xdr:rowOff>
    </xdr:to>
    <xdr:graphicFrame>
      <xdr:nvGraphicFramePr>
        <xdr:cNvPr id="8" name="Chart 7"/>
        <xdr:cNvGraphicFramePr/>
      </xdr:nvGraphicFramePr>
      <xdr:xfrm>
        <a:off x="10088245" y="32004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9</xdr:col>
      <xdr:colOff>0</xdr:colOff>
      <xdr:row>8</xdr:row>
      <xdr:rowOff>0</xdr:rowOff>
    </xdr:from>
    <xdr:to>
      <xdr:col>10</xdr:col>
      <xdr:colOff>559080</xdr:colOff>
      <xdr:row>9</xdr:row>
      <xdr:rowOff>286200</xdr:rowOff>
    </xdr:to>
    <xdr:graphicFrame>
      <xdr:nvGraphicFramePr>
        <xdr:cNvPr id="9" name="Chart 8"/>
        <xdr:cNvGraphicFramePr/>
      </xdr:nvGraphicFramePr>
      <xdr:xfrm>
        <a:off x="10088245" y="37052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9</xdr:col>
      <xdr:colOff>0</xdr:colOff>
      <xdr:row>9</xdr:row>
      <xdr:rowOff>0</xdr:rowOff>
    </xdr:from>
    <xdr:to>
      <xdr:col>10</xdr:col>
      <xdr:colOff>559080</xdr:colOff>
      <xdr:row>10</xdr:row>
      <xdr:rowOff>286560</xdr:rowOff>
    </xdr:to>
    <xdr:graphicFrame>
      <xdr:nvGraphicFramePr>
        <xdr:cNvPr id="10" name="Chart 9"/>
        <xdr:cNvGraphicFramePr/>
      </xdr:nvGraphicFramePr>
      <xdr:xfrm>
        <a:off x="10088245" y="42100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9</xdr:col>
      <xdr:colOff>0</xdr:colOff>
      <xdr:row>10</xdr:row>
      <xdr:rowOff>0</xdr:rowOff>
    </xdr:from>
    <xdr:to>
      <xdr:col>10</xdr:col>
      <xdr:colOff>559080</xdr:colOff>
      <xdr:row>11</xdr:row>
      <xdr:rowOff>286560</xdr:rowOff>
    </xdr:to>
    <xdr:graphicFrame>
      <xdr:nvGraphicFramePr>
        <xdr:cNvPr id="11" name="Chart 10"/>
        <xdr:cNvGraphicFramePr/>
      </xdr:nvGraphicFramePr>
      <xdr:xfrm>
        <a:off x="10088245" y="47148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9</xdr:col>
      <xdr:colOff>0</xdr:colOff>
      <xdr:row>11</xdr:row>
      <xdr:rowOff>0</xdr:rowOff>
    </xdr:from>
    <xdr:to>
      <xdr:col>10</xdr:col>
      <xdr:colOff>559080</xdr:colOff>
      <xdr:row>12</xdr:row>
      <xdr:rowOff>286560</xdr:rowOff>
    </xdr:to>
    <xdr:graphicFrame>
      <xdr:nvGraphicFramePr>
        <xdr:cNvPr id="12" name="Chart 11"/>
        <xdr:cNvGraphicFramePr/>
      </xdr:nvGraphicFramePr>
      <xdr:xfrm>
        <a:off x="10088245" y="52197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9</xdr:col>
      <xdr:colOff>0</xdr:colOff>
      <xdr:row>12</xdr:row>
      <xdr:rowOff>0</xdr:rowOff>
    </xdr:from>
    <xdr:to>
      <xdr:col>10</xdr:col>
      <xdr:colOff>559080</xdr:colOff>
      <xdr:row>13</xdr:row>
      <xdr:rowOff>286200</xdr:rowOff>
    </xdr:to>
    <xdr:graphicFrame>
      <xdr:nvGraphicFramePr>
        <xdr:cNvPr id="13" name="Chart 12"/>
        <xdr:cNvGraphicFramePr/>
      </xdr:nvGraphicFramePr>
      <xdr:xfrm>
        <a:off x="10088245" y="572452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9</xdr:col>
      <xdr:colOff>0</xdr:colOff>
      <xdr:row>13</xdr:row>
      <xdr:rowOff>0</xdr:rowOff>
    </xdr:from>
    <xdr:to>
      <xdr:col>10</xdr:col>
      <xdr:colOff>559080</xdr:colOff>
      <xdr:row>14</xdr:row>
      <xdr:rowOff>286560</xdr:rowOff>
    </xdr:to>
    <xdr:graphicFrame>
      <xdr:nvGraphicFramePr>
        <xdr:cNvPr id="14" name="Chart 13"/>
        <xdr:cNvGraphicFramePr/>
      </xdr:nvGraphicFramePr>
      <xdr:xfrm>
        <a:off x="10088245" y="62293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9</xdr:col>
      <xdr:colOff>0</xdr:colOff>
      <xdr:row>14</xdr:row>
      <xdr:rowOff>0</xdr:rowOff>
    </xdr:from>
    <xdr:to>
      <xdr:col>10</xdr:col>
      <xdr:colOff>559080</xdr:colOff>
      <xdr:row>15</xdr:row>
      <xdr:rowOff>286560</xdr:rowOff>
    </xdr:to>
    <xdr:graphicFrame>
      <xdr:nvGraphicFramePr>
        <xdr:cNvPr id="15" name="Chart 14"/>
        <xdr:cNvGraphicFramePr/>
      </xdr:nvGraphicFramePr>
      <xdr:xfrm>
        <a:off x="10088245" y="673417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9</xdr:col>
      <xdr:colOff>0</xdr:colOff>
      <xdr:row>15</xdr:row>
      <xdr:rowOff>0</xdr:rowOff>
    </xdr:from>
    <xdr:to>
      <xdr:col>10</xdr:col>
      <xdr:colOff>559080</xdr:colOff>
      <xdr:row>16</xdr:row>
      <xdr:rowOff>286200</xdr:rowOff>
    </xdr:to>
    <xdr:graphicFrame>
      <xdr:nvGraphicFramePr>
        <xdr:cNvPr id="16" name="Chart 15"/>
        <xdr:cNvGraphicFramePr/>
      </xdr:nvGraphicFramePr>
      <xdr:xfrm>
        <a:off x="10088245" y="7239000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9</xdr:col>
      <xdr:colOff>0</xdr:colOff>
      <xdr:row>16</xdr:row>
      <xdr:rowOff>0</xdr:rowOff>
    </xdr:from>
    <xdr:to>
      <xdr:col>10</xdr:col>
      <xdr:colOff>559080</xdr:colOff>
      <xdr:row>17</xdr:row>
      <xdr:rowOff>286560</xdr:rowOff>
    </xdr:to>
    <xdr:graphicFrame>
      <xdr:nvGraphicFramePr>
        <xdr:cNvPr id="17" name="Chart 16"/>
        <xdr:cNvGraphicFramePr/>
      </xdr:nvGraphicFramePr>
      <xdr:xfrm>
        <a:off x="10088245" y="77438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9</xdr:col>
      <xdr:colOff>0</xdr:colOff>
      <xdr:row>17</xdr:row>
      <xdr:rowOff>0</xdr:rowOff>
    </xdr:from>
    <xdr:to>
      <xdr:col>10</xdr:col>
      <xdr:colOff>559080</xdr:colOff>
      <xdr:row>18</xdr:row>
      <xdr:rowOff>286560</xdr:rowOff>
    </xdr:to>
    <xdr:graphicFrame>
      <xdr:nvGraphicFramePr>
        <xdr:cNvPr id="18" name="Chart 17"/>
        <xdr:cNvGraphicFramePr/>
      </xdr:nvGraphicFramePr>
      <xdr:xfrm>
        <a:off x="10088245" y="82486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9</xdr:col>
      <xdr:colOff>0</xdr:colOff>
      <xdr:row>18</xdr:row>
      <xdr:rowOff>0</xdr:rowOff>
    </xdr:from>
    <xdr:to>
      <xdr:col>10</xdr:col>
      <xdr:colOff>559080</xdr:colOff>
      <xdr:row>19</xdr:row>
      <xdr:rowOff>286200</xdr:rowOff>
    </xdr:to>
    <xdr:graphicFrame>
      <xdr:nvGraphicFramePr>
        <xdr:cNvPr id="19" name="Chart 18"/>
        <xdr:cNvGraphicFramePr/>
      </xdr:nvGraphicFramePr>
      <xdr:xfrm>
        <a:off x="10088245" y="8753475"/>
        <a:ext cx="1827530" cy="790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9</xdr:col>
      <xdr:colOff>0</xdr:colOff>
      <xdr:row>19</xdr:row>
      <xdr:rowOff>0</xdr:rowOff>
    </xdr:from>
    <xdr:to>
      <xdr:col>10</xdr:col>
      <xdr:colOff>559080</xdr:colOff>
      <xdr:row>20</xdr:row>
      <xdr:rowOff>286560</xdr:rowOff>
    </xdr:to>
    <xdr:graphicFrame>
      <xdr:nvGraphicFramePr>
        <xdr:cNvPr id="20" name="Chart 19"/>
        <xdr:cNvGraphicFramePr/>
      </xdr:nvGraphicFramePr>
      <xdr:xfrm>
        <a:off x="10088245" y="925830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10</xdr:col>
      <xdr:colOff>559080</xdr:colOff>
      <xdr:row>21</xdr:row>
      <xdr:rowOff>286560</xdr:rowOff>
    </xdr:to>
    <xdr:graphicFrame>
      <xdr:nvGraphicFramePr>
        <xdr:cNvPr id="21" name="Chart 20"/>
        <xdr:cNvGraphicFramePr/>
      </xdr:nvGraphicFramePr>
      <xdr:xfrm>
        <a:off x="10088245" y="9763125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9</xdr:col>
      <xdr:colOff>0</xdr:colOff>
      <xdr:row>21</xdr:row>
      <xdr:rowOff>0</xdr:rowOff>
    </xdr:from>
    <xdr:to>
      <xdr:col>10</xdr:col>
      <xdr:colOff>559080</xdr:colOff>
      <xdr:row>22</xdr:row>
      <xdr:rowOff>286560</xdr:rowOff>
    </xdr:to>
    <xdr:graphicFrame>
      <xdr:nvGraphicFramePr>
        <xdr:cNvPr id="22" name="Chart 21"/>
        <xdr:cNvGraphicFramePr/>
      </xdr:nvGraphicFramePr>
      <xdr:xfrm>
        <a:off x="10088245" y="102679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9</xdr:col>
      <xdr:colOff>0</xdr:colOff>
      <xdr:row>22</xdr:row>
      <xdr:rowOff>0</xdr:rowOff>
    </xdr:from>
    <xdr:to>
      <xdr:col>10</xdr:col>
      <xdr:colOff>559080</xdr:colOff>
      <xdr:row>24</xdr:row>
      <xdr:rowOff>114840</xdr:rowOff>
    </xdr:to>
    <xdr:graphicFrame>
      <xdr:nvGraphicFramePr>
        <xdr:cNvPr id="23" name="Chart 22"/>
        <xdr:cNvGraphicFramePr/>
      </xdr:nvGraphicFramePr>
      <xdr:xfrm>
        <a:off x="10088245" y="10772775"/>
        <a:ext cx="1827530" cy="11239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9</xdr:col>
      <xdr:colOff>0</xdr:colOff>
      <xdr:row>23</xdr:row>
      <xdr:rowOff>0</xdr:rowOff>
    </xdr:from>
    <xdr:to>
      <xdr:col>10</xdr:col>
      <xdr:colOff>559080</xdr:colOff>
      <xdr:row>25</xdr:row>
      <xdr:rowOff>0</xdr:rowOff>
    </xdr:to>
    <xdr:graphicFrame>
      <xdr:nvGraphicFramePr>
        <xdr:cNvPr id="24" name="Chart 23"/>
        <xdr:cNvGraphicFramePr/>
      </xdr:nvGraphicFramePr>
      <xdr:xfrm>
        <a:off x="10088245" y="1127760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10</xdr:col>
      <xdr:colOff>559080</xdr:colOff>
      <xdr:row>26</xdr:row>
      <xdr:rowOff>0</xdr:rowOff>
    </xdr:to>
    <xdr:graphicFrame>
      <xdr:nvGraphicFramePr>
        <xdr:cNvPr id="25" name="Chart 24"/>
        <xdr:cNvGraphicFramePr/>
      </xdr:nvGraphicFramePr>
      <xdr:xfrm>
        <a:off x="10088245" y="1178242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9</xdr:col>
      <xdr:colOff>0</xdr:colOff>
      <xdr:row>25</xdr:row>
      <xdr:rowOff>0</xdr:rowOff>
    </xdr:from>
    <xdr:to>
      <xdr:col>10</xdr:col>
      <xdr:colOff>559080</xdr:colOff>
      <xdr:row>27</xdr:row>
      <xdr:rowOff>0</xdr:rowOff>
    </xdr:to>
    <xdr:graphicFrame>
      <xdr:nvGraphicFramePr>
        <xdr:cNvPr id="26" name="Chart 25"/>
        <xdr:cNvGraphicFramePr/>
      </xdr:nvGraphicFramePr>
      <xdr:xfrm>
        <a:off x="10088245" y="1228725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9</xdr:col>
      <xdr:colOff>0</xdr:colOff>
      <xdr:row>26</xdr:row>
      <xdr:rowOff>0</xdr:rowOff>
    </xdr:from>
    <xdr:to>
      <xdr:col>10</xdr:col>
      <xdr:colOff>559080</xdr:colOff>
      <xdr:row>28</xdr:row>
      <xdr:rowOff>0</xdr:rowOff>
    </xdr:to>
    <xdr:graphicFrame>
      <xdr:nvGraphicFramePr>
        <xdr:cNvPr id="27" name="Chart 26"/>
        <xdr:cNvGraphicFramePr/>
      </xdr:nvGraphicFramePr>
      <xdr:xfrm>
        <a:off x="10088245" y="1279207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9</xdr:col>
      <xdr:colOff>0</xdr:colOff>
      <xdr:row>27</xdr:row>
      <xdr:rowOff>0</xdr:rowOff>
    </xdr:from>
    <xdr:to>
      <xdr:col>10</xdr:col>
      <xdr:colOff>559080</xdr:colOff>
      <xdr:row>29</xdr:row>
      <xdr:rowOff>0</xdr:rowOff>
    </xdr:to>
    <xdr:graphicFrame>
      <xdr:nvGraphicFramePr>
        <xdr:cNvPr id="28" name="Chart 27"/>
        <xdr:cNvGraphicFramePr/>
      </xdr:nvGraphicFramePr>
      <xdr:xfrm>
        <a:off x="10088245" y="1329690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9</xdr:col>
      <xdr:colOff>0</xdr:colOff>
      <xdr:row>28</xdr:row>
      <xdr:rowOff>0</xdr:rowOff>
    </xdr:from>
    <xdr:to>
      <xdr:col>10</xdr:col>
      <xdr:colOff>559080</xdr:colOff>
      <xdr:row>30</xdr:row>
      <xdr:rowOff>0</xdr:rowOff>
    </xdr:to>
    <xdr:graphicFrame>
      <xdr:nvGraphicFramePr>
        <xdr:cNvPr id="29" name="Chart 28"/>
        <xdr:cNvGraphicFramePr/>
      </xdr:nvGraphicFramePr>
      <xdr:xfrm>
        <a:off x="10088245" y="1380172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9</xdr:col>
      <xdr:colOff>0</xdr:colOff>
      <xdr:row>29</xdr:row>
      <xdr:rowOff>0</xdr:rowOff>
    </xdr:from>
    <xdr:to>
      <xdr:col>10</xdr:col>
      <xdr:colOff>559080</xdr:colOff>
      <xdr:row>31</xdr:row>
      <xdr:rowOff>0</xdr:rowOff>
    </xdr:to>
    <xdr:graphicFrame>
      <xdr:nvGraphicFramePr>
        <xdr:cNvPr id="30" name="Chart 29"/>
        <xdr:cNvGraphicFramePr/>
      </xdr:nvGraphicFramePr>
      <xdr:xfrm>
        <a:off x="10088245" y="1430655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9</xdr:col>
      <xdr:colOff>0</xdr:colOff>
      <xdr:row>30</xdr:row>
      <xdr:rowOff>0</xdr:rowOff>
    </xdr:from>
    <xdr:to>
      <xdr:col>10</xdr:col>
      <xdr:colOff>559080</xdr:colOff>
      <xdr:row>32</xdr:row>
      <xdr:rowOff>0</xdr:rowOff>
    </xdr:to>
    <xdr:graphicFrame>
      <xdr:nvGraphicFramePr>
        <xdr:cNvPr id="31" name="Chart 30"/>
        <xdr:cNvGraphicFramePr/>
      </xdr:nvGraphicFramePr>
      <xdr:xfrm>
        <a:off x="10088245" y="1481137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9</xdr:col>
      <xdr:colOff>0</xdr:colOff>
      <xdr:row>31</xdr:row>
      <xdr:rowOff>0</xdr:rowOff>
    </xdr:from>
    <xdr:to>
      <xdr:col>10</xdr:col>
      <xdr:colOff>559080</xdr:colOff>
      <xdr:row>33</xdr:row>
      <xdr:rowOff>0</xdr:rowOff>
    </xdr:to>
    <xdr:graphicFrame>
      <xdr:nvGraphicFramePr>
        <xdr:cNvPr id="32" name="Chart 31"/>
        <xdr:cNvGraphicFramePr/>
      </xdr:nvGraphicFramePr>
      <xdr:xfrm>
        <a:off x="10088245" y="15316200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9</xdr:col>
      <xdr:colOff>0</xdr:colOff>
      <xdr:row>32</xdr:row>
      <xdr:rowOff>0</xdr:rowOff>
    </xdr:from>
    <xdr:to>
      <xdr:col>10</xdr:col>
      <xdr:colOff>559080</xdr:colOff>
      <xdr:row>34</xdr:row>
      <xdr:rowOff>0</xdr:rowOff>
    </xdr:to>
    <xdr:graphicFrame>
      <xdr:nvGraphicFramePr>
        <xdr:cNvPr id="33" name="Chart 32"/>
        <xdr:cNvGraphicFramePr/>
      </xdr:nvGraphicFramePr>
      <xdr:xfrm>
        <a:off x="10088245" y="15821025"/>
        <a:ext cx="1827530" cy="1009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9</xdr:col>
      <xdr:colOff>0</xdr:colOff>
      <xdr:row>33</xdr:row>
      <xdr:rowOff>0</xdr:rowOff>
    </xdr:from>
    <xdr:to>
      <xdr:col>10</xdr:col>
      <xdr:colOff>559080</xdr:colOff>
      <xdr:row>34</xdr:row>
      <xdr:rowOff>286560</xdr:rowOff>
    </xdr:to>
    <xdr:graphicFrame>
      <xdr:nvGraphicFramePr>
        <xdr:cNvPr id="34" name="Chart 33"/>
        <xdr:cNvGraphicFramePr/>
      </xdr:nvGraphicFramePr>
      <xdr:xfrm>
        <a:off x="10088245" y="16325850"/>
        <a:ext cx="1827530" cy="791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9</xdr:col>
      <xdr:colOff>0</xdr:colOff>
      <xdr:row>34</xdr:row>
      <xdr:rowOff>0</xdr:rowOff>
    </xdr:from>
    <xdr:to>
      <xdr:col>10</xdr:col>
      <xdr:colOff>559080</xdr:colOff>
      <xdr:row>35</xdr:row>
      <xdr:rowOff>179070</xdr:rowOff>
    </xdr:to>
    <xdr:graphicFrame>
      <xdr:nvGraphicFramePr>
        <xdr:cNvPr id="35" name="Chart 34"/>
        <xdr:cNvGraphicFramePr/>
      </xdr:nvGraphicFramePr>
      <xdr:xfrm>
        <a:off x="10088245" y="16830675"/>
        <a:ext cx="1827530" cy="683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22225</xdr:colOff>
      <xdr:row>35</xdr:row>
      <xdr:rowOff>12065</xdr:rowOff>
    </xdr:from>
    <xdr:to>
      <xdr:col>9</xdr:col>
      <xdr:colOff>1241425</xdr:colOff>
      <xdr:row>36</xdr:row>
      <xdr:rowOff>66675</xdr:rowOff>
    </xdr:to>
    <xdr:graphicFrame>
      <xdr:nvGraphicFramePr>
        <xdr:cNvPr id="36" name="Chart 35"/>
        <xdr:cNvGraphicFramePr/>
      </xdr:nvGraphicFramePr>
      <xdr:xfrm>
        <a:off x="10110470" y="1734756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22225</xdr:colOff>
      <xdr:row>36</xdr:row>
      <xdr:rowOff>12065</xdr:rowOff>
    </xdr:from>
    <xdr:to>
      <xdr:col>9</xdr:col>
      <xdr:colOff>1241425</xdr:colOff>
      <xdr:row>37</xdr:row>
      <xdr:rowOff>66675</xdr:rowOff>
    </xdr:to>
    <xdr:graphicFrame>
      <xdr:nvGraphicFramePr>
        <xdr:cNvPr id="37" name="Chart 36"/>
        <xdr:cNvGraphicFramePr/>
      </xdr:nvGraphicFramePr>
      <xdr:xfrm>
        <a:off x="10110470" y="1785556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</xdr:col>
      <xdr:colOff>22225</xdr:colOff>
      <xdr:row>37</xdr:row>
      <xdr:rowOff>12065</xdr:rowOff>
    </xdr:from>
    <xdr:to>
      <xdr:col>9</xdr:col>
      <xdr:colOff>1241425</xdr:colOff>
      <xdr:row>38</xdr:row>
      <xdr:rowOff>66675</xdr:rowOff>
    </xdr:to>
    <xdr:graphicFrame>
      <xdr:nvGraphicFramePr>
        <xdr:cNvPr id="38" name="Chart 37"/>
        <xdr:cNvGraphicFramePr/>
      </xdr:nvGraphicFramePr>
      <xdr:xfrm>
        <a:off x="10110470" y="1836356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22225</xdr:colOff>
      <xdr:row>38</xdr:row>
      <xdr:rowOff>12065</xdr:rowOff>
    </xdr:from>
    <xdr:to>
      <xdr:col>9</xdr:col>
      <xdr:colOff>1241425</xdr:colOff>
      <xdr:row>39</xdr:row>
      <xdr:rowOff>66040</xdr:rowOff>
    </xdr:to>
    <xdr:graphicFrame>
      <xdr:nvGraphicFramePr>
        <xdr:cNvPr id="39" name="Chart 38"/>
        <xdr:cNvGraphicFramePr/>
      </xdr:nvGraphicFramePr>
      <xdr:xfrm>
        <a:off x="10110470" y="1887156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22225</xdr:colOff>
      <xdr:row>39</xdr:row>
      <xdr:rowOff>11430</xdr:rowOff>
    </xdr:from>
    <xdr:to>
      <xdr:col>9</xdr:col>
      <xdr:colOff>1241425</xdr:colOff>
      <xdr:row>40</xdr:row>
      <xdr:rowOff>66040</xdr:rowOff>
    </xdr:to>
    <xdr:graphicFrame>
      <xdr:nvGraphicFramePr>
        <xdr:cNvPr id="40" name="Chart 39"/>
        <xdr:cNvGraphicFramePr/>
      </xdr:nvGraphicFramePr>
      <xdr:xfrm>
        <a:off x="10110470" y="1937893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22225</xdr:colOff>
      <xdr:row>40</xdr:row>
      <xdr:rowOff>11430</xdr:rowOff>
    </xdr:from>
    <xdr:to>
      <xdr:col>9</xdr:col>
      <xdr:colOff>1241425</xdr:colOff>
      <xdr:row>41</xdr:row>
      <xdr:rowOff>66040</xdr:rowOff>
    </xdr:to>
    <xdr:graphicFrame>
      <xdr:nvGraphicFramePr>
        <xdr:cNvPr id="41" name="Chart 40"/>
        <xdr:cNvGraphicFramePr/>
      </xdr:nvGraphicFramePr>
      <xdr:xfrm>
        <a:off x="10110470" y="1988693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9</xdr:col>
      <xdr:colOff>22225</xdr:colOff>
      <xdr:row>41</xdr:row>
      <xdr:rowOff>11430</xdr:rowOff>
    </xdr:from>
    <xdr:to>
      <xdr:col>9</xdr:col>
      <xdr:colOff>1241425</xdr:colOff>
      <xdr:row>42</xdr:row>
      <xdr:rowOff>65405</xdr:rowOff>
    </xdr:to>
    <xdr:graphicFrame>
      <xdr:nvGraphicFramePr>
        <xdr:cNvPr id="42" name="Chart 41"/>
        <xdr:cNvGraphicFramePr/>
      </xdr:nvGraphicFramePr>
      <xdr:xfrm>
        <a:off x="10110470" y="2039493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9</xdr:col>
      <xdr:colOff>22225</xdr:colOff>
      <xdr:row>42</xdr:row>
      <xdr:rowOff>10795</xdr:rowOff>
    </xdr:from>
    <xdr:to>
      <xdr:col>9</xdr:col>
      <xdr:colOff>1241425</xdr:colOff>
      <xdr:row>43</xdr:row>
      <xdr:rowOff>65405</xdr:rowOff>
    </xdr:to>
    <xdr:graphicFrame>
      <xdr:nvGraphicFramePr>
        <xdr:cNvPr id="43" name="Chart 42"/>
        <xdr:cNvGraphicFramePr/>
      </xdr:nvGraphicFramePr>
      <xdr:xfrm>
        <a:off x="10110470" y="2090229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9</xdr:col>
      <xdr:colOff>22225</xdr:colOff>
      <xdr:row>43</xdr:row>
      <xdr:rowOff>10795</xdr:rowOff>
    </xdr:from>
    <xdr:to>
      <xdr:col>9</xdr:col>
      <xdr:colOff>1241425</xdr:colOff>
      <xdr:row>44</xdr:row>
      <xdr:rowOff>65405</xdr:rowOff>
    </xdr:to>
    <xdr:graphicFrame>
      <xdr:nvGraphicFramePr>
        <xdr:cNvPr id="44" name="Chart 43"/>
        <xdr:cNvGraphicFramePr/>
      </xdr:nvGraphicFramePr>
      <xdr:xfrm>
        <a:off x="10110470" y="2141029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9</xdr:col>
      <xdr:colOff>22225</xdr:colOff>
      <xdr:row>44</xdr:row>
      <xdr:rowOff>10795</xdr:rowOff>
    </xdr:from>
    <xdr:to>
      <xdr:col>9</xdr:col>
      <xdr:colOff>1241425</xdr:colOff>
      <xdr:row>45</xdr:row>
      <xdr:rowOff>65405</xdr:rowOff>
    </xdr:to>
    <xdr:graphicFrame>
      <xdr:nvGraphicFramePr>
        <xdr:cNvPr id="45" name="Chart 44"/>
        <xdr:cNvGraphicFramePr/>
      </xdr:nvGraphicFramePr>
      <xdr:xfrm>
        <a:off x="10110470" y="2191829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22225</xdr:colOff>
      <xdr:row>45</xdr:row>
      <xdr:rowOff>10795</xdr:rowOff>
    </xdr:from>
    <xdr:to>
      <xdr:col>9</xdr:col>
      <xdr:colOff>1241425</xdr:colOff>
      <xdr:row>46</xdr:row>
      <xdr:rowOff>64770</xdr:rowOff>
    </xdr:to>
    <xdr:graphicFrame>
      <xdr:nvGraphicFramePr>
        <xdr:cNvPr id="46" name="Chart 45"/>
        <xdr:cNvGraphicFramePr/>
      </xdr:nvGraphicFramePr>
      <xdr:xfrm>
        <a:off x="10110470" y="2242629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22225</xdr:colOff>
      <xdr:row>46</xdr:row>
      <xdr:rowOff>10160</xdr:rowOff>
    </xdr:from>
    <xdr:to>
      <xdr:col>9</xdr:col>
      <xdr:colOff>1241425</xdr:colOff>
      <xdr:row>47</xdr:row>
      <xdr:rowOff>64770</xdr:rowOff>
    </xdr:to>
    <xdr:graphicFrame>
      <xdr:nvGraphicFramePr>
        <xdr:cNvPr id="47" name="Chart 46"/>
        <xdr:cNvGraphicFramePr/>
      </xdr:nvGraphicFramePr>
      <xdr:xfrm>
        <a:off x="10110470" y="2293366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</xdr:col>
      <xdr:colOff>22225</xdr:colOff>
      <xdr:row>47</xdr:row>
      <xdr:rowOff>10160</xdr:rowOff>
    </xdr:from>
    <xdr:to>
      <xdr:col>9</xdr:col>
      <xdr:colOff>1241425</xdr:colOff>
      <xdr:row>48</xdr:row>
      <xdr:rowOff>64770</xdr:rowOff>
    </xdr:to>
    <xdr:graphicFrame>
      <xdr:nvGraphicFramePr>
        <xdr:cNvPr id="48" name="Chart 47"/>
        <xdr:cNvGraphicFramePr/>
      </xdr:nvGraphicFramePr>
      <xdr:xfrm>
        <a:off x="10110470" y="2344166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9</xdr:col>
      <xdr:colOff>22225</xdr:colOff>
      <xdr:row>48</xdr:row>
      <xdr:rowOff>10160</xdr:rowOff>
    </xdr:from>
    <xdr:to>
      <xdr:col>9</xdr:col>
      <xdr:colOff>1241425</xdr:colOff>
      <xdr:row>49</xdr:row>
      <xdr:rowOff>64135</xdr:rowOff>
    </xdr:to>
    <xdr:graphicFrame>
      <xdr:nvGraphicFramePr>
        <xdr:cNvPr id="49" name="Chart 48"/>
        <xdr:cNvGraphicFramePr/>
      </xdr:nvGraphicFramePr>
      <xdr:xfrm>
        <a:off x="10110470" y="2394966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9</xdr:col>
      <xdr:colOff>22225</xdr:colOff>
      <xdr:row>49</xdr:row>
      <xdr:rowOff>9525</xdr:rowOff>
    </xdr:from>
    <xdr:to>
      <xdr:col>9</xdr:col>
      <xdr:colOff>1241425</xdr:colOff>
      <xdr:row>50</xdr:row>
      <xdr:rowOff>64135</xdr:rowOff>
    </xdr:to>
    <xdr:graphicFrame>
      <xdr:nvGraphicFramePr>
        <xdr:cNvPr id="50" name="Chart 49"/>
        <xdr:cNvGraphicFramePr/>
      </xdr:nvGraphicFramePr>
      <xdr:xfrm>
        <a:off x="10110470" y="2445702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22225</xdr:colOff>
      <xdr:row>50</xdr:row>
      <xdr:rowOff>9525</xdr:rowOff>
    </xdr:from>
    <xdr:to>
      <xdr:col>9</xdr:col>
      <xdr:colOff>1241425</xdr:colOff>
      <xdr:row>51</xdr:row>
      <xdr:rowOff>64135</xdr:rowOff>
    </xdr:to>
    <xdr:graphicFrame>
      <xdr:nvGraphicFramePr>
        <xdr:cNvPr id="51" name="Chart 50"/>
        <xdr:cNvGraphicFramePr/>
      </xdr:nvGraphicFramePr>
      <xdr:xfrm>
        <a:off x="10110470" y="2496502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9</xdr:col>
      <xdr:colOff>22225</xdr:colOff>
      <xdr:row>51</xdr:row>
      <xdr:rowOff>9525</xdr:rowOff>
    </xdr:from>
    <xdr:to>
      <xdr:col>9</xdr:col>
      <xdr:colOff>1241425</xdr:colOff>
      <xdr:row>52</xdr:row>
      <xdr:rowOff>64135</xdr:rowOff>
    </xdr:to>
    <xdr:graphicFrame>
      <xdr:nvGraphicFramePr>
        <xdr:cNvPr id="52" name="Chart 51"/>
        <xdr:cNvGraphicFramePr/>
      </xdr:nvGraphicFramePr>
      <xdr:xfrm>
        <a:off x="10110470" y="2547302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9</xdr:col>
      <xdr:colOff>22225</xdr:colOff>
      <xdr:row>52</xdr:row>
      <xdr:rowOff>9525</xdr:rowOff>
    </xdr:from>
    <xdr:to>
      <xdr:col>9</xdr:col>
      <xdr:colOff>1241425</xdr:colOff>
      <xdr:row>53</xdr:row>
      <xdr:rowOff>63500</xdr:rowOff>
    </xdr:to>
    <xdr:graphicFrame>
      <xdr:nvGraphicFramePr>
        <xdr:cNvPr id="53" name="Chart 52"/>
        <xdr:cNvGraphicFramePr/>
      </xdr:nvGraphicFramePr>
      <xdr:xfrm>
        <a:off x="10110470" y="2598102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22225</xdr:colOff>
      <xdr:row>53</xdr:row>
      <xdr:rowOff>8890</xdr:rowOff>
    </xdr:from>
    <xdr:to>
      <xdr:col>9</xdr:col>
      <xdr:colOff>1241425</xdr:colOff>
      <xdr:row>54</xdr:row>
      <xdr:rowOff>63500</xdr:rowOff>
    </xdr:to>
    <xdr:graphicFrame>
      <xdr:nvGraphicFramePr>
        <xdr:cNvPr id="54" name="Chart 53"/>
        <xdr:cNvGraphicFramePr/>
      </xdr:nvGraphicFramePr>
      <xdr:xfrm>
        <a:off x="10110470" y="2648839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9</xdr:col>
      <xdr:colOff>22225</xdr:colOff>
      <xdr:row>54</xdr:row>
      <xdr:rowOff>8890</xdr:rowOff>
    </xdr:from>
    <xdr:to>
      <xdr:col>9</xdr:col>
      <xdr:colOff>1241425</xdr:colOff>
      <xdr:row>55</xdr:row>
      <xdr:rowOff>63500</xdr:rowOff>
    </xdr:to>
    <xdr:graphicFrame>
      <xdr:nvGraphicFramePr>
        <xdr:cNvPr id="55" name="Chart 54"/>
        <xdr:cNvGraphicFramePr/>
      </xdr:nvGraphicFramePr>
      <xdr:xfrm>
        <a:off x="10110470" y="2699639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9</xdr:col>
      <xdr:colOff>22225</xdr:colOff>
      <xdr:row>55</xdr:row>
      <xdr:rowOff>8890</xdr:rowOff>
    </xdr:from>
    <xdr:to>
      <xdr:col>9</xdr:col>
      <xdr:colOff>1241425</xdr:colOff>
      <xdr:row>56</xdr:row>
      <xdr:rowOff>62865</xdr:rowOff>
    </xdr:to>
    <xdr:graphicFrame>
      <xdr:nvGraphicFramePr>
        <xdr:cNvPr id="56" name="Chart 55"/>
        <xdr:cNvGraphicFramePr/>
      </xdr:nvGraphicFramePr>
      <xdr:xfrm>
        <a:off x="10110470" y="2750439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9</xdr:col>
      <xdr:colOff>22225</xdr:colOff>
      <xdr:row>56</xdr:row>
      <xdr:rowOff>8255</xdr:rowOff>
    </xdr:from>
    <xdr:to>
      <xdr:col>9</xdr:col>
      <xdr:colOff>1241425</xdr:colOff>
      <xdr:row>57</xdr:row>
      <xdr:rowOff>62865</xdr:rowOff>
    </xdr:to>
    <xdr:graphicFrame>
      <xdr:nvGraphicFramePr>
        <xdr:cNvPr id="57" name="Chart 56"/>
        <xdr:cNvGraphicFramePr/>
      </xdr:nvGraphicFramePr>
      <xdr:xfrm>
        <a:off x="10110470" y="2801175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</xdr:col>
      <xdr:colOff>22225</xdr:colOff>
      <xdr:row>57</xdr:row>
      <xdr:rowOff>8255</xdr:rowOff>
    </xdr:from>
    <xdr:to>
      <xdr:col>9</xdr:col>
      <xdr:colOff>1241425</xdr:colOff>
      <xdr:row>58</xdr:row>
      <xdr:rowOff>62865</xdr:rowOff>
    </xdr:to>
    <xdr:graphicFrame>
      <xdr:nvGraphicFramePr>
        <xdr:cNvPr id="58" name="Chart 57"/>
        <xdr:cNvGraphicFramePr/>
      </xdr:nvGraphicFramePr>
      <xdr:xfrm>
        <a:off x="10110470" y="2851975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9</xdr:col>
      <xdr:colOff>22225</xdr:colOff>
      <xdr:row>58</xdr:row>
      <xdr:rowOff>8255</xdr:rowOff>
    </xdr:from>
    <xdr:to>
      <xdr:col>9</xdr:col>
      <xdr:colOff>1241425</xdr:colOff>
      <xdr:row>59</xdr:row>
      <xdr:rowOff>62865</xdr:rowOff>
    </xdr:to>
    <xdr:graphicFrame>
      <xdr:nvGraphicFramePr>
        <xdr:cNvPr id="59" name="Chart 58"/>
        <xdr:cNvGraphicFramePr/>
      </xdr:nvGraphicFramePr>
      <xdr:xfrm>
        <a:off x="10110470" y="2902775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9</xdr:col>
      <xdr:colOff>22225</xdr:colOff>
      <xdr:row>59</xdr:row>
      <xdr:rowOff>8255</xdr:rowOff>
    </xdr:from>
    <xdr:to>
      <xdr:col>9</xdr:col>
      <xdr:colOff>1241425</xdr:colOff>
      <xdr:row>60</xdr:row>
      <xdr:rowOff>62230</xdr:rowOff>
    </xdr:to>
    <xdr:graphicFrame>
      <xdr:nvGraphicFramePr>
        <xdr:cNvPr id="60" name="Chart 59"/>
        <xdr:cNvGraphicFramePr/>
      </xdr:nvGraphicFramePr>
      <xdr:xfrm>
        <a:off x="10110470" y="29535755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9</xdr:col>
      <xdr:colOff>22225</xdr:colOff>
      <xdr:row>60</xdr:row>
      <xdr:rowOff>7620</xdr:rowOff>
    </xdr:from>
    <xdr:to>
      <xdr:col>9</xdr:col>
      <xdr:colOff>1241425</xdr:colOff>
      <xdr:row>61</xdr:row>
      <xdr:rowOff>62230</xdr:rowOff>
    </xdr:to>
    <xdr:graphicFrame>
      <xdr:nvGraphicFramePr>
        <xdr:cNvPr id="61" name="Chart 60"/>
        <xdr:cNvGraphicFramePr/>
      </xdr:nvGraphicFramePr>
      <xdr:xfrm>
        <a:off x="10110470" y="3004312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9</xdr:col>
      <xdr:colOff>22225</xdr:colOff>
      <xdr:row>61</xdr:row>
      <xdr:rowOff>7620</xdr:rowOff>
    </xdr:from>
    <xdr:to>
      <xdr:col>9</xdr:col>
      <xdr:colOff>1241425</xdr:colOff>
      <xdr:row>62</xdr:row>
      <xdr:rowOff>62230</xdr:rowOff>
    </xdr:to>
    <xdr:graphicFrame>
      <xdr:nvGraphicFramePr>
        <xdr:cNvPr id="62" name="Chart 61"/>
        <xdr:cNvGraphicFramePr/>
      </xdr:nvGraphicFramePr>
      <xdr:xfrm>
        <a:off x="10110470" y="30551120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9</xdr:col>
      <xdr:colOff>22225</xdr:colOff>
      <xdr:row>62</xdr:row>
      <xdr:rowOff>7620</xdr:rowOff>
    </xdr:from>
    <xdr:to>
      <xdr:col>9</xdr:col>
      <xdr:colOff>1241425</xdr:colOff>
      <xdr:row>63</xdr:row>
      <xdr:rowOff>61595</xdr:rowOff>
    </xdr:to>
    <xdr:graphicFrame>
      <xdr:nvGraphicFramePr>
        <xdr:cNvPr id="63" name="Chart 62"/>
        <xdr:cNvGraphicFramePr/>
      </xdr:nvGraphicFramePr>
      <xdr:xfrm>
        <a:off x="10110470" y="31059120"/>
        <a:ext cx="1219200" cy="561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9</xdr:col>
      <xdr:colOff>22225</xdr:colOff>
      <xdr:row>63</xdr:row>
      <xdr:rowOff>6985</xdr:rowOff>
    </xdr:from>
    <xdr:to>
      <xdr:col>9</xdr:col>
      <xdr:colOff>1241425</xdr:colOff>
      <xdr:row>64</xdr:row>
      <xdr:rowOff>61595</xdr:rowOff>
    </xdr:to>
    <xdr:graphicFrame>
      <xdr:nvGraphicFramePr>
        <xdr:cNvPr id="64" name="Chart 63"/>
        <xdr:cNvGraphicFramePr/>
      </xdr:nvGraphicFramePr>
      <xdr:xfrm>
        <a:off x="10110470" y="3156648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9</xdr:col>
      <xdr:colOff>22225</xdr:colOff>
      <xdr:row>64</xdr:row>
      <xdr:rowOff>6985</xdr:rowOff>
    </xdr:from>
    <xdr:to>
      <xdr:col>9</xdr:col>
      <xdr:colOff>1241425</xdr:colOff>
      <xdr:row>65</xdr:row>
      <xdr:rowOff>61595</xdr:rowOff>
    </xdr:to>
    <xdr:graphicFrame>
      <xdr:nvGraphicFramePr>
        <xdr:cNvPr id="65" name="Chart 64"/>
        <xdr:cNvGraphicFramePr/>
      </xdr:nvGraphicFramePr>
      <xdr:xfrm>
        <a:off x="10110470" y="3207448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9</xdr:col>
      <xdr:colOff>22225</xdr:colOff>
      <xdr:row>65</xdr:row>
      <xdr:rowOff>6985</xdr:rowOff>
    </xdr:from>
    <xdr:to>
      <xdr:col>9</xdr:col>
      <xdr:colOff>1241425</xdr:colOff>
      <xdr:row>66</xdr:row>
      <xdr:rowOff>61595</xdr:rowOff>
    </xdr:to>
    <xdr:graphicFrame>
      <xdr:nvGraphicFramePr>
        <xdr:cNvPr id="66" name="Chart 65"/>
        <xdr:cNvGraphicFramePr/>
      </xdr:nvGraphicFramePr>
      <xdr:xfrm>
        <a:off x="10110470" y="32582485"/>
        <a:ext cx="1219200" cy="5626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9</xdr:col>
      <xdr:colOff>22225</xdr:colOff>
      <xdr:row>66</xdr:row>
      <xdr:rowOff>6985</xdr:rowOff>
    </xdr:from>
    <xdr:to>
      <xdr:col>9</xdr:col>
      <xdr:colOff>1241425</xdr:colOff>
      <xdr:row>66</xdr:row>
      <xdr:rowOff>451485</xdr:rowOff>
    </xdr:to>
    <xdr:graphicFrame>
      <xdr:nvGraphicFramePr>
        <xdr:cNvPr id="67" name="Chart 66"/>
        <xdr:cNvGraphicFramePr/>
      </xdr:nvGraphicFramePr>
      <xdr:xfrm>
        <a:off x="10110470" y="3309048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>
    <xdr:from>
      <xdr:col>9</xdr:col>
      <xdr:colOff>22225</xdr:colOff>
      <xdr:row>67</xdr:row>
      <xdr:rowOff>6350</xdr:rowOff>
    </xdr:from>
    <xdr:to>
      <xdr:col>9</xdr:col>
      <xdr:colOff>1241425</xdr:colOff>
      <xdr:row>67</xdr:row>
      <xdr:rowOff>450850</xdr:rowOff>
    </xdr:to>
    <xdr:graphicFrame>
      <xdr:nvGraphicFramePr>
        <xdr:cNvPr id="68" name="Chart 67"/>
        <xdr:cNvGraphicFramePr/>
      </xdr:nvGraphicFramePr>
      <xdr:xfrm>
        <a:off x="10110470" y="335946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>
    <xdr:from>
      <xdr:col>9</xdr:col>
      <xdr:colOff>22225</xdr:colOff>
      <xdr:row>68</xdr:row>
      <xdr:rowOff>6350</xdr:rowOff>
    </xdr:from>
    <xdr:to>
      <xdr:col>9</xdr:col>
      <xdr:colOff>1241425</xdr:colOff>
      <xdr:row>68</xdr:row>
      <xdr:rowOff>450850</xdr:rowOff>
    </xdr:to>
    <xdr:graphicFrame>
      <xdr:nvGraphicFramePr>
        <xdr:cNvPr id="69" name="Chart 68"/>
        <xdr:cNvGraphicFramePr/>
      </xdr:nvGraphicFramePr>
      <xdr:xfrm>
        <a:off x="10110470" y="340995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>
    <xdr:from>
      <xdr:col>9</xdr:col>
      <xdr:colOff>22225</xdr:colOff>
      <xdr:row>69</xdr:row>
      <xdr:rowOff>6350</xdr:rowOff>
    </xdr:from>
    <xdr:to>
      <xdr:col>9</xdr:col>
      <xdr:colOff>1241425</xdr:colOff>
      <xdr:row>69</xdr:row>
      <xdr:rowOff>450850</xdr:rowOff>
    </xdr:to>
    <xdr:graphicFrame>
      <xdr:nvGraphicFramePr>
        <xdr:cNvPr id="70" name="Chart 69"/>
        <xdr:cNvGraphicFramePr/>
      </xdr:nvGraphicFramePr>
      <xdr:xfrm>
        <a:off x="10110470" y="346043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>
    <xdr:from>
      <xdr:col>9</xdr:col>
      <xdr:colOff>22225</xdr:colOff>
      <xdr:row>70</xdr:row>
      <xdr:rowOff>6350</xdr:rowOff>
    </xdr:from>
    <xdr:to>
      <xdr:col>9</xdr:col>
      <xdr:colOff>1241425</xdr:colOff>
      <xdr:row>70</xdr:row>
      <xdr:rowOff>450850</xdr:rowOff>
    </xdr:to>
    <xdr:graphicFrame>
      <xdr:nvGraphicFramePr>
        <xdr:cNvPr id="71" name="Chart 70"/>
        <xdr:cNvGraphicFramePr/>
      </xdr:nvGraphicFramePr>
      <xdr:xfrm>
        <a:off x="10110470" y="351091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>
    <xdr:from>
      <xdr:col>9</xdr:col>
      <xdr:colOff>22225</xdr:colOff>
      <xdr:row>71</xdr:row>
      <xdr:rowOff>6350</xdr:rowOff>
    </xdr:from>
    <xdr:to>
      <xdr:col>9</xdr:col>
      <xdr:colOff>1241425</xdr:colOff>
      <xdr:row>71</xdr:row>
      <xdr:rowOff>450850</xdr:rowOff>
    </xdr:to>
    <xdr:graphicFrame>
      <xdr:nvGraphicFramePr>
        <xdr:cNvPr id="72" name="Chart 71"/>
        <xdr:cNvGraphicFramePr/>
      </xdr:nvGraphicFramePr>
      <xdr:xfrm>
        <a:off x="10110470" y="356139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>
    <xdr:from>
      <xdr:col>9</xdr:col>
      <xdr:colOff>22225</xdr:colOff>
      <xdr:row>72</xdr:row>
      <xdr:rowOff>6350</xdr:rowOff>
    </xdr:from>
    <xdr:to>
      <xdr:col>9</xdr:col>
      <xdr:colOff>1241425</xdr:colOff>
      <xdr:row>72</xdr:row>
      <xdr:rowOff>450850</xdr:rowOff>
    </xdr:to>
    <xdr:graphicFrame>
      <xdr:nvGraphicFramePr>
        <xdr:cNvPr id="73" name="Chart 72"/>
        <xdr:cNvGraphicFramePr/>
      </xdr:nvGraphicFramePr>
      <xdr:xfrm>
        <a:off x="10110470" y="361188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>
    <xdr:from>
      <xdr:col>9</xdr:col>
      <xdr:colOff>22225</xdr:colOff>
      <xdr:row>73</xdr:row>
      <xdr:rowOff>6350</xdr:rowOff>
    </xdr:from>
    <xdr:to>
      <xdr:col>9</xdr:col>
      <xdr:colOff>1241425</xdr:colOff>
      <xdr:row>73</xdr:row>
      <xdr:rowOff>450850</xdr:rowOff>
    </xdr:to>
    <xdr:graphicFrame>
      <xdr:nvGraphicFramePr>
        <xdr:cNvPr id="74" name="Chart 73"/>
        <xdr:cNvGraphicFramePr/>
      </xdr:nvGraphicFramePr>
      <xdr:xfrm>
        <a:off x="10110470" y="366236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>
    <xdr:from>
      <xdr:col>9</xdr:col>
      <xdr:colOff>22225</xdr:colOff>
      <xdr:row>74</xdr:row>
      <xdr:rowOff>6350</xdr:rowOff>
    </xdr:from>
    <xdr:to>
      <xdr:col>9</xdr:col>
      <xdr:colOff>1241425</xdr:colOff>
      <xdr:row>74</xdr:row>
      <xdr:rowOff>450850</xdr:rowOff>
    </xdr:to>
    <xdr:graphicFrame>
      <xdr:nvGraphicFramePr>
        <xdr:cNvPr id="75" name="Chart 74"/>
        <xdr:cNvGraphicFramePr/>
      </xdr:nvGraphicFramePr>
      <xdr:xfrm>
        <a:off x="10110470" y="371284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>
    <xdr:from>
      <xdr:col>9</xdr:col>
      <xdr:colOff>22225</xdr:colOff>
      <xdr:row>75</xdr:row>
      <xdr:rowOff>6350</xdr:rowOff>
    </xdr:from>
    <xdr:to>
      <xdr:col>9</xdr:col>
      <xdr:colOff>1241425</xdr:colOff>
      <xdr:row>75</xdr:row>
      <xdr:rowOff>450850</xdr:rowOff>
    </xdr:to>
    <xdr:graphicFrame>
      <xdr:nvGraphicFramePr>
        <xdr:cNvPr id="76" name="Chart 75"/>
        <xdr:cNvGraphicFramePr/>
      </xdr:nvGraphicFramePr>
      <xdr:xfrm>
        <a:off x="10110470" y="376332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>
    <xdr:from>
      <xdr:col>9</xdr:col>
      <xdr:colOff>22225</xdr:colOff>
      <xdr:row>76</xdr:row>
      <xdr:rowOff>6350</xdr:rowOff>
    </xdr:from>
    <xdr:to>
      <xdr:col>9</xdr:col>
      <xdr:colOff>1241425</xdr:colOff>
      <xdr:row>76</xdr:row>
      <xdr:rowOff>450850</xdr:rowOff>
    </xdr:to>
    <xdr:graphicFrame>
      <xdr:nvGraphicFramePr>
        <xdr:cNvPr id="77" name="Chart 76"/>
        <xdr:cNvGraphicFramePr/>
      </xdr:nvGraphicFramePr>
      <xdr:xfrm>
        <a:off x="10110470" y="381381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>
    <xdr:from>
      <xdr:col>9</xdr:col>
      <xdr:colOff>22225</xdr:colOff>
      <xdr:row>77</xdr:row>
      <xdr:rowOff>6350</xdr:rowOff>
    </xdr:from>
    <xdr:to>
      <xdr:col>9</xdr:col>
      <xdr:colOff>1241425</xdr:colOff>
      <xdr:row>77</xdr:row>
      <xdr:rowOff>450850</xdr:rowOff>
    </xdr:to>
    <xdr:graphicFrame>
      <xdr:nvGraphicFramePr>
        <xdr:cNvPr id="78" name="Chart 77"/>
        <xdr:cNvGraphicFramePr/>
      </xdr:nvGraphicFramePr>
      <xdr:xfrm>
        <a:off x="10110470" y="386429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>
    <xdr:from>
      <xdr:col>9</xdr:col>
      <xdr:colOff>22225</xdr:colOff>
      <xdr:row>78</xdr:row>
      <xdr:rowOff>6350</xdr:rowOff>
    </xdr:from>
    <xdr:to>
      <xdr:col>9</xdr:col>
      <xdr:colOff>1241425</xdr:colOff>
      <xdr:row>78</xdr:row>
      <xdr:rowOff>450850</xdr:rowOff>
    </xdr:to>
    <xdr:graphicFrame>
      <xdr:nvGraphicFramePr>
        <xdr:cNvPr id="79" name="Chart 78"/>
        <xdr:cNvGraphicFramePr/>
      </xdr:nvGraphicFramePr>
      <xdr:xfrm>
        <a:off x="10110470" y="391477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>
    <xdr:from>
      <xdr:col>9</xdr:col>
      <xdr:colOff>22225</xdr:colOff>
      <xdr:row>79</xdr:row>
      <xdr:rowOff>6350</xdr:rowOff>
    </xdr:from>
    <xdr:to>
      <xdr:col>9</xdr:col>
      <xdr:colOff>1241425</xdr:colOff>
      <xdr:row>79</xdr:row>
      <xdr:rowOff>450850</xdr:rowOff>
    </xdr:to>
    <xdr:graphicFrame>
      <xdr:nvGraphicFramePr>
        <xdr:cNvPr id="80" name="Chart 79"/>
        <xdr:cNvGraphicFramePr/>
      </xdr:nvGraphicFramePr>
      <xdr:xfrm>
        <a:off x="10110470" y="396525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>
    <xdr:from>
      <xdr:col>9</xdr:col>
      <xdr:colOff>22225</xdr:colOff>
      <xdr:row>80</xdr:row>
      <xdr:rowOff>6350</xdr:rowOff>
    </xdr:from>
    <xdr:to>
      <xdr:col>9</xdr:col>
      <xdr:colOff>1241425</xdr:colOff>
      <xdr:row>80</xdr:row>
      <xdr:rowOff>450850</xdr:rowOff>
    </xdr:to>
    <xdr:graphicFrame>
      <xdr:nvGraphicFramePr>
        <xdr:cNvPr id="81" name="Chart 80"/>
        <xdr:cNvGraphicFramePr/>
      </xdr:nvGraphicFramePr>
      <xdr:xfrm>
        <a:off x="10110470" y="401574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>
    <xdr:from>
      <xdr:col>9</xdr:col>
      <xdr:colOff>22225</xdr:colOff>
      <xdr:row>81</xdr:row>
      <xdr:rowOff>6350</xdr:rowOff>
    </xdr:from>
    <xdr:to>
      <xdr:col>9</xdr:col>
      <xdr:colOff>1241425</xdr:colOff>
      <xdr:row>81</xdr:row>
      <xdr:rowOff>450850</xdr:rowOff>
    </xdr:to>
    <xdr:graphicFrame>
      <xdr:nvGraphicFramePr>
        <xdr:cNvPr id="82" name="Chart 81"/>
        <xdr:cNvGraphicFramePr/>
      </xdr:nvGraphicFramePr>
      <xdr:xfrm>
        <a:off x="10110470" y="406622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>
    <xdr:from>
      <xdr:col>9</xdr:col>
      <xdr:colOff>22225</xdr:colOff>
      <xdr:row>82</xdr:row>
      <xdr:rowOff>6350</xdr:rowOff>
    </xdr:from>
    <xdr:to>
      <xdr:col>9</xdr:col>
      <xdr:colOff>1241425</xdr:colOff>
      <xdr:row>82</xdr:row>
      <xdr:rowOff>450850</xdr:rowOff>
    </xdr:to>
    <xdr:graphicFrame>
      <xdr:nvGraphicFramePr>
        <xdr:cNvPr id="83" name="Chart 82"/>
        <xdr:cNvGraphicFramePr/>
      </xdr:nvGraphicFramePr>
      <xdr:xfrm>
        <a:off x="10110470" y="411670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>
    <xdr:from>
      <xdr:col>9</xdr:col>
      <xdr:colOff>22225</xdr:colOff>
      <xdr:row>83</xdr:row>
      <xdr:rowOff>6350</xdr:rowOff>
    </xdr:from>
    <xdr:to>
      <xdr:col>9</xdr:col>
      <xdr:colOff>1241425</xdr:colOff>
      <xdr:row>83</xdr:row>
      <xdr:rowOff>450850</xdr:rowOff>
    </xdr:to>
    <xdr:graphicFrame>
      <xdr:nvGraphicFramePr>
        <xdr:cNvPr id="84" name="Chart 83"/>
        <xdr:cNvGraphicFramePr/>
      </xdr:nvGraphicFramePr>
      <xdr:xfrm>
        <a:off x="10110470" y="416718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>
    <xdr:from>
      <xdr:col>9</xdr:col>
      <xdr:colOff>22225</xdr:colOff>
      <xdr:row>84</xdr:row>
      <xdr:rowOff>6350</xdr:rowOff>
    </xdr:from>
    <xdr:to>
      <xdr:col>9</xdr:col>
      <xdr:colOff>1241425</xdr:colOff>
      <xdr:row>84</xdr:row>
      <xdr:rowOff>450850</xdr:rowOff>
    </xdr:to>
    <xdr:graphicFrame>
      <xdr:nvGraphicFramePr>
        <xdr:cNvPr id="85" name="Chart 84"/>
        <xdr:cNvGraphicFramePr/>
      </xdr:nvGraphicFramePr>
      <xdr:xfrm>
        <a:off x="10110470" y="421767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>
    <xdr:from>
      <xdr:col>9</xdr:col>
      <xdr:colOff>22225</xdr:colOff>
      <xdr:row>85</xdr:row>
      <xdr:rowOff>6350</xdr:rowOff>
    </xdr:from>
    <xdr:to>
      <xdr:col>9</xdr:col>
      <xdr:colOff>1241425</xdr:colOff>
      <xdr:row>85</xdr:row>
      <xdr:rowOff>450850</xdr:rowOff>
    </xdr:to>
    <xdr:graphicFrame>
      <xdr:nvGraphicFramePr>
        <xdr:cNvPr id="86" name="Chart 85"/>
        <xdr:cNvGraphicFramePr/>
      </xdr:nvGraphicFramePr>
      <xdr:xfrm>
        <a:off x="10110470" y="426815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>
    <xdr:from>
      <xdr:col>9</xdr:col>
      <xdr:colOff>22225</xdr:colOff>
      <xdr:row>86</xdr:row>
      <xdr:rowOff>6350</xdr:rowOff>
    </xdr:from>
    <xdr:to>
      <xdr:col>9</xdr:col>
      <xdr:colOff>1241425</xdr:colOff>
      <xdr:row>86</xdr:row>
      <xdr:rowOff>450850</xdr:rowOff>
    </xdr:to>
    <xdr:graphicFrame>
      <xdr:nvGraphicFramePr>
        <xdr:cNvPr id="87" name="Chart 86"/>
        <xdr:cNvGraphicFramePr/>
      </xdr:nvGraphicFramePr>
      <xdr:xfrm>
        <a:off x="10110470" y="431863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>
    <xdr:from>
      <xdr:col>9</xdr:col>
      <xdr:colOff>22225</xdr:colOff>
      <xdr:row>87</xdr:row>
      <xdr:rowOff>6350</xdr:rowOff>
    </xdr:from>
    <xdr:to>
      <xdr:col>9</xdr:col>
      <xdr:colOff>1241425</xdr:colOff>
      <xdr:row>87</xdr:row>
      <xdr:rowOff>450850</xdr:rowOff>
    </xdr:to>
    <xdr:graphicFrame>
      <xdr:nvGraphicFramePr>
        <xdr:cNvPr id="88" name="Chart 87"/>
        <xdr:cNvGraphicFramePr/>
      </xdr:nvGraphicFramePr>
      <xdr:xfrm>
        <a:off x="10110470" y="4369117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>
    <xdr:from>
      <xdr:col>9</xdr:col>
      <xdr:colOff>22225</xdr:colOff>
      <xdr:row>88</xdr:row>
      <xdr:rowOff>6350</xdr:rowOff>
    </xdr:from>
    <xdr:to>
      <xdr:col>9</xdr:col>
      <xdr:colOff>1241425</xdr:colOff>
      <xdr:row>88</xdr:row>
      <xdr:rowOff>450850</xdr:rowOff>
    </xdr:to>
    <xdr:graphicFrame>
      <xdr:nvGraphicFramePr>
        <xdr:cNvPr id="89" name="Chart 88"/>
        <xdr:cNvGraphicFramePr/>
      </xdr:nvGraphicFramePr>
      <xdr:xfrm>
        <a:off x="10110470" y="4419600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>
    <xdr:from>
      <xdr:col>9</xdr:col>
      <xdr:colOff>22225</xdr:colOff>
      <xdr:row>89</xdr:row>
      <xdr:rowOff>6350</xdr:rowOff>
    </xdr:from>
    <xdr:to>
      <xdr:col>9</xdr:col>
      <xdr:colOff>1241425</xdr:colOff>
      <xdr:row>89</xdr:row>
      <xdr:rowOff>450850</xdr:rowOff>
    </xdr:to>
    <xdr:graphicFrame>
      <xdr:nvGraphicFramePr>
        <xdr:cNvPr id="90" name="Chart 89"/>
        <xdr:cNvGraphicFramePr/>
      </xdr:nvGraphicFramePr>
      <xdr:xfrm>
        <a:off x="10110470" y="4470082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>
    <xdr:from>
      <xdr:col>9</xdr:col>
      <xdr:colOff>22225</xdr:colOff>
      <xdr:row>90</xdr:row>
      <xdr:rowOff>6350</xdr:rowOff>
    </xdr:from>
    <xdr:to>
      <xdr:col>9</xdr:col>
      <xdr:colOff>1241425</xdr:colOff>
      <xdr:row>90</xdr:row>
      <xdr:rowOff>450850</xdr:rowOff>
    </xdr:to>
    <xdr:graphicFrame>
      <xdr:nvGraphicFramePr>
        <xdr:cNvPr id="91" name="Chart 90"/>
        <xdr:cNvGraphicFramePr/>
      </xdr:nvGraphicFramePr>
      <xdr:xfrm>
        <a:off x="10110470" y="4520565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22225</xdr:colOff>
      <xdr:row>1</xdr:row>
      <xdr:rowOff>24765</xdr:rowOff>
    </xdr:from>
    <xdr:to>
      <xdr:col>9</xdr:col>
      <xdr:colOff>1241425</xdr:colOff>
      <xdr:row>2</xdr:row>
      <xdr:rowOff>79375</xdr:rowOff>
    </xdr:to>
    <xdr:graphicFrame>
      <xdr:nvGraphicFramePr>
        <xdr:cNvPr id="2" name="Chart 1"/>
        <xdr:cNvGraphicFramePr/>
      </xdr:nvGraphicFramePr>
      <xdr:xfrm>
        <a:off x="6924675" y="20383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22225</xdr:colOff>
      <xdr:row>2</xdr:row>
      <xdr:rowOff>24765</xdr:rowOff>
    </xdr:from>
    <xdr:to>
      <xdr:col>9</xdr:col>
      <xdr:colOff>1241425</xdr:colOff>
      <xdr:row>3</xdr:row>
      <xdr:rowOff>79375</xdr:rowOff>
    </xdr:to>
    <xdr:graphicFrame>
      <xdr:nvGraphicFramePr>
        <xdr:cNvPr id="3" name="Chart 2"/>
        <xdr:cNvGraphicFramePr/>
      </xdr:nvGraphicFramePr>
      <xdr:xfrm>
        <a:off x="6924675" y="38290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22225</xdr:colOff>
      <xdr:row>3</xdr:row>
      <xdr:rowOff>24765</xdr:rowOff>
    </xdr:from>
    <xdr:to>
      <xdr:col>9</xdr:col>
      <xdr:colOff>1241425</xdr:colOff>
      <xdr:row>4</xdr:row>
      <xdr:rowOff>78740</xdr:rowOff>
    </xdr:to>
    <xdr:graphicFrame>
      <xdr:nvGraphicFramePr>
        <xdr:cNvPr id="4" name="Chart 3"/>
        <xdr:cNvGraphicFramePr/>
      </xdr:nvGraphicFramePr>
      <xdr:xfrm>
        <a:off x="6924675" y="56197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22225</xdr:colOff>
      <xdr:row>4</xdr:row>
      <xdr:rowOff>24130</xdr:rowOff>
    </xdr:from>
    <xdr:to>
      <xdr:col>9</xdr:col>
      <xdr:colOff>1241425</xdr:colOff>
      <xdr:row>5</xdr:row>
      <xdr:rowOff>78740</xdr:rowOff>
    </xdr:to>
    <xdr:graphicFrame>
      <xdr:nvGraphicFramePr>
        <xdr:cNvPr id="5" name="Chart 4"/>
        <xdr:cNvGraphicFramePr/>
      </xdr:nvGraphicFramePr>
      <xdr:xfrm>
        <a:off x="6924675" y="74041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22225</xdr:colOff>
      <xdr:row>5</xdr:row>
      <xdr:rowOff>24130</xdr:rowOff>
    </xdr:from>
    <xdr:to>
      <xdr:col>9</xdr:col>
      <xdr:colOff>1241425</xdr:colOff>
      <xdr:row>6</xdr:row>
      <xdr:rowOff>78740</xdr:rowOff>
    </xdr:to>
    <xdr:graphicFrame>
      <xdr:nvGraphicFramePr>
        <xdr:cNvPr id="6" name="Chart 5"/>
        <xdr:cNvGraphicFramePr/>
      </xdr:nvGraphicFramePr>
      <xdr:xfrm>
        <a:off x="6924675" y="91948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22225</xdr:colOff>
      <xdr:row>6</xdr:row>
      <xdr:rowOff>24130</xdr:rowOff>
    </xdr:from>
    <xdr:to>
      <xdr:col>9</xdr:col>
      <xdr:colOff>1241425</xdr:colOff>
      <xdr:row>7</xdr:row>
      <xdr:rowOff>78740</xdr:rowOff>
    </xdr:to>
    <xdr:graphicFrame>
      <xdr:nvGraphicFramePr>
        <xdr:cNvPr id="7" name="Chart 6"/>
        <xdr:cNvGraphicFramePr/>
      </xdr:nvGraphicFramePr>
      <xdr:xfrm>
        <a:off x="6924675" y="10985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22225</xdr:colOff>
      <xdr:row>7</xdr:row>
      <xdr:rowOff>24130</xdr:rowOff>
    </xdr:from>
    <xdr:to>
      <xdr:col>9</xdr:col>
      <xdr:colOff>1241425</xdr:colOff>
      <xdr:row>8</xdr:row>
      <xdr:rowOff>78105</xdr:rowOff>
    </xdr:to>
    <xdr:graphicFrame>
      <xdr:nvGraphicFramePr>
        <xdr:cNvPr id="8" name="Chart 7"/>
        <xdr:cNvGraphicFramePr/>
      </xdr:nvGraphicFramePr>
      <xdr:xfrm>
        <a:off x="6924675" y="127762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22225</xdr:colOff>
      <xdr:row>8</xdr:row>
      <xdr:rowOff>23495</xdr:rowOff>
    </xdr:from>
    <xdr:to>
      <xdr:col>9</xdr:col>
      <xdr:colOff>1241425</xdr:colOff>
      <xdr:row>9</xdr:row>
      <xdr:rowOff>78105</xdr:rowOff>
    </xdr:to>
    <xdr:graphicFrame>
      <xdr:nvGraphicFramePr>
        <xdr:cNvPr id="9" name="Chart 8"/>
        <xdr:cNvGraphicFramePr/>
      </xdr:nvGraphicFramePr>
      <xdr:xfrm>
        <a:off x="6924675" y="145605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22225</xdr:colOff>
      <xdr:row>9</xdr:row>
      <xdr:rowOff>23495</xdr:rowOff>
    </xdr:from>
    <xdr:to>
      <xdr:col>9</xdr:col>
      <xdr:colOff>1241425</xdr:colOff>
      <xdr:row>10</xdr:row>
      <xdr:rowOff>78105</xdr:rowOff>
    </xdr:to>
    <xdr:graphicFrame>
      <xdr:nvGraphicFramePr>
        <xdr:cNvPr id="10" name="Chart 9"/>
        <xdr:cNvGraphicFramePr/>
      </xdr:nvGraphicFramePr>
      <xdr:xfrm>
        <a:off x="6924675" y="163512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22225</xdr:colOff>
      <xdr:row>10</xdr:row>
      <xdr:rowOff>23495</xdr:rowOff>
    </xdr:from>
    <xdr:to>
      <xdr:col>9</xdr:col>
      <xdr:colOff>1241425</xdr:colOff>
      <xdr:row>11</xdr:row>
      <xdr:rowOff>77470</xdr:rowOff>
    </xdr:to>
    <xdr:graphicFrame>
      <xdr:nvGraphicFramePr>
        <xdr:cNvPr id="11" name="Chart 10"/>
        <xdr:cNvGraphicFramePr/>
      </xdr:nvGraphicFramePr>
      <xdr:xfrm>
        <a:off x="6924675" y="181419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22225</xdr:colOff>
      <xdr:row>11</xdr:row>
      <xdr:rowOff>22860</xdr:rowOff>
    </xdr:from>
    <xdr:to>
      <xdr:col>9</xdr:col>
      <xdr:colOff>1241425</xdr:colOff>
      <xdr:row>12</xdr:row>
      <xdr:rowOff>77470</xdr:rowOff>
    </xdr:to>
    <xdr:graphicFrame>
      <xdr:nvGraphicFramePr>
        <xdr:cNvPr id="12" name="Chart 11"/>
        <xdr:cNvGraphicFramePr/>
      </xdr:nvGraphicFramePr>
      <xdr:xfrm>
        <a:off x="6924675" y="199263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22225</xdr:colOff>
      <xdr:row>12</xdr:row>
      <xdr:rowOff>22860</xdr:rowOff>
    </xdr:from>
    <xdr:to>
      <xdr:col>9</xdr:col>
      <xdr:colOff>1241425</xdr:colOff>
      <xdr:row>13</xdr:row>
      <xdr:rowOff>77470</xdr:rowOff>
    </xdr:to>
    <xdr:graphicFrame>
      <xdr:nvGraphicFramePr>
        <xdr:cNvPr id="13" name="Chart 12"/>
        <xdr:cNvGraphicFramePr/>
      </xdr:nvGraphicFramePr>
      <xdr:xfrm>
        <a:off x="6924675" y="217170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22225</xdr:colOff>
      <xdr:row>13</xdr:row>
      <xdr:rowOff>22860</xdr:rowOff>
    </xdr:from>
    <xdr:to>
      <xdr:col>9</xdr:col>
      <xdr:colOff>1241425</xdr:colOff>
      <xdr:row>14</xdr:row>
      <xdr:rowOff>77470</xdr:rowOff>
    </xdr:to>
    <xdr:graphicFrame>
      <xdr:nvGraphicFramePr>
        <xdr:cNvPr id="14" name="Chart 13"/>
        <xdr:cNvGraphicFramePr/>
      </xdr:nvGraphicFramePr>
      <xdr:xfrm>
        <a:off x="6924675" y="23507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22225</xdr:colOff>
      <xdr:row>14</xdr:row>
      <xdr:rowOff>22860</xdr:rowOff>
    </xdr:from>
    <xdr:to>
      <xdr:col>9</xdr:col>
      <xdr:colOff>1241425</xdr:colOff>
      <xdr:row>15</xdr:row>
      <xdr:rowOff>76835</xdr:rowOff>
    </xdr:to>
    <xdr:graphicFrame>
      <xdr:nvGraphicFramePr>
        <xdr:cNvPr id="15" name="Chart 14"/>
        <xdr:cNvGraphicFramePr/>
      </xdr:nvGraphicFramePr>
      <xdr:xfrm>
        <a:off x="6924675" y="252984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9</xdr:col>
      <xdr:colOff>22225</xdr:colOff>
      <xdr:row>15</xdr:row>
      <xdr:rowOff>22225</xdr:rowOff>
    </xdr:from>
    <xdr:to>
      <xdr:col>9</xdr:col>
      <xdr:colOff>1241425</xdr:colOff>
      <xdr:row>16</xdr:row>
      <xdr:rowOff>76835</xdr:rowOff>
    </xdr:to>
    <xdr:graphicFrame>
      <xdr:nvGraphicFramePr>
        <xdr:cNvPr id="16" name="Chart 15"/>
        <xdr:cNvGraphicFramePr/>
      </xdr:nvGraphicFramePr>
      <xdr:xfrm>
        <a:off x="6924675" y="270827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9</xdr:col>
      <xdr:colOff>22225</xdr:colOff>
      <xdr:row>16</xdr:row>
      <xdr:rowOff>22225</xdr:rowOff>
    </xdr:from>
    <xdr:to>
      <xdr:col>9</xdr:col>
      <xdr:colOff>1241425</xdr:colOff>
      <xdr:row>17</xdr:row>
      <xdr:rowOff>76835</xdr:rowOff>
    </xdr:to>
    <xdr:graphicFrame>
      <xdr:nvGraphicFramePr>
        <xdr:cNvPr id="17" name="Chart 16"/>
        <xdr:cNvGraphicFramePr/>
      </xdr:nvGraphicFramePr>
      <xdr:xfrm>
        <a:off x="6924675" y="288734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22225</xdr:colOff>
      <xdr:row>17</xdr:row>
      <xdr:rowOff>22225</xdr:rowOff>
    </xdr:from>
    <xdr:to>
      <xdr:col>9</xdr:col>
      <xdr:colOff>1241425</xdr:colOff>
      <xdr:row>18</xdr:row>
      <xdr:rowOff>76200</xdr:rowOff>
    </xdr:to>
    <xdr:graphicFrame>
      <xdr:nvGraphicFramePr>
        <xdr:cNvPr id="18" name="Chart 17"/>
        <xdr:cNvGraphicFramePr/>
      </xdr:nvGraphicFramePr>
      <xdr:xfrm>
        <a:off x="6924675" y="306641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9</xdr:col>
      <xdr:colOff>22225</xdr:colOff>
      <xdr:row>18</xdr:row>
      <xdr:rowOff>21590</xdr:rowOff>
    </xdr:from>
    <xdr:to>
      <xdr:col>9</xdr:col>
      <xdr:colOff>1241425</xdr:colOff>
      <xdr:row>19</xdr:row>
      <xdr:rowOff>76200</xdr:rowOff>
    </xdr:to>
    <xdr:graphicFrame>
      <xdr:nvGraphicFramePr>
        <xdr:cNvPr id="19" name="Chart 18"/>
        <xdr:cNvGraphicFramePr/>
      </xdr:nvGraphicFramePr>
      <xdr:xfrm>
        <a:off x="6924675" y="32448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9</xdr:col>
      <xdr:colOff>22225</xdr:colOff>
      <xdr:row>19</xdr:row>
      <xdr:rowOff>21590</xdr:rowOff>
    </xdr:from>
    <xdr:to>
      <xdr:col>9</xdr:col>
      <xdr:colOff>1241425</xdr:colOff>
      <xdr:row>20</xdr:row>
      <xdr:rowOff>76200</xdr:rowOff>
    </xdr:to>
    <xdr:graphicFrame>
      <xdr:nvGraphicFramePr>
        <xdr:cNvPr id="20" name="Chart 19"/>
        <xdr:cNvGraphicFramePr/>
      </xdr:nvGraphicFramePr>
      <xdr:xfrm>
        <a:off x="6924675" y="342392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22225</xdr:colOff>
      <xdr:row>20</xdr:row>
      <xdr:rowOff>21590</xdr:rowOff>
    </xdr:from>
    <xdr:to>
      <xdr:col>9</xdr:col>
      <xdr:colOff>1241425</xdr:colOff>
      <xdr:row>21</xdr:row>
      <xdr:rowOff>76200</xdr:rowOff>
    </xdr:to>
    <xdr:graphicFrame>
      <xdr:nvGraphicFramePr>
        <xdr:cNvPr id="21" name="Chart 20"/>
        <xdr:cNvGraphicFramePr/>
      </xdr:nvGraphicFramePr>
      <xdr:xfrm>
        <a:off x="6924675" y="36029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9</xdr:col>
      <xdr:colOff>22225</xdr:colOff>
      <xdr:row>21</xdr:row>
      <xdr:rowOff>21590</xdr:rowOff>
    </xdr:from>
    <xdr:to>
      <xdr:col>9</xdr:col>
      <xdr:colOff>1241425</xdr:colOff>
      <xdr:row>22</xdr:row>
      <xdr:rowOff>75565</xdr:rowOff>
    </xdr:to>
    <xdr:graphicFrame>
      <xdr:nvGraphicFramePr>
        <xdr:cNvPr id="22" name="Chart 21"/>
        <xdr:cNvGraphicFramePr/>
      </xdr:nvGraphicFramePr>
      <xdr:xfrm>
        <a:off x="6924675" y="378206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9</xdr:col>
      <xdr:colOff>22225</xdr:colOff>
      <xdr:row>22</xdr:row>
      <xdr:rowOff>20955</xdr:rowOff>
    </xdr:from>
    <xdr:to>
      <xdr:col>9</xdr:col>
      <xdr:colOff>1241425</xdr:colOff>
      <xdr:row>23</xdr:row>
      <xdr:rowOff>75565</xdr:rowOff>
    </xdr:to>
    <xdr:graphicFrame>
      <xdr:nvGraphicFramePr>
        <xdr:cNvPr id="23" name="Chart 22"/>
        <xdr:cNvGraphicFramePr/>
      </xdr:nvGraphicFramePr>
      <xdr:xfrm>
        <a:off x="6924675" y="396049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9</xdr:col>
      <xdr:colOff>22225</xdr:colOff>
      <xdr:row>23</xdr:row>
      <xdr:rowOff>20955</xdr:rowOff>
    </xdr:from>
    <xdr:to>
      <xdr:col>9</xdr:col>
      <xdr:colOff>1241425</xdr:colOff>
      <xdr:row>24</xdr:row>
      <xdr:rowOff>75565</xdr:rowOff>
    </xdr:to>
    <xdr:graphicFrame>
      <xdr:nvGraphicFramePr>
        <xdr:cNvPr id="24" name="Chart 23"/>
        <xdr:cNvGraphicFramePr/>
      </xdr:nvGraphicFramePr>
      <xdr:xfrm>
        <a:off x="6924675" y="413956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9</xdr:col>
      <xdr:colOff>22225</xdr:colOff>
      <xdr:row>24</xdr:row>
      <xdr:rowOff>20955</xdr:rowOff>
    </xdr:from>
    <xdr:to>
      <xdr:col>9</xdr:col>
      <xdr:colOff>1241425</xdr:colOff>
      <xdr:row>25</xdr:row>
      <xdr:rowOff>74930</xdr:rowOff>
    </xdr:to>
    <xdr:graphicFrame>
      <xdr:nvGraphicFramePr>
        <xdr:cNvPr id="25" name="Chart 24"/>
        <xdr:cNvGraphicFramePr/>
      </xdr:nvGraphicFramePr>
      <xdr:xfrm>
        <a:off x="6924675" y="431863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9</xdr:col>
      <xdr:colOff>22225</xdr:colOff>
      <xdr:row>25</xdr:row>
      <xdr:rowOff>20320</xdr:rowOff>
    </xdr:from>
    <xdr:to>
      <xdr:col>9</xdr:col>
      <xdr:colOff>1241425</xdr:colOff>
      <xdr:row>26</xdr:row>
      <xdr:rowOff>74930</xdr:rowOff>
    </xdr:to>
    <xdr:graphicFrame>
      <xdr:nvGraphicFramePr>
        <xdr:cNvPr id="26" name="Chart 25"/>
        <xdr:cNvGraphicFramePr/>
      </xdr:nvGraphicFramePr>
      <xdr:xfrm>
        <a:off x="6924675" y="44970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9</xdr:col>
      <xdr:colOff>22225</xdr:colOff>
      <xdr:row>26</xdr:row>
      <xdr:rowOff>20320</xdr:rowOff>
    </xdr:from>
    <xdr:to>
      <xdr:col>9</xdr:col>
      <xdr:colOff>1241425</xdr:colOff>
      <xdr:row>27</xdr:row>
      <xdr:rowOff>74930</xdr:rowOff>
    </xdr:to>
    <xdr:graphicFrame>
      <xdr:nvGraphicFramePr>
        <xdr:cNvPr id="27" name="Chart 26"/>
        <xdr:cNvGraphicFramePr/>
      </xdr:nvGraphicFramePr>
      <xdr:xfrm>
        <a:off x="6924675" y="467614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9</xdr:col>
      <xdr:colOff>22225</xdr:colOff>
      <xdr:row>27</xdr:row>
      <xdr:rowOff>20320</xdr:rowOff>
    </xdr:from>
    <xdr:to>
      <xdr:col>9</xdr:col>
      <xdr:colOff>1241425</xdr:colOff>
      <xdr:row>28</xdr:row>
      <xdr:rowOff>74930</xdr:rowOff>
    </xdr:to>
    <xdr:graphicFrame>
      <xdr:nvGraphicFramePr>
        <xdr:cNvPr id="28" name="Chart 27"/>
        <xdr:cNvGraphicFramePr/>
      </xdr:nvGraphicFramePr>
      <xdr:xfrm>
        <a:off x="6924675" y="485521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9</xdr:col>
      <xdr:colOff>22225</xdr:colOff>
      <xdr:row>28</xdr:row>
      <xdr:rowOff>20320</xdr:rowOff>
    </xdr:from>
    <xdr:to>
      <xdr:col>9</xdr:col>
      <xdr:colOff>1241425</xdr:colOff>
      <xdr:row>29</xdr:row>
      <xdr:rowOff>74295</xdr:rowOff>
    </xdr:to>
    <xdr:graphicFrame>
      <xdr:nvGraphicFramePr>
        <xdr:cNvPr id="29" name="Chart 28"/>
        <xdr:cNvGraphicFramePr/>
      </xdr:nvGraphicFramePr>
      <xdr:xfrm>
        <a:off x="6924675" y="503428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9</xdr:col>
      <xdr:colOff>22225</xdr:colOff>
      <xdr:row>29</xdr:row>
      <xdr:rowOff>19685</xdr:rowOff>
    </xdr:from>
    <xdr:to>
      <xdr:col>9</xdr:col>
      <xdr:colOff>1241425</xdr:colOff>
      <xdr:row>30</xdr:row>
      <xdr:rowOff>74295</xdr:rowOff>
    </xdr:to>
    <xdr:graphicFrame>
      <xdr:nvGraphicFramePr>
        <xdr:cNvPr id="30" name="Chart 29"/>
        <xdr:cNvGraphicFramePr/>
      </xdr:nvGraphicFramePr>
      <xdr:xfrm>
        <a:off x="6924675" y="521271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9</xdr:col>
      <xdr:colOff>22225</xdr:colOff>
      <xdr:row>30</xdr:row>
      <xdr:rowOff>19685</xdr:rowOff>
    </xdr:from>
    <xdr:to>
      <xdr:col>9</xdr:col>
      <xdr:colOff>1241425</xdr:colOff>
      <xdr:row>31</xdr:row>
      <xdr:rowOff>74295</xdr:rowOff>
    </xdr:to>
    <xdr:graphicFrame>
      <xdr:nvGraphicFramePr>
        <xdr:cNvPr id="31" name="Chart 30"/>
        <xdr:cNvGraphicFramePr/>
      </xdr:nvGraphicFramePr>
      <xdr:xfrm>
        <a:off x="6924675" y="539178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9</xdr:col>
      <xdr:colOff>22225</xdr:colOff>
      <xdr:row>31</xdr:row>
      <xdr:rowOff>19685</xdr:rowOff>
    </xdr:from>
    <xdr:to>
      <xdr:col>9</xdr:col>
      <xdr:colOff>1241425</xdr:colOff>
      <xdr:row>32</xdr:row>
      <xdr:rowOff>73660</xdr:rowOff>
    </xdr:to>
    <xdr:graphicFrame>
      <xdr:nvGraphicFramePr>
        <xdr:cNvPr id="32" name="Chart 31"/>
        <xdr:cNvGraphicFramePr/>
      </xdr:nvGraphicFramePr>
      <xdr:xfrm>
        <a:off x="6924675" y="557085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9</xdr:col>
      <xdr:colOff>22225</xdr:colOff>
      <xdr:row>32</xdr:row>
      <xdr:rowOff>19050</xdr:rowOff>
    </xdr:from>
    <xdr:to>
      <xdr:col>9</xdr:col>
      <xdr:colOff>1241425</xdr:colOff>
      <xdr:row>33</xdr:row>
      <xdr:rowOff>73660</xdr:rowOff>
    </xdr:to>
    <xdr:graphicFrame>
      <xdr:nvGraphicFramePr>
        <xdr:cNvPr id="33" name="Chart 32"/>
        <xdr:cNvGraphicFramePr/>
      </xdr:nvGraphicFramePr>
      <xdr:xfrm>
        <a:off x="6924675" y="57492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9</xdr:col>
      <xdr:colOff>22225</xdr:colOff>
      <xdr:row>33</xdr:row>
      <xdr:rowOff>19050</xdr:rowOff>
    </xdr:from>
    <xdr:to>
      <xdr:col>9</xdr:col>
      <xdr:colOff>1241425</xdr:colOff>
      <xdr:row>34</xdr:row>
      <xdr:rowOff>73660</xdr:rowOff>
    </xdr:to>
    <xdr:graphicFrame>
      <xdr:nvGraphicFramePr>
        <xdr:cNvPr id="34" name="Chart 33"/>
        <xdr:cNvGraphicFramePr/>
      </xdr:nvGraphicFramePr>
      <xdr:xfrm>
        <a:off x="6924675" y="592836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9</xdr:col>
      <xdr:colOff>22225</xdr:colOff>
      <xdr:row>34</xdr:row>
      <xdr:rowOff>19050</xdr:rowOff>
    </xdr:from>
    <xdr:to>
      <xdr:col>9</xdr:col>
      <xdr:colOff>1241425</xdr:colOff>
      <xdr:row>35</xdr:row>
      <xdr:rowOff>73660</xdr:rowOff>
    </xdr:to>
    <xdr:graphicFrame>
      <xdr:nvGraphicFramePr>
        <xdr:cNvPr id="35" name="Chart 34"/>
        <xdr:cNvGraphicFramePr/>
      </xdr:nvGraphicFramePr>
      <xdr:xfrm>
        <a:off x="6924675" y="610743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9</xdr:col>
      <xdr:colOff>22225</xdr:colOff>
      <xdr:row>35</xdr:row>
      <xdr:rowOff>19050</xdr:rowOff>
    </xdr:from>
    <xdr:to>
      <xdr:col>9</xdr:col>
      <xdr:colOff>1241425</xdr:colOff>
      <xdr:row>36</xdr:row>
      <xdr:rowOff>73025</xdr:rowOff>
    </xdr:to>
    <xdr:graphicFrame>
      <xdr:nvGraphicFramePr>
        <xdr:cNvPr id="36" name="Chart 35"/>
        <xdr:cNvGraphicFramePr/>
      </xdr:nvGraphicFramePr>
      <xdr:xfrm>
        <a:off x="6924675" y="628650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9</xdr:col>
      <xdr:colOff>22225</xdr:colOff>
      <xdr:row>36</xdr:row>
      <xdr:rowOff>18415</xdr:rowOff>
    </xdr:from>
    <xdr:to>
      <xdr:col>9</xdr:col>
      <xdr:colOff>1241425</xdr:colOff>
      <xdr:row>37</xdr:row>
      <xdr:rowOff>73025</xdr:rowOff>
    </xdr:to>
    <xdr:graphicFrame>
      <xdr:nvGraphicFramePr>
        <xdr:cNvPr id="37" name="Chart 36"/>
        <xdr:cNvGraphicFramePr/>
      </xdr:nvGraphicFramePr>
      <xdr:xfrm>
        <a:off x="6924675" y="646493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9</xdr:col>
      <xdr:colOff>22225</xdr:colOff>
      <xdr:row>37</xdr:row>
      <xdr:rowOff>18415</xdr:rowOff>
    </xdr:from>
    <xdr:to>
      <xdr:col>9</xdr:col>
      <xdr:colOff>1241425</xdr:colOff>
      <xdr:row>38</xdr:row>
      <xdr:rowOff>73025</xdr:rowOff>
    </xdr:to>
    <xdr:graphicFrame>
      <xdr:nvGraphicFramePr>
        <xdr:cNvPr id="38" name="Chart 37"/>
        <xdr:cNvGraphicFramePr/>
      </xdr:nvGraphicFramePr>
      <xdr:xfrm>
        <a:off x="6924675" y="664400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9</xdr:col>
      <xdr:colOff>22225</xdr:colOff>
      <xdr:row>38</xdr:row>
      <xdr:rowOff>18415</xdr:rowOff>
    </xdr:from>
    <xdr:to>
      <xdr:col>9</xdr:col>
      <xdr:colOff>1241425</xdr:colOff>
      <xdr:row>39</xdr:row>
      <xdr:rowOff>72390</xdr:rowOff>
    </xdr:to>
    <xdr:graphicFrame>
      <xdr:nvGraphicFramePr>
        <xdr:cNvPr id="39" name="Chart 38"/>
        <xdr:cNvGraphicFramePr/>
      </xdr:nvGraphicFramePr>
      <xdr:xfrm>
        <a:off x="6924675" y="682307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9</xdr:col>
      <xdr:colOff>22225</xdr:colOff>
      <xdr:row>39</xdr:row>
      <xdr:rowOff>17780</xdr:rowOff>
    </xdr:from>
    <xdr:to>
      <xdr:col>9</xdr:col>
      <xdr:colOff>1241425</xdr:colOff>
      <xdr:row>40</xdr:row>
      <xdr:rowOff>72390</xdr:rowOff>
    </xdr:to>
    <xdr:graphicFrame>
      <xdr:nvGraphicFramePr>
        <xdr:cNvPr id="40" name="Chart 39"/>
        <xdr:cNvGraphicFramePr/>
      </xdr:nvGraphicFramePr>
      <xdr:xfrm>
        <a:off x="6924675" y="700151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9</xdr:col>
      <xdr:colOff>22225</xdr:colOff>
      <xdr:row>40</xdr:row>
      <xdr:rowOff>17780</xdr:rowOff>
    </xdr:from>
    <xdr:to>
      <xdr:col>9</xdr:col>
      <xdr:colOff>1241425</xdr:colOff>
      <xdr:row>41</xdr:row>
      <xdr:rowOff>72390</xdr:rowOff>
    </xdr:to>
    <xdr:graphicFrame>
      <xdr:nvGraphicFramePr>
        <xdr:cNvPr id="41" name="Chart 40"/>
        <xdr:cNvGraphicFramePr/>
      </xdr:nvGraphicFramePr>
      <xdr:xfrm>
        <a:off x="6924675" y="718058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9</xdr:col>
      <xdr:colOff>22225</xdr:colOff>
      <xdr:row>41</xdr:row>
      <xdr:rowOff>17780</xdr:rowOff>
    </xdr:from>
    <xdr:to>
      <xdr:col>9</xdr:col>
      <xdr:colOff>1241425</xdr:colOff>
      <xdr:row>42</xdr:row>
      <xdr:rowOff>72390</xdr:rowOff>
    </xdr:to>
    <xdr:graphicFrame>
      <xdr:nvGraphicFramePr>
        <xdr:cNvPr id="42" name="Chart 41"/>
        <xdr:cNvGraphicFramePr/>
      </xdr:nvGraphicFramePr>
      <xdr:xfrm>
        <a:off x="6924675" y="73596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9</xdr:col>
      <xdr:colOff>22225</xdr:colOff>
      <xdr:row>42</xdr:row>
      <xdr:rowOff>17780</xdr:rowOff>
    </xdr:from>
    <xdr:to>
      <xdr:col>9</xdr:col>
      <xdr:colOff>1241425</xdr:colOff>
      <xdr:row>43</xdr:row>
      <xdr:rowOff>71755</xdr:rowOff>
    </xdr:to>
    <xdr:graphicFrame>
      <xdr:nvGraphicFramePr>
        <xdr:cNvPr id="43" name="Chart 42"/>
        <xdr:cNvGraphicFramePr/>
      </xdr:nvGraphicFramePr>
      <xdr:xfrm>
        <a:off x="6924675" y="753872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9</xdr:col>
      <xdr:colOff>22225</xdr:colOff>
      <xdr:row>43</xdr:row>
      <xdr:rowOff>17145</xdr:rowOff>
    </xdr:from>
    <xdr:to>
      <xdr:col>9</xdr:col>
      <xdr:colOff>1241425</xdr:colOff>
      <xdr:row>44</xdr:row>
      <xdr:rowOff>71755</xdr:rowOff>
    </xdr:to>
    <xdr:graphicFrame>
      <xdr:nvGraphicFramePr>
        <xdr:cNvPr id="44" name="Chart 43"/>
        <xdr:cNvGraphicFramePr/>
      </xdr:nvGraphicFramePr>
      <xdr:xfrm>
        <a:off x="6924675" y="771715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9</xdr:col>
      <xdr:colOff>22225</xdr:colOff>
      <xdr:row>44</xdr:row>
      <xdr:rowOff>17145</xdr:rowOff>
    </xdr:from>
    <xdr:to>
      <xdr:col>9</xdr:col>
      <xdr:colOff>1241425</xdr:colOff>
      <xdr:row>45</xdr:row>
      <xdr:rowOff>71755</xdr:rowOff>
    </xdr:to>
    <xdr:graphicFrame>
      <xdr:nvGraphicFramePr>
        <xdr:cNvPr id="45" name="Chart 44"/>
        <xdr:cNvGraphicFramePr/>
      </xdr:nvGraphicFramePr>
      <xdr:xfrm>
        <a:off x="6924675" y="789622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9</xdr:col>
      <xdr:colOff>22225</xdr:colOff>
      <xdr:row>45</xdr:row>
      <xdr:rowOff>17145</xdr:rowOff>
    </xdr:from>
    <xdr:to>
      <xdr:col>9</xdr:col>
      <xdr:colOff>1241425</xdr:colOff>
      <xdr:row>46</xdr:row>
      <xdr:rowOff>71120</xdr:rowOff>
    </xdr:to>
    <xdr:graphicFrame>
      <xdr:nvGraphicFramePr>
        <xdr:cNvPr id="46" name="Chart 45"/>
        <xdr:cNvGraphicFramePr/>
      </xdr:nvGraphicFramePr>
      <xdr:xfrm>
        <a:off x="6924675" y="807529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9</xdr:col>
      <xdr:colOff>22225</xdr:colOff>
      <xdr:row>46</xdr:row>
      <xdr:rowOff>16510</xdr:rowOff>
    </xdr:from>
    <xdr:to>
      <xdr:col>9</xdr:col>
      <xdr:colOff>1241425</xdr:colOff>
      <xdr:row>47</xdr:row>
      <xdr:rowOff>71120</xdr:rowOff>
    </xdr:to>
    <xdr:graphicFrame>
      <xdr:nvGraphicFramePr>
        <xdr:cNvPr id="47" name="Chart 46"/>
        <xdr:cNvGraphicFramePr/>
      </xdr:nvGraphicFramePr>
      <xdr:xfrm>
        <a:off x="6924675" y="825373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9</xdr:col>
      <xdr:colOff>22225</xdr:colOff>
      <xdr:row>47</xdr:row>
      <xdr:rowOff>16510</xdr:rowOff>
    </xdr:from>
    <xdr:to>
      <xdr:col>9</xdr:col>
      <xdr:colOff>1241425</xdr:colOff>
      <xdr:row>48</xdr:row>
      <xdr:rowOff>71120</xdr:rowOff>
    </xdr:to>
    <xdr:graphicFrame>
      <xdr:nvGraphicFramePr>
        <xdr:cNvPr id="48" name="Chart 47"/>
        <xdr:cNvGraphicFramePr/>
      </xdr:nvGraphicFramePr>
      <xdr:xfrm>
        <a:off x="6924675" y="843280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9</xdr:col>
      <xdr:colOff>22225</xdr:colOff>
      <xdr:row>48</xdr:row>
      <xdr:rowOff>16510</xdr:rowOff>
    </xdr:from>
    <xdr:to>
      <xdr:col>9</xdr:col>
      <xdr:colOff>1241425</xdr:colOff>
      <xdr:row>49</xdr:row>
      <xdr:rowOff>71120</xdr:rowOff>
    </xdr:to>
    <xdr:graphicFrame>
      <xdr:nvGraphicFramePr>
        <xdr:cNvPr id="49" name="Chart 48"/>
        <xdr:cNvGraphicFramePr/>
      </xdr:nvGraphicFramePr>
      <xdr:xfrm>
        <a:off x="6924675" y="861187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9</xdr:col>
      <xdr:colOff>22225</xdr:colOff>
      <xdr:row>49</xdr:row>
      <xdr:rowOff>16510</xdr:rowOff>
    </xdr:from>
    <xdr:to>
      <xdr:col>9</xdr:col>
      <xdr:colOff>1241425</xdr:colOff>
      <xdr:row>50</xdr:row>
      <xdr:rowOff>70485</xdr:rowOff>
    </xdr:to>
    <xdr:graphicFrame>
      <xdr:nvGraphicFramePr>
        <xdr:cNvPr id="50" name="Chart 49"/>
        <xdr:cNvGraphicFramePr/>
      </xdr:nvGraphicFramePr>
      <xdr:xfrm>
        <a:off x="6924675" y="879094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9</xdr:col>
      <xdr:colOff>22225</xdr:colOff>
      <xdr:row>50</xdr:row>
      <xdr:rowOff>15875</xdr:rowOff>
    </xdr:from>
    <xdr:to>
      <xdr:col>9</xdr:col>
      <xdr:colOff>1241425</xdr:colOff>
      <xdr:row>51</xdr:row>
      <xdr:rowOff>70485</xdr:rowOff>
    </xdr:to>
    <xdr:graphicFrame>
      <xdr:nvGraphicFramePr>
        <xdr:cNvPr id="51" name="Chart 50"/>
        <xdr:cNvGraphicFramePr/>
      </xdr:nvGraphicFramePr>
      <xdr:xfrm>
        <a:off x="6924675" y="896937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9</xdr:col>
      <xdr:colOff>22225</xdr:colOff>
      <xdr:row>51</xdr:row>
      <xdr:rowOff>15875</xdr:rowOff>
    </xdr:from>
    <xdr:to>
      <xdr:col>9</xdr:col>
      <xdr:colOff>1241425</xdr:colOff>
      <xdr:row>52</xdr:row>
      <xdr:rowOff>70485</xdr:rowOff>
    </xdr:to>
    <xdr:graphicFrame>
      <xdr:nvGraphicFramePr>
        <xdr:cNvPr id="52" name="Chart 51"/>
        <xdr:cNvGraphicFramePr/>
      </xdr:nvGraphicFramePr>
      <xdr:xfrm>
        <a:off x="6924675" y="9148445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9</xdr:col>
      <xdr:colOff>22225</xdr:colOff>
      <xdr:row>52</xdr:row>
      <xdr:rowOff>15875</xdr:rowOff>
    </xdr:from>
    <xdr:to>
      <xdr:col>9</xdr:col>
      <xdr:colOff>1241425</xdr:colOff>
      <xdr:row>53</xdr:row>
      <xdr:rowOff>69850</xdr:rowOff>
    </xdr:to>
    <xdr:graphicFrame>
      <xdr:nvGraphicFramePr>
        <xdr:cNvPr id="53" name="Chart 52"/>
        <xdr:cNvGraphicFramePr/>
      </xdr:nvGraphicFramePr>
      <xdr:xfrm>
        <a:off x="6924675" y="9327515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9</xdr:col>
      <xdr:colOff>22225</xdr:colOff>
      <xdr:row>53</xdr:row>
      <xdr:rowOff>15240</xdr:rowOff>
    </xdr:from>
    <xdr:to>
      <xdr:col>9</xdr:col>
      <xdr:colOff>1241425</xdr:colOff>
      <xdr:row>54</xdr:row>
      <xdr:rowOff>69850</xdr:rowOff>
    </xdr:to>
    <xdr:graphicFrame>
      <xdr:nvGraphicFramePr>
        <xdr:cNvPr id="54" name="Chart 53"/>
        <xdr:cNvGraphicFramePr/>
      </xdr:nvGraphicFramePr>
      <xdr:xfrm>
        <a:off x="6924675" y="950595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9</xdr:col>
      <xdr:colOff>22225</xdr:colOff>
      <xdr:row>54</xdr:row>
      <xdr:rowOff>15240</xdr:rowOff>
    </xdr:from>
    <xdr:to>
      <xdr:col>9</xdr:col>
      <xdr:colOff>1241425</xdr:colOff>
      <xdr:row>55</xdr:row>
      <xdr:rowOff>69850</xdr:rowOff>
    </xdr:to>
    <xdr:graphicFrame>
      <xdr:nvGraphicFramePr>
        <xdr:cNvPr id="55" name="Chart 54"/>
        <xdr:cNvGraphicFramePr/>
      </xdr:nvGraphicFramePr>
      <xdr:xfrm>
        <a:off x="6924675" y="968502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9</xdr:col>
      <xdr:colOff>22225</xdr:colOff>
      <xdr:row>55</xdr:row>
      <xdr:rowOff>15240</xdr:rowOff>
    </xdr:from>
    <xdr:to>
      <xdr:col>9</xdr:col>
      <xdr:colOff>1241425</xdr:colOff>
      <xdr:row>56</xdr:row>
      <xdr:rowOff>69850</xdr:rowOff>
    </xdr:to>
    <xdr:graphicFrame>
      <xdr:nvGraphicFramePr>
        <xdr:cNvPr id="56" name="Chart 55"/>
        <xdr:cNvGraphicFramePr/>
      </xdr:nvGraphicFramePr>
      <xdr:xfrm>
        <a:off x="6924675" y="9864090"/>
        <a:ext cx="1219200" cy="23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9</xdr:col>
      <xdr:colOff>22225</xdr:colOff>
      <xdr:row>56</xdr:row>
      <xdr:rowOff>15240</xdr:rowOff>
    </xdr:from>
    <xdr:to>
      <xdr:col>9</xdr:col>
      <xdr:colOff>1241425</xdr:colOff>
      <xdr:row>57</xdr:row>
      <xdr:rowOff>69215</xdr:rowOff>
    </xdr:to>
    <xdr:graphicFrame>
      <xdr:nvGraphicFramePr>
        <xdr:cNvPr id="57" name="Chart 56"/>
        <xdr:cNvGraphicFramePr/>
      </xdr:nvGraphicFramePr>
      <xdr:xfrm>
        <a:off x="6924675" y="10043160"/>
        <a:ext cx="1219200" cy="2330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9</xdr:col>
      <xdr:colOff>22225</xdr:colOff>
      <xdr:row>57</xdr:row>
      <xdr:rowOff>14605</xdr:rowOff>
    </xdr:from>
    <xdr:to>
      <xdr:col>9</xdr:col>
      <xdr:colOff>1241425</xdr:colOff>
      <xdr:row>57</xdr:row>
      <xdr:rowOff>459105</xdr:rowOff>
    </xdr:to>
    <xdr:graphicFrame>
      <xdr:nvGraphicFramePr>
        <xdr:cNvPr id="58" name="Chart 57"/>
        <xdr:cNvGraphicFramePr/>
      </xdr:nvGraphicFramePr>
      <xdr:xfrm>
        <a:off x="6924675" y="102215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9</xdr:col>
      <xdr:colOff>22225</xdr:colOff>
      <xdr:row>58</xdr:row>
      <xdr:rowOff>6350</xdr:rowOff>
    </xdr:from>
    <xdr:to>
      <xdr:col>9</xdr:col>
      <xdr:colOff>1241425</xdr:colOff>
      <xdr:row>58</xdr:row>
      <xdr:rowOff>450850</xdr:rowOff>
    </xdr:to>
    <xdr:graphicFrame>
      <xdr:nvGraphicFramePr>
        <xdr:cNvPr id="59" name="Chart 58"/>
        <xdr:cNvGraphicFramePr/>
      </xdr:nvGraphicFramePr>
      <xdr:xfrm>
        <a:off x="6924675" y="1071816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9</xdr:col>
      <xdr:colOff>22225</xdr:colOff>
      <xdr:row>59</xdr:row>
      <xdr:rowOff>6350</xdr:rowOff>
    </xdr:from>
    <xdr:to>
      <xdr:col>9</xdr:col>
      <xdr:colOff>1241425</xdr:colOff>
      <xdr:row>59</xdr:row>
      <xdr:rowOff>450850</xdr:rowOff>
    </xdr:to>
    <xdr:graphicFrame>
      <xdr:nvGraphicFramePr>
        <xdr:cNvPr id="60" name="Chart 59"/>
        <xdr:cNvGraphicFramePr/>
      </xdr:nvGraphicFramePr>
      <xdr:xfrm>
        <a:off x="6924675" y="11222990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9</xdr:col>
      <xdr:colOff>22225</xdr:colOff>
      <xdr:row>60</xdr:row>
      <xdr:rowOff>6350</xdr:rowOff>
    </xdr:from>
    <xdr:to>
      <xdr:col>9</xdr:col>
      <xdr:colOff>1241425</xdr:colOff>
      <xdr:row>60</xdr:row>
      <xdr:rowOff>450850</xdr:rowOff>
    </xdr:to>
    <xdr:graphicFrame>
      <xdr:nvGraphicFramePr>
        <xdr:cNvPr id="61" name="Chart 60"/>
        <xdr:cNvGraphicFramePr/>
      </xdr:nvGraphicFramePr>
      <xdr:xfrm>
        <a:off x="6924675" y="1172781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9</xdr:col>
      <xdr:colOff>22225</xdr:colOff>
      <xdr:row>61</xdr:row>
      <xdr:rowOff>14605</xdr:rowOff>
    </xdr:from>
    <xdr:to>
      <xdr:col>9</xdr:col>
      <xdr:colOff>1241425</xdr:colOff>
      <xdr:row>61</xdr:row>
      <xdr:rowOff>459105</xdr:rowOff>
    </xdr:to>
    <xdr:graphicFrame>
      <xdr:nvGraphicFramePr>
        <xdr:cNvPr id="62" name="Chart 61"/>
        <xdr:cNvGraphicFramePr/>
      </xdr:nvGraphicFramePr>
      <xdr:xfrm>
        <a:off x="6924675" y="12240895"/>
        <a:ext cx="1219200" cy="444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WIND\DataBrowse\XLA\WindFunc.xla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s_info_nam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J23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8.72972972972973" defaultRowHeight="14.1"/>
  <cols>
    <col min="1" max="1" width="12.1801801801802" style="4" customWidth="1"/>
    <col min="3" max="3" width="10.0900900900901" style="4" customWidth="1"/>
    <col min="5" max="5" width="10.3603603603604" style="4" customWidth="1"/>
    <col min="6" max="7" width="9.90990990990991" style="4" customWidth="1"/>
    <col min="8" max="8" width="9.63063063063063" style="4" customWidth="1"/>
    <col min="9" max="9" width="9.90990990990991" style="4" customWidth="1"/>
    <col min="10" max="10" width="18" style="4" customWidth="1"/>
  </cols>
  <sheetData>
    <row r="1" ht="13.5" customHeight="1" spans="1:10">
      <c r="A1" s="37"/>
      <c r="B1" s="38" t="s">
        <v>0</v>
      </c>
      <c r="C1" s="39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4" t="s">
        <v>6</v>
      </c>
      <c r="I1" s="44" t="s">
        <v>7</v>
      </c>
      <c r="J1" s="45" t="s">
        <v>8</v>
      </c>
    </row>
    <row r="2" ht="39.75" customHeight="1" spans="1:10">
      <c r="A2" s="65" t="s">
        <v>9</v>
      </c>
      <c r="B2" s="61" t="s">
        <v>10</v>
      </c>
      <c r="C2" s="66" t="s">
        <v>11</v>
      </c>
      <c r="D2" s="53" t="s">
        <v>12</v>
      </c>
      <c r="E2" s="41">
        <f>IFERROR(LOOKUP(9.99E+307,指数走势!$F$7:$IM$7),"")</f>
        <v>4043.6432</v>
      </c>
      <c r="F2" s="50">
        <f>IFERROR(LOOKUP(2,1/(指数走势!$F$7:$IM$7&lt;&gt;""),指数走势!$F$1:$IM$1),"")</f>
        <v>46206</v>
      </c>
      <c r="G2" s="67">
        <f ca="1" t="shared" ref="G2:G23" si="0">IFERROR(E2-H2,"")</f>
        <v>14.7393999999999</v>
      </c>
      <c r="H2" s="64">
        <f ca="1">IFERROR(LOOKUP(9.99E+307,OFFSET(指数走势!$F$7,0,0,1,LOOKUP(2,1/(指数走势!$F$7:$IM$7&lt;&gt;""),COLUMN(指数走势!$F$7:$IM$7))-COLUMN(指数走势!$F$7))),"")</f>
        <v>4028.9038</v>
      </c>
      <c r="I2" s="50">
        <f>IFERROR(LOOKUP(2,1/(指数走势!$F$7:$IM$7&lt;&gt;"")/(指数走势!$F$1:$IM$1&lt;F2),指数走势!$F$1:$IM$1),"")</f>
        <v>46205</v>
      </c>
    </row>
    <row r="3" ht="39.75" customHeight="1" spans="1:10">
      <c r="A3" s="65" t="s">
        <v>13</v>
      </c>
      <c r="B3" s="61" t="s">
        <v>10</v>
      </c>
      <c r="C3" s="66" t="s">
        <v>14</v>
      </c>
      <c r="D3" s="53" t="s">
        <v>12</v>
      </c>
      <c r="E3" s="41">
        <f>IFERROR(LOOKUP(9.99E+307,指数走势!$F$5:$IM$5),"")</f>
        <v>15597.5116</v>
      </c>
      <c r="F3" s="50">
        <f>IFERROR(LOOKUP(2,1/(指数走势!$F$5:$IM$5&lt;&gt;""),指数走势!$F$1:$IM$1),"")</f>
        <v>46206</v>
      </c>
      <c r="G3" s="67">
        <f ca="1" t="shared" si="0"/>
        <v>98.7014999999992</v>
      </c>
      <c r="H3" s="64">
        <f ca="1">IFERROR(LOOKUP(9.99E+307,OFFSET(指数走势!$F$5,0,0,1,LOOKUP(2,1/(指数走势!$F$5:$IM$5&lt;&gt;""),COLUMN(指数走势!$F$5:$IM$5))-COLUMN(指数走势!$F$5))),"")</f>
        <v>15498.8101</v>
      </c>
      <c r="I3" s="50">
        <f>IFERROR(LOOKUP(2,1/(指数走势!$F$5:$IM$5&lt;&gt;"")/(指数走势!$F$1:$IM$1&lt;F3),指数走势!$F$1:$IM$1),"")</f>
        <v>46205</v>
      </c>
    </row>
    <row r="4" ht="39.75" customHeight="1" spans="1:10">
      <c r="A4" s="65" t="s">
        <v>15</v>
      </c>
      <c r="B4" s="61" t="s">
        <v>10</v>
      </c>
      <c r="C4" s="66" t="s">
        <v>16</v>
      </c>
      <c r="D4" s="53" t="s">
        <v>12</v>
      </c>
      <c r="E4" s="41">
        <f>IFERROR(LOOKUP(9.99E+307,指数走势!$F$6:$IM$6),"")</f>
        <v>4842.1737</v>
      </c>
      <c r="F4" s="50">
        <f>IFERROR(LOOKUP(2,1/(指数走势!$F$6:$IM$6&lt;&gt;""),指数走势!$F$1:$IM$1),"")</f>
        <v>46206</v>
      </c>
      <c r="G4" s="67">
        <f ca="1" t="shared" si="0"/>
        <v>29.8780000000006</v>
      </c>
      <c r="H4" s="64">
        <f ca="1">IFERROR(LOOKUP(9.99E+307,OFFSET(指数走势!$F$6,0,0,1,LOOKUP(2,1/(指数走势!$F$6:$IM$6&lt;&gt;""),COLUMN(指数走势!$F$6:$IM$6))-COLUMN(指数走势!$F$6))),"")</f>
        <v>4812.2957</v>
      </c>
      <c r="I4" s="50">
        <f>IFERROR(LOOKUP(2,1/(指数走势!$F$6:$IM$6&lt;&gt;"")/(指数走势!$F$1:$IM$1&lt;F4),指数走势!$F$1:$IM$1),"")</f>
        <v>46205</v>
      </c>
    </row>
    <row r="5" ht="39.75" customHeight="1" spans="1:10">
      <c r="A5" s="65" t="s">
        <v>17</v>
      </c>
      <c r="B5" s="61" t="s">
        <v>10</v>
      </c>
      <c r="C5" s="66" t="s">
        <v>18</v>
      </c>
      <c r="D5" s="53" t="s">
        <v>12</v>
      </c>
      <c r="E5" s="41">
        <f>IFERROR(LOOKUP(9.99E+307,指数走势!$F$4:$IM$4),"")</f>
        <v>4019.9341</v>
      </c>
      <c r="F5" s="50">
        <f>IFERROR(LOOKUP(2,1/(指数走势!$F$4:$IM$4&lt;&gt;""),指数走势!$F$1:$IM$1),"")</f>
        <v>46206</v>
      </c>
      <c r="G5" s="67">
        <f ca="1" t="shared" si="0"/>
        <v>2.66060000000016</v>
      </c>
      <c r="H5" s="64">
        <f ca="1">IFERROR(LOOKUP(9.99E+307,OFFSET(指数走势!$F$4,0,0,1,LOOKUP(2,1/(指数走势!$F$4:$IM$4&lt;&gt;""),COLUMN(指数走势!$F$4:$IM$4))-COLUMN(指数走势!$F$4))),"")</f>
        <v>4017.2735</v>
      </c>
      <c r="I5" s="50">
        <f>IFERROR(LOOKUP(2,1/(指数走势!$F$4:$IM$4&lt;&gt;"")/(指数走势!$F$1:$IM$1&lt;F5),指数走势!$F$1:$IM$1),"")</f>
        <v>46205</v>
      </c>
    </row>
    <row r="6" ht="39.75" customHeight="1" spans="1:10">
      <c r="A6" s="65" t="s">
        <v>19</v>
      </c>
      <c r="B6" s="61" t="s">
        <v>10</v>
      </c>
      <c r="C6" s="66"/>
      <c r="D6" s="53" t="s">
        <v>20</v>
      </c>
      <c r="E6" s="41">
        <f>IFERROR(IF(A股成交额换手率测试1!I8&lt;&gt;"",A股成交额换手率测试1!I8+A股成交额换手率测试1!L8,A股成交额换手率测试1!I9+A股成交额换手率测试1!L9),"")</f>
        <v>3915.1525</v>
      </c>
      <c r="F6" s="50">
        <f>IF(A股成交额换手率测试1!I8&lt;&gt;"",A股成交额换手率测试1!H8,A股成交额换手率测试1!H9)</f>
        <v>46206</v>
      </c>
      <c r="G6" s="67">
        <f t="shared" si="0"/>
        <v>-325.028</v>
      </c>
      <c r="H6" s="64">
        <f>IFERROR(IF(A股成交额换手率测试1!I8&lt;&gt;"",A股成交额换手率测试1!I9+A股成交额换手率测试1!L9,A股成交额换手率测试1!I10+A股成交额换手率测试1!L10),"")</f>
        <v>4240.1805</v>
      </c>
      <c r="I6" s="50">
        <f>IF(A股成交额换手率测试1!I8&lt;&gt;"",A股成交额换手率测试1!H9,A股成交额换手率测试1!H10)</f>
        <v>46205</v>
      </c>
    </row>
    <row r="7" ht="39.75" customHeight="1" spans="1:10">
      <c r="A7" s="37" t="s">
        <v>21</v>
      </c>
      <c r="B7" s="61" t="s">
        <v>10</v>
      </c>
      <c r="C7" s="66"/>
      <c r="D7" s="53" t="s">
        <v>20</v>
      </c>
      <c r="E7" s="41">
        <f>IFERROR(A股成交额换手率测试1!B9,"")</f>
        <v>32052.61678068</v>
      </c>
      <c r="F7" s="50" t="str">
        <f>A股成交额换手率测试1!A9</f>
        <v>2026-07-03</v>
      </c>
      <c r="G7" s="67">
        <f t="shared" si="0"/>
        <v>-2686.64583745</v>
      </c>
      <c r="H7" s="64">
        <f>IFERROR(A股成交额换手率测试1!B10,"")</f>
        <v>34739.26261813</v>
      </c>
      <c r="I7" s="50" t="str">
        <f>A股成交额换手率测试1!A10</f>
        <v>2026-07-02</v>
      </c>
    </row>
    <row r="8" ht="39.75" customHeight="1" spans="1:10">
      <c r="A8" s="65" t="s">
        <v>22</v>
      </c>
      <c r="B8" s="61" t="s">
        <v>10</v>
      </c>
      <c r="C8" s="66"/>
      <c r="D8" s="53" t="s">
        <v>23</v>
      </c>
      <c r="E8" s="41">
        <f>IFERROR(A股成交额换手率测试1!F9/1000000000000,"")</f>
        <v>3.003336934139</v>
      </c>
      <c r="F8" s="50">
        <f>A股成交额换手率测试1!E9</f>
        <v>46206</v>
      </c>
      <c r="G8" s="67">
        <f t="shared" si="0"/>
        <v>-0.0195592977940002</v>
      </c>
      <c r="H8" s="64">
        <f>IFERROR(A股成交额换手率测试1!F10/1000000000000,"")</f>
        <v>3.022896231933</v>
      </c>
      <c r="I8" s="50">
        <f>A股成交额换手率测试1!E10</f>
        <v>46205</v>
      </c>
    </row>
    <row r="9" ht="39.75" customHeight="1" spans="1:10">
      <c r="A9" s="65" t="s">
        <v>24</v>
      </c>
      <c r="B9" s="61" t="s">
        <v>10</v>
      </c>
      <c r="C9" s="66"/>
      <c r="D9" s="48" t="s">
        <v>25</v>
      </c>
      <c r="E9" s="41">
        <f>IFERROR(A股成交额换手率测试1!C9,"")</f>
        <v>3.84540364864079</v>
      </c>
      <c r="F9" s="50" t="str">
        <f>A股成交额换手率测试1!A9</f>
        <v>2026-07-03</v>
      </c>
      <c r="G9" s="67">
        <f t="shared" si="0"/>
        <v>-0.178652754112369</v>
      </c>
      <c r="H9" s="64">
        <f>IFERROR(A股成交额换手率测试1!C10,"")</f>
        <v>4.02405640275316</v>
      </c>
      <c r="I9" s="50" t="str">
        <f>A股成交额换手率测试1!A10</f>
        <v>2026-07-02</v>
      </c>
    </row>
    <row r="10" ht="39.75" customHeight="1" spans="1:10">
      <c r="A10" s="65" t="s">
        <v>26</v>
      </c>
      <c r="B10" s="61" t="s">
        <v>10</v>
      </c>
      <c r="C10" s="62" t="s">
        <v>27</v>
      </c>
      <c r="D10" s="53" t="s">
        <v>12</v>
      </c>
      <c r="E10" s="41">
        <f>IFERROR(LOOKUP(9.99E+307,指数走势!$F$8:$IM$8),"")</f>
        <v>23350.03</v>
      </c>
      <c r="F10" s="50">
        <f>IFERROR(LOOKUP(2,1/(指数走势!$F$8:$IM$8&lt;&gt;""),指数走势!$F$1:$IM$1),"")</f>
        <v>46206</v>
      </c>
      <c r="G10" s="63">
        <f ca="1" t="shared" si="0"/>
        <v>295</v>
      </c>
      <c r="H10" s="64">
        <f ca="1">IFERROR(LOOKUP(9.99E+307,OFFSET(指数走势!$F$8,0,0,1,LOOKUP(2,1/(指数走势!$F$8:$IM$8&lt;&gt;""),COLUMN(指数走势!$F$8:$IM$8))-COLUMN(指数走势!$F$8))),"")</f>
        <v>23055.03</v>
      </c>
      <c r="I10" s="50">
        <f>IFERROR(LOOKUP(2,1/(指数走势!$F$8:$IM$8&lt;&gt;"")/(指数走势!$F$1:$IM$1&lt;F10),指数走势!$F$1:$IM$1),"")</f>
        <v>46205</v>
      </c>
    </row>
    <row r="11" ht="39.75" customHeight="1" spans="1:10">
      <c r="A11" s="68" t="s">
        <v>28</v>
      </c>
      <c r="B11" s="69" t="s">
        <v>10</v>
      </c>
      <c r="C11" s="70" t="s">
        <v>29</v>
      </c>
      <c r="D11" s="71" t="s">
        <v>12</v>
      </c>
      <c r="E11" s="72">
        <f>IFERROR(LOOKUP(9.99E+307,指数走势!$F$3:$IM$3),"")</f>
        <v>4499</v>
      </c>
      <c r="F11" s="50">
        <f>IFERROR(LOOKUP(2,1/(指数走势!$F$3:$IM$3&lt;&gt;""),指数走势!$F$1:$IM$1),"")</f>
        <v>46206</v>
      </c>
      <c r="G11" s="73">
        <f ca="1" t="shared" si="0"/>
        <v>44.7200000000003</v>
      </c>
      <c r="H11" s="74">
        <f ca="1">IFERROR(LOOKUP(9.99E+307,OFFSET(指数走势!$F$3,0,0,1,LOOKUP(2,1/(指数走势!$F$3:$IM$3&lt;&gt;""),COLUMN(指数走势!$F$3:$IM$3))-COLUMN(指数走势!$F$3))),"")</f>
        <v>4454.28</v>
      </c>
      <c r="I11" s="50">
        <f>IFERROR(LOOKUP(2,1/(指数走势!$F$3:$IM$3&lt;&gt;"")/(指数走势!$F$1:$IM$1&lt;F11),指数走势!$F$1:$IM$1),"")</f>
        <v>46205</v>
      </c>
    </row>
    <row r="12" ht="39.75" customHeight="1" spans="1:10">
      <c r="A12" s="65" t="s">
        <v>30</v>
      </c>
      <c r="B12" s="61" t="s">
        <v>10</v>
      </c>
      <c r="C12" s="62"/>
      <c r="D12" s="53" t="s">
        <v>20</v>
      </c>
      <c r="E12" s="41">
        <f>IFERROR(A股成交额换手率测试1!P8+A股成交额换手率测试1!S8,"")</f>
        <v>39.264</v>
      </c>
      <c r="F12" s="50">
        <f>A股成交额换手率测试1!O8</f>
        <v>46206</v>
      </c>
      <c r="G12" s="63">
        <f t="shared" si="0"/>
        <v>56.3312</v>
      </c>
      <c r="H12" s="64">
        <f>IFERROR(A股成交额换手率测试1!P9+A股成交额换手率测试1!S9,"")</f>
        <v>-17.0672</v>
      </c>
      <c r="I12" s="50">
        <f>A股成交额换手率测试1!O9</f>
        <v>46205</v>
      </c>
      <c r="J12" s="75"/>
    </row>
    <row r="13" ht="39.75" customHeight="1" spans="1:10">
      <c r="A13" s="76" t="s">
        <v>31</v>
      </c>
      <c r="B13" s="61" t="s">
        <v>10</v>
      </c>
      <c r="C13" s="62"/>
      <c r="D13" s="55" t="s">
        <v>25</v>
      </c>
      <c r="E13" s="41">
        <f>IFERROR(LOOKUP(9.99E+307,指数走势!$F$17:$IM$17),"")</f>
        <v>0.32</v>
      </c>
      <c r="F13" s="50">
        <f>IFERROR(LOOKUP(2,1/(指数走势!$F$17:$IM$17&lt;&gt;""),指数走势!$F$1:$IM$1),"")</f>
        <v>46206</v>
      </c>
      <c r="G13" s="63">
        <f ca="1" t="shared" si="0"/>
        <v>-0.0707</v>
      </c>
      <c r="H13" s="64">
        <f ca="1">IFERROR(LOOKUP(9.99E+307,OFFSET(指数走势!$F$17,0,0,1,LOOKUP(2,1/(指数走势!$F$17:$IM$17&lt;&gt;""),COLUMN(指数走势!$F$17:$IM$17))-COLUMN(指数走势!$F$17))),"")</f>
        <v>0.3907</v>
      </c>
      <c r="I13" s="50">
        <f>IFERROR(LOOKUP(2,1/(指数走势!$F$17:$IM$17&lt;&gt;"")/(指数走势!$F$1:$IM$1&lt;F13),指数走势!$F$1:$IM$1),"")</f>
        <v>46205</v>
      </c>
      <c r="J13" s="75"/>
    </row>
    <row r="14" ht="39.75" customHeight="1" spans="1:10">
      <c r="A14" s="76" t="s">
        <v>32</v>
      </c>
      <c r="B14" s="76" t="s">
        <v>10</v>
      </c>
      <c r="C14" s="77" t="s">
        <v>33</v>
      </c>
      <c r="D14" s="38" t="s">
        <v>34</v>
      </c>
      <c r="E14" s="41">
        <f>IFERROR(LOOKUP(9.99E+307,宏观数据!$F$112:$UN$112)/100,"")</f>
        <v>3049.54</v>
      </c>
      <c r="F14" s="50">
        <f>IFERROR(LOOKUP(2,1/(宏观数据!$F$112:$UN$112&lt;&gt;""),宏观数据!$F$1:$UN$1),"")</f>
        <v>46206</v>
      </c>
      <c r="G14" s="63">
        <f ca="1" t="shared" si="0"/>
        <v>-646.79</v>
      </c>
      <c r="H14" s="64">
        <f ca="1">IFERROR(LOOKUP(9.99E+307,OFFSET(宏观数据!$F$112,0,0,1,LOOKUP(2,1/(宏观数据!$F$112:$UN$112&lt;&gt;""),COLUMN(宏观数据!$F$112:$UN$112))-COLUMN(宏观数据!$F$112)))/100,"")</f>
        <v>3696.33</v>
      </c>
      <c r="I14" s="50">
        <f>IFERROR(LOOKUP(2,1/(宏观数据!$F$112:$UN$112&lt;&gt;"")/(宏观数据!$F$1:$UN$1&lt;F14),宏观数据!$F$1:$UN$1),"")</f>
        <v>46205</v>
      </c>
      <c r="J14" s="75"/>
    </row>
    <row r="15" ht="39.75" customHeight="1" spans="1:10">
      <c r="A15" s="76" t="s">
        <v>35</v>
      </c>
      <c r="B15" t="s">
        <v>36</v>
      </c>
      <c r="C15" t="s">
        <v>37</v>
      </c>
      <c r="E15">
        <f>IFERROR(LOOKUP(9.99E+307,宏观数据!$F$86:$UN$86),"")</f>
        <v>285.2384</v>
      </c>
      <c r="F15" s="50">
        <f>IFERROR(LOOKUP(2,1/(宏观数据!$F$86:$UN$86&lt;&gt;""),宏观数据!$F$1:$UN$1),"")</f>
        <v>46203</v>
      </c>
      <c r="G15">
        <f ca="1" t="shared" si="0"/>
        <v>9.65539999999999</v>
      </c>
      <c r="H15">
        <f ca="1">IFERROR(LOOKUP(9.99E+307,OFFSET(宏观数据!$F$86,0,0,1,LOOKUP(2,1/(宏观数据!$F$86:$UN$86&lt;&gt;""),COLUMN(宏观数据!$F$86:$UN$86))-COLUMN(宏观数据!$F$86))),"")</f>
        <v>275.583</v>
      </c>
      <c r="I15" s="50">
        <f>IFERROR(LOOKUP(2,1/(宏观数据!$F$86:$UN$86&lt;&gt;"")/(宏观数据!$F$1:$UN$1&lt;F15),宏观数据!$F$1:$UN$1),"")</f>
        <v>46173</v>
      </c>
    </row>
    <row r="16" ht="39.75" customHeight="1" spans="1:10">
      <c r="A16" s="65" t="s">
        <v>38</v>
      </c>
      <c r="B16" s="61" t="s">
        <v>10</v>
      </c>
      <c r="C16" s="66" t="s">
        <v>39</v>
      </c>
      <c r="D16" s="53" t="s">
        <v>12</v>
      </c>
      <c r="E16" s="41">
        <f>IFERROR(LOOKUP(9.99E+307,指数走势!$F$9:$IM$9),"")</f>
        <v>132.836</v>
      </c>
      <c r="F16" s="50">
        <f>IFERROR(LOOKUP(2,1/(指数走势!$F$9:$IM$9&lt;&gt;""),指数走势!$F$1:$IM$1),"")</f>
        <v>46206</v>
      </c>
      <c r="G16" s="67">
        <f ca="1" t="shared" si="0"/>
        <v>-0.405999999999977</v>
      </c>
      <c r="H16" s="64">
        <f ca="1">IFERROR(LOOKUP(9.99E+307,OFFSET(指数走势!$F$9,0,0,1,LOOKUP(2,1/(指数走势!$F$9:$IM$9&lt;&gt;""),COLUMN(指数走势!$F$9:$IM$9))-COLUMN(指数走势!$F$9))),"")</f>
        <v>133.242</v>
      </c>
      <c r="I16" s="50">
        <f>IFERROR(LOOKUP(2,1/(指数走势!$F$9:$IM$9&lt;&gt;"")/(指数走势!$F$1:$IM$1&lt;F16),指数走势!$F$1:$IM$1),"")</f>
        <v>46205</v>
      </c>
    </row>
    <row r="17" ht="39.75" customHeight="1" spans="1:9">
      <c r="A17" s="37" t="s">
        <v>40</v>
      </c>
      <c r="B17" s="61" t="s">
        <v>10</v>
      </c>
      <c r="C17" s="66" t="s">
        <v>41</v>
      </c>
      <c r="D17" s="53" t="s">
        <v>20</v>
      </c>
      <c r="E17" s="41">
        <f>IFERROR(LOOKUP(2,1/(A股成交额换手率测试1!$AD$7:$AD$400&lt;&gt;""),A股成交额换手率测试1!$AD$7:$AD$400)/100000000,"")</f>
        <v>-81.4420325301452</v>
      </c>
      <c r="F17" s="50">
        <f ca="1">IFERROR(LOOKUP(2,1/(A股成交额换手率测试1!$AD$7:$AD$400&lt;&gt;""),A股成交额换手率测试1!$AC$7:$AC$400),"")</f>
        <v>46206</v>
      </c>
      <c r="G17" s="67">
        <f t="shared" si="0"/>
        <v>-370.195649326923</v>
      </c>
      <c r="H17" s="64">
        <f>IFERROR(LOOKUP(2,1/(A股成交额换手率测试1!$AD$7:$AD$400&lt;&gt;"")/(ROW(A股成交额换手率测试1!$AD$7:$AD$400)&lt;LOOKUP(2,1/(A股成交额换手率测试1!$AD$7:$AD$400&lt;&gt;""),ROW(A股成交额换手率测试1!$AD$7:$AD$400))),A股成交额换手率测试1!$AD$7:$AD$400)/100000000,"")</f>
        <v>288.753616796778</v>
      </c>
      <c r="I17" s="50">
        <f ca="1">IFERROR(LOOKUP(2,1/(A股成交额换手率测试1!$AD$7:$AD$400&lt;&gt;"")/(ROW(A股成交额换手率测试1!$AD$7:$AD$400)&lt;LOOKUP(2,1/(A股成交额换手率测试1!$AD$7:$AD$400&lt;&gt;""),ROW(A股成交额换手率测试1!$AD$7:$AD$400))),A股成交额换手率测试1!$AC$7:$AC$400),"")</f>
        <v>46205</v>
      </c>
    </row>
    <row r="18" ht="39.75" customHeight="1" spans="1:9">
      <c r="A18" s="78" t="s">
        <v>42</v>
      </c>
      <c r="B18" s="61" t="s">
        <v>10</v>
      </c>
      <c r="C18" s="66" t="s">
        <v>11</v>
      </c>
      <c r="D18" s="53" t="s">
        <v>43</v>
      </c>
      <c r="E18" s="79">
        <f ca="1">IFERROR(LOOKUP(2,1/(指数走势!$F$32:$ACK$32&lt;=$F$2)/(指数走势!$F$33:$ACK$33&lt;&gt;""),指数走势!$F$33:$ACK$33),"")</f>
        <v>16.9409999847412</v>
      </c>
      <c r="F18" s="50">
        <f ca="1">IFERROR(LOOKUP(2,1/(指数走势!$F$32:$ACK$32&lt;=$F$2)/(指数走势!$F$33:$ACK$33&lt;&gt;""),指数走势!$F$32:$ACK$32),"")</f>
        <v>46206</v>
      </c>
      <c r="G18" s="80">
        <f ca="1" t="shared" si="0"/>
        <v>0.0622005462646484</v>
      </c>
      <c r="H18" s="81">
        <f ca="1">IFERROR(LOOKUP(2,1/(指数走势!$F$32:$ACK$32&lt;F18)/(指数走势!$F$33:$ACK$33&lt;&gt;""),指数走势!$F$33:$ACK$33),"")</f>
        <v>16.8787994384766</v>
      </c>
      <c r="I18" s="50">
        <f ca="1">IFERROR(LOOKUP(2,1/(指数走势!$F$32:$ACK$32&lt;F18)/(指数走势!$F$33:$ACK$33&lt;&gt;""),指数走势!$F$32:$ACK$32),"")</f>
        <v>46205</v>
      </c>
    </row>
    <row r="19" ht="39.75" customHeight="1" spans="1:9">
      <c r="A19" s="78" t="s">
        <v>44</v>
      </c>
      <c r="B19" s="61" t="s">
        <v>10</v>
      </c>
      <c r="C19" s="66" t="s">
        <v>14</v>
      </c>
      <c r="D19" s="53" t="s">
        <v>43</v>
      </c>
      <c r="E19" s="79">
        <f>IFERROR(LOOKUP(2,1/(指数走势!$F$32:$ACK$32&lt;=$F$3)/(指数走势!$F$34:$ACK$34&lt;&gt;""),指数走势!$F$34:$ACK$34),"")</f>
        <v>37.1804008483887</v>
      </c>
      <c r="F19" s="50">
        <f>IFERROR(LOOKUP(2,1/(指数走势!$F$32:$ACK$32&lt;=$F$3)/(指数走势!$F$34:$ACK$34&lt;&gt;""),指数走势!$F$32:$ACK$32),"")</f>
        <v>46206</v>
      </c>
      <c r="G19" s="80">
        <f t="shared" si="0"/>
        <v>0.319999694824219</v>
      </c>
      <c r="H19" s="81">
        <f>IFERROR(LOOKUP(2,1/(指数走势!$F$32:$ACK$32&lt;F19)/(指数走势!$F$34:$ACK$34&lt;&gt;""),指数走势!$F$34:$ACK$34),"")</f>
        <v>36.8604011535645</v>
      </c>
      <c r="I19" s="50">
        <f>IFERROR(LOOKUP(2,1/(指数走势!$F$32:$ACK$32&lt;F19)/(指数走势!$F$34:$ACK$34&lt;&gt;""),指数走势!$F$32:$ACK$32),"")</f>
        <v>46205</v>
      </c>
    </row>
    <row r="20" ht="39.75" customHeight="1" spans="1:9">
      <c r="A20" s="78" t="s">
        <v>45</v>
      </c>
      <c r="B20" s="61" t="s">
        <v>10</v>
      </c>
      <c r="C20" s="66" t="s">
        <v>16</v>
      </c>
      <c r="D20" s="53" t="s">
        <v>43</v>
      </c>
      <c r="E20" s="79">
        <f>IFERROR(LOOKUP(2,1/(指数走势!$F$32:$ACK$32&lt;=$F$4)/(指数走势!$F$35:$ACK$35&lt;&gt;""),指数走势!$F$35:$ACK$35),"")</f>
        <v>14.3227996826172</v>
      </c>
      <c r="F20" s="50">
        <f>IFERROR(LOOKUP(2,1/(指数走势!$F$32:$ACK$32&lt;=$F$4)/(指数走势!$F$35:$ACK$35&lt;&gt;""),指数走势!$F$32:$ACK$32),"")</f>
        <v>46206</v>
      </c>
      <c r="G20" s="80">
        <f t="shared" si="0"/>
        <v>0.0854997634887695</v>
      </c>
      <c r="H20" s="81">
        <f>IFERROR(LOOKUP(2,1/(指数走势!$F$32:$ACK$32&lt;F20)/(指数走势!$F$35:$ACK$35&lt;&gt;""),指数走势!$F$35:$ACK$35),"")</f>
        <v>14.2372999191284</v>
      </c>
      <c r="I20" s="50">
        <f>IFERROR(LOOKUP(2,1/(指数走势!$F$32:$ACK$32&lt;F20)/(指数走势!$F$35:$ACK$35&lt;&gt;""),指数走势!$F$32:$ACK$32),"")</f>
        <v>46205</v>
      </c>
    </row>
    <row r="21" ht="39.75" customHeight="1" spans="1:9">
      <c r="A21" s="78" t="s">
        <v>46</v>
      </c>
      <c r="B21" s="61" t="s">
        <v>10</v>
      </c>
      <c r="C21" s="66" t="s">
        <v>18</v>
      </c>
      <c r="D21" s="53" t="s">
        <v>43</v>
      </c>
      <c r="E21" s="79">
        <f>IFERROR(LOOKUP(2,1/(指数走势!$F$32:$ACK$32&lt;=$F$5)/(指数走势!$F$36:$ACK$36&lt;&gt;""),指数走势!$F$36:$ACK$36),"")</f>
        <v>51.1865997314453</v>
      </c>
      <c r="F21" s="50">
        <f>IFERROR(LOOKUP(2,1/(指数走势!$F$32:$ACK$32&lt;=$F$5)/(指数走势!$F$36:$ACK$36&lt;&gt;""),指数走势!$F$32:$ACK$32),"")</f>
        <v>46206</v>
      </c>
      <c r="G21" s="80">
        <f t="shared" si="0"/>
        <v>0.113700866699219</v>
      </c>
      <c r="H21" s="81">
        <f>IFERROR(LOOKUP(2,1/(指数走势!$F$32:$ACK$32&lt;F21)/(指数走势!$F$36:$ACK$36&lt;&gt;""),指数走势!$F$36:$ACK$36),"")</f>
        <v>51.0728988647461</v>
      </c>
      <c r="I21" s="50">
        <f>IFERROR(LOOKUP(2,1/(指数走势!$F$32:$ACK$32&lt;F21)/(指数走势!$F$36:$ACK$36&lt;&gt;""),指数走势!$F$32:$ACK$32),"")</f>
        <v>46205</v>
      </c>
    </row>
    <row r="22" ht="39.75" customHeight="1" spans="1:9">
      <c r="A22" s="78" t="s">
        <v>47</v>
      </c>
      <c r="B22" s="61" t="s">
        <v>10</v>
      </c>
      <c r="C22" s="66" t="s">
        <v>27</v>
      </c>
      <c r="D22" s="53" t="s">
        <v>43</v>
      </c>
      <c r="E22" s="79">
        <f>IFERROR(LOOKUP(2,1/(指数走势!$F$32:$ACK$32&lt;=$F$10)/(指数走势!$F$37:$ACK$37&lt;&gt;""),指数走势!$F$37:$ACK$37),"")</f>
        <v>11.289400100708</v>
      </c>
      <c r="F22" s="50">
        <f>IFERROR(LOOKUP(2,1/(指数走势!$F$32:$ACK$32&lt;=$F$10)/(指数走势!$F$37:$ACK$37&lt;&gt;""),指数走势!$F$32:$ACK$32),"")</f>
        <v>46206</v>
      </c>
      <c r="G22" s="80">
        <f t="shared" si="0"/>
        <v>0.127200126647949</v>
      </c>
      <c r="H22" s="81">
        <f>IFERROR(LOOKUP(2,1/(指数走势!$F$32:$ACK$32&lt;F22)/(指数走势!$F$37:$ACK$37&lt;&gt;""),指数走势!$F$37:$ACK$37),"")</f>
        <v>11.1621999740601</v>
      </c>
      <c r="I22" s="50">
        <f>IFERROR(LOOKUP(2,1/(指数走势!$F$32:$ACK$32&lt;F22)/(指数走势!$F$37:$ACK$37&lt;&gt;""),指数走势!$F$32:$ACK$32),"")</f>
        <v>46205</v>
      </c>
    </row>
    <row r="23" ht="39.75" customHeight="1" spans="1:9">
      <c r="A23" s="78" t="s">
        <v>48</v>
      </c>
      <c r="B23" s="61" t="s">
        <v>10</v>
      </c>
      <c r="C23" s="66" t="s">
        <v>29</v>
      </c>
      <c r="D23" s="53" t="s">
        <v>43</v>
      </c>
      <c r="E23" s="79">
        <f>IFERROR(LOOKUP(2,1/(指数走势!$F$32:$ACK$32&lt;=$F$11)/(指数走势!$F$38:$ACK$38&lt;&gt;""),指数走势!$F$38:$ACK$38),"")</f>
        <v>21.8528995513916</v>
      </c>
      <c r="F23" s="50">
        <f>IFERROR(LOOKUP(2,1/(指数走势!$F$32:$ACK$32&lt;=$F$11)/(指数走势!$F$38:$ACK$38&lt;&gt;""),指数走势!$F$32:$ACK$32),"")</f>
        <v>46206</v>
      </c>
      <c r="G23" s="80">
        <f t="shared" si="0"/>
        <v>0.174798965454102</v>
      </c>
      <c r="H23" s="81">
        <f>IFERROR(LOOKUP(2,1/(指数走势!$F$32:$ACK$32&lt;F23)/(指数走势!$F$38:$ACK$38&lt;&gt;""),指数走势!$F$38:$ACK$38),"")</f>
        <v>21.6781005859375</v>
      </c>
      <c r="I23" s="50">
        <f>IFERROR(LOOKUP(2,1/(指数走势!$F$32:$ACK$32&lt;F23)/(指数走势!$F$38:$ACK$38&lt;&gt;""),指数走势!$F$32:$ACK$32),"")</f>
        <v>46205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28"/>
  <sheetViews>
    <sheetView topLeftCell="A62" workbookViewId="0">
      <selection activeCell="I14" sqref="I14"/>
    </sheetView>
  </sheetViews>
  <sheetFormatPr defaultColWidth="8.72972972972973" defaultRowHeight="14.1"/>
  <cols>
    <col min="1" max="2" width="24.9099099099099" style="4" customWidth="1"/>
    <col min="6" max="6" width="9.90990990990991" style="4" customWidth="1"/>
    <col min="9" max="9" width="11.8198198198198" style="4" customWidth="1"/>
    <col min="10" max="10" width="18" style="4" customWidth="1"/>
  </cols>
  <sheetData>
    <row r="1" ht="13.5" customHeight="1" spans="1:10">
      <c r="A1" s="37"/>
      <c r="B1" s="38" t="s">
        <v>0</v>
      </c>
      <c r="C1" s="39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4" t="s">
        <v>6</v>
      </c>
      <c r="I1" s="44" t="s">
        <v>7</v>
      </c>
      <c r="J1" s="45" t="s">
        <v>8</v>
      </c>
    </row>
    <row r="2" ht="39.75" customHeight="1" spans="1:10">
      <c r="A2" s="37" t="s">
        <v>49</v>
      </c>
      <c r="B2" s="61" t="s">
        <v>10</v>
      </c>
      <c r="C2" s="62" t="s">
        <v>50</v>
      </c>
      <c r="D2" s="55" t="s">
        <v>25</v>
      </c>
      <c r="E2" s="41">
        <f>IFERROR(LOOKUP(9.99E+307,宏观数据!$F$43:$UN$43),"")</f>
        <v>1.1365</v>
      </c>
      <c r="F2" s="50">
        <f>IFERROR(LOOKUP(2,1/(宏观数据!$F$43:$UN$43&lt;&gt;""),宏观数据!$F$1:$UN$1),"")</f>
        <v>46206</v>
      </c>
      <c r="G2" s="63">
        <f ca="1" t="shared" ref="G2:G28" si="0">IFERROR(E2-H2,"")</f>
        <v>0.00290000000000012</v>
      </c>
      <c r="H2" s="64">
        <f ca="1">IFERROR(LOOKUP(9.99E+307,OFFSET(宏观数据!$F$43,0,0,1,LOOKUP(2,1/(宏观数据!$F$43:$UN$43&lt;&gt;""),COLUMN(宏观数据!$F$43:$UN$43))-COLUMN(宏观数据!$F$43))),"")</f>
        <v>1.1336</v>
      </c>
      <c r="I2" s="50">
        <f>IFERROR(LOOKUP(2,1/(宏观数据!$F$43:$UN$43&lt;&gt;"")/(宏观数据!$F$1:$UN$1&lt;F2),宏观数据!$F$1:$UN$1),"")</f>
        <v>46205</v>
      </c>
    </row>
    <row r="3" ht="39.75" customHeight="1" spans="1:10">
      <c r="A3" s="37" t="s">
        <v>51</v>
      </c>
      <c r="B3" s="61" t="s">
        <v>10</v>
      </c>
      <c r="C3" s="62" t="s">
        <v>52</v>
      </c>
      <c r="D3" s="48" t="s">
        <v>25</v>
      </c>
      <c r="E3" s="41">
        <f>IFERROR(LOOKUP(9.99E+307,宏观数据!$F$52:$UN$52),"")</f>
        <v>1.7463</v>
      </c>
      <c r="F3" s="50">
        <f>IFERROR(LOOKUP(2,1/(宏观数据!$F$52:$UN$52&lt;&gt;""),宏观数据!$F$1:$UN$1),"")</f>
        <v>46206</v>
      </c>
      <c r="G3" s="63">
        <f ca="1" t="shared" si="0"/>
        <v>0.00529999999999986</v>
      </c>
      <c r="H3" s="64">
        <f ca="1">IFERROR(LOOKUP(9.99E+307,OFFSET(宏观数据!$F$52,0,0,1,LOOKUP(2,1/(宏观数据!$F$52:$UN$52&lt;&gt;""),COLUMN(宏观数据!$F$52:$UN$52))-COLUMN(宏观数据!$F$52))),"")</f>
        <v>1.741</v>
      </c>
      <c r="I3" s="50">
        <f>IFERROR(LOOKUP(2,1/(宏观数据!$F$52:$UN$52&lt;&gt;"")/(宏观数据!$F$1:$UN$1&lt;F3),宏观数据!$F$1:$UN$1),"")</f>
        <v>46205</v>
      </c>
    </row>
    <row r="4" ht="39.75" customHeight="1" spans="1:10">
      <c r="A4" s="65" t="s">
        <v>53</v>
      </c>
      <c r="B4" s="61" t="s">
        <v>10</v>
      </c>
      <c r="C4" s="62"/>
      <c r="D4" s="48" t="s">
        <v>54</v>
      </c>
      <c r="E4" s="41">
        <f>IFERROR((E3-E2)*100,"")</f>
        <v>60.98</v>
      </c>
      <c r="F4" s="50">
        <f>F2</f>
        <v>46206</v>
      </c>
      <c r="G4" s="63">
        <f ca="1" t="shared" si="0"/>
        <v>0.239999999999974</v>
      </c>
      <c r="H4" s="64">
        <f ca="1">IFERROR((H3-H2)*100,"")</f>
        <v>60.74</v>
      </c>
      <c r="I4" s="50">
        <f>I2</f>
        <v>46205</v>
      </c>
    </row>
    <row r="5" ht="39.75" customHeight="1" spans="1:10">
      <c r="A5" s="65" t="s">
        <v>55</v>
      </c>
      <c r="B5" s="61" t="s">
        <v>10</v>
      </c>
      <c r="C5" s="62"/>
      <c r="D5" s="48" t="s">
        <v>54</v>
      </c>
      <c r="E5" s="41">
        <f>IFERROR((LOOKUP(9.99E+307,宏观数据!$F$55:$UN$55)-LOOKUP(9.99E+307,宏观数据!$F$54:$UN$54))*100,"")</f>
        <v>30.06</v>
      </c>
      <c r="F5" s="50">
        <f>IFERROR(LOOKUP(2,1/(宏观数据!$F$55:$UN$55&lt;&gt;""),宏观数据!$F$1:$UN$1),"")</f>
        <v>46206</v>
      </c>
      <c r="G5" s="63">
        <f ca="1" t="shared" si="0"/>
        <v>-0.419999999999998</v>
      </c>
      <c r="H5" s="64">
        <f ca="1">IFERROR((LOOKUP(9.99E+307,OFFSET(宏观数据!$F$55,0,0,1,LOOKUP(2,1/(宏观数据!$F$55:$UN$55&lt;&gt;""),COLUMN(宏观数据!$F$55:$UN$55))-COLUMN(宏观数据!$F$55)))-LOOKUP(9.99E+307,OFFSET(宏观数据!$F$54,0,0,1,LOOKUP(2,1/(宏观数据!$F$54:$UN$54&lt;&gt;""),COLUMN(宏观数据!$F$54:$UN$54))-COLUMN(宏观数据!$F$54))))*100,"")</f>
        <v>30.48</v>
      </c>
      <c r="I5" s="50">
        <f>I3</f>
        <v>46205</v>
      </c>
    </row>
    <row r="6" spans="1:10">
      <c r="A6" t="s">
        <v>56</v>
      </c>
      <c r="B6" t="s">
        <v>36</v>
      </c>
      <c r="C6" t="s">
        <v>57</v>
      </c>
      <c r="D6" t="s">
        <v>25</v>
      </c>
      <c r="E6">
        <f>IFERROR(LOOKUP(9.99E+307,宏观数据!$F$37:$UN$37),"")</f>
        <v>8.4</v>
      </c>
      <c r="F6" s="50">
        <f>IFERROR(LOOKUP(2,1/(宏观数据!$F$37:$UN$37&lt;&gt;""),宏观数据!$F$1:$UN$1),"")</f>
        <v>46173</v>
      </c>
      <c r="G6">
        <f ca="1" t="shared" si="0"/>
        <v>0.0999999999999996</v>
      </c>
      <c r="H6">
        <f ca="1">IFERROR(LOOKUP(9.99E+307,OFFSET(宏观数据!$F$37,0,0,1,LOOKUP(2,1/(宏观数据!$F$37:$UN$37&lt;&gt;""),COLUMN(宏观数据!$F$37:$UN$37))-COLUMN(宏观数据!$F$37))),"")</f>
        <v>8.3</v>
      </c>
      <c r="I6" s="50">
        <f>IFERROR(LOOKUP(2,1/(宏观数据!$F$37:$UN$37&lt;&gt;"")/(宏观数据!$F$1:$UN$1&lt;F6),宏观数据!$F$1:$UN$1),"")</f>
        <v>46142</v>
      </c>
    </row>
    <row r="7" spans="1:10">
      <c r="A7" t="s">
        <v>58</v>
      </c>
      <c r="B7" t="s">
        <v>10</v>
      </c>
      <c r="C7" t="s">
        <v>59</v>
      </c>
      <c r="D7" t="s">
        <v>25</v>
      </c>
      <c r="E7">
        <f>IFERROR(LOOKUP(9.99E+307,宏观数据!$F$44:$UN$44),"")</f>
        <v>1.2473</v>
      </c>
      <c r="F7" s="50">
        <f>IFERROR(LOOKUP(2,1/(宏观数据!$F$44:$UN$44&lt;&gt;""),宏观数据!$F$1:$UN$1),"")</f>
        <v>46206</v>
      </c>
      <c r="G7">
        <f ca="1" t="shared" si="0"/>
        <v>0.000199999999999978</v>
      </c>
      <c r="H7">
        <f ca="1">IFERROR(LOOKUP(9.99E+307,OFFSET(宏观数据!$F$44,0,0,1,LOOKUP(2,1/(宏观数据!$F$44:$UN$44&lt;&gt;""),COLUMN(宏观数据!$F$44:$UN$44))-COLUMN(宏观数据!$F$44))),"")</f>
        <v>1.2471</v>
      </c>
      <c r="I7" s="50">
        <f>IFERROR(LOOKUP(2,1/(宏观数据!$F$44:$UN$44&lt;&gt;"")/(宏观数据!$F$1:$UN$1&lt;F7),宏观数据!$F$1:$UN$1),"")</f>
        <v>46205</v>
      </c>
    </row>
    <row r="8" spans="1:10">
      <c r="A8" t="s">
        <v>60</v>
      </c>
      <c r="B8" t="s">
        <v>10</v>
      </c>
      <c r="C8" t="s">
        <v>61</v>
      </c>
      <c r="D8" t="s">
        <v>25</v>
      </c>
      <c r="E8">
        <f>IFERROR(LOOKUP(9.99E+307,宏观数据!$F$45:$UN$45),"")</f>
        <v>1.2901</v>
      </c>
      <c r="F8" s="50">
        <f>IFERROR(LOOKUP(2,1/(宏观数据!$F$45:$UN$45&lt;&gt;""),宏观数据!$F$1:$UN$1),"")</f>
        <v>46206</v>
      </c>
      <c r="G8">
        <f ca="1" t="shared" si="0"/>
        <v>-0.00259999999999994</v>
      </c>
      <c r="H8">
        <f ca="1">IFERROR(LOOKUP(9.99E+307,OFFSET(宏观数据!$F$45,0,0,1,LOOKUP(2,1/(宏观数据!$F$45:$UN$45&lt;&gt;""),COLUMN(宏观数据!$F$45:$UN$45))-COLUMN(宏观数据!$F$45))),"")</f>
        <v>1.2927</v>
      </c>
      <c r="I8" s="50">
        <f>IFERROR(LOOKUP(2,1/(宏观数据!$F$45:$UN$45&lt;&gt;"")/(宏观数据!$F$1:$UN$1&lt;F8),宏观数据!$F$1:$UN$1),"")</f>
        <v>46205</v>
      </c>
    </row>
    <row r="9" spans="1:10">
      <c r="A9" t="s">
        <v>62</v>
      </c>
      <c r="B9" t="s">
        <v>10</v>
      </c>
      <c r="C9" t="s">
        <v>63</v>
      </c>
      <c r="D9" t="s">
        <v>25</v>
      </c>
      <c r="E9">
        <f>IFERROR(LOOKUP(9.99E+307,宏观数据!$F$46:$UN$46),"")</f>
        <v>1.4701</v>
      </c>
      <c r="F9" s="50">
        <f>IFERROR(LOOKUP(2,1/(宏观数据!$F$46:$UN$46&lt;&gt;""),宏观数据!$F$1:$UN$1),"")</f>
        <v>46206</v>
      </c>
      <c r="G9">
        <f ca="1" t="shared" si="0"/>
        <v>-0.00300000000000011</v>
      </c>
      <c r="H9">
        <f ca="1">IFERROR(LOOKUP(9.99E+307,OFFSET(宏观数据!$F$46,0,0,1,LOOKUP(2,1/(宏观数据!$F$46:$UN$46&lt;&gt;""),COLUMN(宏观数据!$F$46:$UN$46))-COLUMN(宏观数据!$F$46))),"")</f>
        <v>1.4731</v>
      </c>
      <c r="I9" s="50">
        <f>IFERROR(LOOKUP(2,1/(宏观数据!$F$46:$UN$46&lt;&gt;"")/(宏观数据!$F$1:$UN$1&lt;F9),宏观数据!$F$1:$UN$1),"")</f>
        <v>46205</v>
      </c>
    </row>
    <row r="10" spans="1:10">
      <c r="A10" t="s">
        <v>64</v>
      </c>
      <c r="B10" t="s">
        <v>10</v>
      </c>
      <c r="C10" t="s">
        <v>65</v>
      </c>
      <c r="D10" t="s">
        <v>25</v>
      </c>
      <c r="E10">
        <f>IFERROR(LOOKUP(9.99E+307,宏观数据!$F$47:$UN$47),"")</f>
        <v>1.3566</v>
      </c>
      <c r="F10" s="50">
        <f>IFERROR(LOOKUP(2,1/(宏观数据!$F$47:$UN$47&lt;&gt;""),宏观数据!$F$1:$UN$1),"")</f>
        <v>46206</v>
      </c>
      <c r="G10">
        <f ca="1" t="shared" si="0"/>
        <v>-0.00499999999999989</v>
      </c>
      <c r="H10">
        <f ca="1">IFERROR(LOOKUP(9.99E+307,OFFSET(宏观数据!$F$47,0,0,1,LOOKUP(2,1/(宏观数据!$F$47:$UN$47&lt;&gt;""),COLUMN(宏观数据!$F$47:$UN$47))-COLUMN(宏观数据!$F$47))),"")</f>
        <v>1.3616</v>
      </c>
      <c r="I10" s="50">
        <f>IFERROR(LOOKUP(2,1/(宏观数据!$F$47:$UN$47&lt;&gt;"")/(宏观数据!$F$1:$UN$1&lt;F10),宏观数据!$F$1:$UN$1),"")</f>
        <v>46205</v>
      </c>
    </row>
    <row r="11" spans="1:10">
      <c r="A11" t="s">
        <v>66</v>
      </c>
      <c r="B11" t="s">
        <v>10</v>
      </c>
      <c r="C11" t="s">
        <v>67</v>
      </c>
      <c r="D11" t="s">
        <v>25</v>
      </c>
      <c r="E11">
        <f>IFERROR(LOOKUP(9.99E+307,宏观数据!$F$48:$UN$48),"")</f>
        <v>1.505</v>
      </c>
      <c r="F11" s="50">
        <f>IFERROR(LOOKUP(2,1/(宏观数据!$F$48:$UN$48&lt;&gt;""),宏观数据!$F$1:$UN$1),"")</f>
        <v>46206</v>
      </c>
      <c r="G11">
        <f ca="1" t="shared" si="0"/>
        <v>0</v>
      </c>
      <c r="H11">
        <f ca="1">IFERROR(LOOKUP(9.99E+307,OFFSET(宏观数据!$F$48,0,0,1,LOOKUP(2,1/(宏观数据!$F$48:$UN$48&lt;&gt;""),COLUMN(宏观数据!$F$48:$UN$48))-COLUMN(宏观数据!$F$48))),"")</f>
        <v>1.505</v>
      </c>
      <c r="I11" s="50">
        <f>IFERROR(LOOKUP(2,1/(宏观数据!$F$48:$UN$48&lt;&gt;"")/(宏观数据!$F$1:$UN$1&lt;F11),宏观数据!$F$1:$UN$1),"")</f>
        <v>46205</v>
      </c>
    </row>
    <row r="12" spans="1:10">
      <c r="A12" t="s">
        <v>68</v>
      </c>
      <c r="B12" t="s">
        <v>10</v>
      </c>
      <c r="C12" t="s">
        <v>69</v>
      </c>
      <c r="D12" t="s">
        <v>25</v>
      </c>
      <c r="E12">
        <f>IFERROR(LOOKUP(9.99E+307,宏观数据!$F$49:$UN$49),"")</f>
        <v>1.5297</v>
      </c>
      <c r="F12" s="50">
        <f>IFERROR(LOOKUP(2,1/(宏观数据!$F$49:$UN$49&lt;&gt;""),宏观数据!$F$1:$UN$1),"")</f>
        <v>46206</v>
      </c>
      <c r="G12">
        <f ca="1" t="shared" si="0"/>
        <v>-0.00190000000000001</v>
      </c>
      <c r="H12">
        <f ca="1">IFERROR(LOOKUP(9.99E+307,OFFSET(宏观数据!$F$49,0,0,1,LOOKUP(2,1/(宏观数据!$F$49:$UN$49&lt;&gt;""),COLUMN(宏观数据!$F$49:$UN$49))-COLUMN(宏观数据!$F$49))),"")</f>
        <v>1.5316</v>
      </c>
      <c r="I12" s="50">
        <f>IFERROR(LOOKUP(2,1/(宏观数据!$F$49:$UN$49&lt;&gt;"")/(宏观数据!$F$1:$UN$1&lt;F12),宏观数据!$F$1:$UN$1),"")</f>
        <v>46205</v>
      </c>
    </row>
    <row r="13" spans="1:10">
      <c r="A13" t="s">
        <v>70</v>
      </c>
      <c r="B13" t="s">
        <v>10</v>
      </c>
      <c r="C13" t="s">
        <v>71</v>
      </c>
      <c r="D13" t="s">
        <v>25</v>
      </c>
      <c r="E13">
        <f>IFERROR(LOOKUP(9.99E+307,宏观数据!$F$50:$UN$50),"")</f>
        <v>1.6675</v>
      </c>
      <c r="F13" s="50">
        <f>IFERROR(LOOKUP(2,1/(宏观数据!$F$50:$UN$50&lt;&gt;""),宏观数据!$F$1:$UN$1),"")</f>
        <v>46206</v>
      </c>
      <c r="G13">
        <f ca="1" t="shared" si="0"/>
        <v>0.00429999999999997</v>
      </c>
      <c r="H13">
        <f ca="1">IFERROR(LOOKUP(9.99E+307,OFFSET(宏观数据!$F$50,0,0,1,LOOKUP(2,1/(宏观数据!$F$50:$UN$50&lt;&gt;""),COLUMN(宏观数据!$F$50:$UN$50))-COLUMN(宏观数据!$F$50))),"")</f>
        <v>1.6632</v>
      </c>
      <c r="I13" s="50">
        <f>IFERROR(LOOKUP(2,1/(宏观数据!$F$50:$UN$50&lt;&gt;"")/(宏观数据!$F$1:$UN$1&lt;F13),宏观数据!$F$1:$UN$1),"")</f>
        <v>46205</v>
      </c>
    </row>
    <row r="14" spans="1:10">
      <c r="A14" t="s">
        <v>72</v>
      </c>
      <c r="B14" t="s">
        <v>10</v>
      </c>
      <c r="C14" t="s">
        <v>73</v>
      </c>
      <c r="D14" t="s">
        <v>25</v>
      </c>
      <c r="E14">
        <f>IFERROR(LOOKUP(9.99E+307,宏观数据!$F$51:$UN$51),"")</f>
        <v>1.643</v>
      </c>
      <c r="F14" s="50">
        <f>IFERROR(LOOKUP(2,1/(宏观数据!$F$51:$UN$51&lt;&gt;""),宏观数据!$F$1:$UN$1),"")</f>
        <v>46206</v>
      </c>
      <c r="G14">
        <f ca="1" t="shared" si="0"/>
        <v>0</v>
      </c>
      <c r="H14">
        <f ca="1">IFERROR(LOOKUP(9.99E+307,OFFSET(宏观数据!$F$51,0,0,1,LOOKUP(2,1/(宏观数据!$F$51:$UN$51&lt;&gt;""),COLUMN(宏观数据!$F$51:$UN$51))-COLUMN(宏观数据!$F$51))),"")</f>
        <v>1.643</v>
      </c>
      <c r="I14" s="50">
        <f>IFERROR(LOOKUP(2,1/(宏观数据!$F$51:$UN$51&lt;&gt;"")/(宏观数据!$F$1:$UN$1&lt;F14),宏观数据!$F$1:$UN$1),"")</f>
        <v>46205</v>
      </c>
    </row>
    <row r="15" spans="1:10">
      <c r="A15" t="s">
        <v>74</v>
      </c>
      <c r="B15" t="s">
        <v>10</v>
      </c>
      <c r="C15" t="s">
        <v>75</v>
      </c>
      <c r="D15" t="s">
        <v>25</v>
      </c>
      <c r="E15">
        <f>IFERROR(LOOKUP(9.99E+307,宏观数据!$F$53:$UN$53),"")</f>
        <v>2.2685</v>
      </c>
      <c r="F15" s="50">
        <f>IFERROR(LOOKUP(2,1/(宏观数据!$F$53:$UN$53&lt;&gt;""),宏观数据!$F$1:$UN$1),"")</f>
        <v>46206</v>
      </c>
      <c r="G15">
        <f ca="1" t="shared" si="0"/>
        <v>0.0105</v>
      </c>
      <c r="H15">
        <f ca="1">IFERROR(LOOKUP(9.99E+307,OFFSET(宏观数据!$F$53,0,0,1,LOOKUP(2,1/(宏观数据!$F$53:$UN$53&lt;&gt;""),COLUMN(宏观数据!$F$53:$UN$53))-COLUMN(宏观数据!$F$53))),"")</f>
        <v>2.258</v>
      </c>
      <c r="I15" s="50">
        <f>IFERROR(LOOKUP(2,1/(宏观数据!$F$53:$UN$53&lt;&gt;"")/(宏观数据!$F$1:$UN$1&lt;F15),宏观数据!$F$1:$UN$1),"")</f>
        <v>46205</v>
      </c>
    </row>
    <row r="16" spans="1:10">
      <c r="A16" t="s">
        <v>76</v>
      </c>
      <c r="B16" t="s">
        <v>10</v>
      </c>
      <c r="C16" t="s">
        <v>77</v>
      </c>
      <c r="D16" t="s">
        <v>25</v>
      </c>
      <c r="E16">
        <f>IFERROR(LOOKUP(9.99E+307,宏观数据!$F$54:$UN$54),"")</f>
        <v>1.797</v>
      </c>
      <c r="F16" s="50">
        <f>IFERROR(LOOKUP(2,1/(宏观数据!$F$54:$UN$54&lt;&gt;""),宏观数据!$F$1:$UN$1),"")</f>
        <v>46206</v>
      </c>
      <c r="G16">
        <f ca="1" t="shared" si="0"/>
        <v>0.004</v>
      </c>
      <c r="H16">
        <f ca="1">IFERROR(LOOKUP(9.99E+307,OFFSET(宏观数据!$F$54,0,0,1,LOOKUP(2,1/(宏观数据!$F$54:$UN$54&lt;&gt;""),COLUMN(宏观数据!$F$54:$UN$54))-COLUMN(宏观数据!$F$54))),"")</f>
        <v>1.793</v>
      </c>
      <c r="I16" s="50">
        <f>IFERROR(LOOKUP(2,1/(宏观数据!$F$54:$UN$54&lt;&gt;"")/(宏观数据!$F$1:$UN$1&lt;F16),宏观数据!$F$1:$UN$1),"")</f>
        <v>46205</v>
      </c>
    </row>
    <row r="17" spans="1:9">
      <c r="A17" t="s">
        <v>78</v>
      </c>
      <c r="B17" t="s">
        <v>10</v>
      </c>
      <c r="C17" t="s">
        <v>79</v>
      </c>
      <c r="D17" t="s">
        <v>25</v>
      </c>
      <c r="E17">
        <f>IFERROR(LOOKUP(9.99E+307,宏观数据!$F$55:$UN$55),"")</f>
        <v>2.0976</v>
      </c>
      <c r="F17" s="50">
        <f>IFERROR(LOOKUP(2,1/(宏观数据!$F$55:$UN$55&lt;&gt;""),宏观数据!$F$1:$UN$1),"")</f>
        <v>46206</v>
      </c>
      <c r="G17">
        <f ca="1" t="shared" si="0"/>
        <v>-0.000199999999999978</v>
      </c>
      <c r="H17">
        <f ca="1">IFERROR(LOOKUP(9.99E+307,OFFSET(宏观数据!$F$55,0,0,1,LOOKUP(2,1/(宏观数据!$F$55:$UN$55&lt;&gt;""),COLUMN(宏观数据!$F$55:$UN$55))-COLUMN(宏观数据!$F$55))),"")</f>
        <v>2.0978</v>
      </c>
      <c r="I17" s="50">
        <f>IFERROR(LOOKUP(2,1/(宏观数据!$F$55:$UN$55&lt;&gt;"")/(宏观数据!$F$1:$UN$1&lt;F17),宏观数据!$F$1:$UN$1),"")</f>
        <v>46205</v>
      </c>
    </row>
    <row r="18" spans="1:9">
      <c r="A18" t="s">
        <v>80</v>
      </c>
      <c r="B18" t="s">
        <v>10</v>
      </c>
      <c r="C18" t="s">
        <v>81</v>
      </c>
      <c r="D18" t="s">
        <v>25</v>
      </c>
      <c r="E18">
        <f>IFERROR(LOOKUP(9.99E+307,宏观数据!$F$56:$UN$56),"")</f>
        <v>2.1476</v>
      </c>
      <c r="F18" s="50">
        <f>IFERROR(LOOKUP(2,1/(宏观数据!$F$56:$UN$56&lt;&gt;""),宏观数据!$F$1:$UN$1),"")</f>
        <v>46206</v>
      </c>
      <c r="G18">
        <f ca="1" t="shared" si="0"/>
        <v>0.00180000000000025</v>
      </c>
      <c r="H18">
        <f ca="1">IFERROR(LOOKUP(9.99E+307,OFFSET(宏观数据!$F$56,0,0,1,LOOKUP(2,1/(宏观数据!$F$56:$UN$56&lt;&gt;""),COLUMN(宏观数据!$F$56:$UN$56))-COLUMN(宏观数据!$F$56))),"")</f>
        <v>2.1458</v>
      </c>
      <c r="I18" s="50">
        <f>IFERROR(LOOKUP(2,1/(宏观数据!$F$56:$UN$56&lt;&gt;"")/(宏观数据!$F$1:$UN$1&lt;F18),宏观数据!$F$1:$UN$1),"")</f>
        <v>46205</v>
      </c>
    </row>
    <row r="19" spans="1:9">
      <c r="A19" t="s">
        <v>82</v>
      </c>
      <c r="B19" t="s">
        <v>10</v>
      </c>
      <c r="C19" t="s">
        <v>83</v>
      </c>
      <c r="E19">
        <f>IFERROR(LOOKUP(9.99E+307,宏观数据!$F$81:$UN$81),"")</f>
        <v>1.3608</v>
      </c>
      <c r="F19" s="50">
        <f>IFERROR(LOOKUP(2,1/(宏观数据!$F$81:$UN$81&lt;&gt;""),宏观数据!$F$1:$UN$1),"")</f>
        <v>46206</v>
      </c>
      <c r="G19">
        <f ca="1" t="shared" si="0"/>
        <v>-0.044</v>
      </c>
      <c r="H19">
        <f ca="1">IFERROR(LOOKUP(9.99E+307,OFFSET(宏观数据!$F$81,0,0,1,LOOKUP(2,1/(宏观数据!$F$81:$UN$81&lt;&gt;""),COLUMN(宏观数据!$F$81:$UN$81))-COLUMN(宏观数据!$F$81))),"")</f>
        <v>1.4048</v>
      </c>
      <c r="I19" s="50">
        <f>IFERROR(LOOKUP(2,1/(宏观数据!$F$81:$UN$81&lt;&gt;"")/(宏观数据!$F$1:$UN$1&lt;F19),宏观数据!$F$1:$UN$1),"")</f>
        <v>46205</v>
      </c>
    </row>
    <row r="20" spans="1:9">
      <c r="A20" t="s">
        <v>84</v>
      </c>
      <c r="B20" t="s">
        <v>10</v>
      </c>
      <c r="C20" t="s">
        <v>85</v>
      </c>
      <c r="E20">
        <f>IFERROR(LOOKUP(9.99E+307,宏观数据!$F$82:$UN$82),"")</f>
        <v>1.3924</v>
      </c>
      <c r="F20" s="50">
        <f>IFERROR(LOOKUP(2,1/(宏观数据!$F$82:$UN$82&lt;&gt;""),宏观数据!$F$1:$UN$1),"")</f>
        <v>46206</v>
      </c>
      <c r="G20">
        <f ca="1" t="shared" si="0"/>
        <v>-0.0353999999999999</v>
      </c>
      <c r="H20">
        <f ca="1">IFERROR(LOOKUP(9.99E+307,OFFSET(宏观数据!$F$82,0,0,1,LOOKUP(2,1/(宏观数据!$F$82:$UN$82&lt;&gt;""),COLUMN(宏观数据!$F$82:$UN$82))-COLUMN(宏观数据!$F$82))),"")</f>
        <v>1.4278</v>
      </c>
      <c r="I20" s="50">
        <f>IFERROR(LOOKUP(2,1/(宏观数据!$F$82:$UN$82&lt;&gt;"")/(宏观数据!$F$1:$UN$1&lt;F20),宏观数据!$F$1:$UN$1),"")</f>
        <v>46205</v>
      </c>
    </row>
    <row r="21" spans="1:9">
      <c r="A21" t="s">
        <v>86</v>
      </c>
      <c r="B21" t="s">
        <v>10</v>
      </c>
      <c r="C21" t="s">
        <v>87</v>
      </c>
      <c r="E21">
        <f>IFERROR(LOOKUP(9.99E+307,宏观数据!$F$83:$UN$83),"")</f>
        <v>1.3861</v>
      </c>
      <c r="F21" s="50">
        <f>IFERROR(LOOKUP(2,1/(宏观数据!$F$83:$UN$83&lt;&gt;""),宏观数据!$F$1:$UN$1),"")</f>
        <v>46206</v>
      </c>
      <c r="G21">
        <f ca="1" t="shared" si="0"/>
        <v>-0.0502999999999998</v>
      </c>
      <c r="H21">
        <f ca="1">IFERROR(LOOKUP(9.99E+307,OFFSET(宏观数据!$F$83,0,0,1,LOOKUP(2,1/(宏观数据!$F$83:$UN$83&lt;&gt;""),COLUMN(宏观数据!$F$83:$UN$83))-COLUMN(宏观数据!$F$83))),"")</f>
        <v>1.4364</v>
      </c>
      <c r="I21" s="50">
        <f>IFERROR(LOOKUP(2,1/(宏观数据!$F$83:$UN$83&lt;&gt;"")/(宏观数据!$F$1:$UN$1&lt;F21),宏观数据!$F$1:$UN$1),"")</f>
        <v>46205</v>
      </c>
    </row>
    <row r="22" spans="1:9">
      <c r="A22" t="s">
        <v>88</v>
      </c>
      <c r="B22" t="s">
        <v>10</v>
      </c>
      <c r="C22" t="s">
        <v>89</v>
      </c>
      <c r="E22">
        <f>IFERROR(LOOKUP(9.99E+307,宏观数据!$F$84:$UN$84),"")</f>
        <v>1.4225</v>
      </c>
      <c r="F22" s="50">
        <f>IFERROR(LOOKUP(2,1/(宏观数据!$F$84:$UN$84&lt;&gt;""),宏观数据!$F$1:$UN$1),"")</f>
        <v>46206</v>
      </c>
      <c r="G22">
        <f ca="1" t="shared" si="0"/>
        <v>-0.0611999999999999</v>
      </c>
      <c r="H22">
        <f ca="1">IFERROR(LOOKUP(9.99E+307,OFFSET(宏观数据!$F$84,0,0,1,LOOKUP(2,1/(宏观数据!$F$84:$UN$84&lt;&gt;""),COLUMN(宏观数据!$F$84:$UN$84))-COLUMN(宏观数据!$F$84))),"")</f>
        <v>1.4837</v>
      </c>
      <c r="I22" s="50">
        <f>IFERROR(LOOKUP(2,1/(宏观数据!$F$84:$UN$84&lt;&gt;"")/(宏观数据!$F$1:$UN$1&lt;F22),宏观数据!$F$1:$UN$1),"")</f>
        <v>46205</v>
      </c>
    </row>
    <row r="23" spans="1:9">
      <c r="A23" t="s">
        <v>90</v>
      </c>
      <c r="B23" t="s">
        <v>10</v>
      </c>
      <c r="C23" t="s">
        <v>91</v>
      </c>
      <c r="D23" t="s">
        <v>25</v>
      </c>
      <c r="E23">
        <f>IFERROR(LOOKUP(9.99E+307,宏观数据!$F$106:$UN$106),"")</f>
        <v>1.465</v>
      </c>
      <c r="F23" s="50">
        <f>IFERROR(LOOKUP(2,1/(宏观数据!$F$106:$UN$106&lt;&gt;""),宏观数据!$F$1:$UN$1),"")</f>
        <v>46206</v>
      </c>
      <c r="G23">
        <f ca="1" t="shared" si="0"/>
        <v>-0.00499999999999989</v>
      </c>
      <c r="H23">
        <f ca="1">IFERROR(LOOKUP(9.99E+307,OFFSET(宏观数据!$F$106,0,0,1,LOOKUP(2,1/(宏观数据!$F$106:$UN$106&lt;&gt;""),COLUMN(宏观数据!$F$106:$UN$106))-COLUMN(宏观数据!$F$106))),"")</f>
        <v>1.47</v>
      </c>
      <c r="I23" s="50">
        <f>IFERROR(LOOKUP(2,1/(宏观数据!$F$106:$UN$106&lt;&gt;"")/(宏观数据!$F$1:$UN$1&lt;F23),宏观数据!$F$1:$UN$1),"")</f>
        <v>46205</v>
      </c>
    </row>
    <row r="24" ht="39.75" customHeight="1" spans="1:9">
      <c r="A24" s="65" t="s">
        <v>92</v>
      </c>
      <c r="B24" t="s">
        <v>36</v>
      </c>
      <c r="C24" t="s">
        <v>93</v>
      </c>
      <c r="D24" t="s">
        <v>20</v>
      </c>
      <c r="E24">
        <f>IFERROR(LOOKUP(9.99E+307,宏观数据!$F$117:$UN$117),"")</f>
        <v>1680</v>
      </c>
      <c r="F24" s="50">
        <f>IFERROR(LOOKUP(2,1/(宏观数据!$F$117:$UN$117&lt;&gt;""),宏观数据!$F$1:$UN$1),"")</f>
        <v>46173</v>
      </c>
      <c r="G24">
        <f ca="1" t="shared" si="0"/>
        <v>-2840</v>
      </c>
      <c r="H24">
        <f ca="1">IFERROR(LOOKUP(9.99E+307,OFFSET(宏观数据!$F$117,0,0,1,LOOKUP(2,1/(宏观数据!$F$117:$UN$117&lt;&gt;""),COLUMN(宏观数据!$F$117:$UN$117))-COLUMN(宏观数据!$F$117))),"")</f>
        <v>4520</v>
      </c>
      <c r="I24" s="50">
        <f>IFERROR(LOOKUP(2,1/(宏观数据!$F$117:$UN$117&lt;&gt;"")/(宏观数据!$F$1:$UN$1&lt;F24),宏观数据!$F$1:$UN$1),"")</f>
        <v>46142</v>
      </c>
    </row>
    <row r="25" ht="39.75" customHeight="1" spans="1:9">
      <c r="A25" s="65" t="s">
        <v>94</v>
      </c>
      <c r="B25" t="s">
        <v>10</v>
      </c>
      <c r="C25" t="s">
        <v>95</v>
      </c>
      <c r="D25" t="s">
        <v>25</v>
      </c>
      <c r="E25">
        <f>IFERROR(LOOKUP(9.99E+307,宏观数据!$F$151:$UN$151),"")</f>
        <v>1.435</v>
      </c>
      <c r="F25" s="50">
        <f>IFERROR(LOOKUP(2,1/(宏观数据!$F$151:$UN$151&lt;&gt;""),宏观数据!$F$1:$UN$1),"")</f>
        <v>46206</v>
      </c>
      <c r="G25">
        <f ca="1" t="shared" si="0"/>
        <v>-0.002</v>
      </c>
      <c r="H25">
        <f ca="1">IFERROR(LOOKUP(9.99E+307,OFFSET(宏观数据!$F$151,0,0,1,LOOKUP(2,1/(宏观数据!$F$151:$UN$151&lt;&gt;""),COLUMN(宏观数据!$F$151:$UN$151))-COLUMN(宏观数据!$F$151))),"")</f>
        <v>1.437</v>
      </c>
      <c r="I25" s="50">
        <f>IFERROR(LOOKUP(2,1/(宏观数据!$F$151:$UN$151&lt;&gt;"")/(宏观数据!$F$1:$UN$1&lt;F25),宏观数据!$F$1:$UN$1),"")</f>
        <v>46205</v>
      </c>
    </row>
    <row r="26" ht="39.75" customHeight="1" spans="1:9">
      <c r="A26" s="65" t="s">
        <v>96</v>
      </c>
      <c r="B26" t="s">
        <v>36</v>
      </c>
      <c r="C26" t="s">
        <v>97</v>
      </c>
      <c r="D26" t="s">
        <v>25</v>
      </c>
      <c r="E26">
        <f>IFERROR(LOOKUP(9.99E+307,宏观数据!$F$155:$UN$155),"")</f>
        <v>3</v>
      </c>
      <c r="F26" s="50">
        <f>IFERROR(LOOKUP(2,1/(宏观数据!$F$155:$UN$155&lt;&gt;""),宏观数据!$F$1:$UN$1),"")</f>
        <v>46195</v>
      </c>
      <c r="G26">
        <f ca="1" t="shared" si="0"/>
        <v>0</v>
      </c>
      <c r="H26">
        <f ca="1">IFERROR(LOOKUP(9.99E+307,OFFSET(宏观数据!$F$155,0,0,1,LOOKUP(2,1/(宏观数据!$F$155:$UN$155&lt;&gt;""),COLUMN(宏观数据!$F$155:$UN$155))-COLUMN(宏观数据!$F$155))),"")</f>
        <v>3</v>
      </c>
      <c r="I26" s="50">
        <f>IFERROR(LOOKUP(2,1/(宏观数据!$F$155:$UN$155&lt;&gt;"")/(宏观数据!$F$1:$UN$1&lt;F26),宏观数据!$F$1:$UN$1),"")</f>
        <v>46162</v>
      </c>
    </row>
    <row r="27" ht="39.75" customHeight="1" spans="1:9">
      <c r="A27" s="65" t="s">
        <v>98</v>
      </c>
      <c r="B27" t="s">
        <v>10</v>
      </c>
      <c r="C27" t="s">
        <v>99</v>
      </c>
      <c r="D27" t="s">
        <v>25</v>
      </c>
      <c r="E27">
        <f>IFERROR(LOOKUP(9.99E+307,宏观数据!$F$156:$UN$156),"")</f>
        <v>1.7423</v>
      </c>
      <c r="F27" s="50">
        <f>IFERROR(LOOKUP(2,1/(宏观数据!$F$156:$UN$156&lt;&gt;""),宏观数据!$F$1:$UN$1),"")</f>
        <v>46206</v>
      </c>
      <c r="G27">
        <f ca="1" t="shared" si="0"/>
        <v>0.00539999999999985</v>
      </c>
      <c r="H27">
        <f ca="1">IFERROR(LOOKUP(9.99E+307,OFFSET(宏观数据!$F$156,0,0,1,LOOKUP(2,1/(宏观数据!$F$156:$UN$156&lt;&gt;""),COLUMN(宏观数据!$F$156:$UN$156))-COLUMN(宏观数据!$F$156))),"")</f>
        <v>1.7369</v>
      </c>
      <c r="I27" s="50">
        <f>IFERROR(LOOKUP(2,1/(宏观数据!$F$156:$UN$156&lt;&gt;"")/(宏观数据!$F$1:$UN$1&lt;F27),宏观数据!$F$1:$UN$1),"")</f>
        <v>46205</v>
      </c>
    </row>
    <row r="28" ht="39.75" customHeight="1" spans="1:9">
      <c r="A28" s="65" t="s">
        <v>100</v>
      </c>
      <c r="B28" t="s">
        <v>10</v>
      </c>
      <c r="C28" t="s">
        <v>101</v>
      </c>
      <c r="D28" t="s">
        <v>25</v>
      </c>
      <c r="E28">
        <f>IFERROR(LOOKUP(9.99E+307,宏观数据!$F$176:$UN$176),"")</f>
        <v>-2.7069</v>
      </c>
      <c r="F28" s="50">
        <f>IFERROR(LOOKUP(2,1/(宏观数据!$F$176:$UN$176&lt;&gt;""),宏观数据!$F$1:$UN$1),"")</f>
        <v>46185</v>
      </c>
      <c r="G28">
        <f ca="1" t="shared" si="0"/>
        <v>-0.0312000000000006</v>
      </c>
      <c r="H28">
        <f ca="1">IFERROR(LOOKUP(9.99E+307,OFFSET(宏观数据!$F$176,0,0,1,LOOKUP(2,1/(宏观数据!$F$176:$UN$176&lt;&gt;""),COLUMN(宏观数据!$F$176:$UN$176))-COLUMN(宏观数据!$F$176))),"")</f>
        <v>-2.6757</v>
      </c>
      <c r="I28" s="50">
        <f>IFERROR(LOOKUP(2,1/(宏观数据!$F$176:$UN$176&lt;&gt;"")/(宏观数据!$F$1:$UN$1&lt;F28),宏观数据!$F$1:$UN$1),"")</f>
        <v>46184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J91"/>
  <sheetViews>
    <sheetView topLeftCell="A81" workbookViewId="0">
      <selection activeCell="F65" sqref="F65"/>
    </sheetView>
  </sheetViews>
  <sheetFormatPr defaultColWidth="8.72972972972973" defaultRowHeight="14.1"/>
  <cols>
    <col min="1" max="1" width="67.1081081081081" style="4" customWidth="1"/>
    <col min="6" max="6" width="11.8198198198198" style="4" customWidth="1"/>
    <col min="9" max="9" width="11.8198198198198" style="4" customWidth="1"/>
    <col min="10" max="10" width="18" style="4" customWidth="1"/>
  </cols>
  <sheetData>
    <row r="1" ht="13.5" customHeight="1" spans="1:10">
      <c r="A1" s="37"/>
      <c r="B1" s="38" t="s">
        <v>0</v>
      </c>
      <c r="C1" s="39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4" t="s">
        <v>6</v>
      </c>
      <c r="I1" s="44" t="s">
        <v>7</v>
      </c>
      <c r="J1" s="45" t="s">
        <v>8</v>
      </c>
    </row>
    <row r="2" ht="39.75" customHeight="1" spans="1:10">
      <c r="A2" s="47" t="s">
        <v>102</v>
      </c>
      <c r="B2" t="s">
        <v>10</v>
      </c>
      <c r="C2" t="s">
        <v>103</v>
      </c>
      <c r="D2" s="48" t="s">
        <v>25</v>
      </c>
      <c r="E2" s="49">
        <f>IFERROR(LOOKUP(9.99E+307,宏观数据!$F$85:$UN$85),"")</f>
        <v>1.4</v>
      </c>
      <c r="F2" s="50">
        <f>IFERROR(LOOKUP(2,1/(宏观数据!$F$85:$UN$85&lt;&gt;""),宏观数据!$F$1:$UN$1),"")</f>
        <v>46209</v>
      </c>
      <c r="G2" s="51">
        <f ca="1" t="shared" ref="G2:G65" si="0">IFERROR(E2-H2,"")</f>
        <v>0</v>
      </c>
      <c r="H2" s="52">
        <f ca="1">IFERROR(LOOKUP(9.99E+307,OFFSET(宏观数据!$F$85,0,0,1,LOOKUP(2,1/(宏观数据!$F$85:$UN$85&lt;&gt;""),COLUMN(宏观数据!$F$85:$UN$85))-COLUMN(宏观数据!$F$85))),"")</f>
        <v>1.4</v>
      </c>
      <c r="I2" s="50">
        <f>IFERROR(LOOKUP(2,1/(宏观数据!$F$85:$UN$85&lt;&gt;"")/(宏观数据!$F$1:$UN$1&lt;F2),宏观数据!$F$1:$UN$1),"")</f>
        <v>46206</v>
      </c>
    </row>
    <row r="3" ht="39.75" customHeight="1" spans="1:10">
      <c r="A3" s="1" t="s">
        <v>104</v>
      </c>
      <c r="B3" t="s">
        <v>36</v>
      </c>
      <c r="C3" t="s">
        <v>105</v>
      </c>
      <c r="D3" s="48" t="s">
        <v>25</v>
      </c>
      <c r="E3" s="49">
        <f>IFERROR(LOOKUP(9.99E+307,宏观数据!$F$27:$UN$27),"")</f>
        <v>9</v>
      </c>
      <c r="F3" s="50">
        <f>IFERROR(LOOKUP(2,1/(宏观数据!$F$27:$UN$27&lt;&gt;""),宏观数据!$F$1:$UN$1),"")</f>
        <v>46203</v>
      </c>
      <c r="G3" s="51">
        <f ca="1" t="shared" si="0"/>
        <v>0</v>
      </c>
      <c r="H3" s="52">
        <f ca="1">IFERROR(LOOKUP(9.99E+307,OFFSET(宏观数据!$F$27,0,0,1,LOOKUP(2,1/(宏观数据!$F$27:$UN$27&lt;&gt;""),COLUMN(宏观数据!$F$27:$UN$27))-COLUMN(宏观数据!$F$27))),"")</f>
        <v>9</v>
      </c>
      <c r="I3" s="50">
        <f>IFERROR(LOOKUP(2,1/(宏观数据!$F$27:$UN$27&lt;&gt;"")/(宏观数据!$F$1:$UN$1&lt;F3),宏观数据!$F$1:$UN$1),"")</f>
        <v>46173</v>
      </c>
    </row>
    <row r="4" ht="39.75" customHeight="1" spans="1:10">
      <c r="A4" s="1" t="s">
        <v>106</v>
      </c>
      <c r="B4" t="s">
        <v>10</v>
      </c>
      <c r="C4" t="s">
        <v>107</v>
      </c>
      <c r="D4" s="53" t="s">
        <v>20</v>
      </c>
      <c r="E4" s="49">
        <f>IFERROR(LOOKUP(9.99E+307,宏观数据!$F$79:$UN$79),"")</f>
        <v>495</v>
      </c>
      <c r="F4" s="50">
        <f>IFERROR(LOOKUP(2,1/(宏观数据!$F$79:$UN$79&lt;&gt;""),宏观数据!$F$1:$UN$1),"")</f>
        <v>46209</v>
      </c>
      <c r="G4" s="51">
        <f ca="1" t="shared" si="0"/>
        <v>2180</v>
      </c>
      <c r="H4" s="52">
        <f ca="1">IFERROR(LOOKUP(9.99E+307,OFFSET(宏观数据!$F$79,0,0,1,LOOKUP(2,1/(宏观数据!$F$79:$UN$79&lt;&gt;""),COLUMN(宏观数据!$F$79:$UN$79))-COLUMN(宏观数据!$F$79))),"")</f>
        <v>-1685</v>
      </c>
      <c r="I4" s="50">
        <f>IFERROR(LOOKUP(2,1/(宏观数据!$F$79:$UN$79&lt;&gt;"")/(宏观数据!$F$1:$UN$1&lt;F4),宏观数据!$F$1:$UN$1),"")</f>
        <v>46206</v>
      </c>
    </row>
    <row r="5" ht="39.75" customHeight="1" spans="1:10">
      <c r="A5" s="1" t="s">
        <v>108</v>
      </c>
      <c r="B5" t="s">
        <v>36</v>
      </c>
      <c r="C5" s="54" t="s">
        <v>109</v>
      </c>
      <c r="D5" s="53"/>
      <c r="E5" s="49">
        <f>IFERROR(IFERROR(LOOKUP(9.99E+307,宏观数据!$F$28:$UN$28),0)+IFERROR(LOOKUP(9.99E+307,宏观数据!$F$29:$UN$29),0)+IFERROR(LOOKUP(9.99E+307,宏观数据!$F$30:$UN$30),0)+IFERROR(LOOKUP(9.99E+307,宏观数据!$F$31:$UN$31),0)+IFERROR(LOOKUP(9.99E+307,宏观数据!$F$32:$UN$32),0),"")</f>
        <v>10128</v>
      </c>
      <c r="F5" s="50">
        <f>IFERROR(LOOKUP(2,1/(宏观数据!$F$29:$UN$29&lt;&gt;""),宏观数据!$F$1:$UN$1),"")</f>
        <v>46203</v>
      </c>
      <c r="G5" s="51">
        <f ca="1" t="shared" si="0"/>
        <v>9535</v>
      </c>
      <c r="H5" s="52">
        <f ca="1">IFERROR(IFERROR(LOOKUP(9.99E+307,OFFSET(宏观数据!$F$28,0,0,1,LOOKUP(2,1/(宏观数据!$F$28:$UN$28&lt;&gt;""),COLUMN(宏观数据!$F$28:$UN$28))-COLUMN(宏观数据!$F$28))),0)+IFERROR(LOOKUP(9.99E+307,OFFSET(宏观数据!$F$29,0,0,1,LOOKUP(2,1/(宏观数据!$F$29:$UN$29&lt;&gt;""),COLUMN(宏观数据!$F$29:$UN$29))-COLUMN(宏观数据!$F$29))),0)+IFERROR(LOOKUP(9.99E+307,OFFSET(宏观数据!$F$30,0,0,1,LOOKUP(2,1/(宏观数据!$F$30:$UN$30&lt;&gt;""),COLUMN(宏观数据!$F$30:$UN$30))-COLUMN(宏观数据!$F$30))),0)+IFERROR(LOOKUP(9.99E+307,OFFSET(宏观数据!$F$31,0,0,1,LOOKUP(2,1/(宏观数据!$F$31:$UN$31&lt;&gt;""),COLUMN(宏观数据!$F$31:$UN$31))-COLUMN(宏观数据!$F$31))),0)+IFERROR(LOOKUP(9.99E+307,OFFSET(宏观数据!$F$32,0,0,1,LOOKUP(2,1/(宏观数据!$F$32:$UN$32&lt;&gt;""),COLUMN(宏观数据!$F$32:$UN$32))-COLUMN(宏观数据!$F$32))),0),"")</f>
        <v>593</v>
      </c>
      <c r="I5" s="50">
        <f>IFERROR(LOOKUP(2,1/(宏观数据!$F$29:$UN$29&lt;&gt;"")/(宏观数据!$F$1:$UN$1&lt;F5),宏观数据!$F$1:$UN$1),"")</f>
        <v>46173</v>
      </c>
    </row>
    <row r="6" ht="39.75" customHeight="1" spans="1:10">
      <c r="A6" t="s">
        <v>82</v>
      </c>
      <c r="B6" t="s">
        <v>10</v>
      </c>
      <c r="C6" t="s">
        <v>83</v>
      </c>
      <c r="D6" s="48" t="s">
        <v>25</v>
      </c>
      <c r="E6" s="49">
        <f>IFERROR(LOOKUP(9.99E+307,宏观数据!$F$81:$UN$81),"")</f>
        <v>1.3608</v>
      </c>
      <c r="F6" s="50">
        <f>IFERROR(LOOKUP(2,1/(宏观数据!$F$81:$UN$81&lt;&gt;""),宏观数据!$F$1:$UN$1),"")</f>
        <v>46206</v>
      </c>
      <c r="G6" s="51">
        <f ca="1" t="shared" si="0"/>
        <v>-0.044</v>
      </c>
      <c r="H6" s="52">
        <f ca="1">IFERROR(LOOKUP(9.99E+307,OFFSET(宏观数据!$F$81,0,0,1,LOOKUP(2,1/(宏观数据!$F$81:$UN$81&lt;&gt;""),COLUMN(宏观数据!$F$81:$UN$81))-COLUMN(宏观数据!$F$81))),"")</f>
        <v>1.4048</v>
      </c>
      <c r="I6" s="50">
        <f>IFERROR(LOOKUP(2,1/(宏观数据!$F$81:$UN$81&lt;&gt;"")/(宏观数据!$F$1:$UN$1&lt;F6),宏观数据!$F$1:$UN$1),"")</f>
        <v>46205</v>
      </c>
    </row>
    <row r="7" ht="39.75" customHeight="1" spans="1:10">
      <c r="A7" t="s">
        <v>84</v>
      </c>
      <c r="B7" t="s">
        <v>10</v>
      </c>
      <c r="C7" t="s">
        <v>85</v>
      </c>
      <c r="D7" s="48" t="s">
        <v>25</v>
      </c>
      <c r="E7" s="49">
        <f>IFERROR(LOOKUP(9.99E+307,宏观数据!$F$82:$UN$82),"")</f>
        <v>1.3924</v>
      </c>
      <c r="F7" s="50">
        <f>IFERROR(LOOKUP(2,1/(宏观数据!$F$82:$UN$82&lt;&gt;""),宏观数据!$F$1:$UN$1),"")</f>
        <v>46206</v>
      </c>
      <c r="G7" s="51">
        <f ca="1" t="shared" si="0"/>
        <v>-0.0353999999999999</v>
      </c>
      <c r="H7" s="52">
        <f ca="1">IFERROR(LOOKUP(9.99E+307,OFFSET(宏观数据!$F$82,0,0,1,LOOKUP(2,1/(宏观数据!$F$82:$UN$82&lt;&gt;""),COLUMN(宏观数据!$F$82:$UN$82))-COLUMN(宏观数据!$F$82))),"")</f>
        <v>1.4278</v>
      </c>
      <c r="I7" s="50">
        <f>IFERROR(LOOKUP(2,1/(宏观数据!$F$82:$UN$82&lt;&gt;"")/(宏观数据!$F$1:$UN$1&lt;F7),宏观数据!$F$1:$UN$1),"")</f>
        <v>46205</v>
      </c>
    </row>
    <row r="8" ht="39.75" customHeight="1" spans="1:10">
      <c r="A8" t="s">
        <v>86</v>
      </c>
      <c r="B8" t="s">
        <v>10</v>
      </c>
      <c r="C8" s="7" t="s">
        <v>87</v>
      </c>
      <c r="D8" s="48" t="s">
        <v>25</v>
      </c>
      <c r="E8" s="49">
        <f>IFERROR(LOOKUP(9.99E+307,宏观数据!$F$83:$UN$83),"")</f>
        <v>1.3861</v>
      </c>
      <c r="F8" s="50">
        <f>IFERROR(LOOKUP(2,1/(宏观数据!$F$83:$UN$83&lt;&gt;""),宏观数据!$F$1:$UN$1),"")</f>
        <v>46206</v>
      </c>
      <c r="G8" s="51">
        <f ca="1" t="shared" si="0"/>
        <v>-0.0502999999999998</v>
      </c>
      <c r="H8" s="52">
        <f ca="1">IFERROR(LOOKUP(9.99E+307,OFFSET(宏观数据!$F$83,0,0,1,LOOKUP(2,1/(宏观数据!$F$83:$UN$83&lt;&gt;""),COLUMN(宏观数据!$F$83:$UN$83))-COLUMN(宏观数据!$F$83))),"")</f>
        <v>1.4364</v>
      </c>
      <c r="I8" s="50">
        <f>IFERROR(LOOKUP(2,1/(宏观数据!$F$83:$UN$83&lt;&gt;"")/(宏观数据!$F$1:$UN$1&lt;F8),宏观数据!$F$1:$UN$1),"")</f>
        <v>46205</v>
      </c>
    </row>
    <row r="9" ht="39.75" customHeight="1" spans="1:10">
      <c r="A9" t="s">
        <v>88</v>
      </c>
      <c r="B9" t="s">
        <v>10</v>
      </c>
      <c r="C9" s="7" t="s">
        <v>89</v>
      </c>
      <c r="D9" s="48" t="s">
        <v>25</v>
      </c>
      <c r="E9" s="49">
        <f>IFERROR(LOOKUP(9.99E+307,宏观数据!$F$84:$UN$84),"")</f>
        <v>1.4225</v>
      </c>
      <c r="F9" s="50">
        <f>IFERROR(LOOKUP(2,1/(宏观数据!$F$84:$UN$84&lt;&gt;""),宏观数据!$F$1:$UN$1),"")</f>
        <v>46206</v>
      </c>
      <c r="G9" s="51">
        <f ca="1" t="shared" si="0"/>
        <v>-0.0611999999999999</v>
      </c>
      <c r="H9" s="52">
        <f ca="1">IFERROR(LOOKUP(9.99E+307,OFFSET(宏观数据!$F$84,0,0,1,LOOKUP(2,1/(宏观数据!$F$84:$UN$84&lt;&gt;""),COLUMN(宏观数据!$F$84:$UN$84))-COLUMN(宏观数据!$F$84))),"")</f>
        <v>1.4837</v>
      </c>
      <c r="I9" s="50">
        <f>IFERROR(LOOKUP(2,1/(宏观数据!$F$84:$UN$84&lt;&gt;"")/(宏观数据!$F$1:$UN$1&lt;F9),宏观数据!$F$1:$UN$1),"")</f>
        <v>46205</v>
      </c>
    </row>
    <row r="10" ht="39.75" customHeight="1" spans="1:10">
      <c r="A10" s="1" t="s">
        <v>110</v>
      </c>
      <c r="B10" t="s">
        <v>36</v>
      </c>
      <c r="C10" t="s">
        <v>111</v>
      </c>
      <c r="D10" s="55" t="s">
        <v>25</v>
      </c>
      <c r="E10" s="49">
        <f>IFERROR(LOOKUP(9.99E+307,宏观数据!$F$33:$UN$33),"")</f>
        <v>7.7</v>
      </c>
      <c r="F10" s="50">
        <f>IFERROR(LOOKUP(2,1/(宏观数据!$F$33:$UN$33&lt;&gt;""),宏观数据!$F$1:$UN$1),"")</f>
        <v>46173</v>
      </c>
      <c r="G10" s="51">
        <f ca="1" t="shared" si="0"/>
        <v>-0.0999999999999996</v>
      </c>
      <c r="H10" s="52">
        <f ca="1">IFERROR(LOOKUP(9.99E+307,OFFSET(宏观数据!$F$33,0,0,1,LOOKUP(2,1/(宏观数据!$F$33:$UN$33&lt;&gt;""),COLUMN(宏观数据!$F$33:$UN$33))-COLUMN(宏观数据!$F$33))),"")</f>
        <v>7.8</v>
      </c>
      <c r="I10" s="50">
        <f>IFERROR(LOOKUP(2,1/(宏观数据!$F$33:$UN$33&lt;&gt;"")/(宏观数据!$F$1:$UN$1&lt;F10),宏观数据!$F$1:$UN$1),"")</f>
        <v>46142</v>
      </c>
    </row>
    <row r="11" ht="39.75" customHeight="1" spans="1:10">
      <c r="A11" s="1" t="s">
        <v>112</v>
      </c>
      <c r="B11" t="s">
        <v>36</v>
      </c>
      <c r="C11" t="s">
        <v>113</v>
      </c>
      <c r="D11" s="55" t="s">
        <v>25</v>
      </c>
      <c r="E11" s="49">
        <f>IFERROR(LOOKUP(9.99E+307,宏观数据!$F$35:$UN$35),"")</f>
        <v>5.5</v>
      </c>
      <c r="F11" s="50">
        <f>IFERROR(LOOKUP(2,1/(宏观数据!$F$35:$UN$35&lt;&gt;""),宏观数据!$F$1:$UN$1),"")</f>
        <v>46173</v>
      </c>
      <c r="G11" s="51">
        <f ca="1" t="shared" si="0"/>
        <v>-0.0999999999999996</v>
      </c>
      <c r="H11" s="52">
        <f ca="1">IFERROR(LOOKUP(9.99E+307,OFFSET(宏观数据!$F$35,0,0,1,LOOKUP(2,1/(宏观数据!$F$35:$UN$35&lt;&gt;""),COLUMN(宏观数据!$F$35:$UN$35))-COLUMN(宏观数据!$F$35))),"")</f>
        <v>5.6</v>
      </c>
      <c r="I11" s="50">
        <f>IFERROR(LOOKUP(2,1/(宏观数据!$F$35:$UN$35&lt;&gt;"")/(宏观数据!$F$1:$UN$1&lt;F11),宏观数据!$F$1:$UN$1),"")</f>
        <v>46142</v>
      </c>
    </row>
    <row r="12" ht="39.75" customHeight="1" spans="1:10">
      <c r="A12" t="s">
        <v>114</v>
      </c>
      <c r="B12" t="s">
        <v>36</v>
      </c>
      <c r="C12" s="7" t="s">
        <v>115</v>
      </c>
      <c r="D12" s="48" t="s">
        <v>25</v>
      </c>
      <c r="E12" s="49">
        <f>IFERROR(LOOKUP(9.99E+307,宏观数据!$F$39:$UN$39),"")</f>
        <v>5.5</v>
      </c>
      <c r="F12" s="50">
        <f>IFERROR(LOOKUP(2,1/(宏观数据!$F$39:$UN$39&lt;&gt;""),宏观数据!$F$1:$UN$1),"")</f>
        <v>46173</v>
      </c>
      <c r="G12" s="51">
        <f ca="1" t="shared" si="0"/>
        <v>0.5</v>
      </c>
      <c r="H12" s="52">
        <f ca="1">IFERROR(LOOKUP(9.99E+307,OFFSET(宏观数据!$F$39,0,0,1,LOOKUP(2,1/(宏观数据!$F$39:$UN$39&lt;&gt;""),COLUMN(宏观数据!$F$39:$UN$39))-COLUMN(宏观数据!$F$39))),"")</f>
        <v>5</v>
      </c>
      <c r="I12" s="50">
        <f>IFERROR(LOOKUP(2,1/(宏观数据!$F$39:$UN$39&lt;&gt;"")/(宏观数据!$F$1:$UN$1&lt;F12),宏观数据!$F$1:$UN$1),"")</f>
        <v>46142</v>
      </c>
    </row>
    <row r="13" ht="39.75" customHeight="1" spans="1:10">
      <c r="A13" t="s">
        <v>116</v>
      </c>
      <c r="B13" t="s">
        <v>36</v>
      </c>
      <c r="C13" s="56" t="s">
        <v>117</v>
      </c>
      <c r="D13" s="48" t="s">
        <v>25</v>
      </c>
      <c r="E13" s="49">
        <f>IFERROR(LOOKUP(9.99E+307,宏观数据!$F$41:$UN$41),"")</f>
        <v>8.6</v>
      </c>
      <c r="F13" s="50">
        <f>IFERROR(LOOKUP(2,1/(宏观数据!$F$41:$UN$41&lt;&gt;""),宏观数据!$F$1:$UN$1),"")</f>
        <v>46173</v>
      </c>
      <c r="G13" s="51">
        <f ca="1" t="shared" si="0"/>
        <v>0</v>
      </c>
      <c r="H13" s="52">
        <f ca="1">IFERROR(LOOKUP(9.99E+307,OFFSET(宏观数据!$F$41,0,0,1,LOOKUP(2,1/(宏观数据!$F$41:$UN$41&lt;&gt;""),COLUMN(宏观数据!$F$41:$UN$41))-COLUMN(宏观数据!$F$41))),"")</f>
        <v>8.6</v>
      </c>
      <c r="I13" s="50">
        <f>IFERROR(LOOKUP(2,1/(宏观数据!$F$41:$UN$41&lt;&gt;"")/(宏观数据!$F$1:$UN$1&lt;F13),宏观数据!$F$1:$UN$1),"")</f>
        <v>46142</v>
      </c>
    </row>
    <row r="14" ht="39.75" customHeight="1" spans="1:10">
      <c r="A14" s="1" t="s">
        <v>118</v>
      </c>
      <c r="B14" t="s">
        <v>36</v>
      </c>
      <c r="C14" t="s">
        <v>119</v>
      </c>
      <c r="D14" s="55" t="s">
        <v>25</v>
      </c>
      <c r="E14" s="49">
        <f>IFERROR(LOOKUP(9.99E+307,宏观数据!$F$9:$UN$9),"")</f>
        <v>-0.6</v>
      </c>
      <c r="F14" s="50">
        <f>IFERROR(LOOKUP(2,1/(宏观数据!$F$9:$UN$9&lt;&gt;""),宏观数据!$F$1:$UN$1),"")</f>
        <v>46173</v>
      </c>
      <c r="G14" s="51">
        <f ca="1" t="shared" si="0"/>
        <v>-0.8</v>
      </c>
      <c r="H14" s="52">
        <f ca="1">IFERROR(LOOKUP(9.99E+307,OFFSET(宏观数据!$F$9,0,0,1,LOOKUP(2,1/(宏观数据!$F$9:$UN$9&lt;&gt;""),COLUMN(宏观数据!$F$9:$UN$9))-COLUMN(宏观数据!$F$9))),"")</f>
        <v>0.2</v>
      </c>
      <c r="I14" s="50">
        <f>IFERROR(LOOKUP(2,1/(宏观数据!$F$9:$UN$9&lt;&gt;"")/(宏观数据!$F$1:$UN$1&lt;F14),宏观数据!$F$1:$UN$1),"")</f>
        <v>46142</v>
      </c>
    </row>
    <row r="15" ht="39.75" customHeight="1" spans="1:10">
      <c r="A15" s="1" t="s">
        <v>120</v>
      </c>
      <c r="B15" t="s">
        <v>36</v>
      </c>
      <c r="C15" t="s">
        <v>121</v>
      </c>
      <c r="D15" s="55" t="s">
        <v>25</v>
      </c>
      <c r="E15" s="49">
        <f>IFERROR(LOOKUP(9.99E+307,宏观数据!$F$15:$UN$15),"")</f>
        <v>-4.1</v>
      </c>
      <c r="F15" s="50">
        <f>IFERROR(LOOKUP(2,1/(宏观数据!$F$15:$UN$15&lt;&gt;""),宏观数据!$F$1:$UN$1),"")</f>
        <v>46173</v>
      </c>
      <c r="G15" s="51">
        <f ca="1" t="shared" si="0"/>
        <v>-2.5</v>
      </c>
      <c r="H15" s="52">
        <f ca="1">IFERROR(LOOKUP(9.99E+307,OFFSET(宏观数据!$F$15,0,0,1,LOOKUP(2,1/(宏观数据!$F$15:$UN$15&lt;&gt;""),COLUMN(宏观数据!$F$15:$UN$15))-COLUMN(宏观数据!$F$15))),"")</f>
        <v>-1.6</v>
      </c>
      <c r="I15" s="50">
        <f>IFERROR(LOOKUP(2,1/(宏观数据!$F$15:$UN$15&lt;&gt;"")/(宏观数据!$F$1:$UN$1&lt;F15),宏观数据!$F$1:$UN$1),"")</f>
        <v>46142</v>
      </c>
    </row>
    <row r="16" ht="39.75" customHeight="1" spans="1:10">
      <c r="A16" s="1" t="s">
        <v>122</v>
      </c>
      <c r="B16" t="s">
        <v>36</v>
      </c>
      <c r="C16" t="s">
        <v>123</v>
      </c>
      <c r="D16" s="55" t="s">
        <v>25</v>
      </c>
      <c r="E16" s="49">
        <f>IFERROR(LOOKUP(9.99E+307,宏观数据!$F$105:$UN$105),"")</f>
        <v>-10.8</v>
      </c>
      <c r="F16" s="50">
        <f>IFERROR(LOOKUP(2,1/(宏观数据!$F$105:$UN$105&lt;&gt;""),宏观数据!$F$1:$UN$1),"")</f>
        <v>46173</v>
      </c>
      <c r="G16" s="57">
        <f ca="1" t="shared" si="0"/>
        <v>-0.600000000000001</v>
      </c>
      <c r="H16" s="58">
        <f ca="1">IFERROR(LOOKUP(9.99E+307,OFFSET(宏观数据!$F$105,0,0,1,LOOKUP(2,1/(宏观数据!$F$105:$UN$105&lt;&gt;""),COLUMN(宏观数据!$F$105:$UN$105))-COLUMN(宏观数据!$F$105))),"")</f>
        <v>-10.2</v>
      </c>
      <c r="I16" s="50">
        <f>IFERROR(LOOKUP(2,1/(宏观数据!$F$105:$UN$105&lt;&gt;"")/(宏观数据!$F$1:$UN$1&lt;F16),宏观数据!$F$1:$UN$1),"")</f>
        <v>46142</v>
      </c>
    </row>
    <row r="17" ht="39.75" customHeight="1" spans="1:9">
      <c r="A17" s="1" t="s">
        <v>124</v>
      </c>
      <c r="B17" t="s">
        <v>36</v>
      </c>
      <c r="C17" t="s">
        <v>125</v>
      </c>
      <c r="D17" s="48" t="s">
        <v>25</v>
      </c>
      <c r="E17" s="49">
        <f>IFERROR(LOOKUP(9.99E+307,宏观数据!$F$3:$UN$3),"")</f>
        <v>50.3</v>
      </c>
      <c r="F17" s="50">
        <f>IFERROR(LOOKUP(2,1/(宏观数据!$F$3:$UN$3&lt;&gt;""),宏观数据!$F$1:$UN$1),"")</f>
        <v>46203</v>
      </c>
      <c r="G17" s="51">
        <f ca="1" t="shared" si="0"/>
        <v>0.299999999999997</v>
      </c>
      <c r="H17" s="52">
        <f ca="1">IFERROR(LOOKUP(9.99E+307,OFFSET(宏观数据!$F$3,0,0,1,LOOKUP(2,1/(宏观数据!$F$3:$UN$3&lt;&gt;""),COLUMN(宏观数据!$F$3:$UN$3))-COLUMN(宏观数据!$F$3))),"")</f>
        <v>50</v>
      </c>
      <c r="I17" s="50">
        <f>IFERROR(LOOKUP(2,1/(宏观数据!$F$3:$UN$3&lt;&gt;"")/(宏观数据!$F$1:$UN$1&lt;F17),宏观数据!$F$1:$UN$1),"")</f>
        <v>46173</v>
      </c>
    </row>
    <row r="18" ht="39.75" customHeight="1" spans="1:9">
      <c r="A18" s="1" t="s">
        <v>126</v>
      </c>
      <c r="B18" t="s">
        <v>36</v>
      </c>
      <c r="C18" t="s">
        <v>127</v>
      </c>
      <c r="D18" s="48" t="s">
        <v>25</v>
      </c>
      <c r="E18" s="49">
        <f>IFERROR(LOOKUP(9.99E+307,宏观数据!$F$8:$UN$8),"")</f>
        <v>50.2</v>
      </c>
      <c r="F18" s="50">
        <f>IFERROR(LOOKUP(2,1/(宏观数据!$F$8:$UN$8&lt;&gt;""),宏观数据!$F$1:$UN$1),"")</f>
        <v>46203</v>
      </c>
      <c r="G18" s="51">
        <f ca="1" t="shared" si="0"/>
        <v>0.100000000000001</v>
      </c>
      <c r="H18" s="52">
        <f ca="1">IFERROR(LOOKUP(9.99E+307,OFFSET(宏观数据!$F$8,0,0,1,LOOKUP(2,1/(宏观数据!$F$8:$UN$8&lt;&gt;""),COLUMN(宏观数据!$F$8:$UN$8))-COLUMN(宏观数据!$F$8))),"")</f>
        <v>50.1</v>
      </c>
      <c r="I18" s="50">
        <f>IFERROR(LOOKUP(2,1/(宏观数据!$F$8:$UN$8&lt;&gt;"")/(宏观数据!$F$1:$UN$1&lt;F18),宏观数据!$F$1:$UN$1),"")</f>
        <v>46173</v>
      </c>
    </row>
    <row r="19" ht="39.75" customHeight="1" spans="1:9">
      <c r="A19" s="1" t="s">
        <v>128</v>
      </c>
      <c r="B19" t="s">
        <v>36</v>
      </c>
      <c r="C19" t="s">
        <v>129</v>
      </c>
      <c r="D19" s="55" t="s">
        <v>25</v>
      </c>
      <c r="E19" s="49">
        <f>IFERROR(LOOKUP(9.99E+307,宏观数据!$F$20:$UN$20),"")</f>
        <v>4.5</v>
      </c>
      <c r="F19" s="50">
        <f>IFERROR(LOOKUP(2,1/(宏观数据!$F$20:$UN$20&lt;&gt;""),宏观数据!$F$1:$UN$1),"")</f>
        <v>46173</v>
      </c>
      <c r="G19" s="51">
        <f ca="1" t="shared" si="0"/>
        <v>0.4</v>
      </c>
      <c r="H19" s="52">
        <f ca="1">IFERROR(LOOKUP(9.99E+307,OFFSET(宏观数据!$F$20,0,0,1,LOOKUP(2,1/(宏观数据!$F$20:$UN$20&lt;&gt;""),COLUMN(宏观数据!$F$20:$UN$20))-COLUMN(宏观数据!$F$20))),"")</f>
        <v>4.1</v>
      </c>
      <c r="I19" s="50">
        <f>IFERROR(LOOKUP(2,1/(宏观数据!$F$20:$UN$20&lt;&gt;"")/(宏观数据!$F$1:$UN$1&lt;F19),宏观数据!$F$1:$UN$1),"")</f>
        <v>46142</v>
      </c>
    </row>
    <row r="20" ht="39.75" customHeight="1" spans="1:9">
      <c r="A20" s="1" t="s">
        <v>130</v>
      </c>
      <c r="B20" t="s">
        <v>36</v>
      </c>
      <c r="C20" t="s">
        <v>131</v>
      </c>
      <c r="D20" s="55" t="s">
        <v>25</v>
      </c>
      <c r="E20" s="49">
        <f>IFERROR(LOOKUP(9.99E+307,宏观数据!$F$21:$UN$21),"")</f>
        <v>19.4</v>
      </c>
      <c r="F20" s="50">
        <f>IFERROR(LOOKUP(2,1/(宏观数据!$F$21:$UN$21&lt;&gt;""),宏观数据!$F$1:$UN$1),"")</f>
        <v>46173</v>
      </c>
      <c r="G20" s="51">
        <f ca="1" t="shared" si="0"/>
        <v>5.4</v>
      </c>
      <c r="H20" s="52">
        <f ca="1">IFERROR(LOOKUP(9.99E+307,OFFSET(宏观数据!$F$21,0,0,1,LOOKUP(2,1/(宏观数据!$F$21:$UN$21&lt;&gt;""),COLUMN(宏观数据!$F$21:$UN$21))-COLUMN(宏观数据!$F$21))),"")</f>
        <v>14</v>
      </c>
      <c r="I20" s="50">
        <f>IFERROR(LOOKUP(2,1/(宏观数据!$F$21:$UN$21&lt;&gt;"")/(宏观数据!$F$1:$UN$1&lt;F20),宏观数据!$F$1:$UN$1),"")</f>
        <v>46142</v>
      </c>
    </row>
    <row r="21" ht="39.75" customHeight="1" spans="1:9">
      <c r="A21" t="s">
        <v>132</v>
      </c>
      <c r="B21" t="s">
        <v>36</v>
      </c>
      <c r="C21" s="59" t="s">
        <v>133</v>
      </c>
      <c r="D21" s="48" t="s">
        <v>25</v>
      </c>
      <c r="E21" s="49">
        <f>IFERROR(LOOKUP(9.99E+307,宏观数据!$F$23:$UN$23),"")</f>
        <v>3.9</v>
      </c>
      <c r="F21" s="50">
        <f>IFERROR(LOOKUP(2,1/(宏观数据!$F$23:$UN$23&lt;&gt;""),宏观数据!$F$1:$UN$1),"")</f>
        <v>46173</v>
      </c>
      <c r="G21" s="51">
        <f ca="1" t="shared" si="0"/>
        <v>1.1</v>
      </c>
      <c r="H21" s="52">
        <f ca="1">IFERROR(LOOKUP(9.99E+307,OFFSET(宏观数据!$F$23,0,0,1,LOOKUP(2,1/(宏观数据!$F$23:$UN$23&lt;&gt;""),COLUMN(宏观数据!$F$23:$UN$23))-COLUMN(宏观数据!$F$23))),"")</f>
        <v>2.8</v>
      </c>
      <c r="I21" s="50">
        <f>IFERROR(LOOKUP(2,1/(宏观数据!$F$23:$UN$23&lt;&gt;"")/(宏观数据!$F$1:$UN$1&lt;F21),宏观数据!$F$1:$UN$1),"")</f>
        <v>46142</v>
      </c>
    </row>
    <row r="22" ht="39.75" customHeight="1" spans="1:9">
      <c r="A22" t="s">
        <v>134</v>
      </c>
      <c r="B22" t="s">
        <v>36</v>
      </c>
      <c r="C22" s="59" t="s">
        <v>135</v>
      </c>
      <c r="D22" s="48" t="s">
        <v>25</v>
      </c>
      <c r="E22" s="49">
        <f>IFERROR(LOOKUP(9.99E+307,宏观数据!$F$25:$UN$25),"")</f>
        <v>1.2</v>
      </c>
      <c r="F22" s="50">
        <f>IFERROR(LOOKUP(2,1/(宏观数据!$F$25:$UN$25&lt;&gt;""),宏观数据!$F$1:$UN$1),"")</f>
        <v>46173</v>
      </c>
      <c r="G22" s="51">
        <f ca="1" t="shared" si="0"/>
        <v>0</v>
      </c>
      <c r="H22" s="52">
        <f ca="1">IFERROR(LOOKUP(9.99E+307,OFFSET(宏观数据!$F$25,0,0,1,LOOKUP(2,1/(宏观数据!$F$25:$UN$25&lt;&gt;""),COLUMN(宏观数据!$F$25:$UN$25))-COLUMN(宏观数据!$F$25))),"")</f>
        <v>1.2</v>
      </c>
      <c r="I22" s="50">
        <f>IFERROR(LOOKUP(2,1/(宏观数据!$F$25:$UN$25&lt;&gt;"")/(宏观数据!$F$1:$UN$1&lt;F22),宏观数据!$F$1:$UN$1),"")</f>
        <v>46142</v>
      </c>
    </row>
    <row r="23" ht="39.75" customHeight="1" spans="1:9">
      <c r="A23" s="1" t="s">
        <v>136</v>
      </c>
      <c r="B23" t="s">
        <v>36</v>
      </c>
      <c r="C23" t="s">
        <v>137</v>
      </c>
      <c r="D23" s="48"/>
      <c r="E23" s="49">
        <f>IFERROR(LOOKUP(9.99E+307,宏观数据!$F$107:$UN$107),"")</f>
        <v>54.2</v>
      </c>
      <c r="F23" s="50">
        <f>IFERROR(LOOKUP(2,1/(宏观数据!$F$107:$UN$107&lt;&gt;""),宏观数据!$F$1:$UN$1),"")</f>
        <v>46203</v>
      </c>
      <c r="G23" s="51">
        <f ca="1" t="shared" si="0"/>
        <v>-6.3</v>
      </c>
      <c r="H23" s="52">
        <f ca="1">IFERROR(LOOKUP(9.99E+307,OFFSET(宏观数据!$F$107,0,0,1,LOOKUP(2,1/(宏观数据!$F$107:$UN$107&lt;&gt;""),COLUMN(宏观数据!$F$107:$UN$107))-COLUMN(宏观数据!$F$107))),"")</f>
        <v>60.5</v>
      </c>
      <c r="I23" s="50">
        <f>IFERROR(LOOKUP(2,1/(宏观数据!$F$107:$UN$107&lt;&gt;"")/(宏观数据!$F$1:$UN$1&lt;F23),宏观数据!$F$1:$UN$1),"")</f>
        <v>46173</v>
      </c>
    </row>
    <row r="24" ht="39.75" customHeight="1" spans="1:9">
      <c r="A24" t="s">
        <v>138</v>
      </c>
      <c r="B24" t="s">
        <v>36</v>
      </c>
      <c r="C24" t="s">
        <v>139</v>
      </c>
      <c r="D24" t="s">
        <v>20</v>
      </c>
      <c r="E24">
        <f>IFERROR(LOOKUP(9.99E+307,宏观数据!$F$114:$UN$114),"")</f>
        <v>20264</v>
      </c>
      <c r="F24" s="50">
        <f>IFERROR(LOOKUP(2,1/(宏观数据!$F$114:$UN$114&lt;&gt;""),宏观数据!$F$1:$UN$1),"")</f>
        <v>46173</v>
      </c>
      <c r="G24">
        <f ca="1" t="shared" si="0"/>
        <v>14026</v>
      </c>
      <c r="H24">
        <f ca="1">IFERROR(LOOKUP(9.99E+307,OFFSET(宏观数据!$F$114,0,0,1,LOOKUP(2,1/(宏观数据!$F$114:$UN$114&lt;&gt;""),COLUMN(宏观数据!$F$114:$UN$114))-COLUMN(宏观数据!$F$114))),"")</f>
        <v>6238</v>
      </c>
      <c r="I24" s="50">
        <f>IFERROR(LOOKUP(2,1/(宏观数据!$F$114:$UN$114&lt;&gt;"")/(宏观数据!$F$1:$UN$1&lt;F24),宏观数据!$F$1:$UN$1),"")</f>
        <v>46142</v>
      </c>
    </row>
    <row r="25" ht="39.75" customHeight="1" spans="1:9">
      <c r="A25" t="s">
        <v>140</v>
      </c>
      <c r="B25" t="s">
        <v>36</v>
      </c>
      <c r="C25" t="s">
        <v>141</v>
      </c>
      <c r="D25" t="s">
        <v>20</v>
      </c>
      <c r="E25">
        <f>IFERROR(LOOKUP(9.99E+307,宏观数据!$F$115:$UN$115),"")</f>
        <v>4965</v>
      </c>
      <c r="F25" s="50">
        <f>IFERROR(LOOKUP(2,1/(宏观数据!$F$115:$UN$115&lt;&gt;""),宏观数据!$F$1:$UN$1),"")</f>
        <v>46173</v>
      </c>
      <c r="G25">
        <f ca="1" t="shared" si="0"/>
        <v>8971</v>
      </c>
      <c r="H25">
        <f ca="1">IFERROR(LOOKUP(9.99E+307,OFFSET(宏观数据!$F$115,0,0,1,LOOKUP(2,1/(宏观数据!$F$115:$UN$115&lt;&gt;""),COLUMN(宏观数据!$F$115:$UN$115))-COLUMN(宏观数据!$F$115))),"")</f>
        <v>-4006</v>
      </c>
      <c r="I25" s="50">
        <f>IFERROR(LOOKUP(2,1/(宏观数据!$F$115:$UN$115&lt;&gt;"")/(宏观数据!$F$1:$UN$1&lt;F25),宏观数据!$F$1:$UN$1),"")</f>
        <v>46142</v>
      </c>
    </row>
    <row r="26" ht="39.75" customHeight="1" spans="1:9">
      <c r="A26" t="s">
        <v>142</v>
      </c>
      <c r="B26" t="s">
        <v>36</v>
      </c>
      <c r="C26" t="s">
        <v>143</v>
      </c>
      <c r="D26" t="s">
        <v>20</v>
      </c>
      <c r="E26">
        <f>IFERROR(LOOKUP(9.99E+307,宏观数据!$F$116:$UN$116),"")</f>
        <v>12236</v>
      </c>
      <c r="F26" s="50">
        <f>IFERROR(LOOKUP(2,1/(宏观数据!$F$116:$UN$116&lt;&gt;""),宏观数据!$F$1:$UN$1),"")</f>
        <v>46173</v>
      </c>
      <c r="G26">
        <f ca="1" t="shared" si="0"/>
        <v>3195</v>
      </c>
      <c r="H26">
        <f ca="1">IFERROR(LOOKUP(9.99E+307,OFFSET(宏观数据!$F$116,0,0,1,LOOKUP(2,1/(宏观数据!$F$116:$UN$116&lt;&gt;""),COLUMN(宏观数据!$F$116:$UN$116))-COLUMN(宏观数据!$F$116))),"")</f>
        <v>9041</v>
      </c>
      <c r="I26" s="50">
        <f>IFERROR(LOOKUP(2,1/(宏观数据!$F$116:$UN$116&lt;&gt;"")/(宏观数据!$F$1:$UN$1&lt;F26),宏观数据!$F$1:$UN$1),"")</f>
        <v>46142</v>
      </c>
    </row>
    <row r="27" ht="39.75" customHeight="1" spans="1:9">
      <c r="A27" t="s">
        <v>92</v>
      </c>
      <c r="B27" t="s">
        <v>36</v>
      </c>
      <c r="C27" t="s">
        <v>93</v>
      </c>
      <c r="D27" t="s">
        <v>20</v>
      </c>
      <c r="E27">
        <f>IFERROR(LOOKUP(9.99E+307,宏观数据!$F$117:$UN$117),"")</f>
        <v>1680</v>
      </c>
      <c r="F27" s="50">
        <f>IFERROR(LOOKUP(2,1/(宏观数据!$F$117:$UN$117&lt;&gt;""),宏观数据!$F$1:$UN$1),"")</f>
        <v>46173</v>
      </c>
      <c r="G27">
        <f ca="1" t="shared" si="0"/>
        <v>-2840</v>
      </c>
      <c r="H27">
        <f ca="1">IFERROR(LOOKUP(9.99E+307,OFFSET(宏观数据!$F$117,0,0,1,LOOKUP(2,1/(宏观数据!$F$117:$UN$117&lt;&gt;""),COLUMN(宏观数据!$F$117:$UN$117))-COLUMN(宏观数据!$F$117))),"")</f>
        <v>4520</v>
      </c>
      <c r="I27" s="50">
        <f>IFERROR(LOOKUP(2,1/(宏观数据!$F$117:$UN$117&lt;&gt;"")/(宏观数据!$F$1:$UN$1&lt;F27),宏观数据!$F$1:$UN$1),"")</f>
        <v>46142</v>
      </c>
    </row>
    <row r="28" ht="39.75" customHeight="1" spans="1:9">
      <c r="A28" t="s">
        <v>144</v>
      </c>
      <c r="B28" t="s">
        <v>36</v>
      </c>
      <c r="C28" t="s">
        <v>145</v>
      </c>
      <c r="D28" t="s">
        <v>20</v>
      </c>
      <c r="E28">
        <f>IFERROR(LOOKUP(9.99E+307,宏观数据!$F$118:$UN$118),"")</f>
        <v>-685</v>
      </c>
      <c r="F28" s="50">
        <f>IFERROR(LOOKUP(2,1/(宏观数据!$F$118:$UN$118&lt;&gt;""),宏观数据!$F$1:$UN$1),"")</f>
        <v>46173</v>
      </c>
      <c r="G28">
        <f ca="1" t="shared" si="0"/>
        <v>4599</v>
      </c>
      <c r="H28">
        <f ca="1">IFERROR(LOOKUP(9.99E+307,OFFSET(宏观数据!$F$118,0,0,1,LOOKUP(2,1/(宏观数据!$F$118:$UN$118&lt;&gt;""),COLUMN(宏观数据!$F$118:$UN$118))-COLUMN(宏观数据!$F$118))),"")</f>
        <v>-5284</v>
      </c>
      <c r="I28" s="50">
        <f>IFERROR(LOOKUP(2,1/(宏观数据!$F$118:$UN$118&lt;&gt;"")/(宏观数据!$F$1:$UN$1&lt;F28),宏观数据!$F$1:$UN$1),"")</f>
        <v>46142</v>
      </c>
    </row>
    <row r="29" ht="39.75" customHeight="1" spans="1:9">
      <c r="A29" t="s">
        <v>146</v>
      </c>
      <c r="B29" t="s">
        <v>36</v>
      </c>
      <c r="C29" t="s">
        <v>147</v>
      </c>
      <c r="D29" t="s">
        <v>20</v>
      </c>
      <c r="E29">
        <f>IFERROR(LOOKUP(9.99E+307,宏观数据!$F$119:$UN$119),"")</f>
        <v>117</v>
      </c>
      <c r="F29" s="50">
        <f>IFERROR(LOOKUP(2,1/(宏观数据!$F$119:$UN$119&lt;&gt;""),宏观数据!$F$1:$UN$1),"")</f>
        <v>46173</v>
      </c>
      <c r="G29">
        <f ca="1" t="shared" si="0"/>
        <v>-67</v>
      </c>
      <c r="H29">
        <f ca="1">IFERROR(LOOKUP(9.99E+307,OFFSET(宏观数据!$F$119,0,0,1,LOOKUP(2,1/(宏观数据!$F$119:$UN$119&lt;&gt;""),COLUMN(宏观数据!$F$119:$UN$119))-COLUMN(宏观数据!$F$119))),"")</f>
        <v>184</v>
      </c>
      <c r="I29" s="50">
        <f>IFERROR(LOOKUP(2,1/(宏观数据!$F$119:$UN$119&lt;&gt;"")/(宏观数据!$F$1:$UN$1&lt;F29),宏观数据!$F$1:$UN$1),"")</f>
        <v>46142</v>
      </c>
    </row>
    <row r="30" ht="39.75" customHeight="1" spans="1:9">
      <c r="A30" t="s">
        <v>148</v>
      </c>
      <c r="B30" t="s">
        <v>36</v>
      </c>
      <c r="C30" t="s">
        <v>149</v>
      </c>
      <c r="D30" t="s">
        <v>20</v>
      </c>
      <c r="E30">
        <f>IFERROR(LOOKUP(9.99E+307,宏观数据!$F$120:$UN$120),"")</f>
        <v>7100</v>
      </c>
      <c r="F30" s="50">
        <f>IFERROR(LOOKUP(2,1/(宏观数据!$F$120:$UN$120&lt;&gt;""),宏观数据!$F$1:$UN$1),"")</f>
        <v>46173</v>
      </c>
      <c r="G30">
        <f ca="1" t="shared" si="0"/>
        <v>-294</v>
      </c>
      <c r="H30">
        <f ca="1">IFERROR(LOOKUP(9.99E+307,OFFSET(宏观数据!$F$120,0,0,1,LOOKUP(2,1/(宏观数据!$F$120:$UN$120&lt;&gt;""),COLUMN(宏观数据!$F$120:$UN$120))-COLUMN(宏观数据!$F$120))),"")</f>
        <v>7394</v>
      </c>
      <c r="I30" s="50">
        <f>IFERROR(LOOKUP(2,1/(宏观数据!$F$120:$UN$120&lt;&gt;"")/(宏观数据!$F$1:$UN$1&lt;F30),宏观数据!$F$1:$UN$1),"")</f>
        <v>46142</v>
      </c>
    </row>
    <row r="31" ht="39.75" customHeight="1" spans="1:9">
      <c r="A31" t="s">
        <v>150</v>
      </c>
      <c r="B31" t="s">
        <v>36</v>
      </c>
      <c r="C31" t="s">
        <v>151</v>
      </c>
      <c r="D31" t="s">
        <v>25</v>
      </c>
      <c r="E31">
        <f>IFERROR(LOOKUP(9.99E+307,宏观数据!$F$121:$UN$121),"")</f>
        <v>-5.9</v>
      </c>
      <c r="F31" s="50">
        <f>IFERROR(LOOKUP(2,1/(宏观数据!$F$121:$UN$121&lt;&gt;""),宏观数据!$F$1:$UN$1),"")</f>
        <v>46173</v>
      </c>
      <c r="G31">
        <f ca="1" t="shared" si="0"/>
        <v>0.3</v>
      </c>
      <c r="H31">
        <f ca="1">IFERROR(LOOKUP(9.99E+307,OFFSET(宏观数据!$F$121,0,0,1,LOOKUP(2,1/(宏观数据!$F$121:$UN$121&lt;&gt;""),COLUMN(宏观数据!$F$121:$UN$121))-COLUMN(宏观数据!$F$121))),"")</f>
        <v>-6.2</v>
      </c>
      <c r="I31" s="50">
        <f>IFERROR(LOOKUP(2,1/(宏观数据!$F$121:$UN$121&lt;&gt;"")/(宏观数据!$F$1:$UN$1&lt;F31),宏观数据!$F$1:$UN$1),"")</f>
        <v>46142</v>
      </c>
    </row>
    <row r="32" ht="39.75" customHeight="1" spans="1:9">
      <c r="A32" t="s">
        <v>152</v>
      </c>
      <c r="B32" t="s">
        <v>36</v>
      </c>
      <c r="C32" t="s">
        <v>153</v>
      </c>
      <c r="D32" t="s">
        <v>25</v>
      </c>
      <c r="E32">
        <f>IFERROR(LOOKUP(9.99E+307,宏观数据!$F$122:$UN$122),"")</f>
        <v>51.2</v>
      </c>
      <c r="F32" s="50">
        <f>IFERROR(LOOKUP(2,1/(宏观数据!$F$122:$UN$122&lt;&gt;""),宏观数据!$F$1:$UN$1),"")</f>
        <v>46203</v>
      </c>
      <c r="G32">
        <f ca="1" t="shared" si="0"/>
        <v>1.3</v>
      </c>
      <c r="H32">
        <f ca="1">IFERROR(LOOKUP(9.99E+307,OFFSET(宏观数据!$F$122,0,0,1,LOOKUP(2,1/(宏观数据!$F$122:$UN$122&lt;&gt;""),COLUMN(宏观数据!$F$122:$UN$122))-COLUMN(宏观数据!$F$122))),"")</f>
        <v>49.9</v>
      </c>
      <c r="I32" s="50">
        <f>IFERROR(LOOKUP(2,1/(宏观数据!$F$122:$UN$122&lt;&gt;"")/(宏观数据!$F$1:$UN$1&lt;F32),宏观数据!$F$1:$UN$1),"")</f>
        <v>46173</v>
      </c>
    </row>
    <row r="33" ht="39.75" customHeight="1" spans="1:9">
      <c r="A33" t="s">
        <v>154</v>
      </c>
      <c r="B33" t="s">
        <v>36</v>
      </c>
      <c r="C33" t="s">
        <v>155</v>
      </c>
      <c r="D33" t="s">
        <v>25</v>
      </c>
      <c r="E33">
        <f>IFERROR(LOOKUP(9.99E+307,宏观数据!$F$123:$UN$123),"")</f>
        <v>51.4</v>
      </c>
      <c r="F33" s="50">
        <f>IFERROR(LOOKUP(2,1/(宏观数据!$F$123:$UN$123&lt;&gt;""),宏观数据!$F$1:$UN$1),"")</f>
        <v>46203</v>
      </c>
      <c r="G33">
        <f ca="1" t="shared" si="0"/>
        <v>0.199999999999996</v>
      </c>
      <c r="H33">
        <f ca="1">IFERROR(LOOKUP(9.99E+307,OFFSET(宏观数据!$F$123,0,0,1,LOOKUP(2,1/(宏观数据!$F$123:$UN$123&lt;&gt;""),COLUMN(宏观数据!$F$123:$UN$123))-COLUMN(宏观数据!$F$123))),"")</f>
        <v>51.2</v>
      </c>
      <c r="I33" s="50">
        <f>IFERROR(LOOKUP(2,1/(宏观数据!$F$123:$UN$123&lt;&gt;"")/(宏观数据!$F$1:$UN$1&lt;F33),宏观数据!$F$1:$UN$1),"")</f>
        <v>46173</v>
      </c>
    </row>
    <row r="34" ht="39.75" customHeight="1" spans="1:9">
      <c r="A34" t="s">
        <v>156</v>
      </c>
      <c r="B34" t="s">
        <v>36</v>
      </c>
      <c r="C34" t="s">
        <v>157</v>
      </c>
      <c r="D34" t="s">
        <v>25</v>
      </c>
      <c r="E34">
        <f>IFERROR(LOOKUP(9.99E+307,宏观数据!$F$124:$UN$124),"")</f>
        <v>5.56</v>
      </c>
      <c r="F34" s="50">
        <f>IFERROR(LOOKUP(2,1/(宏观数据!$F$124:$UN$124&lt;&gt;""),宏观数据!$F$1:$UN$1),"")</f>
        <v>46173</v>
      </c>
      <c r="G34">
        <f ca="1" t="shared" si="0"/>
        <v>0.13</v>
      </c>
      <c r="H34">
        <f ca="1">IFERROR(LOOKUP(9.99E+307,OFFSET(宏观数据!$F$124,0,0,1,LOOKUP(2,1/(宏观数据!$F$124:$UN$124&lt;&gt;""),COLUMN(宏观数据!$F$124:$UN$124))-COLUMN(宏观数据!$F$124))),"")</f>
        <v>5.43</v>
      </c>
      <c r="I34" s="50">
        <f>IFERROR(LOOKUP(2,1/(宏观数据!$F$124:$UN$124&lt;&gt;"")/(宏观数据!$F$1:$UN$1&lt;F34),宏观数据!$F$1:$UN$1),"")</f>
        <v>46142</v>
      </c>
    </row>
    <row r="35" ht="39.75" customHeight="1" spans="1:9">
      <c r="A35" s="1" t="s">
        <v>158</v>
      </c>
      <c r="B35" t="s">
        <v>36</v>
      </c>
      <c r="C35" t="s">
        <v>159</v>
      </c>
      <c r="D35" t="s">
        <v>25</v>
      </c>
      <c r="E35">
        <f>IFERROR(LOOKUP(9.99E+307,宏观数据!$F$125:$UN$125),"")</f>
        <v>18.8</v>
      </c>
      <c r="F35" s="50">
        <f>IFERROR(LOOKUP(2,1/(宏观数据!$F$125:$UN$125&lt;&gt;""),宏观数据!$F$1:$UN$1),"")</f>
        <v>46173</v>
      </c>
      <c r="G35">
        <f ca="1" t="shared" si="0"/>
        <v>0.600000000000001</v>
      </c>
      <c r="H35">
        <f ca="1">IFERROR(LOOKUP(9.99E+307,OFFSET(宏观数据!$F$125,0,0,1,LOOKUP(2,1/(宏观数据!$F$125:$UN$125&lt;&gt;""),COLUMN(宏观数据!$F$125:$UN$125))-COLUMN(宏观数据!$F$125))),"")</f>
        <v>18.2</v>
      </c>
      <c r="I35" s="50">
        <f>IFERROR(LOOKUP(2,1/(宏观数据!$F$125:$UN$125&lt;&gt;"")/(宏观数据!$F$1:$UN$1&lt;F35),宏观数据!$F$1:$UN$1),"")</f>
        <v>46142</v>
      </c>
    </row>
    <row r="36" ht="40" customHeight="1" spans="1:9">
      <c r="A36" t="s">
        <v>160</v>
      </c>
      <c r="B36" t="s">
        <v>36</v>
      </c>
      <c r="C36" t="s">
        <v>161</v>
      </c>
      <c r="D36" t="s">
        <v>25</v>
      </c>
      <c r="E36">
        <f>IFERROR(LOOKUP(9.99E+307,宏观数据!$F$2:$UN$2),"")</f>
        <v>50.08</v>
      </c>
      <c r="F36" s="50">
        <f>IFERROR(LOOKUP(2,1/(宏观数据!$F$2:$UN$2&lt;&gt;""),宏观数据!$F$1:$UN$1),"")</f>
        <v>46234</v>
      </c>
      <c r="G36">
        <f ca="1" t="shared" si="0"/>
        <v>-0.120000000000005</v>
      </c>
      <c r="H36">
        <f ca="1">IFERROR(LOOKUP(9.99E+307,OFFSET(宏观数据!$F$2,0,0,1,LOOKUP(2,1/(宏观数据!$F$2:$UN$2&lt;&gt;""),COLUMN(宏观数据!$F$2:$UN$2))-COLUMN(宏观数据!$F$2))),"")</f>
        <v>50.2</v>
      </c>
      <c r="I36" s="50">
        <f>IFERROR(LOOKUP(2,1/(宏观数据!$F$2:$UN$2&lt;&gt;"")/(宏观数据!$F$1:$UN$1&lt;F36),宏观数据!$F$1:$UN$1),"")</f>
        <v>46203</v>
      </c>
    </row>
    <row r="37" ht="40" customHeight="1" spans="1:9">
      <c r="A37" t="s">
        <v>162</v>
      </c>
      <c r="B37" t="s">
        <v>36</v>
      </c>
      <c r="C37" t="s">
        <v>163</v>
      </c>
      <c r="D37" t="s">
        <v>25</v>
      </c>
      <c r="E37">
        <f>IFERROR(LOOKUP(9.99E+307,宏观数据!$F$4:$UN$4),"")</f>
        <v>49.85</v>
      </c>
      <c r="F37" s="50">
        <f>IFERROR(LOOKUP(2,1/(宏观数据!$F$4:$UN$4&lt;&gt;""),宏观数据!$F$1:$UN$1),"")</f>
        <v>46203</v>
      </c>
      <c r="G37">
        <f ca="1" t="shared" si="0"/>
        <v>-0.0499999999999972</v>
      </c>
      <c r="H37">
        <f ca="1">IFERROR(LOOKUP(9.99E+307,OFFSET(宏观数据!$F$4,0,0,1,LOOKUP(2,1/(宏观数据!$F$4:$UN$4&lt;&gt;""),COLUMN(宏观数据!$F$4:$UN$4))-COLUMN(宏观数据!$F$4))),"")</f>
        <v>49.9</v>
      </c>
      <c r="I37" s="50">
        <f>IFERROR(LOOKUP(2,1/(宏观数据!$F$4:$UN$4&lt;&gt;"")/(宏观数据!$F$1:$UN$1&lt;F37),宏观数据!$F$1:$UN$1),"")</f>
        <v>46142</v>
      </c>
    </row>
    <row r="38" ht="40" customHeight="1" spans="1:9">
      <c r="A38" t="s">
        <v>164</v>
      </c>
      <c r="B38" t="s">
        <v>36</v>
      </c>
      <c r="C38" t="s">
        <v>165</v>
      </c>
      <c r="D38" t="s">
        <v>25</v>
      </c>
      <c r="E38">
        <f>IFERROR(LOOKUP(9.99E+307,宏观数据!$F$7:$UN$7),"")</f>
        <v>50.1</v>
      </c>
      <c r="F38" s="50">
        <f>IFERROR(LOOKUP(2,1/(宏观数据!$F$7:$UN$7&lt;&gt;""),宏观数据!$F$1:$UN$1),"")</f>
        <v>46203</v>
      </c>
      <c r="G38">
        <f ca="1" t="shared" si="0"/>
        <v>1.5</v>
      </c>
      <c r="H38">
        <f ca="1">IFERROR(LOOKUP(9.99E+307,OFFSET(宏观数据!$F$7,0,0,1,LOOKUP(2,1/(宏观数据!$F$7:$UN$7&lt;&gt;""),COLUMN(宏观数据!$F$7:$UN$7))-COLUMN(宏观数据!$F$7))),"")</f>
        <v>48.6</v>
      </c>
      <c r="I38" s="50">
        <f>IFERROR(LOOKUP(2,1/(宏观数据!$F$7:$UN$7&lt;&gt;"")/(宏观数据!$F$1:$UN$1&lt;F38),宏观数据!$F$1:$UN$1),"")</f>
        <v>46173</v>
      </c>
    </row>
    <row r="39" ht="40" customHeight="1" spans="1:9">
      <c r="A39" t="s">
        <v>166</v>
      </c>
      <c r="B39" t="s">
        <v>36</v>
      </c>
      <c r="C39" t="s">
        <v>167</v>
      </c>
      <c r="D39" t="s">
        <v>25</v>
      </c>
      <c r="E39">
        <f>IFERROR(LOOKUP(9.99E+307,宏观数据!$F$10:$UN$10),"")</f>
        <v>1.5</v>
      </c>
      <c r="F39" s="50">
        <f>IFERROR(LOOKUP(2,1/(宏观数据!$F$10:$UN$10&lt;&gt;""),宏观数据!$F$1:$UN$1),"")</f>
        <v>46234</v>
      </c>
      <c r="G39">
        <f ca="1" t="shared" si="0"/>
        <v>1.37</v>
      </c>
      <c r="H39">
        <f ca="1">IFERROR(LOOKUP(9.99E+307,OFFSET(宏观数据!$F$10,0,0,1,LOOKUP(2,1/(宏观数据!$F$10:$UN$10&lt;&gt;""),COLUMN(宏观数据!$F$10:$UN$10))-COLUMN(宏观数据!$F$10))),"")</f>
        <v>0.13</v>
      </c>
      <c r="I39" s="50">
        <f>IFERROR(LOOKUP(2,1/(宏观数据!$F$10:$UN$10&lt;&gt;"")/(宏观数据!$F$1:$UN$1&lt;F39),宏观数据!$F$1:$UN$1),"")</f>
        <v>46203</v>
      </c>
    </row>
    <row r="40" ht="40" customHeight="1" spans="1:9">
      <c r="A40" t="s">
        <v>168</v>
      </c>
      <c r="B40" t="s">
        <v>36</v>
      </c>
      <c r="C40" t="s">
        <v>169</v>
      </c>
      <c r="D40" t="s">
        <v>25</v>
      </c>
      <c r="E40">
        <f>IFERROR(LOOKUP(9.99E+307,宏观数据!$F$11:$UN$11),"")</f>
        <v>-4.77</v>
      </c>
      <c r="F40" s="50">
        <f>IFERROR(LOOKUP(2,1/(宏观数据!$F$11:$UN$11&lt;&gt;""),宏观数据!$F$1:$UN$1),"")</f>
        <v>46203</v>
      </c>
      <c r="G40">
        <f ca="1" t="shared" si="0"/>
        <v>-3.08</v>
      </c>
      <c r="H40">
        <f ca="1">IFERROR(LOOKUP(9.99E+307,OFFSET(宏观数据!$F$11,0,0,1,LOOKUP(2,1/(宏观数据!$F$11:$UN$11&lt;&gt;""),COLUMN(宏观数据!$F$11:$UN$11))-COLUMN(宏观数据!$F$11))),"")</f>
        <v>-1.69</v>
      </c>
      <c r="I40" s="50">
        <f>IFERROR(LOOKUP(2,1/(宏观数据!$F$11:$UN$11&lt;&gt;"")/(宏观数据!$F$1:$UN$1&lt;F40),宏观数据!$F$1:$UN$1),"")</f>
        <v>46173</v>
      </c>
    </row>
    <row r="41" ht="40" customHeight="1" spans="1:9">
      <c r="A41" t="s">
        <v>170</v>
      </c>
      <c r="B41" t="s">
        <v>36</v>
      </c>
      <c r="C41" t="s">
        <v>171</v>
      </c>
      <c r="D41" t="s">
        <v>25</v>
      </c>
      <c r="E41">
        <f>IFERROR(LOOKUP(9.99E+307,宏观数据!$F$12:$UN$12),"")</f>
        <v>-0.4</v>
      </c>
      <c r="F41" s="50">
        <f>IFERROR(LOOKUP(2,1/(宏观数据!$F$12:$UN$12&lt;&gt;""),宏观数据!$F$1:$UN$1),"")</f>
        <v>46203</v>
      </c>
      <c r="G41">
        <f ca="1" t="shared" si="0"/>
        <v>-0.5</v>
      </c>
      <c r="H41">
        <f ca="1">IFERROR(LOOKUP(9.99E+307,OFFSET(宏观数据!$F$12,0,0,1,LOOKUP(2,1/(宏观数据!$F$12:$UN$12&lt;&gt;""),COLUMN(宏观数据!$F$12:$UN$12))-COLUMN(宏观数据!$F$12))),"")</f>
        <v>0.1</v>
      </c>
      <c r="I41" s="50">
        <f>IFERROR(LOOKUP(2,1/(宏观数据!$F$12:$UN$12&lt;&gt;"")/(宏观数据!$F$1:$UN$1&lt;F41),宏观数据!$F$1:$UN$1),"")</f>
        <v>46173</v>
      </c>
    </row>
    <row r="42" ht="40" customHeight="1" spans="1:9">
      <c r="A42" t="s">
        <v>172</v>
      </c>
      <c r="B42" t="s">
        <v>36</v>
      </c>
      <c r="C42" t="s">
        <v>173</v>
      </c>
      <c r="D42" t="s">
        <v>25</v>
      </c>
      <c r="E42">
        <f>IFERROR(LOOKUP(9.99E+307,宏观数据!$F$13:$UN$13),"")</f>
        <v>0.75</v>
      </c>
      <c r="F42" s="50">
        <f>IFERROR(LOOKUP(2,1/(宏观数据!$F$13:$UN$13&lt;&gt;""),宏观数据!$F$1:$UN$1),"")</f>
        <v>46203</v>
      </c>
      <c r="G42">
        <f ca="1" t="shared" si="0"/>
        <v>-1.3</v>
      </c>
      <c r="H42">
        <f ca="1">IFERROR(LOOKUP(9.99E+307,OFFSET(宏观数据!$F$13,0,0,1,LOOKUP(2,1/(宏观数据!$F$13:$UN$13&lt;&gt;""),COLUMN(宏观数据!$F$13:$UN$13))-COLUMN(宏观数据!$F$13))),"")</f>
        <v>2.05</v>
      </c>
      <c r="I42" s="50">
        <f>IFERROR(LOOKUP(2,1/(宏观数据!$F$13:$UN$13&lt;&gt;"")/(宏观数据!$F$1:$UN$1&lt;F42),宏观数据!$F$1:$UN$1),"")</f>
        <v>46173</v>
      </c>
    </row>
    <row r="43" ht="40" customHeight="1" spans="1:9">
      <c r="A43" t="s">
        <v>174</v>
      </c>
      <c r="B43" t="s">
        <v>36</v>
      </c>
      <c r="C43" t="s">
        <v>175</v>
      </c>
      <c r="D43" t="s">
        <v>25</v>
      </c>
      <c r="E43">
        <f>IFERROR(LOOKUP(9.99E+307,宏观数据!$F$14:$UN$14),"")</f>
        <v>-17.4</v>
      </c>
      <c r="F43" s="50">
        <f>IFERROR(LOOKUP(2,1/(宏观数据!$F$14:$UN$14&lt;&gt;""),宏观数据!$F$1:$UN$1),"")</f>
        <v>46203</v>
      </c>
      <c r="G43">
        <f ca="1" t="shared" si="0"/>
        <v>-2.77</v>
      </c>
      <c r="H43">
        <f ca="1">IFERROR(LOOKUP(9.99E+307,OFFSET(宏观数据!$F$14,0,0,1,LOOKUP(2,1/(宏观数据!$F$14:$UN$14&lt;&gt;""),COLUMN(宏观数据!$F$14:$UN$14))-COLUMN(宏观数据!$F$14))),"")</f>
        <v>-14.63</v>
      </c>
      <c r="I43" s="50">
        <f>IFERROR(LOOKUP(2,1/(宏观数据!$F$14:$UN$14&lt;&gt;"")/(宏观数据!$F$1:$UN$1&lt;F43),宏观数据!$F$1:$UN$1),"")</f>
        <v>46173</v>
      </c>
    </row>
    <row r="44" ht="40" customHeight="1" spans="1:9">
      <c r="A44" t="s">
        <v>176</v>
      </c>
      <c r="B44" t="s">
        <v>36</v>
      </c>
      <c r="C44" t="s">
        <v>177</v>
      </c>
      <c r="D44" t="s">
        <v>25</v>
      </c>
      <c r="E44">
        <f>IFERROR(LOOKUP(9.99E+307,宏观数据!$F$16:$UN$16),"")</f>
        <v>-0.4</v>
      </c>
      <c r="F44" s="50">
        <f>IFERROR(LOOKUP(2,1/(宏观数据!$F$16:$UN$16&lt;&gt;""),宏观数据!$F$1:$UN$1),"")</f>
        <v>46173</v>
      </c>
      <c r="G44">
        <f ca="1" t="shared" si="0"/>
        <v>-1.6</v>
      </c>
      <c r="H44">
        <f ca="1">IFERROR(LOOKUP(9.99E+307,OFFSET(宏观数据!$F$16,0,0,1,LOOKUP(2,1/(宏观数据!$F$16:$UN$16&lt;&gt;""),COLUMN(宏观数据!$F$16:$UN$16))-COLUMN(宏观数据!$F$16))),"")</f>
        <v>1.2</v>
      </c>
      <c r="I44" s="50">
        <f>IFERROR(LOOKUP(2,1/(宏观数据!$F$16:$UN$16&lt;&gt;"")/(宏观数据!$F$1:$UN$1&lt;F44),宏观数据!$F$1:$UN$1),"")</f>
        <v>46142</v>
      </c>
    </row>
    <row r="45" ht="40" customHeight="1" spans="1:9">
      <c r="A45" t="s">
        <v>178</v>
      </c>
      <c r="B45" t="s">
        <v>36</v>
      </c>
      <c r="C45" t="s">
        <v>179</v>
      </c>
      <c r="D45" t="s">
        <v>25</v>
      </c>
      <c r="E45">
        <f>IFERROR(LOOKUP(9.99E+307,宏观数据!$F$17:$UN$17),"")</f>
        <v>0.75</v>
      </c>
      <c r="F45" s="50">
        <f>IFERROR(LOOKUP(2,1/(宏观数据!$F$17:$UN$17&lt;&gt;""),宏观数据!$F$1:$UN$1),"")</f>
        <v>46173</v>
      </c>
      <c r="G45">
        <f ca="1" t="shared" si="0"/>
        <v>-4.17</v>
      </c>
      <c r="H45">
        <f ca="1">IFERROR(LOOKUP(9.99E+307,OFFSET(宏观数据!$F$17,0,0,1,LOOKUP(2,1/(宏观数据!$F$17:$UN$17&lt;&gt;""),COLUMN(宏观数据!$F$17:$UN$17))-COLUMN(宏观数据!$F$17))),"")</f>
        <v>4.92</v>
      </c>
      <c r="I45" s="50">
        <f>IFERROR(LOOKUP(2,1/(宏观数据!$F$17:$UN$17&lt;&gt;"")/(宏观数据!$F$1:$UN$1&lt;F45),宏观数据!$F$1:$UN$1),"")</f>
        <v>46142</v>
      </c>
    </row>
    <row r="46" ht="40" customHeight="1" spans="1:9">
      <c r="A46" t="s">
        <v>180</v>
      </c>
      <c r="B46" t="s">
        <v>36</v>
      </c>
      <c r="C46" t="s">
        <v>181</v>
      </c>
      <c r="D46" t="s">
        <v>25</v>
      </c>
      <c r="E46">
        <f>IFERROR(LOOKUP(9.99E+307,宏观数据!$F$18:$UN$18),"")</f>
        <v>-15.9</v>
      </c>
      <c r="F46" s="50">
        <f>IFERROR(LOOKUP(2,1/(宏观数据!$F$18:$UN$18&lt;&gt;""),宏观数据!$F$1:$UN$1),"")</f>
        <v>46173</v>
      </c>
      <c r="G46">
        <f ca="1" t="shared" si="0"/>
        <v>-2.5</v>
      </c>
      <c r="H46">
        <f ca="1">IFERROR(LOOKUP(9.99E+307,OFFSET(宏观数据!$F$18,0,0,1,LOOKUP(2,1/(宏观数据!$F$18:$UN$18&lt;&gt;""),COLUMN(宏观数据!$F$18:$UN$18))-COLUMN(宏观数据!$F$18))),"")</f>
        <v>-13.4</v>
      </c>
      <c r="I46" s="50">
        <f>IFERROR(LOOKUP(2,1/(宏观数据!$F$18:$UN$18&lt;&gt;"")/(宏观数据!$F$1:$UN$1&lt;F46),宏观数据!$F$1:$UN$1),"")</f>
        <v>46142</v>
      </c>
    </row>
    <row r="47" ht="40" customHeight="1" spans="1:9">
      <c r="A47" t="s">
        <v>182</v>
      </c>
      <c r="B47" t="s">
        <v>36</v>
      </c>
      <c r="C47" t="s">
        <v>183</v>
      </c>
      <c r="D47" t="s">
        <v>25</v>
      </c>
      <c r="E47">
        <f>IFERROR(LOOKUP(9.99E+307,宏观数据!$F$19:$UN$19),"")</f>
        <v>-7.1</v>
      </c>
      <c r="F47" s="50">
        <f>IFERROR(LOOKUP(2,1/(宏观数据!$F$19:$UN$19&lt;&gt;""),宏观数据!$F$1:$UN$1),"")</f>
        <v>46173</v>
      </c>
      <c r="G47">
        <f ca="1" t="shared" si="0"/>
        <v>-1.9</v>
      </c>
      <c r="H47">
        <f ca="1">IFERROR(LOOKUP(9.99E+307,OFFSET(宏观数据!$F$19,0,0,1,LOOKUP(2,1/(宏观数据!$F$19:$UN$19&lt;&gt;""),COLUMN(宏观数据!$F$19:$UN$19))-COLUMN(宏观数据!$F$19))),"")</f>
        <v>-5.2</v>
      </c>
      <c r="I47" s="50">
        <f>IFERROR(LOOKUP(2,1/(宏观数据!$F$19:$UN$19&lt;&gt;"")/(宏观数据!$F$1:$UN$1&lt;F47),宏观数据!$F$1:$UN$1),"")</f>
        <v>46142</v>
      </c>
    </row>
    <row r="48" ht="40" customHeight="1" spans="1:9">
      <c r="A48" t="s">
        <v>184</v>
      </c>
      <c r="B48" t="s">
        <v>36</v>
      </c>
      <c r="C48" t="s">
        <v>185</v>
      </c>
      <c r="D48" t="s">
        <v>25</v>
      </c>
      <c r="E48">
        <f>IFERROR(LOOKUP(9.99E+307,宏观数据!$F$22:$UN$22),"")</f>
        <v>18.51</v>
      </c>
      <c r="F48" s="50">
        <f>IFERROR(LOOKUP(2,1/(宏观数据!$F$22:$UN$22&lt;&gt;""),宏观数据!$F$1:$UN$1),"")</f>
        <v>46203</v>
      </c>
      <c r="G48">
        <f ca="1" t="shared" si="0"/>
        <v>6.18</v>
      </c>
      <c r="H48">
        <f ca="1">IFERROR(LOOKUP(9.99E+307,OFFSET(宏观数据!$F$22,0,0,1,LOOKUP(2,1/(宏观数据!$F$22:$UN$22&lt;&gt;""),COLUMN(宏观数据!$F$22:$UN$22))-COLUMN(宏观数据!$F$22))),"")</f>
        <v>12.33</v>
      </c>
      <c r="I48" s="50">
        <f>IFERROR(LOOKUP(2,1/(宏观数据!$F$22:$UN$22&lt;&gt;"")/(宏观数据!$F$1:$UN$1&lt;F48),宏观数据!$F$1:$UN$1),"")</f>
        <v>46173</v>
      </c>
    </row>
    <row r="49" ht="40" customHeight="1" spans="1:9">
      <c r="A49" t="s">
        <v>186</v>
      </c>
      <c r="B49" t="s">
        <v>36</v>
      </c>
      <c r="C49" t="s">
        <v>187</v>
      </c>
      <c r="D49" t="s">
        <v>25</v>
      </c>
      <c r="E49">
        <f>IFERROR(LOOKUP(9.99E+307,宏观数据!$F$24:$UN$24),"")</f>
        <v>4.07</v>
      </c>
      <c r="F49" s="50">
        <f>IFERROR(LOOKUP(2,1/(宏观数据!$F$24:$UN$24&lt;&gt;""),宏观数据!$F$1:$UN$1),"")</f>
        <v>46203</v>
      </c>
      <c r="G49">
        <f ca="1" t="shared" si="0"/>
        <v>0.54</v>
      </c>
      <c r="H49">
        <f ca="1">IFERROR(LOOKUP(9.99E+307,OFFSET(宏观数据!$F$24,0,0,1,LOOKUP(2,1/(宏观数据!$F$24:$UN$24&lt;&gt;""),COLUMN(宏观数据!$F$24:$UN$24))-COLUMN(宏观数据!$F$24))),"")</f>
        <v>3.53</v>
      </c>
      <c r="I49" s="50">
        <f>IFERROR(LOOKUP(2,1/(宏观数据!$F$24:$UN$24&lt;&gt;"")/(宏观数据!$F$1:$UN$1&lt;F49),宏观数据!$F$1:$UN$1),"")</f>
        <v>46173</v>
      </c>
    </row>
    <row r="50" ht="40" customHeight="1" spans="1:9">
      <c r="A50" t="s">
        <v>188</v>
      </c>
      <c r="B50" t="s">
        <v>36</v>
      </c>
      <c r="C50" t="s">
        <v>189</v>
      </c>
      <c r="D50" t="s">
        <v>25</v>
      </c>
      <c r="E50">
        <f>IFERROR(LOOKUP(9.99E+307,宏观数据!$F$26:$UN$26),"")</f>
        <v>0.1</v>
      </c>
      <c r="F50" s="50">
        <f>IFERROR(LOOKUP(2,1/(宏观数据!$F$26:$UN$26&lt;&gt;""),宏观数据!$F$1:$UN$1),"")</f>
        <v>46234</v>
      </c>
      <c r="G50">
        <f ca="1" t="shared" si="0"/>
        <v>-1.08</v>
      </c>
      <c r="H50">
        <f ca="1">IFERROR(LOOKUP(9.99E+307,OFFSET(宏观数据!$F$26,0,0,1,LOOKUP(2,1/(宏观数据!$F$26:$UN$26&lt;&gt;""),COLUMN(宏观数据!$F$26:$UN$26))-COLUMN(宏观数据!$F$26))),"")</f>
        <v>1.18</v>
      </c>
      <c r="I50" s="50">
        <f>IFERROR(LOOKUP(2,1/(宏观数据!$F$26:$UN$26&lt;&gt;"")/(宏观数据!$F$1:$UN$1&lt;F50),宏观数据!$F$1:$UN$1),"")</f>
        <v>46203</v>
      </c>
    </row>
    <row r="51" ht="40" customHeight="1" spans="1:9">
      <c r="A51" t="s">
        <v>190</v>
      </c>
      <c r="B51" t="s">
        <v>36</v>
      </c>
      <c r="C51" t="s">
        <v>191</v>
      </c>
      <c r="D51" t="s">
        <v>20</v>
      </c>
      <c r="E51">
        <f>IFERROR(LOOKUP(9.99E+307,宏观数据!$F$28:$UN$28),"")</f>
        <v>0</v>
      </c>
      <c r="F51" s="50">
        <f>IFERROR(LOOKUP(2,1/(宏观数据!$F$28:$UN$28&lt;&gt;""),宏观数据!$F$1:$UN$1),"")</f>
        <v>46203</v>
      </c>
      <c r="G51">
        <f ca="1" t="shared" si="0"/>
        <v>-9</v>
      </c>
      <c r="H51">
        <f ca="1">IFERROR(LOOKUP(9.99E+307,OFFSET(宏观数据!$F$28,0,0,1,LOOKUP(2,1/(宏观数据!$F$28:$UN$28&lt;&gt;""),COLUMN(宏观数据!$F$28:$UN$28))-COLUMN(宏观数据!$F$28))),"")</f>
        <v>9</v>
      </c>
      <c r="I51" s="50">
        <f>IFERROR(LOOKUP(2,1/(宏观数据!$F$28:$UN$28&lt;&gt;"")/(宏观数据!$F$1:$UN$1&lt;F51),宏观数据!$F$1:$UN$1),"")</f>
        <v>46173</v>
      </c>
    </row>
    <row r="52" ht="40" customHeight="1" spans="1:9">
      <c r="A52" t="s">
        <v>192</v>
      </c>
      <c r="B52" t="s">
        <v>36</v>
      </c>
      <c r="C52" t="s">
        <v>193</v>
      </c>
      <c r="D52" t="s">
        <v>20</v>
      </c>
      <c r="E52">
        <f>IFERROR(LOOKUP(9.99E+307,宏观数据!$F$29:$UN$29),"")</f>
        <v>2000</v>
      </c>
      <c r="F52" s="50">
        <f>IFERROR(LOOKUP(2,1/(宏观数据!$F$29:$UN$29&lt;&gt;""),宏观数据!$F$1:$UN$1),"")</f>
        <v>46203</v>
      </c>
      <c r="G52">
        <f ca="1" t="shared" si="0"/>
        <v>1000</v>
      </c>
      <c r="H52">
        <f ca="1">IFERROR(LOOKUP(9.99E+307,OFFSET(宏观数据!$F$29,0,0,1,LOOKUP(2,1/(宏观数据!$F$29:$UN$29&lt;&gt;""),COLUMN(宏观数据!$F$29:$UN$29))-COLUMN(宏观数据!$F$29))),"")</f>
        <v>1000</v>
      </c>
      <c r="I52" s="50">
        <f>IFERROR(LOOKUP(2,1/(宏观数据!$F$29:$UN$29&lt;&gt;"")/(宏观数据!$F$1:$UN$1&lt;F52),宏观数据!$F$1:$UN$1),"")</f>
        <v>46173</v>
      </c>
    </row>
    <row r="53" ht="40" customHeight="1" spans="1:9">
      <c r="A53" t="s">
        <v>194</v>
      </c>
      <c r="B53" t="s">
        <v>36</v>
      </c>
      <c r="C53" t="s">
        <v>195</v>
      </c>
      <c r="D53" t="s">
        <v>20</v>
      </c>
      <c r="E53">
        <f>IFERROR(LOOKUP(9.99E+307,宏观数据!$F$30:$UN$30),"")</f>
        <v>-500</v>
      </c>
      <c r="F53" s="50">
        <f>IFERROR(LOOKUP(2,1/(宏观数据!$F$30:$UN$30&lt;&gt;""),宏观数据!$F$1:$UN$1),"")</f>
        <v>46203</v>
      </c>
      <c r="G53">
        <f ca="1" t="shared" si="0"/>
        <v>1045</v>
      </c>
      <c r="H53">
        <f ca="1">IFERROR(LOOKUP(9.99E+307,OFFSET(宏观数据!$F$30,0,0,1,LOOKUP(2,1/(宏观数据!$F$30:$UN$30&lt;&gt;""),COLUMN(宏观数据!$F$30:$UN$30))-COLUMN(宏观数据!$F$30))),"")</f>
        <v>-1545</v>
      </c>
      <c r="I53" s="50">
        <f>IFERROR(LOOKUP(2,1/(宏观数据!$F$30:$UN$30&lt;&gt;"")/(宏观数据!$F$1:$UN$1&lt;F53),宏观数据!$F$1:$UN$1),"")</f>
        <v>46173</v>
      </c>
    </row>
    <row r="54" ht="40" customHeight="1" spans="1:9">
      <c r="A54" t="s">
        <v>196</v>
      </c>
      <c r="B54" t="s">
        <v>36</v>
      </c>
      <c r="C54" t="s">
        <v>197</v>
      </c>
      <c r="D54" t="s">
        <v>20</v>
      </c>
      <c r="E54">
        <f>IFERROR(LOOKUP(9.99E+307,宏观数据!$F$31:$UN$31),"")</f>
        <v>-1372</v>
      </c>
      <c r="F54" s="50">
        <f>IFERROR(LOOKUP(2,1/(宏观数据!$F$31:$UN$31&lt;&gt;""),宏观数据!$F$1:$UN$1),"")</f>
        <v>46203</v>
      </c>
      <c r="G54">
        <f ca="1" t="shared" si="0"/>
        <v>-2501</v>
      </c>
      <c r="H54">
        <f ca="1">IFERROR(LOOKUP(9.99E+307,OFFSET(宏观数据!$F$31,0,0,1,LOOKUP(2,1/(宏观数据!$F$31:$UN$31&lt;&gt;""),COLUMN(宏观数据!$F$31:$UN$31))-COLUMN(宏观数据!$F$31))),"")</f>
        <v>1129</v>
      </c>
      <c r="I54" s="50">
        <f>IFERROR(LOOKUP(2,1/(宏观数据!$F$31:$UN$31&lt;&gt;"")/(宏观数据!$F$1:$UN$1&lt;F54),宏观数据!$F$1:$UN$1),"")</f>
        <v>46173</v>
      </c>
    </row>
    <row r="55" ht="40" customHeight="1" spans="1:9">
      <c r="A55" t="s">
        <v>198</v>
      </c>
      <c r="B55" t="s">
        <v>36</v>
      </c>
      <c r="C55" t="s">
        <v>199</v>
      </c>
      <c r="D55" t="s">
        <v>20</v>
      </c>
      <c r="E55">
        <f>IFERROR(LOOKUP(9.99E+307,宏观数据!$F$32:$UN$32),"")</f>
        <v>10000</v>
      </c>
      <c r="F55" s="50">
        <f>IFERROR(LOOKUP(2,1/(宏观数据!$F$32:$UN$32&lt;&gt;""),宏观数据!$F$1:$UN$1),"")</f>
        <v>45808</v>
      </c>
      <c r="G55" t="str">
        <f ca="1" t="shared" si="0"/>
        <v/>
      </c>
      <c r="H55" t="str">
        <f ca="1">IFERROR(LOOKUP(9.99E+307,OFFSET(宏观数据!$F$32,0,0,1,LOOKUP(2,1/(宏观数据!$F$32:$UN$32&lt;&gt;""),COLUMN(宏观数据!$F$32:$UN$32))-COLUMN(宏观数据!$F$32))),"")</f>
        <v/>
      </c>
      <c r="I55" s="50" t="str">
        <f>IFERROR(LOOKUP(2,1/(宏观数据!$F$32:$UN$32&lt;&gt;"")/(宏观数据!$F$1:$UN$1&lt;F55),宏观数据!$F$1:$UN$1),"")</f>
        <v/>
      </c>
    </row>
    <row r="56" ht="40" customHeight="1" spans="1:9">
      <c r="A56" t="s">
        <v>200</v>
      </c>
      <c r="B56" t="s">
        <v>36</v>
      </c>
      <c r="C56" t="s">
        <v>201</v>
      </c>
      <c r="D56" t="s">
        <v>25</v>
      </c>
      <c r="E56">
        <f>IFERROR(LOOKUP(9.99E+307,宏观数据!$F$34:$UN$34),"")</f>
        <v>7.43</v>
      </c>
      <c r="F56" s="50">
        <f>IFERROR(LOOKUP(2,1/(宏观数据!$F$34:$UN$34&lt;&gt;""),宏观数据!$F$1:$UN$1),"")</f>
        <v>46203</v>
      </c>
      <c r="G56">
        <f ca="1" t="shared" si="0"/>
        <v>-0.16</v>
      </c>
      <c r="H56">
        <f ca="1">IFERROR(LOOKUP(9.99E+307,OFFSET(宏观数据!$F$34,0,0,1,LOOKUP(2,1/(宏观数据!$F$34:$UN$34&lt;&gt;""),COLUMN(宏观数据!$F$34:$UN$34))-COLUMN(宏观数据!$F$34))),"")</f>
        <v>7.59</v>
      </c>
      <c r="I56" s="50">
        <f>IFERROR(LOOKUP(2,1/(宏观数据!$F$34:$UN$34&lt;&gt;"")/(宏观数据!$F$1:$UN$1&lt;F56),宏观数据!$F$1:$UN$1),"")</f>
        <v>46173</v>
      </c>
    </row>
    <row r="57" ht="40" customHeight="1" spans="1:9">
      <c r="A57" t="s">
        <v>202</v>
      </c>
      <c r="B57" t="s">
        <v>36</v>
      </c>
      <c r="C57" t="s">
        <v>203</v>
      </c>
      <c r="D57" t="s">
        <v>25</v>
      </c>
      <c r="E57">
        <f>IFERROR(LOOKUP(9.99E+307,宏观数据!$F$36:$UN$36),"")</f>
        <v>-6.2</v>
      </c>
      <c r="F57" s="50">
        <f>IFERROR(LOOKUP(2,1/(宏观数据!$F$36:$UN$36&lt;&gt;""),宏观数据!$F$1:$UN$1),"")</f>
        <v>46173</v>
      </c>
      <c r="G57">
        <f ca="1" t="shared" si="0"/>
        <v>1.7</v>
      </c>
      <c r="H57">
        <f ca="1">IFERROR(LOOKUP(9.99E+307,OFFSET(宏观数据!$F$36,0,0,1,LOOKUP(2,1/(宏观数据!$F$36:$UN$36&lt;&gt;""),COLUMN(宏观数据!$F$36:$UN$36))-COLUMN(宏观数据!$F$36))),"")</f>
        <v>-7.9</v>
      </c>
      <c r="I57" s="50">
        <f>IFERROR(LOOKUP(2,1/(宏观数据!$F$36:$UN$36&lt;&gt;"")/(宏观数据!$F$1:$UN$1&lt;F57),宏观数据!$F$1:$UN$1),"")</f>
        <v>46142</v>
      </c>
    </row>
    <row r="58" ht="40" customHeight="1" spans="1:9">
      <c r="A58" t="s">
        <v>204</v>
      </c>
      <c r="B58" t="s">
        <v>36</v>
      </c>
      <c r="C58" t="s">
        <v>205</v>
      </c>
      <c r="D58" t="s">
        <v>25</v>
      </c>
      <c r="E58">
        <f>IFERROR(LOOKUP(9.99E+307,宏观数据!$F$38:$UN$38),"")</f>
        <v>15.1</v>
      </c>
      <c r="F58" s="50">
        <f>IFERROR(LOOKUP(2,1/(宏观数据!$F$38:$UN$38&lt;&gt;""),宏观数据!$F$1:$UN$1),"")</f>
        <v>46173</v>
      </c>
      <c r="G58">
        <f ca="1" t="shared" si="0"/>
        <v>-0.5</v>
      </c>
      <c r="H58">
        <f ca="1">IFERROR(LOOKUP(9.99E+307,OFFSET(宏观数据!$F$38,0,0,1,LOOKUP(2,1/(宏观数据!$F$38:$UN$38&lt;&gt;""),COLUMN(宏观数据!$F$38:$UN$38))-COLUMN(宏观数据!$F$38))),"")</f>
        <v>15.6</v>
      </c>
      <c r="I58" s="50">
        <f>IFERROR(LOOKUP(2,1/(宏观数据!$F$38:$UN$38&lt;&gt;"")/(宏观数据!$F$1:$UN$1&lt;F58),宏观数据!$F$1:$UN$1),"")</f>
        <v>46142</v>
      </c>
    </row>
    <row r="59" ht="40" customHeight="1" spans="1:9">
      <c r="A59" t="s">
        <v>206</v>
      </c>
      <c r="B59" t="s">
        <v>36</v>
      </c>
      <c r="C59" t="s">
        <v>207</v>
      </c>
      <c r="D59" t="s">
        <v>25</v>
      </c>
      <c r="E59">
        <f>IFERROR(LOOKUP(9.99E+307,宏观数据!$F$40:$UN$40),"")</f>
        <v>3.8</v>
      </c>
      <c r="F59" s="50">
        <f>IFERROR(LOOKUP(2,1/(宏观数据!$F$40:$UN$40&lt;&gt;""),宏观数据!$F$1:$UN$1),"")</f>
        <v>46265</v>
      </c>
      <c r="G59">
        <f ca="1" t="shared" si="0"/>
        <v>0.0999999999999996</v>
      </c>
      <c r="H59">
        <f ca="1">IFERROR(LOOKUP(9.99E+307,OFFSET(宏观数据!$F$40,0,0,1,LOOKUP(2,1/(宏观数据!$F$40:$UN$40&lt;&gt;""),COLUMN(宏观数据!$F$40:$UN$40))-COLUMN(宏观数据!$F$40))),"")</f>
        <v>3.7</v>
      </c>
      <c r="I59" s="50">
        <f>IFERROR(LOOKUP(2,1/(宏观数据!$F$40:$UN$40&lt;&gt;"")/(宏观数据!$F$1:$UN$1&lt;F59),宏观数据!$F$1:$UN$1),"")</f>
        <v>46234</v>
      </c>
    </row>
    <row r="60" ht="40" customHeight="1" spans="1:9">
      <c r="A60" t="s">
        <v>208</v>
      </c>
      <c r="B60" t="s">
        <v>36</v>
      </c>
      <c r="C60" t="s">
        <v>209</v>
      </c>
      <c r="D60" t="s">
        <v>25</v>
      </c>
      <c r="E60">
        <f>IFERROR(LOOKUP(9.99E+307,宏观数据!$F$42:$UN$42),"")</f>
        <v>8.48</v>
      </c>
      <c r="F60" s="50">
        <f>IFERROR(LOOKUP(2,1/(宏观数据!$F$42:$UN$42&lt;&gt;""),宏观数据!$F$1:$UN$1),"")</f>
        <v>46203</v>
      </c>
      <c r="G60">
        <f ca="1" t="shared" si="0"/>
        <v>-0.0700000000000003</v>
      </c>
      <c r="H60">
        <f ca="1">IFERROR(LOOKUP(9.99E+307,OFFSET(宏观数据!$F$42,0,0,1,LOOKUP(2,1/(宏观数据!$F$42:$UN$42&lt;&gt;""),COLUMN(宏观数据!$F$42:$UN$42))-COLUMN(宏观数据!$F$42))),"")</f>
        <v>8.55</v>
      </c>
      <c r="I60" s="50">
        <f>IFERROR(LOOKUP(2,1/(宏观数据!$F$42:$UN$42&lt;&gt;"")/(宏观数据!$F$1:$UN$1&lt;F60),宏观数据!$F$1:$UN$1),"")</f>
        <v>46173</v>
      </c>
    </row>
    <row r="61" ht="40" customHeight="1" spans="1:9">
      <c r="A61" t="s">
        <v>210</v>
      </c>
      <c r="B61" t="s">
        <v>36</v>
      </c>
      <c r="C61" t="s">
        <v>211</v>
      </c>
      <c r="D61" t="s">
        <v>20</v>
      </c>
      <c r="E61">
        <f>IFERROR(LOOKUP(9.99E+307,宏观数据!$F$80:$UN$80),"")</f>
        <v>-15870</v>
      </c>
      <c r="F61" s="50">
        <f>IFERROR(LOOKUP(2,1/(宏观数据!$F$80:$UN$80&lt;&gt;""),宏观数据!$F$1:$UN$1),"")</f>
        <v>46206</v>
      </c>
      <c r="G61">
        <f ca="1" t="shared" si="0"/>
        <v>-19167</v>
      </c>
      <c r="H61">
        <f ca="1">IFERROR(LOOKUP(9.99E+307,OFFSET(宏观数据!$F$80,0,0,1,LOOKUP(2,1/(宏观数据!$F$80:$UN$80&lt;&gt;""),COLUMN(宏观数据!$F$80:$UN$80))-COLUMN(宏观数据!$F$80))),"")</f>
        <v>3297</v>
      </c>
      <c r="I61" s="50">
        <f>IFERROR(LOOKUP(2,1/(宏观数据!$F$80:$UN$80&lt;&gt;"")/(宏观数据!$F$1:$UN$1&lt;F61),宏观数据!$F$1:$UN$1),"")</f>
        <v>46199</v>
      </c>
    </row>
    <row r="62" ht="40" customHeight="1" spans="1:9">
      <c r="A62" t="s">
        <v>212</v>
      </c>
      <c r="B62" t="s">
        <v>36</v>
      </c>
      <c r="C62" t="s">
        <v>213</v>
      </c>
      <c r="D62" t="s">
        <v>20</v>
      </c>
      <c r="E62">
        <f>IFERROR(LOOKUP(9.99E+307,宏观数据!$F$100:$UN$100),"")</f>
        <v>-840</v>
      </c>
      <c r="F62" s="50">
        <f>IFERROR(LOOKUP(2,1/(宏观数据!$F$100:$UN$100&lt;&gt;""),宏观数据!$F$1:$UN$1),"")</f>
        <v>46173</v>
      </c>
      <c r="G62">
        <f ca="1" t="shared" si="0"/>
        <v>3622</v>
      </c>
      <c r="H62">
        <f ca="1">IFERROR(LOOKUP(9.99E+307,OFFSET(宏观数据!$F$100,0,0,1,LOOKUP(2,1/(宏观数据!$F$100:$UN$100&lt;&gt;""),COLUMN(宏观数据!$F$100:$UN$100))-COLUMN(宏观数据!$F$100))),"")</f>
        <v>-4462</v>
      </c>
      <c r="I62" s="50">
        <f>IFERROR(LOOKUP(2,1/(宏观数据!$F$100:$UN$100&lt;&gt;"")/(宏观数据!$F$1:$UN$1&lt;F62),宏观数据!$F$1:$UN$1),"")</f>
        <v>46142</v>
      </c>
    </row>
    <row r="63" ht="40" customHeight="1" spans="1:9">
      <c r="A63" t="s">
        <v>214</v>
      </c>
      <c r="B63" t="s">
        <v>36</v>
      </c>
      <c r="C63" t="s">
        <v>215</v>
      </c>
      <c r="D63" t="s">
        <v>20</v>
      </c>
      <c r="E63">
        <f>IFERROR(LOOKUP(9.99E+307,宏观数据!$F$101:$UN$101),"")</f>
        <v>-571</v>
      </c>
      <c r="F63" s="50">
        <f>IFERROR(LOOKUP(2,1/(宏观数据!$F$101:$UN$101&lt;&gt;""),宏观数据!$F$1:$UN$1),"")</f>
        <v>46173</v>
      </c>
      <c r="G63">
        <f ca="1" t="shared" si="0"/>
        <v>2837</v>
      </c>
      <c r="H63">
        <f ca="1">IFERROR(LOOKUP(9.99E+307,OFFSET(宏观数据!$F$101,0,0,1,LOOKUP(2,1/(宏观数据!$F$101:$UN$101&lt;&gt;""),COLUMN(宏观数据!$F$101:$UN$101))-COLUMN(宏观数据!$F$101))),"")</f>
        <v>-3408</v>
      </c>
      <c r="I63" s="50">
        <f>IFERROR(LOOKUP(2,1/(宏观数据!$F$101:$UN$101&lt;&gt;"")/(宏观数据!$F$1:$UN$1&lt;F63),宏观数据!$F$1:$UN$1),"")</f>
        <v>46142</v>
      </c>
    </row>
    <row r="64" ht="40" customHeight="1" spans="1:9">
      <c r="A64" t="s">
        <v>216</v>
      </c>
      <c r="B64" t="s">
        <v>36</v>
      </c>
      <c r="C64" t="s">
        <v>217</v>
      </c>
      <c r="D64" t="s">
        <v>20</v>
      </c>
      <c r="E64">
        <f>IFERROR(LOOKUP(9.99E+307,宏观数据!$F$102:$UN$102),"")</f>
        <v>-6314</v>
      </c>
      <c r="F64" s="50">
        <f>IFERROR(LOOKUP(2,1/(宏观数据!$F$102:$UN$102&lt;&gt;""),宏观数据!$F$1:$UN$1),"")</f>
        <v>46173</v>
      </c>
      <c r="G64">
        <f ca="1" t="shared" si="0"/>
        <v>-1412</v>
      </c>
      <c r="H64">
        <f ca="1">IFERROR(LOOKUP(9.99E+307,OFFSET(宏观数据!$F$102,0,0,1,LOOKUP(2,1/(宏观数据!$F$102:$UN$102&lt;&gt;""),COLUMN(宏观数据!$F$102:$UN$102))-COLUMN(宏观数据!$F$102))),"")</f>
        <v>-4902</v>
      </c>
      <c r="I64" s="50">
        <f>IFERROR(LOOKUP(2,1/(宏观数据!$F$102:$UN$102&lt;&gt;"")/(宏观数据!$F$1:$UN$1&lt;F64),宏观数据!$F$1:$UN$1),"")</f>
        <v>46142</v>
      </c>
    </row>
    <row r="65" ht="40" customHeight="1" spans="1:9">
      <c r="A65" t="s">
        <v>218</v>
      </c>
      <c r="B65" t="s">
        <v>36</v>
      </c>
      <c r="C65" t="s">
        <v>219</v>
      </c>
      <c r="D65" t="s">
        <v>20</v>
      </c>
      <c r="E65">
        <f>IFERROR(LOOKUP(9.99E+307,宏观数据!$F$103:$UN$103),"")</f>
        <v>-200</v>
      </c>
      <c r="F65" s="50">
        <f>IFERROR(LOOKUP(2,1/(宏观数据!$F$103:$UN$103&lt;&gt;""),宏观数据!$F$1:$UN$1),"")</f>
        <v>46173</v>
      </c>
      <c r="G65">
        <f ca="1" t="shared" si="0"/>
        <v>3900</v>
      </c>
      <c r="H65">
        <f ca="1">IFERROR(LOOKUP(9.99E+307,OFFSET(宏观数据!$F$103,0,0,1,LOOKUP(2,1/(宏观数据!$F$103:$UN$103&lt;&gt;""),COLUMN(宏观数据!$F$103:$UN$103))-COLUMN(宏观数据!$F$103))),"")</f>
        <v>-4100</v>
      </c>
      <c r="I65" s="50">
        <f>IFERROR(LOOKUP(2,1/(宏观数据!$F$103:$UN$103&lt;&gt;"")/(宏观数据!$F$1:$UN$1&lt;F65),宏观数据!$F$1:$UN$1),"")</f>
        <v>46142</v>
      </c>
    </row>
    <row r="66" ht="40" customHeight="1" spans="1:9">
      <c r="A66" t="s">
        <v>220</v>
      </c>
      <c r="B66" t="s">
        <v>36</v>
      </c>
      <c r="C66" t="s">
        <v>221</v>
      </c>
      <c r="D66" t="s">
        <v>20</v>
      </c>
      <c r="E66">
        <f>IFERROR(LOOKUP(9.99E+307,宏观数据!$F$104:$UN$104),"")</f>
        <v>37757</v>
      </c>
      <c r="F66" s="50">
        <f>IFERROR(LOOKUP(2,1/(宏观数据!$F$104:$UN$104&lt;&gt;""),宏观数据!$F$1:$UN$1),"")</f>
        <v>46173</v>
      </c>
      <c r="G66">
        <f ca="1" t="shared" ref="G66:G91" si="1">IFERROR(E66-H66,"")</f>
        <v>5730</v>
      </c>
      <c r="H66">
        <f ca="1">IFERROR(LOOKUP(9.99E+307,OFFSET(宏观数据!$F$104,0,0,1,LOOKUP(2,1/(宏观数据!$F$104:$UN$104&lt;&gt;""),COLUMN(宏观数据!$F$104:$UN$104))-COLUMN(宏观数据!$F$104))),"")</f>
        <v>32027</v>
      </c>
      <c r="I66" s="50">
        <f>IFERROR(LOOKUP(2,1/(宏观数据!$F$104:$UN$104&lt;&gt;"")/(宏观数据!$F$1:$UN$1&lt;F66),宏观数据!$F$1:$UN$1),"")</f>
        <v>46142</v>
      </c>
    </row>
    <row r="67" ht="39.75" customHeight="1" spans="1:9">
      <c r="A67" s="1" t="s">
        <v>222</v>
      </c>
      <c r="B67" t="s">
        <v>10</v>
      </c>
      <c r="C67" t="s">
        <v>223</v>
      </c>
      <c r="D67" t="s">
        <v>12</v>
      </c>
      <c r="E67">
        <f>IFERROR(LOOKUP(9.99E+307,宏观数据!$F$109:$UN$109),"")</f>
        <v>102.65</v>
      </c>
      <c r="F67" s="50">
        <f>IFERROR(LOOKUP(2,1/(宏观数据!$F$109:$UN$109&lt;&gt;""),宏观数据!$F$1:$UN$1),"")</f>
        <v>46206</v>
      </c>
      <c r="G67">
        <f ca="1" t="shared" si="1"/>
        <v>0.0600000000000023</v>
      </c>
      <c r="H67">
        <f ca="1">IFERROR(LOOKUP(9.99E+307,OFFSET(宏观数据!$F$109,0,0,1,LOOKUP(2,1/(宏观数据!$F$109:$UN$109&lt;&gt;""),COLUMN(宏观数据!$F$109:$UN$109))-COLUMN(宏观数据!$F$109))),"")</f>
        <v>102.59</v>
      </c>
      <c r="I67" s="50">
        <f>IFERROR(LOOKUP(2,1/(宏观数据!$F$109:$UN$109&lt;&gt;"")/(宏观数据!$F$1:$UN$1&lt;F67),宏观数据!$F$1:$UN$1),"")</f>
        <v>46203</v>
      </c>
    </row>
    <row r="68" ht="39.75" customHeight="1" spans="1:9">
      <c r="A68" s="1" t="s">
        <v>224</v>
      </c>
      <c r="B68" t="s">
        <v>36</v>
      </c>
      <c r="C68" t="s">
        <v>225</v>
      </c>
      <c r="D68" t="s">
        <v>25</v>
      </c>
      <c r="E68" s="60">
        <f>IFERROR(LOOKUP(9.99E+307,宏观数据!$F$177:$UN$177),"")</f>
        <v>-0.956715814030196</v>
      </c>
      <c r="F68" s="50">
        <f>IFERROR(LOOKUP(2,1/(宏观数据!$F$177:$UN$177&lt;&gt;""),宏观数据!$F$1:$UN$1),"")</f>
        <v>46173</v>
      </c>
      <c r="G68" s="60">
        <f ca="1" t="shared" si="1"/>
        <v>-0.143164974557009</v>
      </c>
      <c r="H68">
        <f ca="1">IFERROR(LOOKUP(9.99E+307,OFFSET(宏观数据!$F$177,0,0,1,LOOKUP(2,1/(宏观数据!$F$177:$UN$177&lt;&gt;""),COLUMN(宏观数据!$F$177:$UN$177))-COLUMN(宏观数据!$F$177))),"")</f>
        <v>-0.813550839473187</v>
      </c>
      <c r="I68" s="50">
        <f>IFERROR(LOOKUP(2,1/(宏观数据!$F$177:$UN$177&lt;&gt;"")/(宏观数据!$F$1:$UN$1&lt;F68),宏观数据!$F$1:$UN$1),"")</f>
        <v>46142</v>
      </c>
    </row>
    <row r="69" ht="39.75" customHeight="1" spans="1:9">
      <c r="A69" s="1" t="s">
        <v>226</v>
      </c>
      <c r="B69" t="s">
        <v>36</v>
      </c>
      <c r="C69" t="s">
        <v>227</v>
      </c>
      <c r="D69" t="s">
        <v>228</v>
      </c>
      <c r="E69" s="60">
        <f>IFERROR(LOOKUP(9.99E+307,宏观数据!$F$147:$UN$147),"")</f>
        <v>357.9242</v>
      </c>
      <c r="F69" s="50">
        <f>IFERROR(LOOKUP(2,1/(宏观数据!$F$147:$UN$147&lt;&gt;""),宏观数据!$F$1:$UN$1),"")</f>
        <v>46173</v>
      </c>
      <c r="G69" s="60">
        <f ca="1" t="shared" si="1"/>
        <v>-42.8748</v>
      </c>
      <c r="H69">
        <f ca="1">IFERROR(LOOKUP(9.99E+307,OFFSET(宏观数据!$F$147,0,0,1,LOOKUP(2,1/(宏观数据!$F$147:$UN$147&lt;&gt;""),COLUMN(宏观数据!$F$147:$UN$147))-COLUMN(宏观数据!$F$147))),"")</f>
        <v>400.799</v>
      </c>
      <c r="I69" s="50">
        <f>IFERROR(LOOKUP(2,1/(宏观数据!$F$147:$UN$147&lt;&gt;"")/(宏观数据!$F$1:$UN$1&lt;F69),宏观数据!$F$1:$UN$1),"")</f>
        <v>46142</v>
      </c>
    </row>
    <row r="70" ht="39.75" customHeight="1" spans="1:9">
      <c r="A70" s="1" t="s">
        <v>229</v>
      </c>
      <c r="B70" t="s">
        <v>230</v>
      </c>
      <c r="C70" t="s">
        <v>231</v>
      </c>
      <c r="D70" t="s">
        <v>25</v>
      </c>
      <c r="E70" s="60">
        <f>IFERROR(LOOKUP(9.99E+307,宏观数据!$F$152:$UN$152),"")</f>
        <v>59</v>
      </c>
      <c r="F70" s="50">
        <f>IFERROR(LOOKUP(2,1/(宏观数据!$F$152:$UN$152&lt;&gt;""),宏观数据!$F$1:$UN$1),"")</f>
        <v>46112</v>
      </c>
      <c r="G70" s="60">
        <f ca="1" t="shared" si="1"/>
        <v>-0.399999999999999</v>
      </c>
      <c r="H70">
        <f ca="1">IFERROR(LOOKUP(9.99E+307,OFFSET(宏观数据!$F$152,0,0,1,LOOKUP(2,1/(宏观数据!$F$152:$UN$152&lt;&gt;""),COLUMN(宏观数据!$F$152:$UN$152))-COLUMN(宏观数据!$F$152))),"")</f>
        <v>59.4</v>
      </c>
      <c r="I70" s="50">
        <f>IFERROR(LOOKUP(2,1/(宏观数据!$F$152:$UN$152&lt;&gt;"")/(宏观数据!$F$1:$UN$1&lt;F70),宏观数据!$F$1:$UN$1),"")</f>
        <v>46022</v>
      </c>
    </row>
    <row r="71" ht="39.75" customHeight="1" spans="1:9">
      <c r="A71" s="1" t="s">
        <v>232</v>
      </c>
      <c r="B71" t="s">
        <v>230</v>
      </c>
      <c r="C71" t="s">
        <v>233</v>
      </c>
      <c r="D71" t="s">
        <v>25</v>
      </c>
      <c r="E71" s="60">
        <f>IFERROR(LOOKUP(9.99E+307,宏观数据!$F$153:$UN$153),"")</f>
        <v>70.3</v>
      </c>
      <c r="F71" s="50">
        <f>IFERROR(LOOKUP(2,1/(宏观数据!$F$153:$UN$153&lt;&gt;""),宏观数据!$F$1:$UN$1),"")</f>
        <v>46112</v>
      </c>
      <c r="G71" s="60">
        <f ca="1" t="shared" si="1"/>
        <v>1.89999999999999</v>
      </c>
      <c r="H71">
        <f ca="1">IFERROR(LOOKUP(9.99E+307,OFFSET(宏观数据!$F$153,0,0,1,LOOKUP(2,1/(宏观数据!$F$153:$UN$153&lt;&gt;""),COLUMN(宏观数据!$F$153:$UN$153))-COLUMN(宏观数据!$F$153))),"")</f>
        <v>68.4</v>
      </c>
      <c r="I71" s="50">
        <f>IFERROR(LOOKUP(2,1/(宏观数据!$F$153:$UN$153&lt;&gt;"")/(宏观数据!$F$1:$UN$1&lt;F71),宏观数据!$F$1:$UN$1),"")</f>
        <v>46022</v>
      </c>
    </row>
    <row r="72" ht="39.75" customHeight="1" spans="1:9">
      <c r="A72" s="1" t="s">
        <v>234</v>
      </c>
      <c r="B72" t="s">
        <v>230</v>
      </c>
      <c r="C72" t="s">
        <v>235</v>
      </c>
      <c r="D72" t="s">
        <v>25</v>
      </c>
      <c r="E72" s="60">
        <f>IFERROR(LOOKUP(9.99E+307,宏观数据!$F$154:$UN$154),"")</f>
        <v>180</v>
      </c>
      <c r="F72" s="50">
        <f>IFERROR(LOOKUP(2,1/(宏观数据!$F$154:$UN$154&lt;&gt;""),宏观数据!$F$1:$UN$1),"")</f>
        <v>46112</v>
      </c>
      <c r="G72" s="60">
        <f ca="1" t="shared" si="1"/>
        <v>5.40000000000001</v>
      </c>
      <c r="H72">
        <f ca="1">IFERROR(LOOKUP(9.99E+307,OFFSET(宏观数据!$F$154,0,0,1,LOOKUP(2,1/(宏观数据!$F$154:$UN$154&lt;&gt;""),COLUMN(宏观数据!$F$154:$UN$154))-COLUMN(宏观数据!$F$154))),"")</f>
        <v>174.6</v>
      </c>
      <c r="I72" s="50">
        <f>IFERROR(LOOKUP(2,1/(宏观数据!$F$154:$UN$154&lt;&gt;"")/(宏观数据!$F$1:$UN$1&lt;F72),宏观数据!$F$1:$UN$1),"")</f>
        <v>46022</v>
      </c>
    </row>
    <row r="73" ht="39.75" customHeight="1" spans="1:9">
      <c r="A73" s="1" t="s">
        <v>236</v>
      </c>
      <c r="B73" t="s">
        <v>36</v>
      </c>
      <c r="C73" t="s">
        <v>237</v>
      </c>
      <c r="D73" t="s">
        <v>20</v>
      </c>
      <c r="E73" s="60">
        <f>IFERROR(LOOKUP(9.99E+307,宏观数据!$F$144:$UN$144),"")</f>
        <v>100465</v>
      </c>
      <c r="F73" s="50">
        <f>IFERROR(LOOKUP(2,1/(宏观数据!$F$144:$UN$144&lt;&gt;""),宏观数据!$F$1:$UN$1),"")</f>
        <v>46173</v>
      </c>
      <c r="G73" s="60">
        <f ca="1" t="shared" si="1"/>
        <v>17061</v>
      </c>
      <c r="H73">
        <f ca="1">IFERROR(LOOKUP(9.99E+307,OFFSET(宏观数据!$F$144,0,0,1,LOOKUP(2,1/(宏观数据!$F$144:$UN$144&lt;&gt;""),COLUMN(宏观数据!$F$144:$UN$144))-COLUMN(宏观数据!$F$144))),"")</f>
        <v>83404</v>
      </c>
      <c r="I73" s="50">
        <f>IFERROR(LOOKUP(2,1/(宏观数据!$F$144:$UN$144&lt;&gt;"")/(宏观数据!$F$1:$UN$1&lt;F73),宏观数据!$F$1:$UN$1),"")</f>
        <v>46142</v>
      </c>
    </row>
    <row r="74" ht="39.75" customHeight="1" spans="1:9">
      <c r="A74" s="1" t="s">
        <v>238</v>
      </c>
      <c r="B74" t="s">
        <v>36</v>
      </c>
      <c r="C74" t="s">
        <v>239</v>
      </c>
      <c r="D74" t="s">
        <v>25</v>
      </c>
      <c r="E74" s="60">
        <f>IFERROR(LOOKUP(9.99E+307,宏观数据!$F$157:$UN$157),"")</f>
        <v>0.8</v>
      </c>
      <c r="F74" s="50">
        <f>IFERROR(LOOKUP(2,1/(宏观数据!$F$157:$UN$157&lt;&gt;""),宏观数据!$F$1:$UN$1),"")</f>
        <v>46173</v>
      </c>
      <c r="G74" s="60">
        <f ca="1" t="shared" si="1"/>
        <v>-0.5</v>
      </c>
      <c r="H74">
        <f ca="1">IFERROR(LOOKUP(9.99E+307,OFFSET(宏观数据!$F$157,0,0,1,LOOKUP(2,1/(宏观数据!$F$157:$UN$157&lt;&gt;""),COLUMN(宏观数据!$F$157:$UN$157))-COLUMN(宏观数据!$F$157))),"")</f>
        <v>1.3</v>
      </c>
      <c r="I74" s="50">
        <f>IFERROR(LOOKUP(2,1/(宏观数据!$F$157:$UN$157&lt;&gt;"")/(宏观数据!$F$1:$UN$1&lt;F74),宏观数据!$F$1:$UN$1),"")</f>
        <v>46142</v>
      </c>
    </row>
    <row r="75" ht="39.75" customHeight="1" spans="1:9">
      <c r="A75" s="1" t="s">
        <v>240</v>
      </c>
      <c r="B75" t="s">
        <v>36</v>
      </c>
      <c r="C75" t="s">
        <v>241</v>
      </c>
      <c r="D75" t="s">
        <v>25</v>
      </c>
      <c r="E75" s="60">
        <f>IFERROR(LOOKUP(9.99E+307,宏观数据!$F$158:$UN$158),"")</f>
        <v>-28.7</v>
      </c>
      <c r="F75" s="50">
        <f>IFERROR(LOOKUP(2,1/(宏观数据!$F$158:$UN$158&lt;&gt;""),宏观数据!$F$1:$UN$1),"")</f>
        <v>46173</v>
      </c>
      <c r="G75" s="60">
        <f ca="1" t="shared" si="1"/>
        <v>-1.5</v>
      </c>
      <c r="H75">
        <f ca="1">IFERROR(LOOKUP(9.99E+307,OFFSET(宏观数据!$F$158,0,0,1,LOOKUP(2,1/(宏观数据!$F$158:$UN$158&lt;&gt;""),COLUMN(宏观数据!$F$158:$UN$158))-COLUMN(宏观数据!$F$158))),"")</f>
        <v>-27.2</v>
      </c>
      <c r="I75" s="50">
        <f>IFERROR(LOOKUP(2,1/(宏观数据!$F$158:$UN$158&lt;&gt;"")/(宏观数据!$F$1:$UN$1&lt;F75),宏观数据!$F$1:$UN$1),"")</f>
        <v>46142</v>
      </c>
    </row>
    <row r="76" ht="39.75" customHeight="1" spans="1:9">
      <c r="A76" s="1" t="s">
        <v>242</v>
      </c>
      <c r="B76" t="s">
        <v>36</v>
      </c>
      <c r="C76" t="s">
        <v>243</v>
      </c>
      <c r="D76" t="s">
        <v>20</v>
      </c>
      <c r="E76" s="60">
        <f>IFERROR(LOOKUP(9.99E+307,宏观数据!$F$159:$UN$159),"")</f>
        <v>42349.8</v>
      </c>
      <c r="F76" s="50">
        <f>IFERROR(LOOKUP(2,1/(宏观数据!$F$159:$UN$159&lt;&gt;""),宏观数据!$F$1:$UN$1),"")</f>
        <v>46112</v>
      </c>
      <c r="G76" s="60">
        <f ca="1" t="shared" si="1"/>
        <v>1118</v>
      </c>
      <c r="H76">
        <f ca="1">IFERROR(LOOKUP(9.99E+307,OFFSET(宏观数据!$F$159,0,0,1,LOOKUP(2,1/(宏观数据!$F$159:$UN$159&lt;&gt;""),COLUMN(宏观数据!$F$159:$UN$159))-COLUMN(宏观数据!$F$159))),"")</f>
        <v>41231.8</v>
      </c>
      <c r="I76" s="50">
        <f>IFERROR(LOOKUP(2,1/(宏观数据!$F$159:$UN$159&lt;&gt;"")/(宏观数据!$F$1:$UN$1&lt;F76),宏观数据!$F$1:$UN$1),"")</f>
        <v>46022</v>
      </c>
    </row>
    <row r="77" ht="39.75" customHeight="1" spans="1:9">
      <c r="A77" s="1" t="s">
        <v>244</v>
      </c>
      <c r="B77" t="s">
        <v>245</v>
      </c>
      <c r="C77" t="s">
        <v>246</v>
      </c>
      <c r="D77" t="s">
        <v>25</v>
      </c>
      <c r="E77" s="60">
        <f>IFERROR(LOOKUP(9.99E+307,宏观数据!$F$160:$UN$160),"")</f>
        <v>4</v>
      </c>
      <c r="F77" s="50">
        <f>IFERROR(LOOKUP(2,1/(宏观数据!$F$160:$UN$160&lt;&gt;""),宏观数据!$F$1:$UN$1),"")</f>
        <v>46022</v>
      </c>
      <c r="G77" s="60" t="str">
        <f ca="1" t="shared" si="1"/>
        <v/>
      </c>
      <c r="H77" t="str">
        <f ca="1">IFERROR(LOOKUP(9.99E+307,OFFSET(宏观数据!$F$160,0,0,1,LOOKUP(2,1/(宏观数据!$F$160:$UN$160&lt;&gt;""),COLUMN(宏观数据!$F$160:$UN$160))-COLUMN(宏观数据!$F$160))),"")</f>
        <v/>
      </c>
      <c r="I77" s="50" t="str">
        <f>IFERROR(LOOKUP(2,1/(宏观数据!$F$160:$UN$160&lt;&gt;"")/(宏观数据!$F$1:$UN$1&lt;F77),宏观数据!$F$1:$UN$1),"")</f>
        <v/>
      </c>
    </row>
    <row r="78" ht="39.75" customHeight="1" spans="1:9">
      <c r="A78" s="1" t="s">
        <v>247</v>
      </c>
      <c r="B78" t="s">
        <v>230</v>
      </c>
      <c r="C78" t="s">
        <v>248</v>
      </c>
      <c r="D78" t="s">
        <v>20</v>
      </c>
      <c r="E78" s="60">
        <f>IFERROR(LOOKUP(9.99E+307,宏观数据!$F$162:$UN$162),"")</f>
        <v>334192.9</v>
      </c>
      <c r="F78" s="50">
        <f>IFERROR(LOOKUP(2,1/(宏观数据!$F$162:$UN$162&lt;&gt;""),宏观数据!$F$1:$UN$1),"")</f>
        <v>46112</v>
      </c>
      <c r="G78" s="60">
        <f ca="1" t="shared" si="1"/>
        <v>-53718.4</v>
      </c>
      <c r="H78">
        <f ca="1">IFERROR(LOOKUP(9.99E+307,OFFSET(宏观数据!$F$162,0,0,1,LOOKUP(2,1/(宏观数据!$F$162:$UN$162&lt;&gt;""),COLUMN(宏观数据!$F$162:$UN$162))-COLUMN(宏观数据!$F$162))),"")</f>
        <v>387911.3</v>
      </c>
      <c r="I78" s="50">
        <f>IFERROR(LOOKUP(2,1/(宏观数据!$F$162:$UN$162&lt;&gt;"")/(宏观数据!$F$1:$UN$1&lt;F78),宏观数据!$F$1:$UN$1),"")</f>
        <v>46022</v>
      </c>
    </row>
    <row r="79" ht="39.75" customHeight="1" spans="1:9">
      <c r="A79" s="1" t="s">
        <v>249</v>
      </c>
      <c r="B79" t="s">
        <v>230</v>
      </c>
      <c r="C79" t="s">
        <v>250</v>
      </c>
      <c r="D79" t="s">
        <v>25</v>
      </c>
      <c r="E79" s="60">
        <f>IFERROR(LOOKUP(9.99E+307,宏观数据!$F$163:$UN$163),"")</f>
        <v>46.7</v>
      </c>
      <c r="F79" s="50">
        <f>IFERROR(LOOKUP(2,1/(宏观数据!$F$163:$UN$163&lt;&gt;""),宏观数据!$F$1:$UN$1),"")</f>
        <v>46112</v>
      </c>
      <c r="G79" s="60">
        <f ca="1" t="shared" si="1"/>
        <v>-5.3</v>
      </c>
      <c r="H79">
        <f ca="1">IFERROR(LOOKUP(9.99E+307,OFFSET(宏观数据!$F$163,0,0,1,LOOKUP(2,1/(宏观数据!$F$163:$UN$163&lt;&gt;""),COLUMN(宏观数据!$F$163:$UN$163))-COLUMN(宏观数据!$F$163))),"")</f>
        <v>52</v>
      </c>
      <c r="I79" s="50">
        <f>IFERROR(LOOKUP(2,1/(宏观数据!$F$163:$UN$163&lt;&gt;"")/(宏观数据!$F$1:$UN$1&lt;F79),宏观数据!$F$1:$UN$1),"")</f>
        <v>46022</v>
      </c>
    </row>
    <row r="80" ht="39.75" customHeight="1" spans="1:9">
      <c r="A80" s="1" t="s">
        <v>251</v>
      </c>
      <c r="B80" t="s">
        <v>230</v>
      </c>
      <c r="C80" t="s">
        <v>252</v>
      </c>
      <c r="D80" t="s">
        <v>25</v>
      </c>
      <c r="E80" s="60">
        <f>IFERROR(LOOKUP(9.99E+307,宏观数据!$F$164:$UN$164),"")</f>
        <v>38</v>
      </c>
      <c r="F80" s="50">
        <f>IFERROR(LOOKUP(2,1/(宏观数据!$F$164:$UN$164&lt;&gt;""),宏观数据!$F$1:$UN$1),"")</f>
        <v>46112</v>
      </c>
      <c r="G80" s="60">
        <f ca="1" t="shared" si="1"/>
        <v>22.7</v>
      </c>
      <c r="H80">
        <f ca="1">IFERROR(LOOKUP(9.99E+307,OFFSET(宏观数据!$F$164,0,0,1,LOOKUP(2,1/(宏观数据!$F$164:$UN$164&lt;&gt;""),COLUMN(宏观数据!$F$164:$UN$164))-COLUMN(宏观数据!$F$164))),"")</f>
        <v>15.3</v>
      </c>
      <c r="I80" s="50">
        <f>IFERROR(LOOKUP(2,1/(宏观数据!$F$164:$UN$164&lt;&gt;"")/(宏观数据!$F$1:$UN$1&lt;F80),宏观数据!$F$1:$UN$1),"")</f>
        <v>46022</v>
      </c>
    </row>
    <row r="81" ht="39.75" customHeight="1" spans="1:9">
      <c r="A81" s="1" t="s">
        <v>253</v>
      </c>
      <c r="B81" t="s">
        <v>230</v>
      </c>
      <c r="C81" t="s">
        <v>254</v>
      </c>
      <c r="D81" t="s">
        <v>25</v>
      </c>
      <c r="E81" s="60">
        <f>IFERROR(LOOKUP(9.99E+307,宏观数据!$F$165:$UN$165),"")</f>
        <v>15.3</v>
      </c>
      <c r="F81" s="50">
        <f>IFERROR(LOOKUP(2,1/(宏观数据!$F$165:$UN$165&lt;&gt;""),宏观数据!$F$1:$UN$1),"")</f>
        <v>46112</v>
      </c>
      <c r="G81" s="60">
        <f ca="1" t="shared" si="1"/>
        <v>-17.4</v>
      </c>
      <c r="H81">
        <f ca="1">IFERROR(LOOKUP(9.99E+307,OFFSET(宏观数据!$F$165,0,0,1,LOOKUP(2,1/(宏观数据!$F$165:$UN$165&lt;&gt;""),COLUMN(宏观数据!$F$165:$UN$165))-COLUMN(宏观数据!$F$165))),"")</f>
        <v>32.7</v>
      </c>
      <c r="I81" s="50">
        <f>IFERROR(LOOKUP(2,1/(宏观数据!$F$165:$UN$165&lt;&gt;"")/(宏观数据!$F$1:$UN$1&lt;F81),宏观数据!$F$1:$UN$1),"")</f>
        <v>46022</v>
      </c>
    </row>
    <row r="82" ht="39.75" customHeight="1" spans="1:9">
      <c r="A82" s="1" t="s">
        <v>255</v>
      </c>
      <c r="B82" t="s">
        <v>36</v>
      </c>
      <c r="C82" t="s">
        <v>256</v>
      </c>
      <c r="D82" t="s">
        <v>25</v>
      </c>
      <c r="E82" s="60">
        <f>IFERROR(LOOKUP(9.99E+307,宏观数据!$F$166:$UN$166),"")</f>
        <v>-16.2</v>
      </c>
      <c r="F82" s="50">
        <f>IFERROR(LOOKUP(2,1/(宏观数据!$F$166:$UN$166&lt;&gt;""),宏观数据!$F$1:$UN$1),"")</f>
        <v>46173</v>
      </c>
      <c r="G82" s="60">
        <f ca="1" t="shared" si="1"/>
        <v>-2.5</v>
      </c>
      <c r="H82">
        <f ca="1">IFERROR(LOOKUP(9.99E+307,OFFSET(宏观数据!$F$166,0,0,1,LOOKUP(2,1/(宏观数据!$F$166:$UN$166&lt;&gt;""),COLUMN(宏观数据!$F$166:$UN$166))-COLUMN(宏观数据!$F$166))),"")</f>
        <v>-13.7</v>
      </c>
      <c r="I82" s="50">
        <f>IFERROR(LOOKUP(2,1/(宏观数据!$F$166:$UN$166&lt;&gt;"")/(宏观数据!$F$1:$UN$1&lt;F82),宏观数据!$F$1:$UN$1),"")</f>
        <v>46142</v>
      </c>
    </row>
    <row r="83" ht="39.75" customHeight="1" spans="1:9">
      <c r="A83" s="1" t="s">
        <v>257</v>
      </c>
      <c r="B83" t="s">
        <v>36</v>
      </c>
      <c r="C83" t="s">
        <v>258</v>
      </c>
      <c r="D83" t="s">
        <v>25</v>
      </c>
      <c r="E83" s="60">
        <f>IFERROR(LOOKUP(9.99E+307,宏观数据!$F$167:$UN$167),"")</f>
        <v>-2.7</v>
      </c>
      <c r="F83" s="50">
        <f>IFERROR(LOOKUP(2,1/(宏观数据!$F$167:$UN$167&lt;&gt;""),宏观数据!$F$1:$UN$1),"")</f>
        <v>46173</v>
      </c>
      <c r="G83" s="60">
        <f ca="1" t="shared" si="1"/>
        <v>7.5</v>
      </c>
      <c r="H83">
        <f ca="1">IFERROR(LOOKUP(9.99E+307,OFFSET(宏观数据!$F$167,0,0,1,LOOKUP(2,1/(宏观数据!$F$167:$UN$167&lt;&gt;""),COLUMN(宏观数据!$F$167:$UN$167))-COLUMN(宏观数据!$F$167))),"")</f>
        <v>-10.2</v>
      </c>
      <c r="I83" s="50">
        <f>IFERROR(LOOKUP(2,1/(宏观数据!$F$167:$UN$167&lt;&gt;"")/(宏观数据!$F$1:$UN$1&lt;F83),宏观数据!$F$1:$UN$1),"")</f>
        <v>46142</v>
      </c>
    </row>
    <row r="84" ht="39.75" customHeight="1" spans="1:9">
      <c r="A84" s="1" t="s">
        <v>259</v>
      </c>
      <c r="B84" t="s">
        <v>36</v>
      </c>
      <c r="C84" t="s">
        <v>260</v>
      </c>
      <c r="D84" t="s">
        <v>25</v>
      </c>
      <c r="E84" s="60">
        <f>IFERROR(LOOKUP(9.99E+307,宏观数据!$F$168:$UN$168),"")</f>
        <v>20.3</v>
      </c>
      <c r="F84" s="50">
        <f>IFERROR(LOOKUP(2,1/(宏观数据!$F$168:$UN$168&lt;&gt;""),宏观数据!$F$1:$UN$1),"")</f>
        <v>46173</v>
      </c>
      <c r="G84" s="60">
        <f ca="1" t="shared" si="1"/>
        <v>1.2</v>
      </c>
      <c r="H84">
        <f ca="1">IFERROR(LOOKUP(9.99E+307,OFFSET(宏观数据!$F$168,0,0,1,LOOKUP(2,1/(宏观数据!$F$168:$UN$168&lt;&gt;""),COLUMN(宏观数据!$F$168:$UN$168))-COLUMN(宏观数据!$F$168))),"")</f>
        <v>19.1</v>
      </c>
      <c r="I84" s="50">
        <f>IFERROR(LOOKUP(2,1/(宏观数据!$F$168:$UN$168&lt;&gt;"")/(宏观数据!$F$1:$UN$1&lt;F84),宏观数据!$F$1:$UN$1),"")</f>
        <v>46142</v>
      </c>
    </row>
    <row r="85" ht="39.75" customHeight="1" spans="1:9">
      <c r="A85" s="1" t="s">
        <v>261</v>
      </c>
      <c r="B85" t="s">
        <v>36</v>
      </c>
      <c r="C85" t="s">
        <v>262</v>
      </c>
      <c r="D85" t="s">
        <v>228</v>
      </c>
      <c r="E85" s="60">
        <f>IFERROR(LOOKUP(9.99E+307,宏观数据!$F$169:$UN$169),"")</f>
        <v>1054.335842</v>
      </c>
      <c r="F85" s="50">
        <f>IFERROR(LOOKUP(2,1/(宏观数据!$F$169:$UN$169&lt;&gt;""),宏观数据!$F$1:$UN$1),"")</f>
        <v>46173</v>
      </c>
      <c r="G85" s="60">
        <f ca="1" t="shared" si="1"/>
        <v>207.478127</v>
      </c>
      <c r="H85">
        <f ca="1">IFERROR(LOOKUP(9.99E+307,OFFSET(宏观数据!$F$169,0,0,1,LOOKUP(2,1/(宏观数据!$F$169:$UN$169&lt;&gt;""),COLUMN(宏观数据!$F$169:$UN$169))-COLUMN(宏观数据!$F$169))),"")</f>
        <v>846.857715</v>
      </c>
      <c r="I85" s="50">
        <f>IFERROR(LOOKUP(2,1/(宏观数据!$F$169:$UN$169&lt;&gt;"")/(宏观数据!$F$1:$UN$1&lt;F85),宏观数据!$F$1:$UN$1),"")</f>
        <v>46142</v>
      </c>
    </row>
    <row r="86" ht="39.75" customHeight="1" spans="1:9">
      <c r="A86" s="1" t="s">
        <v>263</v>
      </c>
      <c r="B86" t="s">
        <v>10</v>
      </c>
      <c r="C86" t="s">
        <v>264</v>
      </c>
      <c r="D86" t="s">
        <v>12</v>
      </c>
      <c r="E86" s="60">
        <f>IFERROR(LOOKUP(9.99E+307,宏观数据!$F$170:$UN$170),"")</f>
        <v>79.58</v>
      </c>
      <c r="F86" s="50">
        <f>IFERROR(LOOKUP(2,1/(宏观数据!$F$170:$UN$170&lt;&gt;""),宏观数据!$F$1:$UN$1),"")</f>
        <v>46206</v>
      </c>
      <c r="G86" s="60">
        <f ca="1" t="shared" si="1"/>
        <v>1.12</v>
      </c>
      <c r="H86">
        <f ca="1">IFERROR(LOOKUP(9.99E+307,OFFSET(宏观数据!$F$170,0,0,1,LOOKUP(2,1/(宏观数据!$F$170:$UN$170&lt;&gt;""),COLUMN(宏观数据!$F$170:$UN$170))-COLUMN(宏观数据!$F$170))),"")</f>
        <v>78.46</v>
      </c>
      <c r="I86" s="50">
        <f>IFERROR(LOOKUP(2,1/(宏观数据!$F$170:$UN$170&lt;&gt;"")/(宏观数据!$F$1:$UN$1&lt;F86),宏观数据!$F$1:$UN$1),"")</f>
        <v>46205</v>
      </c>
    </row>
    <row r="87" ht="39.75" customHeight="1" spans="1:9">
      <c r="A87" s="1" t="s">
        <v>265</v>
      </c>
      <c r="B87" t="s">
        <v>36</v>
      </c>
      <c r="C87" t="s">
        <v>266</v>
      </c>
      <c r="D87" t="s">
        <v>25</v>
      </c>
      <c r="E87" s="60">
        <f>IFERROR(LOOKUP(9.99E+307,宏观数据!$F$171:$UN$171),"")</f>
        <v>8.8</v>
      </c>
      <c r="F87" s="50">
        <f>IFERROR(LOOKUP(2,1/(宏观数据!$F$171:$UN$171&lt;&gt;""),宏观数据!$F$1:$UN$1),"")</f>
        <v>46173</v>
      </c>
      <c r="G87" s="60">
        <f ca="1" t="shared" si="1"/>
        <v>2.1</v>
      </c>
      <c r="H87">
        <f ca="1">IFERROR(LOOKUP(9.99E+307,OFFSET(宏观数据!$F$171,0,0,1,LOOKUP(2,1/(宏观数据!$F$171:$UN$171&lt;&gt;""),COLUMN(宏观数据!$F$171:$UN$171))-COLUMN(宏观数据!$F$171))),"")</f>
        <v>6.7</v>
      </c>
      <c r="I87" s="50">
        <f>IFERROR(LOOKUP(2,1/(宏观数据!$F$171:$UN$171&lt;&gt;"")/(宏观数据!$F$1:$UN$1&lt;F87),宏观数据!$F$1:$UN$1),"")</f>
        <v>46142</v>
      </c>
    </row>
    <row r="88" ht="39.75" customHeight="1" spans="1:9">
      <c r="A88" s="1" t="s">
        <v>267</v>
      </c>
      <c r="B88" t="s">
        <v>36</v>
      </c>
      <c r="C88" t="s">
        <v>268</v>
      </c>
      <c r="D88" t="s">
        <v>25</v>
      </c>
      <c r="E88" s="60">
        <f>IFERROR(LOOKUP(9.99E+307,宏观数据!$F$172:$UN$172),"")</f>
        <v>20</v>
      </c>
      <c r="F88" s="50">
        <f>IFERROR(LOOKUP(2,1/(宏观数据!$F$172:$UN$172&lt;&gt;""),宏观数据!$F$1:$UN$1),"")</f>
        <v>46173</v>
      </c>
      <c r="G88" s="60">
        <f ca="1" t="shared" si="1"/>
        <v>-0.399999999999999</v>
      </c>
      <c r="H88">
        <f ca="1">IFERROR(LOOKUP(9.99E+307,OFFSET(宏观数据!$F$172,0,0,1,LOOKUP(2,1/(宏观数据!$F$172:$UN$172&lt;&gt;""),COLUMN(宏观数据!$F$172:$UN$172))-COLUMN(宏观数据!$F$172))),"")</f>
        <v>20.4</v>
      </c>
      <c r="I88" s="50">
        <f>IFERROR(LOOKUP(2,1/(宏观数据!$F$172:$UN$172&lt;&gt;"")/(宏观数据!$F$1:$UN$1&lt;F88),宏观数据!$F$1:$UN$1),"")</f>
        <v>46142</v>
      </c>
    </row>
    <row r="89" ht="39.75" customHeight="1" spans="1:9">
      <c r="A89" s="1" t="s">
        <v>269</v>
      </c>
      <c r="B89" t="s">
        <v>36</v>
      </c>
      <c r="C89" t="s">
        <v>270</v>
      </c>
      <c r="D89" t="s">
        <v>20</v>
      </c>
      <c r="E89" s="60">
        <f>IFERROR(LOOKUP(9.99E+307,宏观数据!$F$173:$UN$173),"")</f>
        <v>19100</v>
      </c>
      <c r="F89" s="50">
        <f>IFERROR(LOOKUP(2,1/(宏观数据!$F$173:$UN$173&lt;&gt;""),宏观数据!$F$1:$UN$1),"")</f>
        <v>46173</v>
      </c>
      <c r="G89" s="60">
        <f ca="1" t="shared" si="1"/>
        <v>7100</v>
      </c>
      <c r="H89">
        <f ca="1">IFERROR(LOOKUP(9.99E+307,OFFSET(宏观数据!$F$173,0,0,1,LOOKUP(2,1/(宏观数据!$F$173:$UN$173&lt;&gt;""),COLUMN(宏观数据!$F$173:$UN$173))-COLUMN(宏观数据!$F$173))),"")</f>
        <v>12000</v>
      </c>
      <c r="I89" s="50">
        <f>IFERROR(LOOKUP(2,1/(宏观数据!$F$173:$UN$173&lt;&gt;"")/(宏观数据!$F$1:$UN$1&lt;F89),宏观数据!$F$1:$UN$1),"")</f>
        <v>46142</v>
      </c>
    </row>
    <row r="90" ht="39.75" customHeight="1" spans="1:9">
      <c r="A90" s="1" t="s">
        <v>271</v>
      </c>
      <c r="B90" t="s">
        <v>36</v>
      </c>
      <c r="C90" t="s">
        <v>272</v>
      </c>
      <c r="D90" t="s">
        <v>20</v>
      </c>
      <c r="E90" s="60">
        <f>IFERROR(LOOKUP(9.99E+307,宏观数据!$F$174:$UN$174),"")</f>
        <v>41090</v>
      </c>
      <c r="F90" s="50">
        <f>IFERROR(LOOKUP(2,1/(宏观数据!$F$174:$UN$174&lt;&gt;""),宏观数据!$F$1:$UN$1),"")</f>
        <v>46173</v>
      </c>
      <c r="G90" s="60">
        <f ca="1" t="shared" si="1"/>
        <v>3843.5</v>
      </c>
      <c r="H90">
        <f ca="1">IFERROR(LOOKUP(9.99E+307,OFFSET(宏观数据!$F$174,0,0,1,LOOKUP(2,1/(宏观数据!$F$174:$UN$174&lt;&gt;""),COLUMN(宏观数据!$F$174:$UN$174))-COLUMN(宏观数据!$F$174))),"")</f>
        <v>37246.5</v>
      </c>
      <c r="I90" s="50">
        <f>IFERROR(LOOKUP(2,1/(宏观数据!$F$174:$UN$174&lt;&gt;"")/(宏观数据!$F$1:$UN$1&lt;F90),宏观数据!$F$1:$UN$1),"")</f>
        <v>46142</v>
      </c>
    </row>
    <row r="91" ht="39.75" customHeight="1" spans="1:9">
      <c r="A91" s="1" t="s">
        <v>273</v>
      </c>
      <c r="B91" t="s">
        <v>230</v>
      </c>
      <c r="C91" t="s">
        <v>274</v>
      </c>
      <c r="D91" t="s">
        <v>25</v>
      </c>
      <c r="E91" s="60">
        <f>IFERROR(LOOKUP(9.99E+307,宏观数据!$F$175:$UN$175),"")</f>
        <v>5</v>
      </c>
      <c r="F91" s="50">
        <f>IFERROR(LOOKUP(2,1/(宏观数据!$F$175:$UN$175&lt;&gt;""),宏观数据!$F$1:$UN$1),"")</f>
        <v>46112</v>
      </c>
      <c r="G91" s="60">
        <f ca="1" t="shared" si="1"/>
        <v>0.5</v>
      </c>
      <c r="H91">
        <f ca="1">IFERROR(LOOKUP(9.99E+307,OFFSET(宏观数据!$F$175,0,0,1,LOOKUP(2,1/(宏观数据!$F$175:$UN$175&lt;&gt;""),COLUMN(宏观数据!$F$175:$UN$175))-COLUMN(宏观数据!$F$175))),"")</f>
        <v>4.5</v>
      </c>
      <c r="I91" s="50">
        <f>IFERROR(LOOKUP(2,1/(宏观数据!$F$175:$UN$175&lt;&gt;"")/(宏观数据!$F$1:$UN$1&lt;F91),宏观数据!$F$1:$UN$1),"")</f>
        <v>46022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J62"/>
  <sheetViews>
    <sheetView topLeftCell="A13" workbookViewId="0">
      <selection activeCell="H69" sqref="H69"/>
    </sheetView>
  </sheetViews>
  <sheetFormatPr defaultColWidth="8.61261261261261" defaultRowHeight="14.1"/>
  <cols>
    <col min="1" max="1" width="21.9099099099099" style="4" customWidth="1"/>
    <col min="2" max="5" width="8.72972972972973" style="4" customWidth="1"/>
    <col min="6" max="6" width="11.8198198198198" style="4" customWidth="1"/>
    <col min="7" max="8" width="8.72972972972973" style="4" customWidth="1"/>
    <col min="9" max="9" width="11.8198198198198" style="4" customWidth="1"/>
    <col min="10" max="10" width="18" style="4" customWidth="1"/>
  </cols>
  <sheetData>
    <row r="1" spans="1:10">
      <c r="A1" s="37"/>
      <c r="B1" s="38" t="s">
        <v>0</v>
      </c>
      <c r="C1" s="39" t="s">
        <v>1</v>
      </c>
      <c r="D1" s="40" t="s">
        <v>2</v>
      </c>
      <c r="E1" s="41" t="s">
        <v>3</v>
      </c>
      <c r="F1" s="42" t="s">
        <v>4</v>
      </c>
      <c r="G1" s="43" t="s">
        <v>5</v>
      </c>
      <c r="H1" s="44" t="s">
        <v>6</v>
      </c>
      <c r="I1" s="44" t="s">
        <v>7</v>
      </c>
      <c r="J1" s="45" t="s">
        <v>8</v>
      </c>
    </row>
    <row r="2" spans="1:10">
      <c r="A2" t="s">
        <v>275</v>
      </c>
      <c r="B2" t="s">
        <v>10</v>
      </c>
      <c r="C2" t="s">
        <v>276</v>
      </c>
      <c r="D2" t="s">
        <v>25</v>
      </c>
      <c r="E2">
        <f>IFERROR(LOOKUP(9.99E+307,宏观数据!$F$57:$UN$57),"")</f>
        <v>4.14</v>
      </c>
      <c r="F2" s="46">
        <f>IFERROR(LOOKUP(2,1/(宏观数据!$F$57:$UN$57&lt;&gt;""),宏观数据!$F$1:$UN$1),"")</f>
        <v>46205</v>
      </c>
      <c r="G2">
        <f ca="1" t="shared" ref="G2:G62" si="0">IFERROR(E2-H2,"")</f>
        <v>-0.0300000000000002</v>
      </c>
      <c r="H2">
        <f ca="1">IFERROR(LOOKUP(9.99E+307,OFFSET(宏观数据!$F$57,0,0,1,LOOKUP(2,1/(宏观数据!$F$57:$UN$57&lt;&gt;""),COLUMN(宏观数据!$F$57:$UN$57))-COLUMN(宏观数据!$F$57))),"")</f>
        <v>4.17</v>
      </c>
      <c r="I2" s="46">
        <f>IFERROR(LOOKUP(2,1/(宏观数据!$F$57:$UN$57&lt;&gt;"")/(宏观数据!$F$1:$UN$1&lt;F2),宏观数据!$F$1:$UN$1),"")</f>
        <v>46204</v>
      </c>
    </row>
    <row r="3" spans="1:10">
      <c r="A3" t="s">
        <v>277</v>
      </c>
      <c r="B3" t="s">
        <v>10</v>
      </c>
      <c r="C3" t="s">
        <v>278</v>
      </c>
      <c r="D3" t="s">
        <v>25</v>
      </c>
      <c r="E3">
        <f>IFERROR(LOOKUP(9.99E+307,宏观数据!$F$58:$UN$58),"")</f>
        <v>4.49</v>
      </c>
      <c r="F3" s="46">
        <f>IFERROR(LOOKUP(2,1/(宏观数据!$F$58:$UN$58&lt;&gt;""),宏观数据!$F$1:$UN$1),"")</f>
        <v>46205</v>
      </c>
      <c r="G3">
        <f ca="1" t="shared" si="0"/>
        <v>0.00999999999999979</v>
      </c>
      <c r="H3">
        <f ca="1">IFERROR(LOOKUP(9.99E+307,OFFSET(宏观数据!$F$58,0,0,1,LOOKUP(2,1/(宏观数据!$F$58:$UN$58&lt;&gt;""),COLUMN(宏观数据!$F$58:$UN$58))-COLUMN(宏观数据!$F$58))),"")</f>
        <v>4.48</v>
      </c>
      <c r="I3" s="46">
        <f>IFERROR(LOOKUP(2,1/(宏观数据!$F$58:$UN$58&lt;&gt;"")/(宏观数据!$F$1:$UN$1&lt;F3),宏观数据!$F$1:$UN$1),"")</f>
        <v>46204</v>
      </c>
    </row>
    <row r="4" spans="1:10">
      <c r="A4" t="s">
        <v>279</v>
      </c>
      <c r="B4" t="s">
        <v>10</v>
      </c>
      <c r="C4" t="s">
        <v>280</v>
      </c>
      <c r="D4" t="s">
        <v>12</v>
      </c>
      <c r="E4">
        <f>IFERROR(LOOKUP(9.99E+307,宏观数据!$F$59:$UN$59),"")</f>
        <v>100.8749</v>
      </c>
      <c r="F4" s="46">
        <f>IFERROR(LOOKUP(2,1/(宏观数据!$F$59:$UN$59&lt;&gt;""),宏观数据!$F$1:$UN$1),"")</f>
        <v>46206</v>
      </c>
      <c r="G4">
        <f ca="1" t="shared" si="0"/>
        <v>0.00970000000000937</v>
      </c>
      <c r="H4">
        <f ca="1">IFERROR(LOOKUP(9.99E+307,OFFSET(宏观数据!$F$59,0,0,1,LOOKUP(2,1/(宏观数据!$F$59:$UN$59&lt;&gt;""),COLUMN(宏观数据!$F$59:$UN$59))-COLUMN(宏观数据!$F$59))),"")</f>
        <v>100.8652</v>
      </c>
      <c r="I4" s="46">
        <f>IFERROR(LOOKUP(2,1/(宏观数据!$F$59:$UN$59&lt;&gt;"")/(宏观数据!$F$1:$UN$1&lt;F4),宏观数据!$F$1:$UN$1),"")</f>
        <v>46205</v>
      </c>
    </row>
    <row r="5" spans="1:10">
      <c r="A5" t="s">
        <v>281</v>
      </c>
      <c r="B5" t="s">
        <v>36</v>
      </c>
      <c r="C5" t="s">
        <v>282</v>
      </c>
      <c r="D5" t="s">
        <v>25</v>
      </c>
      <c r="E5">
        <f>IFERROR(LOOKUP(9.99E+307,宏观数据!$F$60:$UN$60),"")</f>
        <v>4.2</v>
      </c>
      <c r="F5" s="46">
        <f>IFERROR(LOOKUP(2,1/(宏观数据!$F$60:$UN$60&lt;&gt;""),宏观数据!$F$1:$UN$1),"")</f>
        <v>46173</v>
      </c>
      <c r="G5">
        <f ca="1" t="shared" si="0"/>
        <v>0.4</v>
      </c>
      <c r="H5">
        <f ca="1">IFERROR(LOOKUP(9.99E+307,OFFSET(宏观数据!$F$60,0,0,1,LOOKUP(2,1/(宏观数据!$F$60:$UN$60&lt;&gt;""),COLUMN(宏观数据!$F$60:$UN$60))-COLUMN(宏观数据!$F$60))),"")</f>
        <v>3.8</v>
      </c>
      <c r="I5" s="46">
        <f>IFERROR(LOOKUP(2,1/(宏观数据!$F$60:$UN$60&lt;&gt;"")/(宏观数据!$F$1:$UN$1&lt;F5),宏观数据!$F$1:$UN$1),"")</f>
        <v>46142</v>
      </c>
    </row>
    <row r="6" spans="1:10">
      <c r="A6" t="s">
        <v>283</v>
      </c>
      <c r="B6" t="s">
        <v>10</v>
      </c>
      <c r="C6" t="s">
        <v>284</v>
      </c>
      <c r="D6" t="s">
        <v>12</v>
      </c>
      <c r="E6">
        <f>IFERROR(LOOKUP(9.99E+307,宏观数据!$F$61:$UN$61),"")</f>
        <v>26</v>
      </c>
      <c r="F6" s="46">
        <f>IFERROR(LOOKUP(2,1/(宏观数据!$F$61:$UN$61&lt;&gt;""),宏观数据!$F$1:$UN$1),"")</f>
        <v>46205</v>
      </c>
      <c r="G6">
        <f ca="1" t="shared" si="0"/>
        <v>-1.12</v>
      </c>
      <c r="H6">
        <f ca="1">IFERROR(LOOKUP(9.99E+307,OFFSET(宏观数据!$F$61,0,0,1,LOOKUP(2,1/(宏观数据!$F$61:$UN$61&lt;&gt;""),COLUMN(宏观数据!$F$61:$UN$61))-COLUMN(宏观数据!$F$61))),"")</f>
        <v>27.12</v>
      </c>
      <c r="I6" s="46">
        <f>IFERROR(LOOKUP(2,1/(宏观数据!$F$61:$UN$61&lt;&gt;"")/(宏观数据!$F$1:$UN$1&lt;F6),宏观数据!$F$1:$UN$1),"")</f>
        <v>46204</v>
      </c>
    </row>
    <row r="7" spans="1:10">
      <c r="A7" t="s">
        <v>285</v>
      </c>
      <c r="B7" t="s">
        <v>10</v>
      </c>
      <c r="C7" t="s">
        <v>286</v>
      </c>
      <c r="E7">
        <f>IFERROR(LOOKUP(9.99E+307,宏观数据!$F$62:$UN$62),"")</f>
        <v>6.7804</v>
      </c>
      <c r="F7" s="46">
        <f>IFERROR(LOOKUP(2,1/(宏观数据!$F$62:$UN$62&lt;&gt;""),宏观数据!$F$1:$UN$1),"")</f>
        <v>46206</v>
      </c>
      <c r="G7">
        <f ca="1" t="shared" si="0"/>
        <v>-0.00619999999999976</v>
      </c>
      <c r="H7">
        <f ca="1">IFERROR(LOOKUP(9.99E+307,OFFSET(宏观数据!$F$62,0,0,1,LOOKUP(2,1/(宏观数据!$F$62:$UN$62&lt;&gt;""),COLUMN(宏观数据!$F$62:$UN$62))-COLUMN(宏观数据!$F$62))),"")</f>
        <v>6.7866</v>
      </c>
      <c r="I7" s="46">
        <f>IFERROR(LOOKUP(2,1/(宏观数据!$F$62:$UN$62&lt;&gt;"")/(宏观数据!$F$1:$UN$1&lt;F7),宏观数据!$F$1:$UN$1),"")</f>
        <v>46205</v>
      </c>
    </row>
    <row r="8" spans="1:10">
      <c r="A8" t="s">
        <v>287</v>
      </c>
      <c r="B8" t="s">
        <v>36</v>
      </c>
      <c r="C8" t="s">
        <v>288</v>
      </c>
      <c r="D8" t="s">
        <v>25</v>
      </c>
      <c r="E8">
        <f>IFERROR(LOOKUP(9.99E+307,宏观数据!$F$63:$UN$63),"")</f>
        <v>6.5</v>
      </c>
      <c r="F8" s="46">
        <f>IFERROR(LOOKUP(2,1/(宏观数据!$F$63:$UN$63&lt;&gt;""),宏观数据!$F$1:$UN$1),"")</f>
        <v>46173</v>
      </c>
      <c r="G8">
        <f ca="1" t="shared" si="0"/>
        <v>0.8</v>
      </c>
      <c r="H8">
        <f ca="1">IFERROR(LOOKUP(9.99E+307,OFFSET(宏观数据!$F$63,0,0,1,LOOKUP(2,1/(宏观数据!$F$63:$UN$63&lt;&gt;""),COLUMN(宏观数据!$F$63:$UN$63))-COLUMN(宏观数据!$F$63))),"")</f>
        <v>5.7</v>
      </c>
      <c r="I8" s="46">
        <f>IFERROR(LOOKUP(2,1/(宏观数据!$F$63:$UN$63&lt;&gt;"")/(宏观数据!$F$1:$UN$1&lt;F8),宏观数据!$F$1:$UN$1),"")</f>
        <v>46142</v>
      </c>
    </row>
    <row r="9" spans="1:10">
      <c r="A9" t="s">
        <v>289</v>
      </c>
      <c r="B9" t="s">
        <v>36</v>
      </c>
      <c r="C9" t="s">
        <v>290</v>
      </c>
      <c r="D9" t="s">
        <v>25</v>
      </c>
      <c r="E9">
        <f>IFERROR(LOOKUP(9.99E+307,宏观数据!$F$64:$UN$64),"")</f>
        <v>3.412</v>
      </c>
      <c r="F9" s="46">
        <f>IFERROR(LOOKUP(2,1/(宏观数据!$F$64:$UN$64&lt;&gt;""),宏观数据!$F$1:$UN$1),"")</f>
        <v>46173</v>
      </c>
      <c r="G9">
        <f ca="1" t="shared" si="0"/>
        <v>0.0932999999999997</v>
      </c>
      <c r="H9">
        <f ca="1">IFERROR(LOOKUP(9.99E+307,OFFSET(宏观数据!$F$64,0,0,1,LOOKUP(2,1/(宏观数据!$F$64:$UN$64&lt;&gt;""),COLUMN(宏观数据!$F$64:$UN$64))-COLUMN(宏观数据!$F$64))),"")</f>
        <v>3.3187</v>
      </c>
      <c r="I9" s="46">
        <f>IFERROR(LOOKUP(2,1/(宏观数据!$F$64:$UN$64&lt;&gt;"")/(宏观数据!$F$1:$UN$1&lt;F9),宏观数据!$F$1:$UN$1),"")</f>
        <v>46142</v>
      </c>
    </row>
    <row r="10" spans="1:10">
      <c r="A10" t="s">
        <v>291</v>
      </c>
      <c r="B10" t="s">
        <v>36</v>
      </c>
      <c r="C10" t="s">
        <v>292</v>
      </c>
      <c r="D10" t="s">
        <v>228</v>
      </c>
      <c r="E10">
        <f>IFERROR(LOOKUP(9.99E+307,宏观数据!$F$65:$UN$65),"")</f>
        <v>6724564</v>
      </c>
      <c r="F10" s="46">
        <f>IFERROR(LOOKUP(2,1/(宏观数据!$F$65:$UN$65&lt;&gt;""),宏观数据!$F$1:$UN$1),"")</f>
        <v>46204</v>
      </c>
      <c r="G10">
        <f ca="1" t="shared" si="0"/>
        <v>-11081</v>
      </c>
      <c r="H10">
        <f ca="1">IFERROR(LOOKUP(9.99E+307,OFFSET(宏观数据!$F$65,0,0,1,LOOKUP(2,1/(宏观数据!$F$65:$UN$65&lt;&gt;""),COLUMN(宏观数据!$F$65:$UN$65))-COLUMN(宏观数据!$F$65))),"")</f>
        <v>6735645</v>
      </c>
      <c r="I10" s="46">
        <f>IFERROR(LOOKUP(2,1/(宏观数据!$F$65:$UN$65&lt;&gt;"")/(宏观数据!$F$1:$UN$1&lt;F10),宏观数据!$F$1:$UN$1),"")</f>
        <v>46197</v>
      </c>
    </row>
    <row r="11" spans="1:10">
      <c r="A11" t="s">
        <v>293</v>
      </c>
      <c r="B11" t="s">
        <v>36</v>
      </c>
      <c r="C11" t="s">
        <v>294</v>
      </c>
      <c r="E11">
        <f>IFERROR(LOOKUP(9.99E+307,宏观数据!$F$66:$UN$66),"")</f>
        <v>30909.941308</v>
      </c>
      <c r="F11" s="46">
        <f>IFERROR(LOOKUP(2,1/(宏观数据!$F$66:$UN$66&lt;&gt;""),宏观数据!$F$1:$UN$1),"")</f>
        <v>46173</v>
      </c>
      <c r="G11">
        <f ca="1" t="shared" si="0"/>
        <v>236.829783000001</v>
      </c>
      <c r="H11">
        <f ca="1">IFERROR(LOOKUP(9.99E+307,OFFSET(宏观数据!$F$66,0,0,1,LOOKUP(2,1/(宏观数据!$F$66:$UN$66&lt;&gt;""),COLUMN(宏观数据!$F$66:$UN$66))-COLUMN(宏观数据!$F$66))),"")</f>
        <v>30673.111525</v>
      </c>
      <c r="I11" s="46">
        <f>IFERROR(LOOKUP(2,1/(宏观数据!$F$66:$UN$66&lt;&gt;"")/(宏观数据!$F$1:$UN$1&lt;F11),宏观数据!$F$1:$UN$1),"")</f>
        <v>46142</v>
      </c>
    </row>
    <row r="12" spans="1:10">
      <c r="A12" t="s">
        <v>295</v>
      </c>
      <c r="B12" t="s">
        <v>10</v>
      </c>
      <c r="C12" t="s">
        <v>296</v>
      </c>
      <c r="D12" t="s">
        <v>25</v>
      </c>
      <c r="E12">
        <f>IFERROR(LOOKUP(9.99E+307,宏观数据!$F$67:$UN$67),"")</f>
        <v>3.63</v>
      </c>
      <c r="F12" s="46">
        <f>IFERROR(LOOKUP(2,1/(宏观数据!$F$67:$UN$67&lt;&gt;""),宏观数据!$F$1:$UN$1),"")</f>
        <v>46204</v>
      </c>
      <c r="G12">
        <f ca="1" t="shared" si="0"/>
        <v>0</v>
      </c>
      <c r="H12">
        <f ca="1">IFERROR(LOOKUP(9.99E+307,OFFSET(宏观数据!$F$67,0,0,1,LOOKUP(2,1/(宏观数据!$F$67:$UN$67&lt;&gt;""),COLUMN(宏观数据!$F$67:$UN$67))-COLUMN(宏观数据!$F$67))),"")</f>
        <v>3.63</v>
      </c>
      <c r="I12" s="46">
        <f>IFERROR(LOOKUP(2,1/(宏观数据!$F$67:$UN$67&lt;&gt;"")/(宏观数据!$F$1:$UN$1&lt;F12),宏观数据!$F$1:$UN$1),"")</f>
        <v>46203</v>
      </c>
    </row>
    <row r="13" spans="1:10">
      <c r="A13" t="s">
        <v>297</v>
      </c>
      <c r="B13" t="s">
        <v>298</v>
      </c>
      <c r="C13" t="s">
        <v>299</v>
      </c>
      <c r="D13" t="s">
        <v>25</v>
      </c>
      <c r="E13">
        <f>IFERROR(LOOKUP(9.99E+307,宏观数据!$F$68:$UN$68),"")</f>
        <v>3.66</v>
      </c>
      <c r="F13" s="46">
        <f>IFERROR(LOOKUP(2,1/(宏观数据!$F$68:$UN$68&lt;&gt;""),宏观数据!$F$1:$UN$1),"")</f>
        <v>46204</v>
      </c>
      <c r="G13">
        <f ca="1" t="shared" si="0"/>
        <v>-0.02</v>
      </c>
      <c r="H13">
        <f ca="1">IFERROR(LOOKUP(9.99E+307,OFFSET(宏观数据!$F$68,0,0,1,LOOKUP(2,1/(宏观数据!$F$68:$UN$68&lt;&gt;""),COLUMN(宏观数据!$F$68:$UN$68))-COLUMN(宏观数据!$F$68))),"")</f>
        <v>3.68</v>
      </c>
      <c r="I13" s="46">
        <f>IFERROR(LOOKUP(2,1/(宏观数据!$F$68:$UN$68&lt;&gt;"")/(宏观数据!$F$1:$UN$1&lt;F13),宏观数据!$F$1:$UN$1),"")</f>
        <v>46203</v>
      </c>
    </row>
    <row r="14" spans="1:10">
      <c r="A14" t="s">
        <v>300</v>
      </c>
      <c r="B14" t="s">
        <v>36</v>
      </c>
      <c r="C14" t="s">
        <v>301</v>
      </c>
      <c r="D14" t="s">
        <v>25</v>
      </c>
      <c r="E14">
        <f>IFERROR(LOOKUP(9.99E+307,宏观数据!$F$69:$UN$69),"")</f>
        <v>53.3</v>
      </c>
      <c r="F14" s="46">
        <f>IFERROR(LOOKUP(2,1/(宏观数据!$F$69:$UN$69&lt;&gt;""),宏观数据!$F$1:$UN$1),"")</f>
        <v>46203</v>
      </c>
      <c r="G14">
        <f ca="1" t="shared" si="0"/>
        <v>-0.700000000000003</v>
      </c>
      <c r="H14">
        <f ca="1">IFERROR(LOOKUP(9.99E+307,OFFSET(宏观数据!$F$69,0,0,1,LOOKUP(2,1/(宏观数据!$F$69:$UN$69&lt;&gt;""),COLUMN(宏观数据!$F$69:$UN$69))-COLUMN(宏观数据!$F$69))),"")</f>
        <v>54</v>
      </c>
      <c r="I14" s="46">
        <f>IFERROR(LOOKUP(2,1/(宏观数据!$F$69:$UN$69&lt;&gt;"")/(宏观数据!$F$1:$UN$1&lt;F14),宏观数据!$F$1:$UN$1),"")</f>
        <v>46173</v>
      </c>
    </row>
    <row r="15" spans="1:10">
      <c r="A15" t="s">
        <v>302</v>
      </c>
      <c r="B15" t="s">
        <v>36</v>
      </c>
      <c r="C15" t="s">
        <v>303</v>
      </c>
      <c r="D15" t="s">
        <v>25</v>
      </c>
      <c r="E15">
        <f>IFERROR(LOOKUP(9.99E+307,宏观数据!$F$70:$UN$70),"")</f>
        <v>0.880936</v>
      </c>
      <c r="F15" s="46">
        <f>IFERROR(LOOKUP(2,1/(宏观数据!$F$70:$UN$70&lt;&gt;""),宏观数据!$F$1:$UN$1),"")</f>
        <v>46173</v>
      </c>
      <c r="G15">
        <f ca="1" t="shared" si="0"/>
        <v>0.480015</v>
      </c>
      <c r="H15">
        <f ca="1">IFERROR(LOOKUP(9.99E+307,OFFSET(宏观数据!$F$70,0,0,1,LOOKUP(2,1/(宏观数据!$F$70:$UN$70&lt;&gt;""),COLUMN(宏观数据!$F$70:$UN$70))-COLUMN(宏观数据!$F$70))),"")</f>
        <v>0.400921</v>
      </c>
      <c r="I15" s="46">
        <f>IFERROR(LOOKUP(2,1/(宏观数据!$F$70:$UN$70&lt;&gt;"")/(宏观数据!$F$1:$UN$1&lt;F15),宏观数据!$F$1:$UN$1),"")</f>
        <v>46142</v>
      </c>
    </row>
    <row r="16" spans="1:10">
      <c r="A16" t="s">
        <v>304</v>
      </c>
      <c r="B16" t="s">
        <v>36</v>
      </c>
      <c r="C16" t="s">
        <v>305</v>
      </c>
      <c r="D16" t="s">
        <v>12</v>
      </c>
      <c r="E16">
        <f>IFERROR(LOOKUP(9.99E+307,宏观数据!$F$71:$UN$71),"")</f>
        <v>49.5</v>
      </c>
      <c r="F16" s="46">
        <f>IFERROR(LOOKUP(2,1/(宏观数据!$F$71:$UN$71&lt;&gt;""),宏观数据!$F$1:$UN$1),"")</f>
        <v>46203</v>
      </c>
      <c r="G16">
        <f ca="1" t="shared" si="0"/>
        <v>4.7</v>
      </c>
      <c r="H16">
        <f ca="1">IFERROR(LOOKUP(9.99E+307,OFFSET(宏观数据!$F$71,0,0,1,LOOKUP(2,1/(宏观数据!$F$71:$UN$71&lt;&gt;""),COLUMN(宏观数据!$F$71:$UN$71))-COLUMN(宏观数据!$F$71))),"")</f>
        <v>44.8</v>
      </c>
      <c r="I16" s="46">
        <f>IFERROR(LOOKUP(2,1/(宏观数据!$F$71:$UN$71&lt;&gt;"")/(宏观数据!$F$1:$UN$1&lt;F16),宏观数据!$F$1:$UN$1),"")</f>
        <v>46173</v>
      </c>
    </row>
    <row r="17" spans="1:9">
      <c r="A17" t="s">
        <v>306</v>
      </c>
      <c r="B17" t="s">
        <v>36</v>
      </c>
      <c r="C17" t="s">
        <v>307</v>
      </c>
      <c r="E17">
        <f>IFERROR(LOOKUP(9.99E+307,宏观数据!$F$72:$UN$72),"")</f>
        <v>51</v>
      </c>
      <c r="F17" s="46">
        <f>IFERROR(LOOKUP(2,1/(宏观数据!$F$72:$UN$72&lt;&gt;""),宏观数据!$F$1:$UN$1),"")</f>
        <v>46173</v>
      </c>
      <c r="G17">
        <f ca="1" t="shared" si="0"/>
        <v>-8</v>
      </c>
      <c r="H17">
        <f ca="1">IFERROR(LOOKUP(9.99E+307,OFFSET(宏观数据!$F$72,0,0,1,LOOKUP(2,1/(宏观数据!$F$72:$UN$72&lt;&gt;""),COLUMN(宏观数据!$F$72:$UN$72))-COLUMN(宏观数据!$F$72))),"")</f>
        <v>59</v>
      </c>
      <c r="I17" s="46">
        <f>IFERROR(LOOKUP(2,1/(宏观数据!$F$72:$UN$72&lt;&gt;"")/(宏观数据!$F$1:$UN$1&lt;F17),宏观数据!$F$1:$UN$1),"")</f>
        <v>46142</v>
      </c>
    </row>
    <row r="18" spans="1:9">
      <c r="A18" t="s">
        <v>308</v>
      </c>
      <c r="B18" t="s">
        <v>36</v>
      </c>
      <c r="C18" t="s">
        <v>309</v>
      </c>
      <c r="E18">
        <f>IFERROR(LOOKUP(9.99E+307,宏观数据!$F$73:$UN$73),"")</f>
        <v>191951</v>
      </c>
      <c r="F18" s="46">
        <f>IFERROR(LOOKUP(2,1/(宏观数据!$F$73:$UN$73&lt;&gt;""),宏观数据!$F$1:$UN$1),"")</f>
        <v>46173</v>
      </c>
      <c r="G18">
        <f ca="1" t="shared" si="0"/>
        <v>9942</v>
      </c>
      <c r="H18">
        <f ca="1">IFERROR(LOOKUP(9.99E+307,OFFSET(宏观数据!$F$73,0,0,1,LOOKUP(2,1/(宏观数据!$F$73:$UN$73&lt;&gt;""),COLUMN(宏观数据!$F$73:$UN$73))-COLUMN(宏观数据!$F$73))),"")</f>
        <v>182009</v>
      </c>
      <c r="I18" s="46">
        <f>IFERROR(LOOKUP(2,1/(宏观数据!$F$73:$UN$73&lt;&gt;"")/(宏观数据!$F$1:$UN$1&lt;F18),宏观数据!$F$1:$UN$1),"")</f>
        <v>46142</v>
      </c>
    </row>
    <row r="19" spans="1:9">
      <c r="A19" t="s">
        <v>310</v>
      </c>
      <c r="B19" t="s">
        <v>36</v>
      </c>
      <c r="C19" t="s">
        <v>311</v>
      </c>
      <c r="D19" t="s">
        <v>25</v>
      </c>
      <c r="E19">
        <f>IFERROR(LOOKUP(9.99E+307,宏观数据!$F$74:$UN$74),"")</f>
        <v>57.3</v>
      </c>
      <c r="F19" s="46">
        <f>IFERROR(LOOKUP(2,1/(宏观数据!$F$74:$UN$74&lt;&gt;""),宏观数据!$F$1:$UN$1),"")</f>
        <v>46173</v>
      </c>
      <c r="G19">
        <f ca="1" t="shared" si="0"/>
        <v>3.8</v>
      </c>
      <c r="H19">
        <f ca="1">IFERROR(LOOKUP(9.99E+307,OFFSET(宏观数据!$F$74,0,0,1,LOOKUP(2,1/(宏观数据!$F$74:$UN$74&lt;&gt;""),COLUMN(宏观数据!$F$74:$UN$74))-COLUMN(宏观数据!$F$74))),"")</f>
        <v>53.5</v>
      </c>
      <c r="I19" s="46">
        <f>IFERROR(LOOKUP(2,1/(宏观数据!$F$74:$UN$74&lt;&gt;"")/(宏观数据!$F$1:$UN$1&lt;F19),宏观数据!$F$1:$UN$1),"")</f>
        <v>46142</v>
      </c>
    </row>
    <row r="20" spans="1:9">
      <c r="A20" t="s">
        <v>312</v>
      </c>
      <c r="B20" t="s">
        <v>36</v>
      </c>
      <c r="C20" t="s">
        <v>313</v>
      </c>
      <c r="D20" t="s">
        <v>25</v>
      </c>
      <c r="E20">
        <f>IFERROR(LOOKUP(9.99E+307,宏观数据!$F$75:$UN$75),"")</f>
        <v>12.56</v>
      </c>
      <c r="F20" s="46">
        <f>IFERROR(LOOKUP(2,1/(宏观数据!$F$75:$UN$75&lt;&gt;""),宏观数据!$F$1:$UN$1),"")</f>
        <v>46142</v>
      </c>
      <c r="G20">
        <f ca="1" t="shared" si="0"/>
        <v>0.0600000000000005</v>
      </c>
      <c r="H20">
        <f ca="1">IFERROR(LOOKUP(9.99E+307,OFFSET(宏观数据!$F$75,0,0,1,LOOKUP(2,1/(宏观数据!$F$75:$UN$75&lt;&gt;""),COLUMN(宏观数据!$F$75:$UN$75))-COLUMN(宏观数据!$F$75))),"")</f>
        <v>12.5</v>
      </c>
      <c r="I20" s="46">
        <f>IFERROR(LOOKUP(2,1/(宏观数据!$F$75:$UN$75&lt;&gt;"")/(宏观数据!$F$1:$UN$1&lt;F20),宏观数据!$F$1:$UN$1),"")</f>
        <v>46112</v>
      </c>
    </row>
    <row r="21" spans="1:9">
      <c r="A21" t="s">
        <v>314</v>
      </c>
      <c r="B21" t="s">
        <v>36</v>
      </c>
      <c r="C21" t="s">
        <v>315</v>
      </c>
      <c r="D21" t="s">
        <v>25</v>
      </c>
      <c r="E21">
        <f>IFERROR(LOOKUP(9.99E+307,宏观数据!$F$76:$UN$76),"")</f>
        <v>4.2</v>
      </c>
      <c r="F21" s="46">
        <f>IFERROR(LOOKUP(2,1/(宏观数据!$F$76:$UN$76&lt;&gt;""),宏观数据!$F$1:$UN$1),"")</f>
        <v>46203</v>
      </c>
      <c r="G21">
        <f ca="1" t="shared" si="0"/>
        <v>-0.0999999999999996</v>
      </c>
      <c r="H21">
        <f ca="1">IFERROR(LOOKUP(9.99E+307,OFFSET(宏观数据!$F$76,0,0,1,LOOKUP(2,1/(宏观数据!$F$76:$UN$76&lt;&gt;""),COLUMN(宏观数据!$F$76:$UN$76))-COLUMN(宏观数据!$F$76))),"")</f>
        <v>4.3</v>
      </c>
      <c r="I21" s="46">
        <f>IFERROR(LOOKUP(2,1/(宏观数据!$F$76:$UN$76&lt;&gt;"")/(宏观数据!$F$1:$UN$1&lt;F21),宏观数据!$F$1:$UN$1),"")</f>
        <v>46173</v>
      </c>
    </row>
    <row r="22" spans="1:9">
      <c r="A22" t="s">
        <v>316</v>
      </c>
      <c r="B22" t="s">
        <v>36</v>
      </c>
      <c r="C22" t="s">
        <v>317</v>
      </c>
      <c r="E22">
        <f>IFERROR(LOOKUP(9.99E+307,宏观数据!$F$77:$UN$77),"")</f>
        <v>98000</v>
      </c>
      <c r="F22" s="46">
        <f>IFERROR(LOOKUP(2,1/(宏观数据!$F$77:$UN$77&lt;&gt;""),宏观数据!$F$1:$UN$1),"")</f>
        <v>46203</v>
      </c>
      <c r="G22">
        <f ca="1" t="shared" si="0"/>
        <v>-24000</v>
      </c>
      <c r="H22">
        <f ca="1">IFERROR(LOOKUP(9.99E+307,OFFSET(宏观数据!$F$77,0,0,1,LOOKUP(2,1/(宏观数据!$F$77:$UN$77&lt;&gt;""),COLUMN(宏观数据!$F$77:$UN$77))-COLUMN(宏观数据!$F$77))),"")</f>
        <v>122000</v>
      </c>
      <c r="I22" s="46">
        <f>IFERROR(LOOKUP(2,1/(宏观数据!$F$77:$UN$77&lt;&gt;"")/(宏观数据!$F$1:$UN$1&lt;F22),宏观数据!$F$1:$UN$1),"")</f>
        <v>46173</v>
      </c>
    </row>
    <row r="23" spans="1:9">
      <c r="A23" t="s">
        <v>318</v>
      </c>
      <c r="B23" t="s">
        <v>36</v>
      </c>
      <c r="C23" t="s">
        <v>319</v>
      </c>
      <c r="D23" t="s">
        <v>25</v>
      </c>
      <c r="E23">
        <f>IFERROR(LOOKUP(9.99E+307,宏观数据!$F$78:$UN$78),"")</f>
        <v>-7.29</v>
      </c>
      <c r="F23" s="46">
        <f>IFERROR(LOOKUP(2,1/(宏观数据!$F$78:$UN$78&lt;&gt;""),宏观数据!$F$1:$UN$1),"")</f>
        <v>46173</v>
      </c>
      <c r="G23">
        <f ca="1" t="shared" si="0"/>
        <v>-24.08</v>
      </c>
      <c r="H23">
        <f ca="1">IFERROR(LOOKUP(9.99E+307,OFFSET(宏观数据!$F$78,0,0,1,LOOKUP(2,1/(宏观数据!$F$78:$UN$78&lt;&gt;""),COLUMN(宏观数据!$F$78:$UN$78))-COLUMN(宏观数据!$F$78))),"")</f>
        <v>16.79</v>
      </c>
      <c r="I23" s="46">
        <f>IFERROR(LOOKUP(2,1/(宏观数据!$F$78:$UN$78&lt;&gt;"")/(宏观数据!$F$1:$UN$1&lt;F23),宏观数据!$F$1:$UN$1),"")</f>
        <v>46142</v>
      </c>
    </row>
    <row r="24" spans="1:9">
      <c r="A24" t="s">
        <v>320</v>
      </c>
      <c r="B24" t="s">
        <v>36</v>
      </c>
      <c r="C24" t="s">
        <v>321</v>
      </c>
      <c r="D24" t="s">
        <v>25</v>
      </c>
      <c r="E24">
        <f>IFERROR(LOOKUP(9.99E+307,宏观数据!$F$87:$UN$87),"")</f>
        <v>54.5</v>
      </c>
      <c r="F24" s="46">
        <f>IFERROR(LOOKUP(2,1/(宏观数据!$F$87:$UN$87&lt;&gt;""),宏观数据!$F$1:$UN$1),"")</f>
        <v>46173</v>
      </c>
      <c r="G24">
        <f ca="1" t="shared" si="0"/>
        <v>0.899999999999999</v>
      </c>
      <c r="H24">
        <f ca="1">IFERROR(LOOKUP(9.99E+307,OFFSET(宏观数据!$F$87,0,0,1,LOOKUP(2,1/(宏观数据!$F$87:$UN$87&lt;&gt;""),COLUMN(宏观数据!$F$87:$UN$87))-COLUMN(宏观数据!$F$87))),"")</f>
        <v>53.6</v>
      </c>
      <c r="I24" s="46">
        <f>IFERROR(LOOKUP(2,1/(宏观数据!$F$87:$UN$87&lt;&gt;"")/(宏观数据!$F$1:$UN$1&lt;F24),宏观数据!$F$1:$UN$1),"")</f>
        <v>46142</v>
      </c>
    </row>
    <row r="25" spans="1:9">
      <c r="A25" t="s">
        <v>322</v>
      </c>
      <c r="B25" t="s">
        <v>36</v>
      </c>
      <c r="C25" t="s">
        <v>323</v>
      </c>
      <c r="D25" t="s">
        <v>228</v>
      </c>
      <c r="E25">
        <f>IFERROR(LOOKUP(9.99E+307,宏观数据!$F$88:$UN$88),"")</f>
        <v>19643284.5</v>
      </c>
      <c r="F25" s="46">
        <f>IFERROR(LOOKUP(2,1/(宏观数据!$F$88:$UN$88&lt;&gt;""),宏观数据!$F$1:$UN$1),"")</f>
        <v>46197</v>
      </c>
      <c r="G25">
        <f ca="1" t="shared" si="0"/>
        <v>22441.3999999985</v>
      </c>
      <c r="H25">
        <f ca="1">IFERROR(LOOKUP(9.99E+307,OFFSET(宏观数据!$F$88,0,0,1,LOOKUP(2,1/(宏观数据!$F$88:$UN$88&lt;&gt;""),COLUMN(宏观数据!$F$88:$UN$88))-COLUMN(宏观数据!$F$88))),"")</f>
        <v>19620843.1</v>
      </c>
      <c r="I25" s="46">
        <f>IFERROR(LOOKUP(2,1/(宏观数据!$F$88:$UN$88&lt;&gt;"")/(宏观数据!$F$1:$UN$1&lt;F25),宏观数据!$F$1:$UN$1),"")</f>
        <v>46190</v>
      </c>
    </row>
    <row r="26" spans="1:9">
      <c r="A26" t="s">
        <v>324</v>
      </c>
      <c r="B26" t="s">
        <v>36</v>
      </c>
      <c r="C26" t="s">
        <v>325</v>
      </c>
      <c r="D26" t="s">
        <v>228</v>
      </c>
      <c r="E26">
        <f>IFERROR(LOOKUP(9.99E+307,宏观数据!$F$89:$UN$89),"")</f>
        <v>807359</v>
      </c>
      <c r="F26" s="46">
        <f>IFERROR(LOOKUP(2,1/(宏观数据!$F$89:$UN$89&lt;&gt;""),宏观数据!$F$1:$UN$1),"")</f>
        <v>46204</v>
      </c>
      <c r="G26">
        <f ca="1" t="shared" si="0"/>
        <v>-94486</v>
      </c>
      <c r="H26">
        <f ca="1">IFERROR(LOOKUP(9.99E+307,OFFSET(宏观数据!$F$89,0,0,1,LOOKUP(2,1/(宏观数据!$F$89:$UN$89&lt;&gt;""),COLUMN(宏观数据!$F$89:$UN$89))-COLUMN(宏观数据!$F$89))),"")</f>
        <v>901845</v>
      </c>
      <c r="I26" s="46">
        <f>IFERROR(LOOKUP(2,1/(宏观数据!$F$89:$UN$89&lt;&gt;"")/(宏观数据!$F$1:$UN$1&lt;F26),宏观数据!$F$1:$UN$1),"")</f>
        <v>46197</v>
      </c>
    </row>
    <row r="27" spans="1:9">
      <c r="A27" t="s">
        <v>326</v>
      </c>
      <c r="B27" t="s">
        <v>10</v>
      </c>
      <c r="C27" t="s">
        <v>327</v>
      </c>
      <c r="D27" t="s">
        <v>12</v>
      </c>
      <c r="E27">
        <f>IFERROR(LOOKUP(9.99E+307,宏观数据!$F$90:$UN$90),"")</f>
        <v>15.81</v>
      </c>
      <c r="F27" s="46">
        <f>IFERROR(LOOKUP(2,1/(宏观数据!$F$90:$UN$90&lt;&gt;""),宏观数据!$F$1:$UN$1),"")</f>
        <v>46206</v>
      </c>
      <c r="G27">
        <f ca="1" t="shared" si="0"/>
        <v>-0.339999999999998</v>
      </c>
      <c r="H27">
        <f ca="1">IFERROR(LOOKUP(9.99E+307,OFFSET(宏观数据!$F$90,0,0,1,LOOKUP(2,1/(宏观数据!$F$90:$UN$90&lt;&gt;""),COLUMN(宏观数据!$F$90:$UN$90))-COLUMN(宏观数据!$F$90))),"")</f>
        <v>16.15</v>
      </c>
      <c r="I27" s="46">
        <f>IFERROR(LOOKUP(2,1/(宏观数据!$F$90:$UN$90&lt;&gt;"")/(宏观数据!$F$1:$UN$1&lt;F27),宏观数据!$F$1:$UN$1),"")</f>
        <v>46205</v>
      </c>
    </row>
    <row r="28" spans="1:9">
      <c r="A28" t="s">
        <v>328</v>
      </c>
      <c r="B28" t="s">
        <v>36</v>
      </c>
      <c r="C28" t="s">
        <v>329</v>
      </c>
      <c r="D28" t="s">
        <v>12</v>
      </c>
      <c r="E28">
        <f>IFERROR(LOOKUP(9.99E+307,宏观数据!$F$91:$UN$91),"")</f>
        <v>28.3122</v>
      </c>
      <c r="F28" s="46">
        <f>IFERROR(LOOKUP(2,1/(宏观数据!$F$91:$UN$91&lt;&gt;""),宏观数据!$F$1:$UN$1),"")</f>
        <v>46208</v>
      </c>
      <c r="G28">
        <f ca="1" t="shared" si="0"/>
        <v>0</v>
      </c>
      <c r="H28">
        <f ca="1">IFERROR(LOOKUP(9.99E+307,OFFSET(宏观数据!$F$91,0,0,1,LOOKUP(2,1/(宏观数据!$F$91:$UN$91&lt;&gt;""),COLUMN(宏观数据!$F$91:$UN$91))-COLUMN(宏观数据!$F$91))),"")</f>
        <v>28.3122</v>
      </c>
      <c r="I28" s="46">
        <f>IFERROR(LOOKUP(2,1/(宏观数据!$F$91:$UN$91&lt;&gt;"")/(宏观数据!$F$1:$UN$1&lt;F28),宏观数据!$F$1:$UN$1),"")</f>
        <v>46207</v>
      </c>
    </row>
    <row r="29" spans="1:9">
      <c r="A29" t="s">
        <v>330</v>
      </c>
      <c r="B29" t="s">
        <v>331</v>
      </c>
      <c r="C29" t="s">
        <v>332</v>
      </c>
      <c r="E29">
        <f>IFERROR(LOOKUP(9.99E+307,宏观数据!$F$92:$UN$92),"")</f>
        <v>2.4295</v>
      </c>
      <c r="F29" s="46">
        <f>IFERROR(LOOKUP(2,1/(宏观数据!$F$92:$UN$92&lt;&gt;""),宏观数据!$F$1:$UN$1),"")</f>
        <v>46196</v>
      </c>
      <c r="G29">
        <f ca="1" t="shared" si="0"/>
        <v>0.00150000000000006</v>
      </c>
      <c r="H29">
        <f ca="1">IFERROR(LOOKUP(9.99E+307,OFFSET(宏观数据!$F$92,0,0,1,LOOKUP(2,1/(宏观数据!$F$92:$UN$92&lt;&gt;""),COLUMN(宏观数据!$F$92:$UN$92))-COLUMN(宏观数据!$F$92))),"")</f>
        <v>2.428</v>
      </c>
      <c r="I29" s="46">
        <f>IFERROR(LOOKUP(2,1/(宏观数据!$F$92:$UN$92&lt;&gt;"")/(宏观数据!$F$1:$UN$1&lt;F29),宏观数据!$F$1:$UN$1),"")</f>
        <v>46168</v>
      </c>
    </row>
    <row r="30" spans="1:9">
      <c r="A30" t="s">
        <v>333</v>
      </c>
      <c r="B30" t="s">
        <v>331</v>
      </c>
      <c r="C30" t="s">
        <v>334</v>
      </c>
      <c r="E30">
        <f>IFERROR(LOOKUP(9.99E+307,宏观数据!$F$93:$UN$93),"")</f>
        <v>2.1751</v>
      </c>
      <c r="F30" s="46">
        <f>IFERROR(LOOKUP(2,1/(宏观数据!$F$93:$UN$93&lt;&gt;""),宏观数据!$F$1:$UN$1),"")</f>
        <v>46197</v>
      </c>
      <c r="G30">
        <f ca="1" t="shared" si="0"/>
        <v>0.00709999999999988</v>
      </c>
      <c r="H30">
        <f ca="1">IFERROR(LOOKUP(9.99E+307,OFFSET(宏观数据!$F$93,0,0,1,LOOKUP(2,1/(宏观数据!$F$93:$UN$93&lt;&gt;""),COLUMN(宏观数据!$F$93:$UN$93))-COLUMN(宏观数据!$F$93))),"")</f>
        <v>2.168</v>
      </c>
      <c r="I30" s="46">
        <f>IFERROR(LOOKUP(2,1/(宏观数据!$F$93:$UN$93&lt;&gt;"")/(宏观数据!$F$1:$UN$1&lt;F30),宏观数据!$F$1:$UN$1),"")</f>
        <v>46169</v>
      </c>
    </row>
    <row r="31" spans="1:9">
      <c r="A31" t="s">
        <v>335</v>
      </c>
      <c r="B31" t="s">
        <v>331</v>
      </c>
      <c r="C31" t="s">
        <v>336</v>
      </c>
      <c r="E31">
        <f>IFERROR(LOOKUP(9.99E+307,宏观数据!$F$94:$UN$94),"")</f>
        <v>2.5652</v>
      </c>
      <c r="F31" s="46">
        <f>IFERROR(LOOKUP(2,1/(宏观数据!$F$94:$UN$94&lt;&gt;""),宏观数据!$F$1:$UN$1),"")</f>
        <v>46183</v>
      </c>
      <c r="G31">
        <f ca="1" t="shared" si="0"/>
        <v>0.4321</v>
      </c>
      <c r="H31">
        <f ca="1">IFERROR(LOOKUP(9.99E+307,OFFSET(宏观数据!$F$94,0,0,1,LOOKUP(2,1/(宏观数据!$F$94:$UN$94&lt;&gt;""),COLUMN(宏观数据!$F$94:$UN$94))-COLUMN(宏观数据!$F$94))),"")</f>
        <v>2.1331</v>
      </c>
      <c r="I31" s="46">
        <f>IFERROR(LOOKUP(2,1/(宏观数据!$F$94:$UN$94&lt;&gt;"")/(宏观数据!$F$1:$UN$1&lt;F31),宏观数据!$F$1:$UN$1),"")</f>
        <v>46154</v>
      </c>
    </row>
    <row r="32" spans="1:9">
      <c r="A32" t="s">
        <v>337</v>
      </c>
      <c r="B32" t="s">
        <v>331</v>
      </c>
      <c r="C32" t="s">
        <v>338</v>
      </c>
      <c r="E32">
        <f>IFERROR(LOOKUP(9.99E+307,宏观数据!$F$95:$UN$95),"")</f>
        <v>2.3282</v>
      </c>
      <c r="F32" s="46">
        <f>IFERROR(LOOKUP(2,1/(宏观数据!$F$95:$UN$95&lt;&gt;""),宏观数据!$F$1:$UN$1),"")</f>
        <v>46184</v>
      </c>
      <c r="G32">
        <f ca="1" t="shared" si="0"/>
        <v>0.2755</v>
      </c>
      <c r="H32">
        <f ca="1">IFERROR(LOOKUP(9.99E+307,OFFSET(宏观数据!$F$95,0,0,1,LOOKUP(2,1/(宏观数据!$F$95:$UN$95&lt;&gt;""),COLUMN(宏观数据!$F$95:$UN$95))-COLUMN(宏观数据!$F$95))),"")</f>
        <v>2.0527</v>
      </c>
      <c r="I32" s="46">
        <f>IFERROR(LOOKUP(2,1/(宏观数据!$F$95:$UN$95&lt;&gt;"")/(宏观数据!$F$1:$UN$1&lt;F32),宏观数据!$F$1:$UN$1),"")</f>
        <v>46155</v>
      </c>
    </row>
    <row r="33" spans="1:9">
      <c r="A33" t="s">
        <v>339</v>
      </c>
      <c r="B33" t="s">
        <v>298</v>
      </c>
      <c r="C33" t="s">
        <v>340</v>
      </c>
      <c r="E33">
        <f>IFERROR(LOOKUP(9.99E+307,宏观数据!$F$96:$UN$96),"")</f>
        <v>213550</v>
      </c>
      <c r="F33" s="46">
        <f>IFERROR(LOOKUP(2,1/(宏观数据!$F$96:$UN$96&lt;&gt;""),宏观数据!$F$1:$UN$1),"")</f>
        <v>46200</v>
      </c>
      <c r="G33">
        <f ca="1" t="shared" si="0"/>
        <v>5545</v>
      </c>
      <c r="H33">
        <f ca="1">IFERROR(LOOKUP(9.99E+307,OFFSET(宏观数据!$F$96,0,0,1,LOOKUP(2,1/(宏观数据!$F$96:$UN$96&lt;&gt;""),COLUMN(宏观数据!$F$96:$UN$96))-COLUMN(宏观数据!$F$96))),"")</f>
        <v>208005</v>
      </c>
      <c r="I33" s="46">
        <f>IFERROR(LOOKUP(2,1/(宏观数据!$F$96:$UN$96&lt;&gt;"")/(宏观数据!$F$1:$UN$1&lt;F33),宏观数据!$F$1:$UN$1),"")</f>
        <v>46193</v>
      </c>
    </row>
    <row r="34" spans="1:9">
      <c r="A34" t="s">
        <v>341</v>
      </c>
      <c r="B34" t="s">
        <v>36</v>
      </c>
      <c r="C34" t="s">
        <v>342</v>
      </c>
      <c r="E34">
        <f>IFERROR(LOOKUP(9.99E+307,宏观数据!$F$97:$UN$97),"")</f>
        <v>4.6</v>
      </c>
      <c r="F34" s="46">
        <f>IFERROR(LOOKUP(2,1/(宏观数据!$F$97:$UN$97&lt;&gt;""),宏观数据!$F$1:$UN$1),"")</f>
        <v>46203</v>
      </c>
      <c r="G34">
        <f ca="1" t="shared" si="0"/>
        <v>-0.2</v>
      </c>
      <c r="H34">
        <f ca="1">IFERROR(LOOKUP(9.99E+307,OFFSET(宏观数据!$F$97,0,0,1,LOOKUP(2,1/(宏观数据!$F$97:$UN$97&lt;&gt;""),COLUMN(宏观数据!$F$97:$UN$97))-COLUMN(宏观数据!$F$97))),"")</f>
        <v>4.8</v>
      </c>
      <c r="I34" s="46">
        <f>IFERROR(LOOKUP(2,1/(宏观数据!$F$97:$UN$97&lt;&gt;"")/(宏观数据!$F$1:$UN$1&lt;F34),宏观数据!$F$1:$UN$1),"")</f>
        <v>46173</v>
      </c>
    </row>
    <row r="35" spans="1:9">
      <c r="A35" t="s">
        <v>343</v>
      </c>
      <c r="B35" t="s">
        <v>36</v>
      </c>
      <c r="C35" t="s">
        <v>344</v>
      </c>
      <c r="E35">
        <f>IFERROR(LOOKUP(9.99E+307,宏观数据!$F$98:$UN$98),"")</f>
        <v>57</v>
      </c>
      <c r="F35" s="46">
        <f>IFERROR(LOOKUP(2,1/(宏观数据!$F$98:$UN$98&lt;&gt;""),宏观数据!$F$1:$UN$1),"")</f>
        <v>46203</v>
      </c>
      <c r="G35">
        <f ca="1" t="shared" si="0"/>
        <v>-115</v>
      </c>
      <c r="H35">
        <f ca="1">IFERROR(LOOKUP(9.99E+307,OFFSET(宏观数据!$F$98,0,0,1,LOOKUP(2,1/(宏观数据!$F$98:$UN$98&lt;&gt;""),COLUMN(宏观数据!$F$98:$UN$98))-COLUMN(宏观数据!$F$98))),"")</f>
        <v>172</v>
      </c>
      <c r="I35" s="46">
        <f>IFERROR(LOOKUP(2,1/(宏观数据!$F$98:$UN$98&lt;&gt;"")/(宏观数据!$F$1:$UN$1&lt;F35),宏观数据!$F$1:$UN$1),"")</f>
        <v>46173</v>
      </c>
    </row>
    <row r="36" spans="1:9">
      <c r="A36" t="s">
        <v>345</v>
      </c>
      <c r="B36" t="s">
        <v>10</v>
      </c>
      <c r="C36" t="s">
        <v>346</v>
      </c>
      <c r="E36">
        <f>IFERROR(LOOKUP(9.99E+307,宏观数据!$F$99:$UN$99),"")</f>
        <v>72.12</v>
      </c>
      <c r="F36" s="46">
        <f>IFERROR(LOOKUP(2,1/(宏观数据!$F$99:$UN$99&lt;&gt;""),宏观数据!$F$1:$UN$1),"")</f>
        <v>46206</v>
      </c>
      <c r="G36">
        <f ca="1" t="shared" si="0"/>
        <v>0.320000000000007</v>
      </c>
      <c r="H36">
        <f ca="1">IFERROR(LOOKUP(9.99E+307,OFFSET(宏观数据!$F$99,0,0,1,LOOKUP(2,1/(宏观数据!$F$99:$UN$99&lt;&gt;""),COLUMN(宏观数据!$F$99:$UN$99))-COLUMN(宏观数据!$F$99))),"")</f>
        <v>71.8</v>
      </c>
      <c r="I36" s="46">
        <f>IFERROR(LOOKUP(2,1/(宏观数据!$F$99:$UN$99&lt;&gt;"")/(宏观数据!$F$1:$UN$1&lt;F36),宏观数据!$F$1:$UN$1),"")</f>
        <v>46205</v>
      </c>
    </row>
    <row r="37" spans="1:9">
      <c r="A37" t="s">
        <v>347</v>
      </c>
      <c r="B37" t="s">
        <v>36</v>
      </c>
      <c r="C37" t="s">
        <v>348</v>
      </c>
      <c r="D37" t="s">
        <v>25</v>
      </c>
      <c r="E37">
        <f>IFERROR(LOOKUP(9.99E+307,宏观数据!$F$108:$UN$108),"")</f>
        <v>2.9</v>
      </c>
      <c r="F37" s="46">
        <f>IFERROR(LOOKUP(2,1/(宏观数据!$F$108:$UN$108&lt;&gt;""),宏观数据!$F$1:$UN$1),"")</f>
        <v>46173</v>
      </c>
      <c r="G37">
        <f ca="1" t="shared" si="0"/>
        <v>0.1</v>
      </c>
      <c r="H37">
        <f ca="1">IFERROR(LOOKUP(9.99E+307,OFFSET(宏观数据!$F$108,0,0,1,LOOKUP(2,1/(宏观数据!$F$108:$UN$108&lt;&gt;""),COLUMN(宏观数据!$F$108:$UN$108))-COLUMN(宏观数据!$F$108))),"")</f>
        <v>2.8</v>
      </c>
      <c r="I37" s="46">
        <f>IFERROR(LOOKUP(2,1/(宏观数据!$F$108:$UN$108&lt;&gt;"")/(宏观数据!$F$1:$UN$1&lt;F37),宏观数据!$F$1:$UN$1),"")</f>
        <v>46142</v>
      </c>
    </row>
    <row r="38" spans="1:9">
      <c r="A38" t="s">
        <v>349</v>
      </c>
      <c r="B38" t="s">
        <v>10</v>
      </c>
      <c r="C38" t="s">
        <v>350</v>
      </c>
      <c r="D38" t="s">
        <v>25</v>
      </c>
      <c r="E38">
        <f>IFERROR(LOOKUP(9.99E+307,宏观数据!$F$110:$UN$110),"")</f>
        <v>2.169</v>
      </c>
      <c r="F38" s="46">
        <f>IFERROR(LOOKUP(2,1/(宏观数据!$F$110:$UN$110&lt;&gt;""),宏观数据!$F$1:$UN$1),"")</f>
        <v>46163</v>
      </c>
      <c r="G38">
        <f ca="1" t="shared" si="0"/>
        <v>0.273</v>
      </c>
      <c r="H38">
        <f ca="1">IFERROR(LOOKUP(9.99E+307,OFFSET(宏观数据!$F$110,0,0,1,LOOKUP(2,1/(宏观数据!$F$110:$UN$110&lt;&gt;""),COLUMN(宏观数据!$F$110:$UN$110))-COLUMN(宏观数据!$F$110))),"")</f>
        <v>1.896</v>
      </c>
      <c r="I38" s="46">
        <f>IFERROR(LOOKUP(2,1/(宏观数据!$F$110:$UN$110&lt;&gt;"")/(宏观数据!$F$1:$UN$1&lt;F38),宏观数据!$F$1:$UN$1),"")</f>
        <v>46100</v>
      </c>
    </row>
    <row r="39" spans="1:9">
      <c r="A39" t="s">
        <v>351</v>
      </c>
      <c r="B39" t="s">
        <v>36</v>
      </c>
      <c r="C39" t="s">
        <v>352</v>
      </c>
      <c r="D39" t="s">
        <v>228</v>
      </c>
      <c r="E39">
        <f>IFERROR(LOOKUP(9.99E+307,宏观数据!$F$111:$UN$111),"")</f>
        <v>41.238112</v>
      </c>
      <c r="F39" s="46">
        <f>IFERROR(LOOKUP(2,1/(宏观数据!$F$111:$UN$111&lt;&gt;""),宏观数据!$F$1:$UN$1),"")</f>
        <v>46173</v>
      </c>
      <c r="G39">
        <f ca="1" t="shared" si="0"/>
        <v>19.707336</v>
      </c>
      <c r="H39">
        <f ca="1">IFERROR(LOOKUP(9.99E+307,OFFSET(宏观数据!$F$111,0,0,1,LOOKUP(2,1/(宏观数据!$F$111:$UN$111&lt;&gt;""),COLUMN(宏观数据!$F$111:$UN$111))-COLUMN(宏观数据!$F$111))),"")</f>
        <v>21.530776</v>
      </c>
      <c r="I39" s="46">
        <f>IFERROR(LOOKUP(2,1/(宏观数据!$F$111:$UN$111&lt;&gt;"")/(宏观数据!$F$1:$UN$1&lt;F39),宏观数据!$F$1:$UN$1),"")</f>
        <v>46142</v>
      </c>
    </row>
    <row r="40" spans="1:9">
      <c r="A40" t="s">
        <v>353</v>
      </c>
      <c r="B40" t="s">
        <v>298</v>
      </c>
      <c r="C40" t="s">
        <v>354</v>
      </c>
      <c r="D40" t="s">
        <v>228</v>
      </c>
      <c r="E40">
        <f>IFERROR(LOOKUP(9.99E+307,宏观数据!$F$113:$UN$113),"")</f>
        <v>2.175</v>
      </c>
      <c r="F40" s="46">
        <f>IFERROR(LOOKUP(2,1/(宏观数据!$F$113:$UN$113&lt;&gt;""),宏观数据!$F$1:$UN$1),"")</f>
        <v>46205</v>
      </c>
      <c r="G40">
        <f ca="1" t="shared" si="0"/>
        <v>1.174</v>
      </c>
      <c r="H40">
        <f ca="1">IFERROR(LOOKUP(9.99E+307,OFFSET(宏观数据!$F$113,0,0,1,LOOKUP(2,1/(宏观数据!$F$113:$UN$113&lt;&gt;""),COLUMN(宏观数据!$F$113:$UN$113))-COLUMN(宏观数据!$F$113))),"")</f>
        <v>1.001</v>
      </c>
      <c r="I40" s="46">
        <f>IFERROR(LOOKUP(2,1/(宏观数据!$F$113:$UN$113&lt;&gt;"")/(宏观数据!$F$1:$UN$1&lt;F40),宏观数据!$F$1:$UN$1),"")</f>
        <v>46204</v>
      </c>
    </row>
    <row r="41" spans="1:9">
      <c r="A41" t="s">
        <v>355</v>
      </c>
      <c r="B41" t="s">
        <v>10</v>
      </c>
      <c r="C41" t="s">
        <v>356</v>
      </c>
      <c r="D41" t="s">
        <v>25</v>
      </c>
      <c r="E41">
        <f>IFERROR(LOOKUP(9.99E+307,宏观数据!$F$126:$UN$126),"")</f>
        <v>3.65</v>
      </c>
      <c r="F41" s="46">
        <f>IFERROR(LOOKUP(2,1/(宏观数据!$F$126:$UN$126&lt;&gt;""),宏观数据!$F$1:$UN$1),"")</f>
        <v>46209</v>
      </c>
      <c r="G41">
        <f ca="1" t="shared" si="0"/>
        <v>0</v>
      </c>
      <c r="H41">
        <f ca="1">IFERROR(LOOKUP(9.99E+307,OFFSET(宏观数据!$F$126,0,0,1,LOOKUP(2,1/(宏观数据!$F$126:$UN$126&lt;&gt;""),COLUMN(宏观数据!$F$126:$UN$126))-COLUMN(宏观数据!$F$126))),"")</f>
        <v>3.65</v>
      </c>
      <c r="I41" s="46">
        <f>IFERROR(LOOKUP(2,1/(宏观数据!$F$126:$UN$126&lt;&gt;"")/(宏观数据!$F$1:$UN$1&lt;F41),宏观数据!$F$1:$UN$1),"")</f>
        <v>46208</v>
      </c>
    </row>
    <row r="42" spans="1:9">
      <c r="A42" t="s">
        <v>357</v>
      </c>
      <c r="B42" t="s">
        <v>298</v>
      </c>
      <c r="C42" t="s">
        <v>358</v>
      </c>
      <c r="D42" t="s">
        <v>25</v>
      </c>
      <c r="E42">
        <f>IFERROR(LOOKUP(9.99E+307,宏观数据!$F$127:$UN$127),"")</f>
        <v>0.01</v>
      </c>
      <c r="F42" s="46">
        <f>IFERROR(LOOKUP(2,1/(宏观数据!$F$127:$UN$127&lt;&gt;""),宏观数据!$F$1:$UN$1),"")</f>
        <v>46204</v>
      </c>
      <c r="G42">
        <f ca="1" t="shared" si="0"/>
        <v>-0.02</v>
      </c>
      <c r="H42">
        <f ca="1">IFERROR(LOOKUP(9.99E+307,OFFSET(宏观数据!$F$127,0,0,1,LOOKUP(2,1/(宏观数据!$F$127:$UN$127&lt;&gt;""),COLUMN(宏观数据!$F$127:$UN$127))-COLUMN(宏观数据!$F$127))),"")</f>
        <v>0.03</v>
      </c>
      <c r="I42" s="46">
        <f>IFERROR(LOOKUP(2,1/(宏观数据!$F$127:$UN$127&lt;&gt;"")/(宏观数据!$F$1:$UN$1&lt;F42),宏观数据!$F$1:$UN$1),"")</f>
        <v>46203</v>
      </c>
    </row>
    <row r="43" spans="1:9">
      <c r="A43" t="s">
        <v>359</v>
      </c>
      <c r="B43" t="s">
        <v>298</v>
      </c>
      <c r="C43" t="s">
        <v>360</v>
      </c>
      <c r="D43" t="s">
        <v>25</v>
      </c>
      <c r="E43">
        <f>IFERROR(LOOKUP(9.99E+307,宏观数据!$F$128:$UN$128),"")</f>
        <v>3321</v>
      </c>
      <c r="F43" s="46">
        <f>IFERROR(LOOKUP(2,1/(宏观数据!$F$128:$UN$128&lt;&gt;""),宏观数据!$F$1:$UN$1),"")</f>
        <v>46204</v>
      </c>
      <c r="G43">
        <f ca="1" t="shared" si="0"/>
        <v>-97</v>
      </c>
      <c r="H43">
        <f ca="1">IFERROR(LOOKUP(9.99E+307,OFFSET(宏观数据!$F$128,0,0,1,LOOKUP(2,1/(宏观数据!$F$128:$UN$128&lt;&gt;""),COLUMN(宏观数据!$F$128:$UN$128))-COLUMN(宏观数据!$F$128))),"")</f>
        <v>3418</v>
      </c>
      <c r="I43" s="46">
        <f>IFERROR(LOOKUP(2,1/(宏观数据!$F$128:$UN$128&lt;&gt;"")/(宏观数据!$F$1:$UN$1&lt;F43),宏观数据!$F$1:$UN$1),"")</f>
        <v>46203</v>
      </c>
    </row>
    <row r="44" spans="1:9">
      <c r="A44" t="s">
        <v>361</v>
      </c>
      <c r="B44" t="s">
        <v>10</v>
      </c>
      <c r="C44" t="s">
        <v>362</v>
      </c>
      <c r="D44" t="s">
        <v>25</v>
      </c>
      <c r="E44">
        <f>IFERROR(LOOKUP(9.99E+307,宏观数据!$F$129:$UN$129),"")</f>
        <v>5.6</v>
      </c>
      <c r="F44" s="46">
        <f>IFERROR(LOOKUP(2,1/(宏观数据!$F$129:$UN$129&lt;&gt;""),宏观数据!$F$1:$UN$1),"")</f>
        <v>46204</v>
      </c>
      <c r="G44">
        <f ca="1" t="shared" si="0"/>
        <v>0.0499999999999998</v>
      </c>
      <c r="H44">
        <f ca="1">IFERROR(LOOKUP(9.99E+307,OFFSET(宏观数据!$F$129,0,0,1,LOOKUP(2,1/(宏观数据!$F$129:$UN$129&lt;&gt;""),COLUMN(宏观数据!$F$129:$UN$129))-COLUMN(宏观数据!$F$129))),"")</f>
        <v>5.55</v>
      </c>
      <c r="I44" s="46">
        <f>IFERROR(LOOKUP(2,1/(宏观数据!$F$129:$UN$129&lt;&gt;"")/(宏观数据!$F$1:$UN$1&lt;F44),宏观数据!$F$1:$UN$1),"")</f>
        <v>46203</v>
      </c>
    </row>
    <row r="45" spans="1:9">
      <c r="A45" t="s">
        <v>363</v>
      </c>
      <c r="B45" t="s">
        <v>36</v>
      </c>
      <c r="C45" t="s">
        <v>364</v>
      </c>
      <c r="D45" t="s">
        <v>228</v>
      </c>
      <c r="E45">
        <f>IFERROR(LOOKUP(9.99E+307,宏观数据!$F$130:$UN$130),"")</f>
        <v>7832</v>
      </c>
      <c r="F45" s="46">
        <f>IFERROR(LOOKUP(2,1/(宏观数据!$F$130:$UN$130&lt;&gt;""),宏观数据!$F$1:$UN$1),"")</f>
        <v>46204</v>
      </c>
      <c r="G45">
        <f ca="1" t="shared" si="0"/>
        <v>-114</v>
      </c>
      <c r="H45">
        <f ca="1">IFERROR(LOOKUP(9.99E+307,OFFSET(宏观数据!$F$130,0,0,1,LOOKUP(2,1/(宏观数据!$F$130:$UN$130&lt;&gt;""),COLUMN(宏观数据!$F$130:$UN$130))-COLUMN(宏观数据!$F$130))),"")</f>
        <v>7946</v>
      </c>
      <c r="I45" s="46">
        <f>IFERROR(LOOKUP(2,1/(宏观数据!$F$130:$UN$130&lt;&gt;"")/(宏观数据!$F$1:$UN$1&lt;F45),宏观数据!$F$1:$UN$1),"")</f>
        <v>46197</v>
      </c>
    </row>
    <row r="46" spans="1:9">
      <c r="A46" t="s">
        <v>365</v>
      </c>
      <c r="B46" t="s">
        <v>36</v>
      </c>
      <c r="C46" t="s">
        <v>366</v>
      </c>
      <c r="D46" t="s">
        <v>228</v>
      </c>
      <c r="E46">
        <f>IFERROR(LOOKUP(9.99E+307,宏观数据!$F$131:$UN$131),"")</f>
        <v>6677116</v>
      </c>
      <c r="F46" s="46">
        <f>IFERROR(LOOKUP(2,1/(宏观数据!$F$131:$UN$131&lt;&gt;""),宏观数据!$F$1:$UN$1),"")</f>
        <v>46204</v>
      </c>
      <c r="G46">
        <f ca="1" t="shared" si="0"/>
        <v>-11679</v>
      </c>
      <c r="H46">
        <f ca="1">IFERROR(LOOKUP(9.99E+307,OFFSET(宏观数据!$F$131,0,0,1,LOOKUP(2,1/(宏观数据!$F$131:$UN$131&lt;&gt;""),COLUMN(宏观数据!$F$131:$UN$131))-COLUMN(宏观数据!$F$131))),"")</f>
        <v>6688795</v>
      </c>
      <c r="I46" s="46">
        <f>IFERROR(LOOKUP(2,1/(宏观数据!$F$131:$UN$131&lt;&gt;"")/(宏观数据!$F$1:$UN$1&lt;F46),宏观数据!$F$1:$UN$1),"")</f>
        <v>46197</v>
      </c>
    </row>
    <row r="47" spans="1:9">
      <c r="A47" t="s">
        <v>367</v>
      </c>
      <c r="B47" t="s">
        <v>36</v>
      </c>
      <c r="C47" t="s">
        <v>368</v>
      </c>
      <c r="D47" t="s">
        <v>25</v>
      </c>
      <c r="E47">
        <f>IFERROR(LOOKUP(9.99E+307,宏观数据!$F$132:$UN$132),"")</f>
        <v>7.1</v>
      </c>
      <c r="F47" s="46">
        <f>IFERROR(LOOKUP(2,1/(宏观数据!$F$132:$UN$132&lt;&gt;""),宏观数据!$F$1:$UN$1),"")</f>
        <v>46112</v>
      </c>
      <c r="G47">
        <f ca="1" t="shared" si="0"/>
        <v>2.1</v>
      </c>
      <c r="H47">
        <f ca="1">IFERROR(LOOKUP(9.99E+307,OFFSET(宏观数据!$F$132,0,0,1,LOOKUP(2,1/(宏观数据!$F$132:$UN$132&lt;&gt;""),COLUMN(宏观数据!$F$132:$UN$132))-COLUMN(宏观数据!$F$132))),"")</f>
        <v>5</v>
      </c>
      <c r="I47" s="46">
        <f>IFERROR(LOOKUP(2,1/(宏观数据!$F$132:$UN$132&lt;&gt;"")/(宏观数据!$F$1:$UN$1&lt;F47),宏观数据!$F$1:$UN$1),"")</f>
        <v>46022</v>
      </c>
    </row>
    <row r="48" spans="1:9">
      <c r="A48" t="s">
        <v>369</v>
      </c>
      <c r="B48" t="s">
        <v>36</v>
      </c>
      <c r="C48" t="s">
        <v>370</v>
      </c>
      <c r="D48" t="s">
        <v>228</v>
      </c>
      <c r="E48">
        <f>IFERROR(LOOKUP(9.99E+307,宏观数据!$F$133:$UN$133),"")</f>
        <v>19652818</v>
      </c>
      <c r="F48" s="46">
        <f>IFERROR(LOOKUP(2,1/(宏观数据!$F$133:$UN$133&lt;&gt;""),宏观数据!$F$1:$UN$1),"")</f>
        <v>46197</v>
      </c>
      <c r="G48">
        <f ca="1" t="shared" si="0"/>
        <v>34115</v>
      </c>
      <c r="H48">
        <f ca="1">IFERROR(LOOKUP(9.99E+307,OFFSET(宏观数据!$F$133,0,0,1,LOOKUP(2,1/(宏观数据!$F$133:$UN$133&lt;&gt;""),COLUMN(宏观数据!$F$133:$UN$133))-COLUMN(宏观数据!$F$133))),"")</f>
        <v>19618703</v>
      </c>
      <c r="I48" s="46">
        <f>IFERROR(LOOKUP(2,1/(宏观数据!$F$133:$UN$133&lt;&gt;"")/(宏观数据!$F$1:$UN$1&lt;F48),宏观数据!$F$1:$UN$1),"")</f>
        <v>46190</v>
      </c>
    </row>
    <row r="49" spans="1:9">
      <c r="A49" t="s">
        <v>371</v>
      </c>
      <c r="B49" t="s">
        <v>36</v>
      </c>
      <c r="C49" t="s">
        <v>372</v>
      </c>
      <c r="E49">
        <f>IFERROR(LOOKUP(9.99E+307,宏观数据!$F$134:$UN$134),"")</f>
        <v>19750.9</v>
      </c>
      <c r="F49" s="46">
        <f>IFERROR(LOOKUP(2,1/(宏观数据!$F$134:$UN$134&lt;&gt;""),宏观数据!$F$1:$UN$1),"")</f>
        <v>46173</v>
      </c>
      <c r="G49">
        <f ca="1" t="shared" si="0"/>
        <v>219.200000000001</v>
      </c>
      <c r="H49">
        <f ca="1">IFERROR(LOOKUP(9.99E+307,OFFSET(宏观数据!$F$134,0,0,1,LOOKUP(2,1/(宏观数据!$F$134:$UN$134&lt;&gt;""),COLUMN(宏观数据!$F$134:$UN$134))-COLUMN(宏观数据!$F$134))),"")</f>
        <v>19531.7</v>
      </c>
      <c r="I49" s="46">
        <f>IFERROR(LOOKUP(2,1/(宏观数据!$F$134:$UN$134&lt;&gt;"")/(宏观数据!$F$1:$UN$1&lt;F49),宏观数据!$F$1:$UN$1),"")</f>
        <v>46142</v>
      </c>
    </row>
    <row r="50" spans="1:9">
      <c r="A50" t="s">
        <v>373</v>
      </c>
      <c r="B50" t="s">
        <v>36</v>
      </c>
      <c r="C50" t="s">
        <v>374</v>
      </c>
      <c r="E50">
        <f>IFERROR(LOOKUP(9.99E+307,宏观数据!$F$135:$UN$135),"")</f>
        <v>23052.3</v>
      </c>
      <c r="F50" s="46">
        <f>IFERROR(LOOKUP(2,1/(宏观数据!$F$135:$UN$135&lt;&gt;""),宏观数据!$F$1:$UN$1),"")</f>
        <v>46173</v>
      </c>
      <c r="G50">
        <f ca="1" t="shared" si="0"/>
        <v>247.799999999999</v>
      </c>
      <c r="H50">
        <f ca="1">IFERROR(LOOKUP(9.99E+307,OFFSET(宏观数据!$F$135,0,0,1,LOOKUP(2,1/(宏观数据!$F$135:$UN$135&lt;&gt;""),COLUMN(宏观数据!$F$135:$UN$135))-COLUMN(宏观数据!$F$135))),"")</f>
        <v>22804.5</v>
      </c>
      <c r="I50" s="46">
        <f>IFERROR(LOOKUP(2,1/(宏观数据!$F$135:$UN$135&lt;&gt;"")/(宏观数据!$F$1:$UN$1&lt;F50),宏观数据!$F$1:$UN$1),"")</f>
        <v>46142</v>
      </c>
    </row>
    <row r="51" spans="1:9">
      <c r="A51" t="s">
        <v>375</v>
      </c>
      <c r="B51" t="s">
        <v>36</v>
      </c>
      <c r="C51" t="s">
        <v>376</v>
      </c>
      <c r="D51" t="s">
        <v>228</v>
      </c>
      <c r="E51">
        <f>IFERROR(LOOKUP(9.99E+307,宏观数据!$F$136:$UN$136),"")</f>
        <v>2901015.8</v>
      </c>
      <c r="F51" s="46">
        <f>IFERROR(LOOKUP(2,1/(宏观数据!$F$136:$UN$136&lt;&gt;""),宏观数据!$F$1:$UN$1),"")</f>
        <v>46197</v>
      </c>
      <c r="G51">
        <f ca="1" t="shared" si="0"/>
        <v>6023.79999999981</v>
      </c>
      <c r="H51">
        <f ca="1">IFERROR(LOOKUP(9.99E+307,OFFSET(宏观数据!$F$136,0,0,1,LOOKUP(2,1/(宏观数据!$F$136:$UN$136&lt;&gt;""),COLUMN(宏观数据!$F$136:$UN$136))-COLUMN(宏观数据!$F$136))),"")</f>
        <v>2894992</v>
      </c>
      <c r="I51" s="46">
        <f>IFERROR(LOOKUP(2,1/(宏观数据!$F$136:$UN$136&lt;&gt;"")/(宏观数据!$F$1:$UN$1&lt;F51),宏观数据!$F$1:$UN$1),"")</f>
        <v>46190</v>
      </c>
    </row>
    <row r="52" spans="1:9">
      <c r="A52" t="s">
        <v>377</v>
      </c>
      <c r="B52" t="s">
        <v>36</v>
      </c>
      <c r="C52" t="s">
        <v>378</v>
      </c>
      <c r="D52" t="s">
        <v>228</v>
      </c>
      <c r="E52">
        <f>IFERROR(LOOKUP(9.99E+307,宏观数据!$F$137:$UN$137),"")</f>
        <v>605321.134</v>
      </c>
      <c r="F52" s="46">
        <f>IFERROR(LOOKUP(2,1/(宏观数据!$F$137:$UN$137&lt;&gt;""),宏观数据!$F$1:$UN$1),"")</f>
        <v>45291</v>
      </c>
      <c r="G52" t="str">
        <f ca="1" t="shared" si="0"/>
        <v/>
      </c>
      <c r="H52" t="str">
        <f ca="1">IFERROR(LOOKUP(9.99E+307,OFFSET(宏观数据!$F$137,0,0,1,LOOKUP(2,1/(宏观数据!$F$137:$UN$137&lt;&gt;""),COLUMN(宏观数据!$F$137:$UN$137))-COLUMN(宏观数据!$F$137))),"")</f>
        <v/>
      </c>
      <c r="I52" s="46" t="str">
        <f>IFERROR(LOOKUP(2,1/(宏观数据!$F$137:$UN$137&lt;&gt;"")/(宏观数据!$F$1:$UN$1&lt;F52),宏观数据!$F$1:$UN$1),"")</f>
        <v/>
      </c>
    </row>
    <row r="53" spans="1:9">
      <c r="A53" t="s">
        <v>379</v>
      </c>
      <c r="B53" t="s">
        <v>36</v>
      </c>
      <c r="C53" t="s">
        <v>380</v>
      </c>
      <c r="D53" t="s">
        <v>228</v>
      </c>
      <c r="E53">
        <f>IFERROR(LOOKUP(9.99E+307,宏观数据!$F$138:$UN$138),"")</f>
        <v>1896780.8</v>
      </c>
      <c r="F53" s="46">
        <f>IFERROR(LOOKUP(2,1/(宏观数据!$F$138:$UN$138&lt;&gt;""),宏观数据!$F$1:$UN$1),"")</f>
        <v>46197</v>
      </c>
      <c r="G53">
        <f ca="1" t="shared" si="0"/>
        <v>2150.69999999995</v>
      </c>
      <c r="H53">
        <f ca="1">IFERROR(LOOKUP(9.99E+307,OFFSET(宏观数据!$F$138,0,0,1,LOOKUP(2,1/(宏观数据!$F$138:$UN$138&lt;&gt;""),COLUMN(宏观数据!$F$138:$UN$138))-COLUMN(宏观数据!$F$138))),"")</f>
        <v>1894630.1</v>
      </c>
      <c r="I53" s="46">
        <f>IFERROR(LOOKUP(2,1/(宏观数据!$F$138:$UN$138&lt;&gt;"")/(宏观数据!$F$1:$UN$1&lt;F53),宏观数据!$F$1:$UN$1),"")</f>
        <v>46190</v>
      </c>
    </row>
    <row r="54" spans="1:9">
      <c r="A54" t="s">
        <v>381</v>
      </c>
      <c r="B54" t="s">
        <v>36</v>
      </c>
      <c r="C54" t="s">
        <v>382</v>
      </c>
      <c r="D54" t="s">
        <v>25</v>
      </c>
      <c r="E54">
        <f>IFERROR(LOOKUP(9.99E+307,宏观数据!$F$139:$UN$139),"")</f>
        <v>1.63</v>
      </c>
      <c r="F54" s="46">
        <f>IFERROR(LOOKUP(2,1/(宏观数据!$F$139:$UN$139&lt;&gt;""),宏观数据!$F$1:$UN$1),"")</f>
        <v>46173</v>
      </c>
      <c r="G54">
        <f ca="1" t="shared" si="0"/>
        <v>0.48</v>
      </c>
      <c r="H54">
        <f ca="1">IFERROR(LOOKUP(9.99E+307,OFFSET(宏观数据!$F$139,0,0,1,LOOKUP(2,1/(宏观数据!$F$139:$UN$139&lt;&gt;""),COLUMN(宏观数据!$F$139:$UN$139))-COLUMN(宏观数据!$F$139))),"")</f>
        <v>1.15</v>
      </c>
      <c r="I54" s="46">
        <f>IFERROR(LOOKUP(2,1/(宏观数据!$F$139:$UN$139&lt;&gt;"")/(宏观数据!$F$1:$UN$1&lt;F54),宏观数据!$F$1:$UN$1),"")</f>
        <v>46142</v>
      </c>
    </row>
    <row r="55" spans="1:9">
      <c r="A55" t="s">
        <v>383</v>
      </c>
      <c r="B55" t="s">
        <v>230</v>
      </c>
      <c r="C55" t="s">
        <v>384</v>
      </c>
      <c r="D55" t="s">
        <v>25</v>
      </c>
      <c r="E55">
        <f>IFERROR(LOOKUP(9.99E+307,宏观数据!$F$140:$UN$140),"")</f>
        <v>2.6847</v>
      </c>
      <c r="F55" s="46">
        <f>IFERROR(LOOKUP(2,1/(宏观数据!$F$140:$UN$140&lt;&gt;""),宏观数据!$F$1:$UN$1),"")</f>
        <v>46112</v>
      </c>
      <c r="G55">
        <f ca="1" t="shared" si="0"/>
        <v>0.6954</v>
      </c>
      <c r="H55">
        <f ca="1">IFERROR(LOOKUP(9.99E+307,OFFSET(宏观数据!$F$140,0,0,1,LOOKUP(2,1/(宏观数据!$F$140:$UN$140&lt;&gt;""),COLUMN(宏观数据!$F$140:$UN$140))-COLUMN(宏观数据!$F$140))),"")</f>
        <v>1.9893</v>
      </c>
      <c r="I55" s="46">
        <f>IFERROR(LOOKUP(2,1/(宏观数据!$F$140:$UN$140&lt;&gt;"")/(宏观数据!$F$1:$UN$1&lt;F55),宏观数据!$F$1:$UN$1),"")</f>
        <v>46022</v>
      </c>
    </row>
    <row r="56" spans="1:9">
      <c r="A56" t="s">
        <v>385</v>
      </c>
      <c r="B56" t="s">
        <v>36</v>
      </c>
      <c r="C56" t="s">
        <v>386</v>
      </c>
      <c r="D56" t="s">
        <v>25</v>
      </c>
      <c r="E56">
        <f>IFERROR(LOOKUP(9.99E+307,宏观数据!$F$141:$UN$141),"")</f>
        <v>3.5</v>
      </c>
      <c r="F56" s="46">
        <f>IFERROR(LOOKUP(2,1/(宏观数据!$F$141:$UN$141&lt;&gt;""),宏观数据!$F$1:$UN$1),"")</f>
        <v>46203</v>
      </c>
      <c r="G56">
        <f ca="1" t="shared" si="0"/>
        <v>0.1</v>
      </c>
      <c r="H56">
        <f ca="1">IFERROR(LOOKUP(9.99E+307,OFFSET(宏观数据!$F$141,0,0,1,LOOKUP(2,1/(宏观数据!$F$141:$UN$141&lt;&gt;""),COLUMN(宏观数据!$F$141:$UN$141))-COLUMN(宏观数据!$F$141))),"")</f>
        <v>3.4</v>
      </c>
      <c r="I56" s="46">
        <f>IFERROR(LOOKUP(2,1/(宏观数据!$F$141:$UN$141&lt;&gt;"")/(宏观数据!$F$1:$UN$1&lt;F56),宏观数据!$F$1:$UN$1),"")</f>
        <v>46173</v>
      </c>
    </row>
    <row r="57" spans="1:9">
      <c r="A57" t="s">
        <v>387</v>
      </c>
      <c r="B57" t="s">
        <v>36</v>
      </c>
      <c r="C57" t="s">
        <v>388</v>
      </c>
      <c r="D57" t="s">
        <v>25</v>
      </c>
      <c r="E57">
        <f>IFERROR(LOOKUP(9.99E+307,宏观数据!$F$142:$UN$142),"")</f>
        <v>0.7</v>
      </c>
      <c r="F57" s="46">
        <f>IFERROR(LOOKUP(2,1/(宏观数据!$F$142:$UN$142&lt;&gt;""),宏观数据!$F$1:$UN$1),"")</f>
        <v>46112</v>
      </c>
      <c r="G57">
        <f ca="1" t="shared" si="0"/>
        <v>-0.3</v>
      </c>
      <c r="H57">
        <f ca="1">IFERROR(LOOKUP(9.99E+307,OFFSET(宏观数据!$F$142,0,0,1,LOOKUP(2,1/(宏观数据!$F$142:$UN$142&lt;&gt;""),COLUMN(宏观数据!$F$142:$UN$142))-COLUMN(宏观数据!$F$142))),"")</f>
        <v>1</v>
      </c>
      <c r="I57" s="46">
        <f>IFERROR(LOOKUP(2,1/(宏观数据!$F$142:$UN$142&lt;&gt;"")/(宏观数据!$F$1:$UN$1&lt;F57),宏观数据!$F$1:$UN$1),"")</f>
        <v>46022</v>
      </c>
    </row>
    <row r="58" ht="39.75" customHeight="1" spans="1:9">
      <c r="A58" t="s">
        <v>389</v>
      </c>
      <c r="B58" t="s">
        <v>36</v>
      </c>
      <c r="C58" t="s">
        <v>390</v>
      </c>
      <c r="D58" t="s">
        <v>228</v>
      </c>
      <c r="E58">
        <f>IFERROR(LOOKUP(9.99E+307,宏观数据!$F$143:$UN$143),"")</f>
        <v>5798603.8</v>
      </c>
      <c r="F58" s="46">
        <f>IFERROR(LOOKUP(2,1/(宏观数据!$F$143:$UN$143&lt;&gt;""),宏观数据!$F$1:$UN$1),"")</f>
        <v>46197</v>
      </c>
      <c r="G58">
        <f ca="1" t="shared" si="0"/>
        <v>-2264.90000000037</v>
      </c>
      <c r="H58">
        <f ca="1">IFERROR(LOOKUP(9.99E+307,OFFSET(宏观数据!$F$143,0,0,1,LOOKUP(2,1/(宏观数据!$F$143:$UN$143&lt;&gt;""),COLUMN(宏观数据!$F$143:$UN$143))-COLUMN(宏观数据!$F$143))),"")</f>
        <v>5800868.7</v>
      </c>
      <c r="I58" s="46">
        <f>IFERROR(LOOKUP(2,1/(宏观数据!$F$143:$UN$143&lt;&gt;"")/(宏观数据!$F$1:$UN$1&lt;F58),宏观数据!$F$1:$UN$1),"")</f>
        <v>46190</v>
      </c>
    </row>
    <row r="59" ht="39.75" customHeight="1" spans="1:9">
      <c r="A59" t="s">
        <v>391</v>
      </c>
      <c r="B59" t="s">
        <v>36</v>
      </c>
      <c r="C59" t="s">
        <v>392</v>
      </c>
      <c r="D59" t="s">
        <v>25</v>
      </c>
      <c r="E59">
        <f>IFERROR(LOOKUP(9.99E+307,宏观数据!$F$148:$UN$148),"")</f>
        <v>2.8</v>
      </c>
      <c r="F59" s="46">
        <f>IFERROR(LOOKUP(2,1/(宏观数据!$F$148:$UN$148&lt;&gt;""),宏观数据!$F$1:$UN$1),"")</f>
        <v>46173</v>
      </c>
      <c r="G59">
        <f ca="1" t="shared" si="0"/>
        <v>0.0999999999999996</v>
      </c>
      <c r="H59">
        <f ca="1">IFERROR(LOOKUP(9.99E+307,OFFSET(宏观数据!$F$148,0,0,1,LOOKUP(2,1/(宏观数据!$F$148:$UN$148&lt;&gt;""),COLUMN(宏观数据!$F$148:$UN$148))-COLUMN(宏观数据!$F$148))),"")</f>
        <v>2.7</v>
      </c>
      <c r="I59" s="46">
        <f>IFERROR(LOOKUP(2,1/(宏观数据!$F$148:$UN$148&lt;&gt;"")/(宏观数据!$F$1:$UN$1&lt;F59),宏观数据!$F$1:$UN$1),"")</f>
        <v>46142</v>
      </c>
    </row>
    <row r="60" ht="39.75" customHeight="1" spans="1:9">
      <c r="A60" t="s">
        <v>393</v>
      </c>
      <c r="B60" t="s">
        <v>36</v>
      </c>
      <c r="C60" t="s">
        <v>394</v>
      </c>
      <c r="D60" t="s">
        <v>12</v>
      </c>
      <c r="E60">
        <f>IFERROR(LOOKUP(9.99E+307,宏观数据!$F$149:$UN$149),"")</f>
        <v>173.639557</v>
      </c>
      <c r="F60" s="46">
        <f>IFERROR(LOOKUP(2,1/(宏观数据!$F$149:$UN$149&lt;&gt;""),宏观数据!$F$1:$UN$1),"")</f>
        <v>46203</v>
      </c>
      <c r="G60">
        <f ca="1" t="shared" si="0"/>
        <v>-29.917114</v>
      </c>
      <c r="H60">
        <f ca="1">IFERROR(LOOKUP(9.99E+307,OFFSET(宏观数据!$F$149,0,0,1,LOOKUP(2,1/(宏观数据!$F$149:$UN$149&lt;&gt;""),COLUMN(宏观数据!$F$149:$UN$149))-COLUMN(宏观数据!$F$149))),"")</f>
        <v>203.556671</v>
      </c>
      <c r="I60" s="46">
        <f>IFERROR(LOOKUP(2,1/(宏观数据!$F$149:$UN$149&lt;&gt;"")/(宏观数据!$F$1:$UN$1&lt;F60),宏观数据!$F$1:$UN$1),"")</f>
        <v>46173</v>
      </c>
    </row>
    <row r="61" ht="39.75" customHeight="1" spans="1:9">
      <c r="A61" t="s">
        <v>395</v>
      </c>
      <c r="B61" t="s">
        <v>36</v>
      </c>
      <c r="C61" t="s">
        <v>396</v>
      </c>
      <c r="D61" t="s">
        <v>12</v>
      </c>
      <c r="E61">
        <f>IFERROR(LOOKUP(9.99E+307,宏观数据!$F$150:$UN$150),"")</f>
        <v>95.3</v>
      </c>
      <c r="F61" s="46">
        <f>IFERROR(LOOKUP(2,1/(宏观数据!$F$150:$UN$150&lt;&gt;""),宏观数据!$F$1:$UN$1),"")</f>
        <v>46173</v>
      </c>
      <c r="G61">
        <f ca="1" t="shared" si="0"/>
        <v>-0.600000000000009</v>
      </c>
      <c r="H61">
        <f ca="1">IFERROR(LOOKUP(9.99E+307,OFFSET(宏观数据!$F$150,0,0,1,LOOKUP(2,1/(宏观数据!$F$150:$UN$150&lt;&gt;""),COLUMN(宏观数据!$F$150:$UN$150))-COLUMN(宏观数据!$F$150))),"")</f>
        <v>95.9</v>
      </c>
      <c r="I61" s="46">
        <f>IFERROR(LOOKUP(2,1/(宏观数据!$F$150:$UN$150&lt;&gt;"")/(宏观数据!$F$1:$UN$1&lt;F61),宏观数据!$F$1:$UN$1),"")</f>
        <v>46142</v>
      </c>
    </row>
    <row r="62" ht="39.75" customHeight="1" spans="1:9">
      <c r="A62" t="s">
        <v>397</v>
      </c>
      <c r="B62" t="s">
        <v>245</v>
      </c>
      <c r="C62" t="s">
        <v>398</v>
      </c>
      <c r="D62" t="s">
        <v>25</v>
      </c>
      <c r="E62">
        <f>IFERROR(LOOKUP(9.99E+307,宏观数据!$F$161:$UN$161),"")</f>
        <v>6.1</v>
      </c>
      <c r="F62" s="46">
        <f>IFERROR(LOOKUP(2,1/(宏观数据!$F$161:$UN$161&lt;&gt;""),宏观数据!$F$1:$UN$1),"")</f>
        <v>46022</v>
      </c>
      <c r="G62" t="str">
        <f ca="1" t="shared" si="0"/>
        <v/>
      </c>
      <c r="H62" t="str">
        <f ca="1">IFERROR(LOOKUP(9.99E+307,OFFSET(宏观数据!$F$161,0,0,1,LOOKUP(2,1/(宏观数据!$F$161:$UN$161&lt;&gt;""),COLUMN(宏观数据!$F$161:$UN$161))-COLUMN(宏观数据!$F$161))),"")</f>
        <v/>
      </c>
      <c r="I62" s="46" t="str">
        <f>IFERROR(LOOKUP(2,1/(宏观数据!$F$161:$UN$161&lt;&gt;"")/(宏观数据!$F$1:$UN$1&lt;F62),宏观数据!$F$1:$UN$1),"")</f>
        <v/>
      </c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UT177"/>
  <sheetViews>
    <sheetView topLeftCell="G4" workbookViewId="0">
      <selection activeCell="A125" sqref="A125"/>
    </sheetView>
  </sheetViews>
  <sheetFormatPr defaultColWidth="9" defaultRowHeight="14.1"/>
  <cols>
    <col min="1" max="2" width="11.8198198198198" style="4" customWidth="1"/>
    <col min="3" max="3" width="9.54054054054054" style="4" customWidth="1"/>
    <col min="4" max="4" width="83.8198198198198" style="4" customWidth="1"/>
    <col min="6" max="6" width="15.1801801801802" style="4" customWidth="1"/>
    <col min="7" max="12" width="11.8198198198198" style="4" customWidth="1"/>
    <col min="13" max="14" width="14" style="4" customWidth="1"/>
    <col min="15" max="15" width="11.8198198198198" style="4" customWidth="1"/>
    <col min="16" max="16" width="12.9099099099099" style="4" customWidth="1"/>
    <col min="17" max="20" width="11.8198198198198" style="4" customWidth="1"/>
    <col min="21" max="21" width="14" style="4" customWidth="1"/>
    <col min="22" max="27" width="11.8198198198198" style="4" customWidth="1"/>
    <col min="28" max="28" width="14" style="4" customWidth="1"/>
    <col min="29" max="34" width="11.8198198198198" style="4" customWidth="1"/>
    <col min="35" max="35" width="14" style="4" customWidth="1"/>
    <col min="36" max="37" width="11.8198198198198" style="4" customWidth="1"/>
    <col min="38" max="38" width="12.9099099099099" style="4" customWidth="1"/>
    <col min="39" max="41" width="11.8198198198198" style="4" customWidth="1"/>
    <col min="42" max="42" width="14" style="4" customWidth="1"/>
    <col min="43" max="48" width="11.8198198198198" style="4" customWidth="1"/>
    <col min="49" max="49" width="14" style="4" customWidth="1"/>
    <col min="50" max="55" width="11.8198198198198" style="4" customWidth="1"/>
    <col min="56" max="56" width="14" style="4" customWidth="1"/>
    <col min="57" max="62" width="11.8198198198198" style="4" customWidth="1"/>
    <col min="63" max="63" width="14" style="4" customWidth="1"/>
    <col min="64" max="69" width="11.8198198198198" style="4" customWidth="1"/>
    <col min="70" max="70" width="14" style="4" customWidth="1"/>
    <col min="71" max="71" width="11.8198198198198" style="4" customWidth="1"/>
    <col min="72" max="72" width="12.9099099099099" style="4" customWidth="1"/>
    <col min="73" max="76" width="11.8198198198198" style="4" customWidth="1"/>
    <col min="77" max="77" width="14" style="4" customWidth="1"/>
    <col min="78" max="83" width="11.8198198198198" style="4" customWidth="1"/>
    <col min="84" max="84" width="14" style="4" customWidth="1"/>
    <col min="85" max="90" width="11.8198198198198" style="4" customWidth="1"/>
    <col min="91" max="91" width="14" style="4" customWidth="1"/>
    <col min="92" max="97" width="11.8198198198198" style="4" customWidth="1"/>
    <col min="98" max="98" width="14" style="4" customWidth="1"/>
    <col min="99" max="513" width="11.8198198198198" style="4" customWidth="1"/>
    <col min="514" max="560" width="11.7027027027027" style="4" customWidth="1"/>
    <col min="561" max="566" width="11.7027027027027"/>
  </cols>
  <sheetData>
    <row r="1" ht="13.5" customHeight="1" spans="1:566">
      <c r="A1" s="20" t="s">
        <v>399</v>
      </c>
      <c r="B1" s="20" t="s">
        <v>400</v>
      </c>
      <c r="C1" s="21" t="s">
        <v>401</v>
      </c>
      <c r="D1" s="19" t="s">
        <v>402</v>
      </c>
      <c r="E1" s="21" t="s">
        <v>403</v>
      </c>
      <c r="F1" s="10">
        <v>45291</v>
      </c>
      <c r="G1" s="10">
        <v>45658</v>
      </c>
      <c r="H1" s="10">
        <v>45659</v>
      </c>
      <c r="I1" s="10">
        <v>45660</v>
      </c>
      <c r="J1" s="10">
        <v>45661</v>
      </c>
      <c r="K1" s="10">
        <v>45662</v>
      </c>
      <c r="L1" s="10">
        <v>45663</v>
      </c>
      <c r="M1" s="10">
        <v>45664</v>
      </c>
      <c r="N1" s="10">
        <v>45665</v>
      </c>
      <c r="O1" s="10">
        <v>45666</v>
      </c>
      <c r="P1" s="10">
        <v>45667</v>
      </c>
      <c r="Q1" s="10">
        <v>45668</v>
      </c>
      <c r="R1" s="10">
        <v>45669</v>
      </c>
      <c r="S1" s="10">
        <v>45670</v>
      </c>
      <c r="T1" s="10">
        <v>45671</v>
      </c>
      <c r="U1" s="10">
        <v>45672</v>
      </c>
      <c r="V1" s="10">
        <v>45673</v>
      </c>
      <c r="W1" s="10">
        <v>45674</v>
      </c>
      <c r="X1" s="10">
        <v>45675</v>
      </c>
      <c r="Y1" s="10">
        <v>45676</v>
      </c>
      <c r="Z1" s="10">
        <v>45677</v>
      </c>
      <c r="AA1" s="10">
        <v>45678</v>
      </c>
      <c r="AB1" s="10">
        <v>45679</v>
      </c>
      <c r="AC1" s="10">
        <v>45680</v>
      </c>
      <c r="AD1" s="10">
        <v>45681</v>
      </c>
      <c r="AE1" s="10">
        <v>45682</v>
      </c>
      <c r="AF1" s="10">
        <v>45683</v>
      </c>
      <c r="AG1" s="10">
        <v>45684</v>
      </c>
      <c r="AH1" s="10">
        <v>45685</v>
      </c>
      <c r="AI1" s="10">
        <v>45686</v>
      </c>
      <c r="AJ1" s="10">
        <v>45687</v>
      </c>
      <c r="AK1" s="10">
        <v>45688</v>
      </c>
      <c r="AL1" s="10">
        <v>45689</v>
      </c>
      <c r="AM1" s="10">
        <v>45690</v>
      </c>
      <c r="AN1" s="10">
        <v>45691</v>
      </c>
      <c r="AO1" s="10">
        <v>45692</v>
      </c>
      <c r="AP1" s="10">
        <v>45693</v>
      </c>
      <c r="AQ1" s="10">
        <v>45694</v>
      </c>
      <c r="AR1" s="10">
        <v>45695</v>
      </c>
      <c r="AS1" s="10">
        <v>45696</v>
      </c>
      <c r="AT1" s="10">
        <v>45697</v>
      </c>
      <c r="AU1" s="10">
        <v>45698</v>
      </c>
      <c r="AV1" s="10">
        <v>45699</v>
      </c>
      <c r="AW1" s="10">
        <v>45700</v>
      </c>
      <c r="AX1" s="10">
        <v>45701</v>
      </c>
      <c r="AY1" s="10">
        <v>45702</v>
      </c>
      <c r="AZ1" s="10">
        <v>45703</v>
      </c>
      <c r="BA1" s="10">
        <v>45704</v>
      </c>
      <c r="BB1" s="10">
        <v>45705</v>
      </c>
      <c r="BC1" s="10">
        <v>45706</v>
      </c>
      <c r="BD1" s="10">
        <v>45707</v>
      </c>
      <c r="BE1" s="10">
        <v>45708</v>
      </c>
      <c r="BF1" s="10">
        <v>45709</v>
      </c>
      <c r="BG1" s="10">
        <v>45710</v>
      </c>
      <c r="BH1" s="10">
        <v>45711</v>
      </c>
      <c r="BI1" s="10">
        <v>45712</v>
      </c>
      <c r="BJ1" s="10">
        <v>45713</v>
      </c>
      <c r="BK1" s="10">
        <v>45714</v>
      </c>
      <c r="BL1" s="10">
        <v>45715</v>
      </c>
      <c r="BM1" s="10">
        <v>45716</v>
      </c>
      <c r="BN1" s="10">
        <v>45717</v>
      </c>
      <c r="BO1" s="10">
        <v>45718</v>
      </c>
      <c r="BP1" s="10">
        <v>45719</v>
      </c>
      <c r="BQ1" s="10">
        <v>45720</v>
      </c>
      <c r="BR1" s="10">
        <v>45721</v>
      </c>
      <c r="BS1" s="10">
        <v>45722</v>
      </c>
      <c r="BT1" s="10">
        <v>45723</v>
      </c>
      <c r="BU1" s="10">
        <v>45724</v>
      </c>
      <c r="BV1" s="10">
        <v>45725</v>
      </c>
      <c r="BW1" s="10">
        <v>45726</v>
      </c>
      <c r="BX1" s="10">
        <v>45727</v>
      </c>
      <c r="BY1" s="10">
        <v>45728</v>
      </c>
      <c r="BZ1" s="10">
        <v>45729</v>
      </c>
      <c r="CA1" s="10">
        <v>45730</v>
      </c>
      <c r="CB1" s="10">
        <v>45731</v>
      </c>
      <c r="CC1" s="10">
        <v>45732</v>
      </c>
      <c r="CD1" s="10">
        <v>45733</v>
      </c>
      <c r="CE1" s="10">
        <v>45734</v>
      </c>
      <c r="CF1" s="10">
        <v>45735</v>
      </c>
      <c r="CG1" s="10">
        <v>45736</v>
      </c>
      <c r="CH1" s="10">
        <v>45737</v>
      </c>
      <c r="CI1" s="10">
        <v>45738</v>
      </c>
      <c r="CJ1" s="10">
        <v>45739</v>
      </c>
      <c r="CK1" s="10">
        <v>45740</v>
      </c>
      <c r="CL1" s="10">
        <v>45741</v>
      </c>
      <c r="CM1" s="10">
        <v>45742</v>
      </c>
      <c r="CN1" s="10">
        <v>45743</v>
      </c>
      <c r="CO1" s="10">
        <v>45744</v>
      </c>
      <c r="CP1" s="10">
        <v>45745</v>
      </c>
      <c r="CQ1" s="10">
        <v>45746</v>
      </c>
      <c r="CR1" s="10">
        <v>45747</v>
      </c>
      <c r="CS1" s="10">
        <v>45748</v>
      </c>
      <c r="CT1" s="10">
        <v>45749</v>
      </c>
      <c r="CU1" s="10">
        <v>45750</v>
      </c>
      <c r="CV1" s="10">
        <v>45751</v>
      </c>
      <c r="CW1" s="10">
        <v>45752</v>
      </c>
      <c r="CX1" s="10">
        <v>45753</v>
      </c>
      <c r="CY1" s="10">
        <v>45754</v>
      </c>
      <c r="CZ1" s="10">
        <v>45755</v>
      </c>
      <c r="DA1" s="10">
        <v>45756</v>
      </c>
      <c r="DB1" s="10">
        <v>45757</v>
      </c>
      <c r="DC1" s="10">
        <v>45758</v>
      </c>
      <c r="DD1" s="10">
        <v>45759</v>
      </c>
      <c r="DE1" s="10">
        <v>45760</v>
      </c>
      <c r="DF1" s="10">
        <v>45761</v>
      </c>
      <c r="DG1" s="10">
        <v>45762</v>
      </c>
      <c r="DH1" s="10">
        <v>45763</v>
      </c>
      <c r="DI1" s="10">
        <v>45764</v>
      </c>
      <c r="DJ1" s="10">
        <v>45765</v>
      </c>
      <c r="DK1" s="10">
        <v>45766</v>
      </c>
      <c r="DL1" s="10">
        <v>45767</v>
      </c>
      <c r="DM1" s="10">
        <v>45768</v>
      </c>
      <c r="DN1" s="10">
        <v>45769</v>
      </c>
      <c r="DO1" s="10">
        <v>45770</v>
      </c>
      <c r="DP1" s="10">
        <v>45771</v>
      </c>
      <c r="DQ1" s="10">
        <v>45772</v>
      </c>
      <c r="DR1" s="10">
        <v>45773</v>
      </c>
      <c r="DS1" s="10">
        <v>45774</v>
      </c>
      <c r="DT1" s="10">
        <v>45775</v>
      </c>
      <c r="DU1" s="10">
        <v>45776</v>
      </c>
      <c r="DV1" s="10">
        <v>45777</v>
      </c>
      <c r="DW1" s="10">
        <v>45778</v>
      </c>
      <c r="DX1" s="10">
        <v>45779</v>
      </c>
      <c r="DY1" s="10">
        <v>45780</v>
      </c>
      <c r="DZ1" s="10">
        <v>45781</v>
      </c>
      <c r="EA1" s="10">
        <v>45782</v>
      </c>
      <c r="EB1" s="10">
        <v>45783</v>
      </c>
      <c r="EC1" s="10">
        <v>45784</v>
      </c>
      <c r="ED1" s="10">
        <v>45785</v>
      </c>
      <c r="EE1" s="10">
        <v>45786</v>
      </c>
      <c r="EF1" s="10">
        <v>45787</v>
      </c>
      <c r="EG1" s="10">
        <v>45788</v>
      </c>
      <c r="EH1" s="10">
        <v>45789</v>
      </c>
      <c r="EI1" s="10">
        <v>45790</v>
      </c>
      <c r="EJ1" s="10">
        <v>45791</v>
      </c>
      <c r="EK1" s="10">
        <v>45792</v>
      </c>
      <c r="EL1" s="10">
        <v>45793</v>
      </c>
      <c r="EM1" s="10">
        <v>45794</v>
      </c>
      <c r="EN1" s="10">
        <v>45795</v>
      </c>
      <c r="EO1" s="10">
        <v>45796</v>
      </c>
      <c r="EP1" s="10">
        <v>45797</v>
      </c>
      <c r="EQ1" s="10">
        <v>45798</v>
      </c>
      <c r="ER1" s="10">
        <v>45799</v>
      </c>
      <c r="ES1" s="10">
        <v>45800</v>
      </c>
      <c r="ET1" s="10">
        <v>45801</v>
      </c>
      <c r="EU1" s="10">
        <v>45802</v>
      </c>
      <c r="EV1" s="10">
        <v>45803</v>
      </c>
      <c r="EW1" s="10">
        <v>45804</v>
      </c>
      <c r="EX1" s="10">
        <v>45805</v>
      </c>
      <c r="EY1" s="10">
        <v>45806</v>
      </c>
      <c r="EZ1" s="10">
        <v>45807</v>
      </c>
      <c r="FA1" s="10">
        <v>45808</v>
      </c>
      <c r="FB1" s="10">
        <v>45809</v>
      </c>
      <c r="FC1" s="10">
        <v>45810</v>
      </c>
      <c r="FD1" s="10">
        <v>45811</v>
      </c>
      <c r="FE1" s="10">
        <v>45812</v>
      </c>
      <c r="FF1" s="10">
        <v>45813</v>
      </c>
      <c r="FG1" s="10">
        <v>45814</v>
      </c>
      <c r="FH1" s="10">
        <v>45815</v>
      </c>
      <c r="FI1" s="10">
        <v>45816</v>
      </c>
      <c r="FJ1" s="10">
        <v>45817</v>
      </c>
      <c r="FK1" s="10">
        <v>45818</v>
      </c>
      <c r="FL1" s="10">
        <v>45819</v>
      </c>
      <c r="FM1" s="10">
        <v>45820</v>
      </c>
      <c r="FN1" s="10">
        <v>45821</v>
      </c>
      <c r="FO1" s="10">
        <v>45822</v>
      </c>
      <c r="FP1" s="10">
        <v>45823</v>
      </c>
      <c r="FQ1" s="10">
        <v>45824</v>
      </c>
      <c r="FR1" s="10">
        <v>45825</v>
      </c>
      <c r="FS1" s="10">
        <v>45826</v>
      </c>
      <c r="FT1" s="10">
        <v>45827</v>
      </c>
      <c r="FU1" s="10">
        <v>45828</v>
      </c>
      <c r="FV1" s="10">
        <v>45829</v>
      </c>
      <c r="FW1" s="10">
        <v>45830</v>
      </c>
      <c r="FX1" s="10">
        <v>45831</v>
      </c>
      <c r="FY1" s="10">
        <v>45832</v>
      </c>
      <c r="FZ1" s="10">
        <v>45833</v>
      </c>
      <c r="GA1" s="10">
        <v>45834</v>
      </c>
      <c r="GB1" s="10">
        <v>45835</v>
      </c>
      <c r="GC1" s="10">
        <v>45836</v>
      </c>
      <c r="GD1" s="10">
        <v>45837</v>
      </c>
      <c r="GE1" s="10">
        <v>45838</v>
      </c>
      <c r="GF1" s="10">
        <v>45839</v>
      </c>
      <c r="GG1" s="10">
        <v>45840</v>
      </c>
      <c r="GH1" s="10">
        <v>45841</v>
      </c>
      <c r="GI1" s="10">
        <v>45842</v>
      </c>
      <c r="GJ1" s="10">
        <v>45843</v>
      </c>
      <c r="GK1" s="10">
        <v>45844</v>
      </c>
      <c r="GL1" s="10">
        <v>45845</v>
      </c>
      <c r="GM1" s="10">
        <v>45846</v>
      </c>
      <c r="GN1" s="10">
        <v>45847</v>
      </c>
      <c r="GO1" s="10">
        <v>45848</v>
      </c>
      <c r="GP1" s="10">
        <v>45849</v>
      </c>
      <c r="GQ1" s="10">
        <v>45850</v>
      </c>
      <c r="GR1" s="10">
        <v>45851</v>
      </c>
      <c r="GS1" s="10">
        <v>45852</v>
      </c>
      <c r="GT1" s="10">
        <v>45853</v>
      </c>
      <c r="GU1" s="10">
        <v>45854</v>
      </c>
      <c r="GV1" s="10">
        <v>45855</v>
      </c>
      <c r="GW1" s="10">
        <v>45856</v>
      </c>
      <c r="GX1" s="10">
        <v>45857</v>
      </c>
      <c r="GY1" s="10">
        <v>45858</v>
      </c>
      <c r="GZ1" s="10">
        <v>45859</v>
      </c>
      <c r="HA1" s="10">
        <v>45860</v>
      </c>
      <c r="HB1" s="10">
        <v>45861</v>
      </c>
      <c r="HC1" s="10">
        <v>45862</v>
      </c>
      <c r="HD1" s="10">
        <v>45863</v>
      </c>
      <c r="HE1" s="10">
        <v>45864</v>
      </c>
      <c r="HF1" s="10">
        <v>45865</v>
      </c>
      <c r="HG1" s="10">
        <v>45866</v>
      </c>
      <c r="HH1" s="10">
        <v>45867</v>
      </c>
      <c r="HI1" s="10">
        <v>45868</v>
      </c>
      <c r="HJ1" s="10">
        <v>45869</v>
      </c>
      <c r="HK1" s="10">
        <v>45870</v>
      </c>
      <c r="HL1" s="10">
        <v>45871</v>
      </c>
      <c r="HM1" s="10">
        <v>45872</v>
      </c>
      <c r="HN1" s="10">
        <v>45873</v>
      </c>
      <c r="HO1" s="10">
        <v>45874</v>
      </c>
      <c r="HP1" s="10">
        <v>45875</v>
      </c>
      <c r="HQ1" s="10">
        <v>45876</v>
      </c>
      <c r="HR1" s="10">
        <v>45877</v>
      </c>
      <c r="HS1" s="10">
        <v>45878</v>
      </c>
      <c r="HT1" s="10">
        <v>45879</v>
      </c>
      <c r="HU1" s="10">
        <v>45880</v>
      </c>
      <c r="HV1" s="10">
        <v>45881</v>
      </c>
      <c r="HW1" s="10">
        <v>45882</v>
      </c>
      <c r="HX1" s="10">
        <v>45883</v>
      </c>
      <c r="HY1" s="10">
        <v>45884</v>
      </c>
      <c r="HZ1" s="10">
        <v>45885</v>
      </c>
      <c r="IA1" s="10">
        <v>45886</v>
      </c>
      <c r="IB1" s="10">
        <v>45887</v>
      </c>
      <c r="IC1" s="10">
        <v>45888</v>
      </c>
      <c r="ID1" s="10">
        <v>45889</v>
      </c>
      <c r="IE1" s="10">
        <v>45890</v>
      </c>
      <c r="IF1" s="10">
        <v>45891</v>
      </c>
      <c r="IG1" s="10">
        <v>45892</v>
      </c>
      <c r="IH1" s="10">
        <v>45893</v>
      </c>
      <c r="II1" s="10">
        <v>45894</v>
      </c>
      <c r="IJ1" s="10">
        <v>45895</v>
      </c>
      <c r="IK1" s="10">
        <v>45896</v>
      </c>
      <c r="IL1" s="10">
        <v>45897</v>
      </c>
      <c r="IM1" s="10">
        <v>45898</v>
      </c>
      <c r="IN1" s="10">
        <v>45899</v>
      </c>
      <c r="IO1" s="10">
        <v>45900</v>
      </c>
      <c r="IP1" s="15">
        <v>45901</v>
      </c>
      <c r="IQ1" s="15">
        <v>45902</v>
      </c>
      <c r="IR1" s="15">
        <v>45903</v>
      </c>
      <c r="IS1" s="15">
        <v>45904</v>
      </c>
      <c r="IT1" s="15">
        <v>45905</v>
      </c>
      <c r="IU1" s="15">
        <v>45906</v>
      </c>
      <c r="IV1" s="15">
        <v>45907</v>
      </c>
      <c r="IW1" s="15">
        <v>45908</v>
      </c>
      <c r="IX1" s="15">
        <v>45909</v>
      </c>
      <c r="IY1" s="15">
        <v>45910</v>
      </c>
      <c r="IZ1" s="15">
        <v>45911</v>
      </c>
      <c r="JA1" s="15">
        <v>45912</v>
      </c>
      <c r="JB1" s="15">
        <v>45913</v>
      </c>
      <c r="JC1" s="15">
        <v>45914</v>
      </c>
      <c r="JD1" s="15">
        <v>45915</v>
      </c>
      <c r="JE1" s="15">
        <v>45916</v>
      </c>
      <c r="JF1" s="15">
        <v>45917</v>
      </c>
      <c r="JG1" s="15">
        <v>45918</v>
      </c>
      <c r="JH1" s="15">
        <v>45919</v>
      </c>
      <c r="JI1" s="15">
        <v>45920</v>
      </c>
      <c r="JJ1" s="15">
        <v>45921</v>
      </c>
      <c r="JK1" s="15">
        <v>45922</v>
      </c>
      <c r="JL1" s="15">
        <v>45923</v>
      </c>
      <c r="JM1" s="15">
        <v>45924</v>
      </c>
      <c r="JN1" s="15">
        <v>45925</v>
      </c>
      <c r="JO1" s="15">
        <v>45926</v>
      </c>
      <c r="JP1" s="15">
        <v>45927</v>
      </c>
      <c r="JQ1" s="15">
        <v>45928</v>
      </c>
      <c r="JR1" s="15">
        <v>45929</v>
      </c>
      <c r="JS1" s="15">
        <v>45930</v>
      </c>
      <c r="JT1" s="15">
        <v>45931</v>
      </c>
      <c r="JU1" s="15">
        <v>45932</v>
      </c>
      <c r="JV1" s="15">
        <v>45933</v>
      </c>
      <c r="JW1" s="15">
        <v>45934</v>
      </c>
      <c r="JX1" s="15">
        <v>45935</v>
      </c>
      <c r="JY1" s="15">
        <v>45936</v>
      </c>
      <c r="JZ1" s="10">
        <v>45937</v>
      </c>
      <c r="KA1" s="10">
        <v>45938</v>
      </c>
      <c r="KB1" s="10">
        <v>45939</v>
      </c>
      <c r="KC1" s="10">
        <v>45940</v>
      </c>
      <c r="KD1" s="10">
        <v>45941</v>
      </c>
      <c r="KE1" s="10">
        <v>45942</v>
      </c>
      <c r="KF1" s="10">
        <v>45943</v>
      </c>
      <c r="KG1" s="10">
        <v>45944</v>
      </c>
      <c r="KH1" s="10">
        <v>45945</v>
      </c>
      <c r="KI1" s="10">
        <v>45946</v>
      </c>
      <c r="KJ1" s="10">
        <v>45947</v>
      </c>
      <c r="KK1" s="10">
        <v>45948</v>
      </c>
      <c r="KL1" s="10">
        <v>45949</v>
      </c>
      <c r="KM1" s="10">
        <v>45950</v>
      </c>
      <c r="KN1" s="10">
        <v>45951</v>
      </c>
      <c r="KO1" s="10">
        <v>45952</v>
      </c>
      <c r="KP1" s="10">
        <v>45953</v>
      </c>
      <c r="KQ1" s="10">
        <v>45954</v>
      </c>
      <c r="KR1" s="10">
        <v>45955</v>
      </c>
      <c r="KS1" s="10">
        <v>45956</v>
      </c>
      <c r="KT1" s="10">
        <v>45957</v>
      </c>
      <c r="KU1" s="10">
        <v>45958</v>
      </c>
      <c r="KV1" s="10">
        <v>45959</v>
      </c>
      <c r="KW1" s="10">
        <v>45960</v>
      </c>
      <c r="KX1" s="10">
        <v>45961</v>
      </c>
      <c r="KY1" s="10">
        <v>45962</v>
      </c>
      <c r="KZ1" s="10">
        <v>45963</v>
      </c>
      <c r="LA1" s="10">
        <v>45964</v>
      </c>
      <c r="LB1" s="10">
        <v>45965</v>
      </c>
      <c r="LC1" s="10">
        <v>45966</v>
      </c>
      <c r="LD1" s="10">
        <v>45967</v>
      </c>
      <c r="LE1" s="10">
        <v>45968</v>
      </c>
      <c r="LF1" s="10">
        <v>45969</v>
      </c>
      <c r="LG1" s="10">
        <v>45970</v>
      </c>
      <c r="LH1" s="10">
        <v>45971</v>
      </c>
      <c r="LI1" s="10">
        <v>45972</v>
      </c>
      <c r="LJ1" s="10">
        <v>45973</v>
      </c>
      <c r="LK1" s="10">
        <v>45974</v>
      </c>
      <c r="LL1" s="10">
        <v>45975</v>
      </c>
      <c r="LM1" s="10">
        <v>45976</v>
      </c>
      <c r="LN1" s="10">
        <v>45977</v>
      </c>
      <c r="LO1" s="10">
        <v>45978</v>
      </c>
      <c r="LP1" s="10">
        <v>45979</v>
      </c>
      <c r="LQ1" s="10">
        <v>45980</v>
      </c>
      <c r="LR1" s="10">
        <v>45981</v>
      </c>
      <c r="LS1" s="10">
        <v>45982</v>
      </c>
      <c r="LT1" s="10">
        <v>45983</v>
      </c>
      <c r="LU1" s="10">
        <v>45984</v>
      </c>
      <c r="LV1" s="10">
        <v>45985</v>
      </c>
      <c r="LW1" s="10">
        <v>45986</v>
      </c>
      <c r="LX1" s="10">
        <v>45987</v>
      </c>
      <c r="LY1" s="10">
        <v>45988</v>
      </c>
      <c r="LZ1" s="10">
        <v>45989</v>
      </c>
      <c r="MA1" s="10">
        <v>45990</v>
      </c>
      <c r="MB1" s="10">
        <v>45991</v>
      </c>
      <c r="MC1" s="10">
        <v>45992</v>
      </c>
      <c r="MD1" s="10">
        <v>45993</v>
      </c>
      <c r="ME1" s="10">
        <v>45994</v>
      </c>
      <c r="MF1" s="10">
        <v>45995</v>
      </c>
      <c r="MG1" s="10">
        <v>45996</v>
      </c>
      <c r="MH1" s="10">
        <v>45997</v>
      </c>
      <c r="MI1" s="10">
        <v>45998</v>
      </c>
      <c r="MJ1" s="10">
        <v>45999</v>
      </c>
      <c r="MK1" s="10">
        <v>46000</v>
      </c>
      <c r="ML1" s="10">
        <v>46001</v>
      </c>
      <c r="MM1" s="10">
        <v>46002</v>
      </c>
      <c r="MN1" s="10">
        <v>46003</v>
      </c>
      <c r="MO1" s="10">
        <v>46004</v>
      </c>
      <c r="MP1" s="10">
        <v>46005</v>
      </c>
      <c r="MQ1" s="10">
        <v>46006</v>
      </c>
      <c r="MR1" s="10">
        <v>46007</v>
      </c>
      <c r="MS1" s="10">
        <v>46008</v>
      </c>
      <c r="MT1" s="10">
        <v>46009</v>
      </c>
      <c r="MU1" s="10">
        <v>46010</v>
      </c>
      <c r="MV1" s="10">
        <v>46011</v>
      </c>
      <c r="MW1" s="10">
        <v>46012</v>
      </c>
      <c r="MX1" s="10">
        <v>46013</v>
      </c>
      <c r="MY1" s="10">
        <v>46014</v>
      </c>
      <c r="MZ1" s="10">
        <v>46015</v>
      </c>
      <c r="NA1" s="10">
        <v>46016</v>
      </c>
      <c r="NB1" s="10">
        <v>46017</v>
      </c>
      <c r="NC1" s="10">
        <v>46018</v>
      </c>
      <c r="ND1" s="10">
        <v>46019</v>
      </c>
      <c r="NE1" s="10">
        <v>46020</v>
      </c>
      <c r="NF1" s="10">
        <v>46021</v>
      </c>
      <c r="NG1" s="10">
        <v>46022</v>
      </c>
      <c r="NH1" s="10">
        <v>46023</v>
      </c>
      <c r="NI1" s="10">
        <v>46024</v>
      </c>
      <c r="NJ1" s="10">
        <v>46025</v>
      </c>
      <c r="NK1" s="10">
        <v>46026</v>
      </c>
      <c r="NL1" s="10">
        <v>46027</v>
      </c>
      <c r="NM1" s="10">
        <v>46028</v>
      </c>
      <c r="NN1" s="10">
        <v>46029</v>
      </c>
      <c r="NO1" s="10">
        <v>46030</v>
      </c>
      <c r="NP1" s="10">
        <v>46031</v>
      </c>
      <c r="NQ1" s="10">
        <v>46032</v>
      </c>
      <c r="NR1" s="10">
        <v>46033</v>
      </c>
      <c r="NS1" s="10">
        <v>46034</v>
      </c>
      <c r="NT1" s="10">
        <v>46035</v>
      </c>
      <c r="NU1" s="10">
        <v>46036</v>
      </c>
      <c r="NV1" s="10">
        <v>46037</v>
      </c>
      <c r="NW1" s="10">
        <v>46038</v>
      </c>
      <c r="NX1" s="10">
        <v>46039</v>
      </c>
      <c r="NY1" s="10">
        <v>46040</v>
      </c>
      <c r="NZ1" s="10">
        <v>46041</v>
      </c>
      <c r="OA1" s="10">
        <v>46042</v>
      </c>
      <c r="OB1" s="10">
        <v>46043</v>
      </c>
      <c r="OC1" s="10">
        <v>46044</v>
      </c>
      <c r="OD1" s="10">
        <v>46045</v>
      </c>
      <c r="OE1" s="10">
        <v>46046</v>
      </c>
      <c r="OF1" s="10">
        <v>46047</v>
      </c>
      <c r="OG1" s="10">
        <v>46048</v>
      </c>
      <c r="OH1" s="10">
        <v>46049</v>
      </c>
      <c r="OI1" s="10">
        <v>46050</v>
      </c>
      <c r="OJ1" s="10">
        <v>46051</v>
      </c>
      <c r="OK1" s="10">
        <v>46052</v>
      </c>
      <c r="OL1" s="10">
        <v>46053</v>
      </c>
      <c r="OM1" s="10">
        <v>46054</v>
      </c>
      <c r="ON1" s="10">
        <v>46055</v>
      </c>
      <c r="OO1" s="10">
        <v>46056</v>
      </c>
      <c r="OP1" s="10">
        <v>46057</v>
      </c>
      <c r="OQ1" s="10">
        <v>46058</v>
      </c>
      <c r="OR1" s="10">
        <v>46059</v>
      </c>
      <c r="OS1" s="10">
        <v>46060</v>
      </c>
      <c r="OT1" s="10">
        <v>46061</v>
      </c>
      <c r="OU1" s="10">
        <v>46062</v>
      </c>
      <c r="OV1" s="10">
        <v>46063</v>
      </c>
      <c r="OW1" s="10">
        <v>46064</v>
      </c>
      <c r="OX1" s="10">
        <v>46065</v>
      </c>
      <c r="OY1" s="10">
        <v>46066</v>
      </c>
      <c r="OZ1" s="10">
        <v>46067</v>
      </c>
      <c r="PA1" s="10">
        <v>46068</v>
      </c>
      <c r="PB1" s="10">
        <v>46069</v>
      </c>
      <c r="PC1" s="10">
        <v>46070</v>
      </c>
      <c r="PD1" s="10">
        <v>46071</v>
      </c>
      <c r="PE1" s="10">
        <v>46072</v>
      </c>
      <c r="PF1" s="10">
        <v>46073</v>
      </c>
      <c r="PG1" s="10">
        <v>46074</v>
      </c>
      <c r="PH1" s="10">
        <v>46075</v>
      </c>
      <c r="PI1" s="10">
        <v>46076</v>
      </c>
      <c r="PJ1" s="10">
        <v>46077</v>
      </c>
      <c r="PK1" s="10">
        <v>46078</v>
      </c>
      <c r="PL1" s="10">
        <v>46079</v>
      </c>
      <c r="PM1" s="10">
        <v>46080</v>
      </c>
      <c r="PN1" s="10">
        <v>46081</v>
      </c>
      <c r="PO1" s="10">
        <v>46082</v>
      </c>
      <c r="PP1" s="10">
        <v>46083</v>
      </c>
      <c r="PQ1" s="10">
        <v>46084</v>
      </c>
      <c r="PR1" s="10">
        <v>46085</v>
      </c>
      <c r="PS1" s="10">
        <v>46086</v>
      </c>
      <c r="PT1" s="10">
        <v>46087</v>
      </c>
      <c r="PU1" s="10">
        <v>46088</v>
      </c>
      <c r="PV1" s="10">
        <v>46089</v>
      </c>
      <c r="PW1" s="10">
        <v>46090</v>
      </c>
      <c r="PX1" s="10">
        <v>46091</v>
      </c>
      <c r="PY1" s="10">
        <v>46092</v>
      </c>
      <c r="PZ1" s="10">
        <v>46093</v>
      </c>
      <c r="QA1" s="10">
        <v>46094</v>
      </c>
      <c r="QB1" s="10">
        <v>46095</v>
      </c>
      <c r="QC1" s="10">
        <v>46096</v>
      </c>
      <c r="QD1" s="10">
        <v>46097</v>
      </c>
      <c r="QE1" s="10">
        <v>46098</v>
      </c>
      <c r="QF1" s="10">
        <v>46099</v>
      </c>
      <c r="QG1" s="10">
        <v>46100</v>
      </c>
      <c r="QH1" s="10">
        <v>46101</v>
      </c>
      <c r="QI1" s="10">
        <v>46102</v>
      </c>
      <c r="QJ1" s="10">
        <v>46103</v>
      </c>
      <c r="QK1" s="10">
        <v>46104</v>
      </c>
      <c r="QL1" s="10">
        <v>46105</v>
      </c>
      <c r="QM1" s="10">
        <v>46106</v>
      </c>
      <c r="QN1" s="10">
        <v>46107</v>
      </c>
      <c r="QO1" s="10">
        <v>46108</v>
      </c>
      <c r="QP1" s="10">
        <v>46109</v>
      </c>
      <c r="QQ1" s="10">
        <v>46110</v>
      </c>
      <c r="QR1" s="10">
        <v>46111</v>
      </c>
      <c r="QS1" s="10">
        <v>46112</v>
      </c>
      <c r="QT1" s="10">
        <v>46113</v>
      </c>
      <c r="QU1" s="10">
        <v>46114</v>
      </c>
      <c r="QV1" s="10">
        <v>46115</v>
      </c>
      <c r="QW1" s="10">
        <v>46116</v>
      </c>
      <c r="QX1" s="10">
        <v>46117</v>
      </c>
      <c r="QY1" s="10">
        <v>46118</v>
      </c>
      <c r="QZ1" s="10">
        <v>46119</v>
      </c>
      <c r="RA1" s="10">
        <v>46120</v>
      </c>
      <c r="RB1" s="10">
        <v>46121</v>
      </c>
      <c r="RC1" s="10">
        <v>46122</v>
      </c>
      <c r="RD1" s="10">
        <v>46123</v>
      </c>
      <c r="RE1" s="10">
        <v>46124</v>
      </c>
      <c r="RF1" s="10">
        <v>46125</v>
      </c>
      <c r="RG1" s="10">
        <v>46126</v>
      </c>
      <c r="RH1" s="10">
        <v>46127</v>
      </c>
      <c r="RI1" s="10">
        <v>46128</v>
      </c>
      <c r="RJ1" s="10">
        <v>46129</v>
      </c>
      <c r="RK1" s="10">
        <v>46130</v>
      </c>
      <c r="RL1" s="10">
        <v>46131</v>
      </c>
      <c r="RM1" s="10">
        <v>46132</v>
      </c>
      <c r="RN1" s="10">
        <v>46133</v>
      </c>
      <c r="RO1" s="10">
        <v>46134</v>
      </c>
      <c r="RP1" s="10">
        <v>46135</v>
      </c>
      <c r="RQ1" s="10">
        <v>46136</v>
      </c>
      <c r="RR1" s="10">
        <v>46137</v>
      </c>
      <c r="RS1" s="10">
        <v>46138</v>
      </c>
      <c r="RT1" s="10">
        <v>46139</v>
      </c>
      <c r="RU1" s="10">
        <v>46140</v>
      </c>
      <c r="RV1" s="10">
        <v>46141</v>
      </c>
      <c r="RW1" s="10">
        <v>46142</v>
      </c>
      <c r="RX1" s="10">
        <v>46143</v>
      </c>
      <c r="RY1" s="10">
        <v>46144</v>
      </c>
      <c r="RZ1" s="10">
        <v>46145</v>
      </c>
      <c r="SA1" s="10">
        <v>46146</v>
      </c>
      <c r="SB1" s="10">
        <v>46147</v>
      </c>
      <c r="SC1" s="10">
        <v>46148</v>
      </c>
      <c r="SD1" s="10">
        <v>46149</v>
      </c>
      <c r="SE1" s="10">
        <v>46150</v>
      </c>
      <c r="SF1" s="10">
        <v>46151</v>
      </c>
      <c r="SG1" s="10">
        <v>46152</v>
      </c>
      <c r="SH1" s="10">
        <v>46153</v>
      </c>
      <c r="SI1" s="10">
        <v>46154</v>
      </c>
      <c r="SJ1" s="10">
        <v>46155</v>
      </c>
      <c r="SK1" s="10">
        <v>46156</v>
      </c>
      <c r="SL1" s="10">
        <v>46157</v>
      </c>
      <c r="SM1" s="10">
        <v>46158</v>
      </c>
      <c r="SN1" s="10">
        <v>46159</v>
      </c>
      <c r="SO1" s="10">
        <v>46160</v>
      </c>
      <c r="SP1" s="10">
        <v>46161</v>
      </c>
      <c r="SQ1" s="10">
        <v>46162</v>
      </c>
      <c r="SR1" s="10">
        <v>46163</v>
      </c>
      <c r="SS1" s="10">
        <v>46164</v>
      </c>
      <c r="ST1" s="10">
        <v>46165</v>
      </c>
      <c r="SU1" s="10">
        <v>46166</v>
      </c>
      <c r="SV1" s="10">
        <v>46167</v>
      </c>
      <c r="SW1" s="10">
        <v>46168</v>
      </c>
      <c r="SX1" s="10">
        <v>46169</v>
      </c>
      <c r="SY1" s="10">
        <v>46170</v>
      </c>
      <c r="SZ1" s="10">
        <v>46171</v>
      </c>
      <c r="TA1" s="10">
        <v>46172</v>
      </c>
      <c r="TB1" s="10">
        <v>46173</v>
      </c>
      <c r="TC1" s="10">
        <v>46174</v>
      </c>
      <c r="TD1" s="10">
        <v>46175</v>
      </c>
      <c r="TE1" s="10">
        <v>46176</v>
      </c>
      <c r="TF1" s="10">
        <v>46177</v>
      </c>
      <c r="TG1" s="10">
        <v>46178</v>
      </c>
      <c r="TH1" s="10">
        <v>46179</v>
      </c>
      <c r="TI1" s="10">
        <v>46180</v>
      </c>
      <c r="TJ1" s="10">
        <v>46181</v>
      </c>
      <c r="TK1" s="10">
        <v>46182</v>
      </c>
      <c r="TL1" s="10">
        <v>46183</v>
      </c>
      <c r="TM1" s="10">
        <v>46184</v>
      </c>
      <c r="TN1" s="10">
        <v>46185</v>
      </c>
      <c r="TO1" s="10">
        <v>46186</v>
      </c>
      <c r="TP1" s="10">
        <v>46187</v>
      </c>
      <c r="TQ1" s="10">
        <v>46188</v>
      </c>
      <c r="TR1" s="10">
        <v>46189</v>
      </c>
      <c r="TS1" s="10">
        <v>46190</v>
      </c>
      <c r="TT1" s="10">
        <v>46191</v>
      </c>
      <c r="TU1" s="10">
        <v>46192</v>
      </c>
      <c r="TV1" s="10">
        <v>46193</v>
      </c>
      <c r="TW1" s="10">
        <v>46194</v>
      </c>
      <c r="TX1" s="10">
        <v>46195</v>
      </c>
      <c r="TY1" s="10">
        <v>46196</v>
      </c>
      <c r="TZ1" s="10">
        <v>46197</v>
      </c>
      <c r="UA1" s="10">
        <v>46198</v>
      </c>
      <c r="UB1" s="10">
        <v>46199</v>
      </c>
      <c r="UC1" s="10">
        <v>46200</v>
      </c>
      <c r="UD1" s="10">
        <v>46201</v>
      </c>
      <c r="UE1" s="10">
        <v>46202</v>
      </c>
      <c r="UF1" s="10">
        <v>46203</v>
      </c>
      <c r="UG1" s="10">
        <v>46204</v>
      </c>
      <c r="UH1" s="10">
        <v>46205</v>
      </c>
      <c r="UI1" s="10">
        <v>46206</v>
      </c>
      <c r="UJ1" s="10">
        <v>46207</v>
      </c>
      <c r="UK1" s="10">
        <v>46208</v>
      </c>
      <c r="UL1" s="10">
        <v>46209</v>
      </c>
      <c r="UM1" s="10">
        <v>46234</v>
      </c>
      <c r="UN1" s="10">
        <v>46265</v>
      </c>
      <c r="UO1" s="10">
        <v>46295</v>
      </c>
      <c r="UP1" s="10">
        <v>46326</v>
      </c>
      <c r="UQ1" s="10">
        <v>46356</v>
      </c>
      <c r="UR1" s="10">
        <v>46387</v>
      </c>
      <c r="US1" s="10">
        <v>46477</v>
      </c>
      <c r="UT1" s="10">
        <v>46752</v>
      </c>
    </row>
    <row r="2" ht="16.5" customHeight="1" spans="1:566">
      <c r="A2" s="20">
        <v>45658</v>
      </c>
      <c r="B2" s="20">
        <v>46388</v>
      </c>
      <c r="C2" s="21" t="s">
        <v>401</v>
      </c>
      <c r="D2" s="19" t="s">
        <v>160</v>
      </c>
      <c r="E2" s="21" t="s">
        <v>161</v>
      </c>
      <c r="F2" s="23" t="str" cm="1">
        <f t="array" ref="F2">[1]!WSD(E2:E175,C2,A2,B2,"TradingCalendar=SSE","PriceAdj=","rptType=1","Direction=V","Version=1","ShowParams=Y","cols=561;rows=174")</f>
        <v/>
      </c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>
        <v>48.4</v>
      </c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>
        <v>51.7</v>
      </c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>
        <v>49.5</v>
      </c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>
        <v>49.3</v>
      </c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>
        <v>49.45</v>
      </c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>
        <v>49.25</v>
      </c>
      <c r="IP2" s="31"/>
      <c r="IQ2" s="31"/>
      <c r="IR2" s="31"/>
      <c r="IS2" s="31"/>
      <c r="IT2" s="31"/>
      <c r="IU2" s="31"/>
      <c r="IV2" s="31"/>
      <c r="IW2" s="31"/>
      <c r="IX2" s="31"/>
      <c r="IY2" s="31"/>
      <c r="IZ2" s="31"/>
      <c r="JA2" s="31"/>
      <c r="JB2" s="31"/>
      <c r="JC2" s="31"/>
      <c r="JD2" s="31"/>
      <c r="JE2" s="31"/>
      <c r="JF2" s="31"/>
      <c r="JG2" s="31"/>
      <c r="JH2" s="31"/>
      <c r="JI2" s="31"/>
      <c r="JJ2" s="31"/>
      <c r="JK2" s="31"/>
      <c r="JL2" s="31"/>
      <c r="JM2" s="31"/>
      <c r="JN2" s="31"/>
      <c r="JO2" s="31"/>
      <c r="JP2" s="31"/>
      <c r="JQ2" s="31"/>
      <c r="JR2" s="31"/>
      <c r="JS2" s="31">
        <v>49.6</v>
      </c>
      <c r="JT2" s="31"/>
      <c r="JU2" s="31"/>
      <c r="JV2" s="31"/>
      <c r="JW2" s="31"/>
      <c r="JX2" s="31"/>
      <c r="JY2" s="31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>
        <v>49.44</v>
      </c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>
        <v>49.3</v>
      </c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>
        <v>50.05</v>
      </c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>
        <v>50.08</v>
      </c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>
        <v>49.31</v>
      </c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>
        <v>49.88</v>
      </c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>
        <v>50.18</v>
      </c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>
        <v>50.25</v>
      </c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>
        <v>50.2</v>
      </c>
      <c r="UG2" s="23"/>
      <c r="UH2" s="23"/>
      <c r="UI2" s="23"/>
      <c r="UJ2" s="23"/>
      <c r="UK2" s="23"/>
      <c r="UL2" s="23"/>
      <c r="UM2" s="23">
        <v>50.08</v>
      </c>
      <c r="UN2" s="23"/>
      <c r="UO2" s="23"/>
      <c r="UP2" s="23"/>
      <c r="UQ2" s="23"/>
      <c r="UR2" s="23"/>
      <c r="US2" s="23"/>
      <c r="UT2" s="23"/>
    </row>
    <row r="3" ht="16.5" customHeight="1" spans="1:566">
      <c r="D3" s="19" t="s">
        <v>404</v>
      </c>
      <c r="E3" s="21" t="s">
        <v>125</v>
      </c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>
        <v>49.1</v>
      </c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>
        <v>50.2</v>
      </c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>
        <v>50.5</v>
      </c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>
        <v>49</v>
      </c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>
        <v>49.5</v>
      </c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>
        <v>49.7</v>
      </c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>
        <v>49.3</v>
      </c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>
        <v>49.4</v>
      </c>
      <c r="IP3" s="31"/>
      <c r="IQ3" s="31"/>
      <c r="IR3" s="31"/>
      <c r="IS3" s="31"/>
      <c r="IT3" s="31"/>
      <c r="IU3" s="31"/>
      <c r="IV3" s="31"/>
      <c r="IW3" s="31"/>
      <c r="IX3" s="31"/>
      <c r="IY3" s="31"/>
      <c r="IZ3" s="31"/>
      <c r="JA3" s="31"/>
      <c r="JB3" s="31"/>
      <c r="JC3" s="31"/>
      <c r="JD3" s="31"/>
      <c r="JE3" s="31"/>
      <c r="JF3" s="31"/>
      <c r="JG3" s="31"/>
      <c r="JH3" s="31"/>
      <c r="JI3" s="31"/>
      <c r="JJ3" s="31"/>
      <c r="JK3" s="31"/>
      <c r="JL3" s="31"/>
      <c r="JM3" s="31"/>
      <c r="JN3" s="31"/>
      <c r="JO3" s="31"/>
      <c r="JP3" s="31"/>
      <c r="JQ3" s="31"/>
      <c r="JR3" s="31"/>
      <c r="JS3" s="31">
        <v>49.8</v>
      </c>
      <c r="JT3" s="31"/>
      <c r="JU3" s="31"/>
      <c r="JV3" s="31"/>
      <c r="JW3" s="31"/>
      <c r="JX3" s="31"/>
      <c r="JY3" s="31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>
        <v>49</v>
      </c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>
        <v>49.2</v>
      </c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>
        <v>50.1</v>
      </c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>
        <v>49.3</v>
      </c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>
        <v>49</v>
      </c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>
        <v>50.4</v>
      </c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>
        <v>50.3</v>
      </c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>
        <v>50</v>
      </c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>
        <v>50.3</v>
      </c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</row>
    <row r="4" ht="16.5" customHeight="1" spans="1:566">
      <c r="D4" s="19" t="s">
        <v>162</v>
      </c>
      <c r="E4" s="21" t="s">
        <v>163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>
        <v>50.6</v>
      </c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>
        <v>50.3</v>
      </c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>
        <v>50.4</v>
      </c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  <c r="IN4" s="23"/>
      <c r="IO4" s="23">
        <v>50.1</v>
      </c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31"/>
      <c r="JV4" s="31"/>
      <c r="JW4" s="31"/>
      <c r="JX4" s="31"/>
      <c r="JY4" s="31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>
        <v>50.3</v>
      </c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/>
      <c r="OX4" s="23"/>
      <c r="OY4" s="23"/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>
        <v>49.85</v>
      </c>
      <c r="PO4" s="23"/>
      <c r="PP4" s="23"/>
      <c r="PQ4" s="23"/>
      <c r="PR4" s="23"/>
      <c r="PS4" s="23"/>
      <c r="PT4" s="23"/>
      <c r="PU4" s="23"/>
      <c r="PV4" s="23"/>
      <c r="PW4" s="23"/>
      <c r="PX4" s="23"/>
      <c r="PY4" s="23"/>
      <c r="PZ4" s="23"/>
      <c r="QA4" s="23"/>
      <c r="QB4" s="23"/>
      <c r="QC4" s="23"/>
      <c r="QD4" s="23"/>
      <c r="QE4" s="23"/>
      <c r="QF4" s="23"/>
      <c r="QG4" s="23"/>
      <c r="QH4" s="23"/>
      <c r="QI4" s="23"/>
      <c r="QJ4" s="23"/>
      <c r="QK4" s="23"/>
      <c r="QL4" s="23"/>
      <c r="QM4" s="23"/>
      <c r="QN4" s="23"/>
      <c r="QO4" s="23"/>
      <c r="QP4" s="23"/>
      <c r="QQ4" s="23"/>
      <c r="QR4" s="23"/>
      <c r="QS4" s="23">
        <v>49.85</v>
      </c>
      <c r="QT4" s="23"/>
      <c r="QU4" s="23"/>
      <c r="QV4" s="23"/>
      <c r="QW4" s="23"/>
      <c r="QX4" s="23"/>
      <c r="QY4" s="23"/>
      <c r="QZ4" s="23"/>
      <c r="RA4" s="23"/>
      <c r="RB4" s="23"/>
      <c r="RC4" s="23"/>
      <c r="RD4" s="23"/>
      <c r="RE4" s="23"/>
      <c r="RF4" s="23"/>
      <c r="RG4" s="23"/>
      <c r="RH4" s="23"/>
      <c r="RI4" s="23"/>
      <c r="RJ4" s="23"/>
      <c r="RK4" s="23"/>
      <c r="RL4" s="23"/>
      <c r="RM4" s="23"/>
      <c r="RN4" s="23"/>
      <c r="RO4" s="23"/>
      <c r="RP4" s="23"/>
      <c r="RQ4" s="23"/>
      <c r="RR4" s="23"/>
      <c r="RS4" s="23"/>
      <c r="RT4" s="23"/>
      <c r="RU4" s="23"/>
      <c r="RV4" s="23"/>
      <c r="RW4" s="23">
        <v>49.9</v>
      </c>
      <c r="RX4" s="23"/>
      <c r="RY4" s="23"/>
      <c r="RZ4" s="23"/>
      <c r="SA4" s="23"/>
      <c r="SB4" s="23"/>
      <c r="SC4" s="23"/>
      <c r="SD4" s="23"/>
      <c r="SE4" s="23"/>
      <c r="SF4" s="23"/>
      <c r="SG4" s="23"/>
      <c r="SH4" s="23"/>
      <c r="SI4" s="23"/>
      <c r="SJ4" s="23"/>
      <c r="SK4" s="23"/>
      <c r="SL4" s="23"/>
      <c r="SM4" s="23"/>
      <c r="SN4" s="23"/>
      <c r="SO4" s="23"/>
      <c r="SP4" s="23"/>
      <c r="SQ4" s="23"/>
      <c r="SR4" s="23"/>
      <c r="SS4" s="23"/>
      <c r="ST4" s="23"/>
      <c r="SU4" s="23"/>
      <c r="SV4" s="23"/>
      <c r="SW4" s="23"/>
      <c r="SX4" s="23"/>
      <c r="SY4" s="23"/>
      <c r="SZ4" s="23"/>
      <c r="TA4" s="23"/>
      <c r="TB4" s="23"/>
      <c r="TC4" s="23"/>
      <c r="TD4" s="23"/>
      <c r="TE4" s="23"/>
      <c r="TF4" s="23"/>
      <c r="TG4" s="23"/>
      <c r="TH4" s="23"/>
      <c r="TI4" s="23"/>
      <c r="TJ4" s="23"/>
      <c r="TK4" s="23"/>
      <c r="TL4" s="23"/>
      <c r="TM4" s="23"/>
      <c r="TN4" s="23"/>
      <c r="TO4" s="23"/>
      <c r="TP4" s="23"/>
      <c r="TQ4" s="23"/>
      <c r="TR4" s="23"/>
      <c r="TS4" s="23"/>
      <c r="TT4" s="23"/>
      <c r="TU4" s="23"/>
      <c r="TV4" s="23"/>
      <c r="TW4" s="23"/>
      <c r="TX4" s="23"/>
      <c r="TY4" s="23"/>
      <c r="TZ4" s="23"/>
      <c r="UA4" s="23"/>
      <c r="UB4" s="23"/>
      <c r="UC4" s="23"/>
      <c r="UD4" s="23"/>
      <c r="UE4" s="23"/>
      <c r="UF4" s="23">
        <v>49.85</v>
      </c>
      <c r="UG4" s="23"/>
      <c r="UH4" s="23"/>
      <c r="UI4" s="23"/>
      <c r="UJ4" s="23"/>
      <c r="UK4" s="23"/>
      <c r="UL4" s="23"/>
      <c r="UM4" s="23"/>
      <c r="UN4" s="23"/>
      <c r="UO4" s="23"/>
      <c r="UP4" s="23"/>
      <c r="UQ4" s="23"/>
      <c r="UR4" s="23"/>
      <c r="US4" s="23"/>
      <c r="UT4" s="23"/>
    </row>
    <row r="5" ht="16.5" customHeight="1" spans="1:566">
      <c r="D5" s="19" t="s">
        <v>154</v>
      </c>
      <c r="E5" s="21" t="s">
        <v>155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>
        <v>49.8</v>
      </c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>
        <v>52.5</v>
      </c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>
        <v>52.6</v>
      </c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3">
        <v>49.8</v>
      </c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>
        <v>50.7</v>
      </c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>
        <v>51</v>
      </c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>
        <v>50.5</v>
      </c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>
        <v>50.8</v>
      </c>
      <c r="IP5" s="31"/>
      <c r="IQ5" s="31"/>
      <c r="IR5" s="31"/>
      <c r="IS5" s="31"/>
      <c r="IT5" s="31"/>
      <c r="IU5" s="31"/>
      <c r="IV5" s="31"/>
      <c r="IW5" s="31"/>
      <c r="IX5" s="31"/>
      <c r="IY5" s="31"/>
      <c r="IZ5" s="31"/>
      <c r="JA5" s="31"/>
      <c r="JB5" s="31"/>
      <c r="JC5" s="31"/>
      <c r="JD5" s="31"/>
      <c r="JE5" s="31"/>
      <c r="JF5" s="31"/>
      <c r="JG5" s="31"/>
      <c r="JH5" s="31"/>
      <c r="JI5" s="31"/>
      <c r="JJ5" s="31"/>
      <c r="JK5" s="31"/>
      <c r="JL5" s="31"/>
      <c r="JM5" s="31"/>
      <c r="JN5" s="31"/>
      <c r="JO5" s="31"/>
      <c r="JP5" s="31"/>
      <c r="JQ5" s="31"/>
      <c r="JR5" s="31"/>
      <c r="JS5" s="31">
        <v>51.9</v>
      </c>
      <c r="JT5" s="31"/>
      <c r="JU5" s="31"/>
      <c r="JV5" s="31"/>
      <c r="JW5" s="31"/>
      <c r="JX5" s="31"/>
      <c r="JY5" s="31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>
        <v>49.7</v>
      </c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>
        <v>50</v>
      </c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>
        <v>51.7</v>
      </c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>
        <v>50.6</v>
      </c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/>
      <c r="OX5" s="23"/>
      <c r="OY5" s="23"/>
      <c r="OZ5" s="23"/>
      <c r="PA5" s="23"/>
      <c r="PB5" s="23"/>
      <c r="PC5" s="23"/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>
        <v>49.6</v>
      </c>
      <c r="PO5" s="23"/>
      <c r="PP5" s="23"/>
      <c r="PQ5" s="23"/>
      <c r="PR5" s="23"/>
      <c r="PS5" s="23"/>
      <c r="PT5" s="23"/>
      <c r="PU5" s="23"/>
      <c r="PV5" s="23"/>
      <c r="PW5" s="23"/>
      <c r="PX5" s="23"/>
      <c r="PY5" s="23"/>
      <c r="PZ5" s="23"/>
      <c r="QA5" s="23"/>
      <c r="QB5" s="23"/>
      <c r="QC5" s="23"/>
      <c r="QD5" s="23"/>
      <c r="QE5" s="23"/>
      <c r="QF5" s="23"/>
      <c r="QG5" s="23"/>
      <c r="QH5" s="23"/>
      <c r="QI5" s="23"/>
      <c r="QJ5" s="23"/>
      <c r="QK5" s="23"/>
      <c r="QL5" s="23"/>
      <c r="QM5" s="23"/>
      <c r="QN5" s="23"/>
      <c r="QO5" s="23"/>
      <c r="QP5" s="23"/>
      <c r="QQ5" s="23"/>
      <c r="QR5" s="23"/>
      <c r="QS5" s="23">
        <v>51.4</v>
      </c>
      <c r="QT5" s="23"/>
      <c r="QU5" s="23"/>
      <c r="QV5" s="23"/>
      <c r="QW5" s="23"/>
      <c r="QX5" s="23"/>
      <c r="QY5" s="23"/>
      <c r="QZ5" s="23"/>
      <c r="RA5" s="23"/>
      <c r="RB5" s="23"/>
      <c r="RC5" s="23"/>
      <c r="RD5" s="23"/>
      <c r="RE5" s="23"/>
      <c r="RF5" s="23"/>
      <c r="RG5" s="23"/>
      <c r="RH5" s="23"/>
      <c r="RI5" s="23"/>
      <c r="RJ5" s="23"/>
      <c r="RK5" s="23"/>
      <c r="RL5" s="23"/>
      <c r="RM5" s="23"/>
      <c r="RN5" s="23"/>
      <c r="RO5" s="23"/>
      <c r="RP5" s="23"/>
      <c r="RQ5" s="23"/>
      <c r="RR5" s="23"/>
      <c r="RS5" s="23"/>
      <c r="RT5" s="23"/>
      <c r="RU5" s="23"/>
      <c r="RV5" s="23"/>
      <c r="RW5" s="23">
        <v>51.5</v>
      </c>
      <c r="RX5" s="23"/>
      <c r="RY5" s="23"/>
      <c r="RZ5" s="23"/>
      <c r="SA5" s="23"/>
      <c r="SB5" s="23"/>
      <c r="SC5" s="23"/>
      <c r="SD5" s="23"/>
      <c r="SE5" s="23"/>
      <c r="SF5" s="23"/>
      <c r="SG5" s="23"/>
      <c r="SH5" s="23"/>
      <c r="SI5" s="23"/>
      <c r="SJ5" s="23"/>
      <c r="SK5" s="23"/>
      <c r="SL5" s="23"/>
      <c r="SM5" s="23"/>
      <c r="SN5" s="23"/>
      <c r="SO5" s="23"/>
      <c r="SP5" s="23"/>
      <c r="SQ5" s="23"/>
      <c r="SR5" s="23"/>
      <c r="SS5" s="23"/>
      <c r="ST5" s="23"/>
      <c r="SU5" s="23"/>
      <c r="SV5" s="23"/>
      <c r="SW5" s="23"/>
      <c r="SX5" s="23"/>
      <c r="SY5" s="23"/>
      <c r="SZ5" s="23"/>
      <c r="TA5" s="23"/>
      <c r="TB5" s="23">
        <v>51.2</v>
      </c>
      <c r="TC5" s="23"/>
      <c r="TD5" s="23"/>
      <c r="TE5" s="23"/>
      <c r="TF5" s="23"/>
      <c r="TG5" s="23"/>
      <c r="TH5" s="23"/>
      <c r="TI5" s="23"/>
      <c r="TJ5" s="23"/>
      <c r="TK5" s="23"/>
      <c r="TL5" s="23"/>
      <c r="TM5" s="23"/>
      <c r="TN5" s="23"/>
      <c r="TO5" s="23"/>
      <c r="TP5" s="23"/>
      <c r="TQ5" s="23"/>
      <c r="TR5" s="23"/>
      <c r="TS5" s="23"/>
      <c r="TT5" s="23"/>
      <c r="TU5" s="23"/>
      <c r="TV5" s="23"/>
      <c r="TW5" s="23"/>
      <c r="TX5" s="23"/>
      <c r="TY5" s="23"/>
      <c r="TZ5" s="23"/>
      <c r="UA5" s="23"/>
      <c r="UB5" s="23"/>
      <c r="UC5" s="23"/>
      <c r="UD5" s="23"/>
      <c r="UE5" s="23"/>
      <c r="UF5" s="23">
        <v>51.4</v>
      </c>
      <c r="UG5" s="23"/>
      <c r="UH5" s="23"/>
      <c r="UI5" s="23"/>
      <c r="UJ5" s="23"/>
      <c r="UK5" s="23"/>
      <c r="UL5" s="23"/>
      <c r="UM5" s="23"/>
      <c r="UN5" s="23"/>
      <c r="UO5" s="23"/>
      <c r="UP5" s="23"/>
      <c r="UQ5" s="23"/>
      <c r="UR5" s="23"/>
      <c r="US5" s="23"/>
      <c r="UT5" s="23"/>
    </row>
    <row r="6" ht="16.5" customHeight="1" spans="1:566">
      <c r="D6" s="19" t="s">
        <v>152</v>
      </c>
      <c r="E6" s="21" t="s">
        <v>153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>
        <v>49.2</v>
      </c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>
        <v>51.1</v>
      </c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>
        <v>51.8</v>
      </c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3"/>
      <c r="DV6" s="23">
        <v>49.2</v>
      </c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>
        <v>49.8</v>
      </c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>
        <v>50.2</v>
      </c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>
        <v>49.4</v>
      </c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  <c r="IN6" s="23"/>
      <c r="IO6" s="23">
        <v>49.5</v>
      </c>
      <c r="IP6" s="31"/>
      <c r="IQ6" s="31"/>
      <c r="IR6" s="31"/>
      <c r="IS6" s="31"/>
      <c r="IT6" s="31"/>
      <c r="IU6" s="31"/>
      <c r="IV6" s="31"/>
      <c r="IW6" s="31"/>
      <c r="IX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1"/>
      <c r="JO6" s="31"/>
      <c r="JP6" s="31"/>
      <c r="JQ6" s="31"/>
      <c r="JR6" s="31"/>
      <c r="JS6" s="31">
        <v>49.7</v>
      </c>
      <c r="JT6" s="31"/>
      <c r="JU6" s="31"/>
      <c r="JV6" s="31"/>
      <c r="JW6" s="31"/>
      <c r="JX6" s="31"/>
      <c r="JY6" s="31"/>
      <c r="JZ6" s="23"/>
      <c r="KA6" s="23"/>
      <c r="KB6" s="23"/>
      <c r="KC6" s="23"/>
      <c r="KD6" s="23"/>
      <c r="KE6" s="23"/>
      <c r="KF6" s="23"/>
      <c r="KG6" s="23"/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>
        <v>48.8</v>
      </c>
      <c r="KY6" s="23"/>
      <c r="KZ6" s="23"/>
      <c r="LA6" s="23"/>
      <c r="LB6" s="23"/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>
        <v>49.2</v>
      </c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>
        <v>50.8</v>
      </c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>
        <v>49.2</v>
      </c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>
        <v>48.6</v>
      </c>
      <c r="PO6" s="23"/>
      <c r="PP6" s="23"/>
      <c r="PQ6" s="23"/>
      <c r="PR6" s="23"/>
      <c r="PS6" s="23"/>
      <c r="PT6" s="23"/>
      <c r="PU6" s="23"/>
      <c r="PV6" s="23"/>
      <c r="PW6" s="23"/>
      <c r="PX6" s="23"/>
      <c r="PY6" s="23"/>
      <c r="PZ6" s="23"/>
      <c r="QA6" s="23"/>
      <c r="QB6" s="23"/>
      <c r="QC6" s="23"/>
      <c r="QD6" s="23"/>
      <c r="QE6" s="23"/>
      <c r="QF6" s="23"/>
      <c r="QG6" s="23"/>
      <c r="QH6" s="23"/>
      <c r="QI6" s="23"/>
      <c r="QJ6" s="23"/>
      <c r="QK6" s="23"/>
      <c r="QL6" s="23"/>
      <c r="QM6" s="23"/>
      <c r="QN6" s="23"/>
      <c r="QO6" s="23"/>
      <c r="QP6" s="23"/>
      <c r="QQ6" s="23"/>
      <c r="QR6" s="23"/>
      <c r="QS6" s="23">
        <v>51.6</v>
      </c>
      <c r="QT6" s="23"/>
      <c r="QU6" s="23"/>
      <c r="QV6" s="23"/>
      <c r="QW6" s="23"/>
      <c r="QX6" s="23"/>
      <c r="QY6" s="23"/>
      <c r="QZ6" s="23"/>
      <c r="RA6" s="23"/>
      <c r="RB6" s="23"/>
      <c r="RC6" s="23"/>
      <c r="RD6" s="23"/>
      <c r="RE6" s="23"/>
      <c r="RF6" s="23"/>
      <c r="RG6" s="23"/>
      <c r="RH6" s="23"/>
      <c r="RI6" s="23"/>
      <c r="RJ6" s="23"/>
      <c r="RK6" s="23"/>
      <c r="RL6" s="23"/>
      <c r="RM6" s="23"/>
      <c r="RN6" s="23"/>
      <c r="RO6" s="23"/>
      <c r="RP6" s="23"/>
      <c r="RQ6" s="23"/>
      <c r="RR6" s="23"/>
      <c r="RS6" s="23"/>
      <c r="RT6" s="23"/>
      <c r="RU6" s="23"/>
      <c r="RV6" s="23"/>
      <c r="RW6" s="23">
        <v>50.6</v>
      </c>
      <c r="RX6" s="23"/>
      <c r="RY6" s="23"/>
      <c r="RZ6" s="23"/>
      <c r="SA6" s="23"/>
      <c r="SB6" s="23"/>
      <c r="SC6" s="23"/>
      <c r="SD6" s="23"/>
      <c r="SE6" s="23"/>
      <c r="SF6" s="23"/>
      <c r="SG6" s="23"/>
      <c r="SH6" s="23"/>
      <c r="SI6" s="23"/>
      <c r="SJ6" s="23"/>
      <c r="SK6" s="23"/>
      <c r="SL6" s="23"/>
      <c r="SM6" s="23"/>
      <c r="SN6" s="23"/>
      <c r="SO6" s="23"/>
      <c r="SP6" s="23"/>
      <c r="SQ6" s="23"/>
      <c r="SR6" s="23"/>
      <c r="SS6" s="23"/>
      <c r="ST6" s="23"/>
      <c r="SU6" s="23"/>
      <c r="SV6" s="23"/>
      <c r="SW6" s="23"/>
      <c r="SX6" s="23"/>
      <c r="SY6" s="23"/>
      <c r="SZ6" s="23"/>
      <c r="TA6" s="23"/>
      <c r="TB6" s="23">
        <v>49.9</v>
      </c>
      <c r="TC6" s="23"/>
      <c r="TD6" s="23"/>
      <c r="TE6" s="23"/>
      <c r="TF6" s="23"/>
      <c r="TG6" s="23"/>
      <c r="TH6" s="23"/>
      <c r="TI6" s="23"/>
      <c r="TJ6" s="23"/>
      <c r="TK6" s="23"/>
      <c r="TL6" s="23"/>
      <c r="TM6" s="23"/>
      <c r="TN6" s="23"/>
      <c r="TO6" s="23"/>
      <c r="TP6" s="23"/>
      <c r="TQ6" s="23"/>
      <c r="TR6" s="23"/>
      <c r="TS6" s="23"/>
      <c r="TT6" s="23"/>
      <c r="TU6" s="23"/>
      <c r="TV6" s="23"/>
      <c r="TW6" s="23"/>
      <c r="TX6" s="23"/>
      <c r="TY6" s="23"/>
      <c r="TZ6" s="23"/>
      <c r="UA6" s="23"/>
      <c r="UB6" s="23"/>
      <c r="UC6" s="23"/>
      <c r="UD6" s="23"/>
      <c r="UE6" s="23"/>
      <c r="UF6" s="23">
        <v>51.2</v>
      </c>
      <c r="UG6" s="23"/>
      <c r="UH6" s="23"/>
      <c r="UI6" s="23"/>
      <c r="UJ6" s="23"/>
      <c r="UK6" s="23"/>
      <c r="UL6" s="23"/>
      <c r="UM6" s="23"/>
      <c r="UN6" s="23"/>
      <c r="UO6" s="23"/>
      <c r="UP6" s="23"/>
      <c r="UQ6" s="23"/>
      <c r="UR6" s="23"/>
      <c r="US6" s="23"/>
      <c r="UT6" s="23"/>
    </row>
    <row r="7" ht="16.5" customHeight="1" spans="1:566">
      <c r="D7" s="19" t="s">
        <v>164</v>
      </c>
      <c r="E7" s="21" t="s">
        <v>165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>
        <v>46.4</v>
      </c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>
        <v>48.6</v>
      </c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>
        <v>49</v>
      </c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>
        <v>44.7</v>
      </c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>
        <v>47.5</v>
      </c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>
        <v>47.7</v>
      </c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>
        <v>47.1</v>
      </c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>
        <v>47.2</v>
      </c>
      <c r="IP7" s="31"/>
      <c r="IQ7" s="31"/>
      <c r="IR7" s="31"/>
      <c r="IS7" s="31"/>
      <c r="IT7" s="31"/>
      <c r="IU7" s="31"/>
      <c r="IV7" s="31"/>
      <c r="IW7" s="31"/>
      <c r="IX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1"/>
      <c r="JO7" s="31"/>
      <c r="JP7" s="31"/>
      <c r="JQ7" s="31"/>
      <c r="JR7" s="31"/>
      <c r="JS7" s="31">
        <v>47.8</v>
      </c>
      <c r="JT7" s="31"/>
      <c r="JU7" s="31"/>
      <c r="JV7" s="31"/>
      <c r="JW7" s="31"/>
      <c r="JX7" s="31"/>
      <c r="JY7" s="31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>
        <v>45.9</v>
      </c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>
        <v>47.6</v>
      </c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>
        <v>49</v>
      </c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>
        <v>47.8</v>
      </c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>
        <v>45</v>
      </c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>
        <v>49.1</v>
      </c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>
        <v>50.3</v>
      </c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>
        <v>48.6</v>
      </c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>
        <v>50.1</v>
      </c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</row>
    <row r="8" ht="16.5" customHeight="1" spans="1:566">
      <c r="D8" s="19" t="s">
        <v>405</v>
      </c>
      <c r="E8" s="21" t="s">
        <v>127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>
        <v>50.2</v>
      </c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>
        <v>50.4</v>
      </c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>
        <v>50.8</v>
      </c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>
        <v>50.4</v>
      </c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>
        <v>50.3</v>
      </c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>
        <v>50.5</v>
      </c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>
        <v>50.1</v>
      </c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>
        <v>50.3</v>
      </c>
      <c r="IP8" s="31"/>
      <c r="IQ8" s="31"/>
      <c r="IR8" s="31"/>
      <c r="IS8" s="31"/>
      <c r="IT8" s="31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  <c r="JN8" s="31"/>
      <c r="JO8" s="31"/>
      <c r="JP8" s="31"/>
      <c r="JQ8" s="31"/>
      <c r="JR8" s="31"/>
      <c r="JS8" s="31">
        <v>50</v>
      </c>
      <c r="JT8" s="31"/>
      <c r="JU8" s="31"/>
      <c r="JV8" s="31"/>
      <c r="JW8" s="31"/>
      <c r="JX8" s="31"/>
      <c r="JY8" s="31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>
        <v>50.1</v>
      </c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>
        <v>49.5</v>
      </c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3"/>
      <c r="NE8" s="23"/>
      <c r="NF8" s="23"/>
      <c r="NG8" s="23">
        <v>50.2</v>
      </c>
      <c r="NH8" s="23"/>
      <c r="NI8" s="23"/>
      <c r="NJ8" s="23"/>
      <c r="NK8" s="23"/>
      <c r="NL8" s="23"/>
      <c r="NM8" s="23"/>
      <c r="NN8" s="23"/>
      <c r="NO8" s="23"/>
      <c r="NP8" s="23"/>
      <c r="NQ8" s="23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3"/>
      <c r="OE8" s="23"/>
      <c r="OF8" s="23"/>
      <c r="OG8" s="23"/>
      <c r="OH8" s="23"/>
      <c r="OI8" s="23"/>
      <c r="OJ8" s="23"/>
      <c r="OK8" s="23"/>
      <c r="OL8" s="23">
        <v>49.4</v>
      </c>
      <c r="OM8" s="23"/>
      <c r="ON8" s="23"/>
      <c r="OO8" s="23"/>
      <c r="OP8" s="23"/>
      <c r="OQ8" s="23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3"/>
      <c r="PE8" s="23"/>
      <c r="PF8" s="23"/>
      <c r="PG8" s="23"/>
      <c r="PH8" s="23"/>
      <c r="PI8" s="23"/>
      <c r="PJ8" s="23"/>
      <c r="PK8" s="23"/>
      <c r="PL8" s="23"/>
      <c r="PM8" s="23"/>
      <c r="PN8" s="23">
        <v>49.5</v>
      </c>
      <c r="PO8" s="23"/>
      <c r="PP8" s="23"/>
      <c r="PQ8" s="23"/>
      <c r="PR8" s="23"/>
      <c r="PS8" s="23"/>
      <c r="PT8" s="23"/>
      <c r="PU8" s="23"/>
      <c r="PV8" s="23"/>
      <c r="PW8" s="23"/>
      <c r="PX8" s="23"/>
      <c r="PY8" s="23"/>
      <c r="PZ8" s="23"/>
      <c r="QA8" s="23"/>
      <c r="QB8" s="23"/>
      <c r="QC8" s="23"/>
      <c r="QD8" s="23"/>
      <c r="QE8" s="23"/>
      <c r="QF8" s="23"/>
      <c r="QG8" s="23"/>
      <c r="QH8" s="23"/>
      <c r="QI8" s="23"/>
      <c r="QJ8" s="23"/>
      <c r="QK8" s="23"/>
      <c r="QL8" s="23"/>
      <c r="QM8" s="23"/>
      <c r="QN8" s="23"/>
      <c r="QO8" s="23"/>
      <c r="QP8" s="23"/>
      <c r="QQ8" s="23"/>
      <c r="QR8" s="23"/>
      <c r="QS8" s="23">
        <v>50.1</v>
      </c>
      <c r="QT8" s="23"/>
      <c r="QU8" s="23"/>
      <c r="QV8" s="23"/>
      <c r="QW8" s="23"/>
      <c r="QX8" s="23"/>
      <c r="QY8" s="23"/>
      <c r="QZ8" s="23"/>
      <c r="RA8" s="23"/>
      <c r="RB8" s="23"/>
      <c r="RC8" s="23"/>
      <c r="RD8" s="23"/>
      <c r="RE8" s="23"/>
      <c r="RF8" s="23"/>
      <c r="RG8" s="23"/>
      <c r="RH8" s="23"/>
      <c r="RI8" s="23"/>
      <c r="RJ8" s="23"/>
      <c r="RK8" s="23"/>
      <c r="RL8" s="23"/>
      <c r="RM8" s="23"/>
      <c r="RN8" s="23"/>
      <c r="RO8" s="23"/>
      <c r="RP8" s="23"/>
      <c r="RQ8" s="23"/>
      <c r="RR8" s="23"/>
      <c r="RS8" s="23"/>
      <c r="RT8" s="23"/>
      <c r="RU8" s="23"/>
      <c r="RV8" s="23"/>
      <c r="RW8" s="23">
        <v>49.4</v>
      </c>
      <c r="RX8" s="23"/>
      <c r="RY8" s="23"/>
      <c r="RZ8" s="23"/>
      <c r="SA8" s="23"/>
      <c r="SB8" s="23"/>
      <c r="SC8" s="23"/>
      <c r="SD8" s="23"/>
      <c r="SE8" s="23"/>
      <c r="SF8" s="23"/>
      <c r="SG8" s="23"/>
      <c r="SH8" s="23"/>
      <c r="SI8" s="23"/>
      <c r="SJ8" s="23"/>
      <c r="SK8" s="23"/>
      <c r="SL8" s="23"/>
      <c r="SM8" s="23"/>
      <c r="SN8" s="23"/>
      <c r="SO8" s="23"/>
      <c r="SP8" s="23"/>
      <c r="SQ8" s="23"/>
      <c r="SR8" s="23"/>
      <c r="SS8" s="23"/>
      <c r="ST8" s="23"/>
      <c r="SU8" s="23"/>
      <c r="SV8" s="23"/>
      <c r="SW8" s="23"/>
      <c r="SX8" s="23"/>
      <c r="SY8" s="23"/>
      <c r="SZ8" s="23"/>
      <c r="TA8" s="23"/>
      <c r="TB8" s="23">
        <v>50.1</v>
      </c>
      <c r="TC8" s="23"/>
      <c r="TD8" s="23"/>
      <c r="TE8" s="23"/>
      <c r="TF8" s="23"/>
      <c r="TG8" s="23"/>
      <c r="TH8" s="23"/>
      <c r="TI8" s="23"/>
      <c r="TJ8" s="23"/>
      <c r="TK8" s="23"/>
      <c r="TL8" s="23"/>
      <c r="TM8" s="23"/>
      <c r="TN8" s="23"/>
      <c r="TO8" s="23"/>
      <c r="TP8" s="23"/>
      <c r="TQ8" s="23"/>
      <c r="TR8" s="23"/>
      <c r="TS8" s="23"/>
      <c r="TT8" s="23"/>
      <c r="TU8" s="23"/>
      <c r="TV8" s="23"/>
      <c r="TW8" s="23"/>
      <c r="TX8" s="23"/>
      <c r="TY8" s="23"/>
      <c r="TZ8" s="23"/>
      <c r="UA8" s="23"/>
      <c r="UB8" s="23"/>
      <c r="UC8" s="23"/>
      <c r="UD8" s="23"/>
      <c r="UE8" s="23"/>
      <c r="UF8" s="23">
        <v>50.2</v>
      </c>
      <c r="UG8" s="23"/>
      <c r="UH8" s="23"/>
      <c r="UI8" s="23"/>
      <c r="UJ8" s="23"/>
      <c r="UK8" s="23"/>
      <c r="UL8" s="23"/>
      <c r="UM8" s="23"/>
      <c r="UN8" s="23"/>
      <c r="UO8" s="23"/>
      <c r="UP8" s="23"/>
      <c r="UQ8" s="23"/>
      <c r="UR8" s="23"/>
      <c r="US8" s="23"/>
      <c r="UT8" s="23"/>
    </row>
    <row r="9" ht="16.5" customHeight="1" spans="1:566">
      <c r="D9" s="19" t="s">
        <v>406</v>
      </c>
      <c r="E9" s="21" t="s">
        <v>119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>
        <v>4</v>
      </c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>
        <v>5.9</v>
      </c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>
        <v>5.1</v>
      </c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>
        <v>6.4</v>
      </c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>
        <v>4.8</v>
      </c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>
        <v>3.7</v>
      </c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>
        <v>3.4</v>
      </c>
      <c r="IP9" s="31"/>
      <c r="IQ9" s="31"/>
      <c r="IR9" s="31"/>
      <c r="IS9" s="31"/>
      <c r="IT9" s="31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  <c r="JN9" s="31"/>
      <c r="JO9" s="31"/>
      <c r="JP9" s="31"/>
      <c r="JQ9" s="31"/>
      <c r="JR9" s="31"/>
      <c r="JS9" s="31">
        <v>3</v>
      </c>
      <c r="JT9" s="31"/>
      <c r="JU9" s="31"/>
      <c r="JV9" s="31"/>
      <c r="JW9" s="31"/>
      <c r="JX9" s="31"/>
      <c r="JY9" s="31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>
        <v>2.9</v>
      </c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>
        <v>1.3</v>
      </c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>
        <v>0.9</v>
      </c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>
        <v>2.8</v>
      </c>
      <c r="PO9" s="23"/>
      <c r="PP9" s="23"/>
      <c r="PQ9" s="23"/>
      <c r="PR9" s="23"/>
      <c r="PS9" s="23"/>
      <c r="PT9" s="23"/>
      <c r="PU9" s="23"/>
      <c r="PV9" s="23"/>
      <c r="PW9" s="23"/>
      <c r="PX9" s="23"/>
      <c r="PY9" s="23"/>
      <c r="PZ9" s="23"/>
      <c r="QA9" s="23"/>
      <c r="QB9" s="23"/>
      <c r="QC9" s="23"/>
      <c r="QD9" s="23"/>
      <c r="QE9" s="23"/>
      <c r="QF9" s="23"/>
      <c r="QG9" s="23"/>
      <c r="QH9" s="23"/>
      <c r="QI9" s="23"/>
      <c r="QJ9" s="23"/>
      <c r="QK9" s="23"/>
      <c r="QL9" s="23"/>
      <c r="QM9" s="23"/>
      <c r="QN9" s="23"/>
      <c r="QO9" s="23"/>
      <c r="QP9" s="23"/>
      <c r="QQ9" s="23"/>
      <c r="QR9" s="23"/>
      <c r="QS9" s="23">
        <v>1.7</v>
      </c>
      <c r="QT9" s="23"/>
      <c r="QU9" s="23"/>
      <c r="QV9" s="23"/>
      <c r="QW9" s="23"/>
      <c r="QX9" s="23"/>
      <c r="QY9" s="23"/>
      <c r="QZ9" s="23"/>
      <c r="RA9" s="23"/>
      <c r="RB9" s="23"/>
      <c r="RC9" s="23"/>
      <c r="RD9" s="23"/>
      <c r="RE9" s="23"/>
      <c r="RF9" s="23"/>
      <c r="RG9" s="23"/>
      <c r="RH9" s="23"/>
      <c r="RI9" s="23"/>
      <c r="RJ9" s="23"/>
      <c r="RK9" s="23"/>
      <c r="RL9" s="23"/>
      <c r="RM9" s="23"/>
      <c r="RN9" s="23"/>
      <c r="RO9" s="23"/>
      <c r="RP9" s="23"/>
      <c r="RQ9" s="23"/>
      <c r="RR9" s="23"/>
      <c r="RS9" s="23"/>
      <c r="RT9" s="23"/>
      <c r="RU9" s="23"/>
      <c r="RV9" s="23"/>
      <c r="RW9" s="23">
        <v>0.2</v>
      </c>
      <c r="RX9" s="23"/>
      <c r="RY9" s="23"/>
      <c r="RZ9" s="23"/>
      <c r="SA9" s="23"/>
      <c r="SB9" s="23"/>
      <c r="SC9" s="23"/>
      <c r="SD9" s="23"/>
      <c r="SE9" s="23"/>
      <c r="SF9" s="23"/>
      <c r="SG9" s="23"/>
      <c r="SH9" s="23"/>
      <c r="SI9" s="23"/>
      <c r="SJ9" s="23"/>
      <c r="SK9" s="23"/>
      <c r="SL9" s="23"/>
      <c r="SM9" s="23"/>
      <c r="SN9" s="23"/>
      <c r="SO9" s="23"/>
      <c r="SP9" s="23"/>
      <c r="SQ9" s="23"/>
      <c r="SR9" s="23"/>
      <c r="SS9" s="23"/>
      <c r="ST9" s="23"/>
      <c r="SU9" s="23"/>
      <c r="SV9" s="23"/>
      <c r="SW9" s="23"/>
      <c r="SX9" s="23"/>
      <c r="SY9" s="23"/>
      <c r="SZ9" s="23"/>
      <c r="TA9" s="23"/>
      <c r="TB9" s="23">
        <v>-0.6</v>
      </c>
      <c r="TC9" s="23"/>
      <c r="TD9" s="23"/>
      <c r="TE9" s="23"/>
      <c r="TF9" s="23"/>
      <c r="TG9" s="23"/>
      <c r="TH9" s="23"/>
      <c r="TI9" s="23"/>
      <c r="TJ9" s="23"/>
      <c r="TK9" s="23"/>
      <c r="TL9" s="23"/>
      <c r="TM9" s="23"/>
      <c r="TN9" s="23"/>
      <c r="TO9" s="23"/>
      <c r="TP9" s="23"/>
      <c r="TQ9" s="23"/>
      <c r="TR9" s="23"/>
      <c r="TS9" s="23"/>
      <c r="TT9" s="23"/>
      <c r="TU9" s="23"/>
      <c r="TV9" s="23"/>
      <c r="TW9" s="23"/>
      <c r="TX9" s="23"/>
      <c r="TY9" s="23"/>
      <c r="TZ9" s="23"/>
      <c r="UA9" s="23"/>
      <c r="UB9" s="23"/>
      <c r="UC9" s="23"/>
      <c r="UD9" s="23"/>
      <c r="UE9" s="23"/>
      <c r="UF9" s="23"/>
      <c r="UG9" s="23"/>
      <c r="UH9" s="23"/>
      <c r="UI9" s="23"/>
      <c r="UJ9" s="23"/>
      <c r="UK9" s="23"/>
      <c r="UL9" s="23"/>
      <c r="UM9" s="23"/>
      <c r="UN9" s="23"/>
      <c r="UO9" s="23"/>
      <c r="UP9" s="23"/>
      <c r="UQ9" s="23"/>
      <c r="UR9" s="23"/>
      <c r="US9" s="23"/>
      <c r="UT9" s="23"/>
    </row>
    <row r="10" ht="16.5" customHeight="1" spans="1:566">
      <c r="D10" s="19" t="s">
        <v>166</v>
      </c>
      <c r="E10" s="21" t="s">
        <v>167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>
        <v>4.5</v>
      </c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>
        <v>4.36</v>
      </c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>
        <v>5.48</v>
      </c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>
        <v>4.84</v>
      </c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  <c r="FS10" s="23"/>
      <c r="FT10" s="23"/>
      <c r="FU10" s="23"/>
      <c r="FV10" s="23"/>
      <c r="FW10" s="23"/>
      <c r="FX10" s="23"/>
      <c r="FY10" s="23"/>
      <c r="FZ10" s="23"/>
      <c r="GA10" s="23"/>
      <c r="GB10" s="23"/>
      <c r="GC10" s="23"/>
      <c r="GD10" s="23"/>
      <c r="GE10" s="23">
        <v>5.56</v>
      </c>
      <c r="GF10" s="23"/>
      <c r="GG10" s="23"/>
      <c r="GH10" s="23"/>
      <c r="GI10" s="23"/>
      <c r="GJ10" s="23"/>
      <c r="GK10" s="23"/>
      <c r="GL10" s="23"/>
      <c r="GM10" s="23"/>
      <c r="GN10" s="23"/>
      <c r="GO10" s="23"/>
      <c r="GP10" s="23"/>
      <c r="GQ10" s="23"/>
      <c r="GR10" s="23"/>
      <c r="GS10" s="23"/>
      <c r="GT10" s="23"/>
      <c r="GU10" s="23"/>
      <c r="GV10" s="23"/>
      <c r="GW10" s="23"/>
      <c r="GX10" s="23"/>
      <c r="GY10" s="23"/>
      <c r="GZ10" s="23"/>
      <c r="HA10" s="23"/>
      <c r="HB10" s="23"/>
      <c r="HC10" s="23"/>
      <c r="HD10" s="23"/>
      <c r="HE10" s="23"/>
      <c r="HF10" s="23"/>
      <c r="HG10" s="23"/>
      <c r="HH10" s="23"/>
      <c r="HI10" s="23"/>
      <c r="HJ10" s="23">
        <v>4.87</v>
      </c>
      <c r="HK10" s="23"/>
      <c r="HL10" s="23"/>
      <c r="HM10" s="23"/>
      <c r="HN10" s="23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>
        <v>3.84</v>
      </c>
      <c r="IP10" s="31"/>
      <c r="IQ10" s="31"/>
      <c r="IR10" s="31"/>
      <c r="IS10" s="31"/>
      <c r="IT10" s="31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  <c r="JN10" s="31"/>
      <c r="JO10" s="31"/>
      <c r="JP10" s="31"/>
      <c r="JQ10" s="31"/>
      <c r="JR10" s="31"/>
      <c r="JS10" s="31">
        <v>3.11</v>
      </c>
      <c r="JT10" s="31"/>
      <c r="JU10" s="31"/>
      <c r="JV10" s="31"/>
      <c r="JW10" s="31"/>
      <c r="JX10" s="31"/>
      <c r="JY10" s="31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>
        <v>2.62</v>
      </c>
      <c r="KY10" s="23"/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>
        <v>2.93</v>
      </c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>
        <v>1.42</v>
      </c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>
        <v>2.8</v>
      </c>
      <c r="PO10" s="23"/>
      <c r="PP10" s="23"/>
      <c r="PQ10" s="23"/>
      <c r="PR10" s="23"/>
      <c r="PS10" s="23"/>
      <c r="PT10" s="23"/>
      <c r="PU10" s="23"/>
      <c r="PV10" s="23"/>
      <c r="PW10" s="23"/>
      <c r="PX10" s="23"/>
      <c r="PY10" s="23"/>
      <c r="PZ10" s="23"/>
      <c r="QA10" s="23"/>
      <c r="QB10" s="23"/>
      <c r="QC10" s="23"/>
      <c r="QD10" s="23"/>
      <c r="QE10" s="23"/>
      <c r="QF10" s="23"/>
      <c r="QG10" s="23"/>
      <c r="QH10" s="23"/>
      <c r="QI10" s="23"/>
      <c r="QJ10" s="23"/>
      <c r="QK10" s="23"/>
      <c r="QL10" s="23"/>
      <c r="QM10" s="23"/>
      <c r="QN10" s="23"/>
      <c r="QO10" s="23"/>
      <c r="QP10" s="23"/>
      <c r="QQ10" s="23"/>
      <c r="QR10" s="23"/>
      <c r="QS10" s="23">
        <v>2.45</v>
      </c>
      <c r="QT10" s="23"/>
      <c r="QU10" s="23"/>
      <c r="QV10" s="23"/>
      <c r="QW10" s="23"/>
      <c r="QX10" s="23"/>
      <c r="QY10" s="23"/>
      <c r="QZ10" s="23"/>
      <c r="RA10" s="23"/>
      <c r="RB10" s="23"/>
      <c r="RC10" s="23"/>
      <c r="RD10" s="23"/>
      <c r="RE10" s="23"/>
      <c r="RF10" s="23"/>
      <c r="RG10" s="23"/>
      <c r="RH10" s="23"/>
      <c r="RI10" s="23"/>
      <c r="RJ10" s="23"/>
      <c r="RK10" s="23"/>
      <c r="RL10" s="23"/>
      <c r="RM10" s="23"/>
      <c r="RN10" s="23"/>
      <c r="RO10" s="23"/>
      <c r="RP10" s="23"/>
      <c r="RQ10" s="23"/>
      <c r="RR10" s="23"/>
      <c r="RS10" s="23"/>
      <c r="RT10" s="23"/>
      <c r="RU10" s="23"/>
      <c r="RV10" s="23"/>
      <c r="RW10" s="23">
        <v>2.03</v>
      </c>
      <c r="RX10" s="23"/>
      <c r="RY10" s="23"/>
      <c r="RZ10" s="23"/>
      <c r="SA10" s="23"/>
      <c r="SB10" s="23"/>
      <c r="SC10" s="23"/>
      <c r="SD10" s="23"/>
      <c r="SE10" s="23"/>
      <c r="SF10" s="23"/>
      <c r="SG10" s="23"/>
      <c r="SH10" s="23"/>
      <c r="SI10" s="23"/>
      <c r="SJ10" s="23"/>
      <c r="SK10" s="23"/>
      <c r="SL10" s="23"/>
      <c r="SM10" s="23"/>
      <c r="SN10" s="23"/>
      <c r="SO10" s="23"/>
      <c r="SP10" s="23"/>
      <c r="SQ10" s="23"/>
      <c r="SR10" s="23"/>
      <c r="SS10" s="23"/>
      <c r="ST10" s="23"/>
      <c r="SU10" s="23"/>
      <c r="SV10" s="23"/>
      <c r="SW10" s="23"/>
      <c r="SX10" s="23"/>
      <c r="SY10" s="23"/>
      <c r="SZ10" s="23"/>
      <c r="TA10" s="23"/>
      <c r="TB10" s="23">
        <v>0.09</v>
      </c>
      <c r="TC10" s="23"/>
      <c r="TD10" s="23"/>
      <c r="TE10" s="23"/>
      <c r="TF10" s="23"/>
      <c r="TG10" s="23"/>
      <c r="TH10" s="23"/>
      <c r="TI10" s="23"/>
      <c r="TJ10" s="23"/>
      <c r="TK10" s="23"/>
      <c r="TL10" s="23"/>
      <c r="TM10" s="23"/>
      <c r="TN10" s="23"/>
      <c r="TO10" s="23"/>
      <c r="TP10" s="23"/>
      <c r="TQ10" s="23"/>
      <c r="TR10" s="23"/>
      <c r="TS10" s="23"/>
      <c r="TT10" s="23"/>
      <c r="TU10" s="23"/>
      <c r="TV10" s="23"/>
      <c r="TW10" s="23"/>
      <c r="TX10" s="23"/>
      <c r="TY10" s="23"/>
      <c r="TZ10" s="23"/>
      <c r="UA10" s="23"/>
      <c r="UB10" s="23"/>
      <c r="UC10" s="23"/>
      <c r="UD10" s="23"/>
      <c r="UE10" s="23"/>
      <c r="UF10" s="23">
        <v>0.13</v>
      </c>
      <c r="UG10" s="23"/>
      <c r="UH10" s="23"/>
      <c r="UI10" s="23"/>
      <c r="UJ10" s="23"/>
      <c r="UK10" s="23"/>
      <c r="UL10" s="23"/>
      <c r="UM10" s="23">
        <v>1.5</v>
      </c>
      <c r="UN10" s="23"/>
      <c r="UO10" s="23"/>
      <c r="UP10" s="23"/>
      <c r="UQ10" s="23"/>
      <c r="UR10" s="23"/>
      <c r="US10" s="23"/>
      <c r="UT10" s="23"/>
    </row>
    <row r="11" ht="16.5" customHeight="1" spans="1:566">
      <c r="D11" s="19" t="s">
        <v>168</v>
      </c>
      <c r="E11" s="21" t="s">
        <v>169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>
        <v>3.76</v>
      </c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>
        <v>4.03</v>
      </c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>
        <v>4.26</v>
      </c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>
        <v>3.94</v>
      </c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  <c r="FS11" s="23"/>
      <c r="FT11" s="23"/>
      <c r="FU11" s="23"/>
      <c r="FV11" s="23"/>
      <c r="FW11" s="23"/>
      <c r="FX11" s="23"/>
      <c r="FY11" s="23"/>
      <c r="FZ11" s="23"/>
      <c r="GA11" s="23"/>
      <c r="GB11" s="23"/>
      <c r="GC11" s="23"/>
      <c r="GD11" s="23"/>
      <c r="GE11" s="23">
        <v>3.73</v>
      </c>
      <c r="GF11" s="23"/>
      <c r="GG11" s="23"/>
      <c r="GH11" s="23"/>
      <c r="GI11" s="23"/>
      <c r="GJ11" s="23"/>
      <c r="GK11" s="23"/>
      <c r="GL11" s="23"/>
      <c r="GM11" s="23"/>
      <c r="GN11" s="23"/>
      <c r="GO11" s="23"/>
      <c r="GP11" s="23"/>
      <c r="GQ11" s="23"/>
      <c r="GR11" s="23"/>
      <c r="GS11" s="23"/>
      <c r="GT11" s="23"/>
      <c r="GU11" s="23"/>
      <c r="GV11" s="23"/>
      <c r="GW11" s="23"/>
      <c r="GX11" s="23"/>
      <c r="GY11" s="23"/>
      <c r="GZ11" s="23"/>
      <c r="HA11" s="23"/>
      <c r="HB11" s="23"/>
      <c r="HC11" s="23"/>
      <c r="HD11" s="23"/>
      <c r="HE11" s="23"/>
      <c r="HF11" s="23"/>
      <c r="HG11" s="23"/>
      <c r="HH11" s="23"/>
      <c r="HI11" s="23"/>
      <c r="HJ11" s="23">
        <v>2.68</v>
      </c>
      <c r="HK11" s="23"/>
      <c r="HL11" s="23"/>
      <c r="HM11" s="23"/>
      <c r="HN11" s="23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>
        <v>1.29</v>
      </c>
      <c r="IP11" s="31"/>
      <c r="IQ11" s="31"/>
      <c r="IR11" s="31"/>
      <c r="IS11" s="31"/>
      <c r="IT11" s="31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  <c r="JN11" s="31"/>
      <c r="JO11" s="31"/>
      <c r="JP11" s="31"/>
      <c r="JQ11" s="31"/>
      <c r="JR11" s="31"/>
      <c r="JS11" s="31">
        <v>0.03</v>
      </c>
      <c r="JT11" s="31"/>
      <c r="JU11" s="31"/>
      <c r="JV11" s="31"/>
      <c r="JW11" s="31"/>
      <c r="JX11" s="31"/>
      <c r="JY11" s="31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>
        <v>-0.73</v>
      </c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>
        <v>-2.16</v>
      </c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>
        <v>-2.44</v>
      </c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>
        <v>-2.66</v>
      </c>
      <c r="PO11" s="23"/>
      <c r="PP11" s="23"/>
      <c r="PQ11" s="23"/>
      <c r="PR11" s="23"/>
      <c r="PS11" s="23"/>
      <c r="PT11" s="23"/>
      <c r="PU11" s="23"/>
      <c r="PV11" s="23"/>
      <c r="PW11" s="23"/>
      <c r="PX11" s="23"/>
      <c r="PY11" s="23"/>
      <c r="PZ11" s="23"/>
      <c r="QA11" s="23"/>
      <c r="QB11" s="23"/>
      <c r="QC11" s="23"/>
      <c r="QD11" s="23"/>
      <c r="QE11" s="23"/>
      <c r="QF11" s="23"/>
      <c r="QG11" s="23"/>
      <c r="QH11" s="23"/>
      <c r="QI11" s="23"/>
      <c r="QJ11" s="23"/>
      <c r="QK11" s="23"/>
      <c r="QL11" s="23"/>
      <c r="QM11" s="23"/>
      <c r="QN11" s="23"/>
      <c r="QO11" s="23"/>
      <c r="QP11" s="23"/>
      <c r="QQ11" s="23"/>
      <c r="QR11" s="23"/>
      <c r="QS11" s="23">
        <v>1.65</v>
      </c>
      <c r="QT11" s="23"/>
      <c r="QU11" s="23"/>
      <c r="QV11" s="23"/>
      <c r="QW11" s="23"/>
      <c r="QX11" s="23"/>
      <c r="QY11" s="23"/>
      <c r="QZ11" s="23"/>
      <c r="RA11" s="23"/>
      <c r="RB11" s="23"/>
      <c r="RC11" s="23"/>
      <c r="RD11" s="23"/>
      <c r="RE11" s="23"/>
      <c r="RF11" s="23"/>
      <c r="RG11" s="23"/>
      <c r="RH11" s="23"/>
      <c r="RI11" s="23"/>
      <c r="RJ11" s="23"/>
      <c r="RK11" s="23"/>
      <c r="RL11" s="23"/>
      <c r="RM11" s="23"/>
      <c r="RN11" s="23"/>
      <c r="RO11" s="23"/>
      <c r="RP11" s="23"/>
      <c r="RQ11" s="23"/>
      <c r="RR11" s="23"/>
      <c r="RS11" s="23"/>
      <c r="RT11" s="23"/>
      <c r="RU11" s="23"/>
      <c r="RV11" s="23"/>
      <c r="RW11" s="23">
        <v>1.73</v>
      </c>
      <c r="RX11" s="23"/>
      <c r="RY11" s="23"/>
      <c r="RZ11" s="23"/>
      <c r="SA11" s="23"/>
      <c r="SB11" s="23"/>
      <c r="SC11" s="23"/>
      <c r="SD11" s="23"/>
      <c r="SE11" s="23"/>
      <c r="SF11" s="23"/>
      <c r="SG11" s="23"/>
      <c r="SH11" s="23"/>
      <c r="SI11" s="23"/>
      <c r="SJ11" s="23"/>
      <c r="SK11" s="23"/>
      <c r="SL11" s="23"/>
      <c r="SM11" s="23"/>
      <c r="SN11" s="23"/>
      <c r="SO11" s="23"/>
      <c r="SP11" s="23"/>
      <c r="SQ11" s="23"/>
      <c r="SR11" s="23"/>
      <c r="SS11" s="23"/>
      <c r="ST11" s="23"/>
      <c r="SU11" s="23"/>
      <c r="SV11" s="23"/>
      <c r="SW11" s="23"/>
      <c r="SX11" s="23"/>
      <c r="SY11" s="23"/>
      <c r="SZ11" s="23"/>
      <c r="TA11" s="23"/>
      <c r="TB11" s="23">
        <v>-1.69</v>
      </c>
      <c r="TC11" s="23"/>
      <c r="TD11" s="23"/>
      <c r="TE11" s="23"/>
      <c r="TF11" s="23"/>
      <c r="TG11" s="23"/>
      <c r="TH11" s="23"/>
      <c r="TI11" s="23"/>
      <c r="TJ11" s="23"/>
      <c r="TK11" s="23"/>
      <c r="TL11" s="23"/>
      <c r="TM11" s="23"/>
      <c r="TN11" s="23"/>
      <c r="TO11" s="23"/>
      <c r="TP11" s="23"/>
      <c r="TQ11" s="23"/>
      <c r="TR11" s="23"/>
      <c r="TS11" s="23"/>
      <c r="TT11" s="23"/>
      <c r="TU11" s="23"/>
      <c r="TV11" s="23"/>
      <c r="TW11" s="23"/>
      <c r="TX11" s="23"/>
      <c r="TY11" s="23"/>
      <c r="TZ11" s="23"/>
      <c r="UA11" s="23"/>
      <c r="UB11" s="23"/>
      <c r="UC11" s="23"/>
      <c r="UD11" s="23"/>
      <c r="UE11" s="23"/>
      <c r="UF11" s="23">
        <v>-4.77</v>
      </c>
      <c r="UG11" s="23"/>
      <c r="UH11" s="23"/>
      <c r="UI11" s="23"/>
      <c r="UJ11" s="23"/>
      <c r="UK11" s="23"/>
      <c r="UL11" s="23"/>
      <c r="UM11" s="23"/>
      <c r="UN11" s="23"/>
      <c r="UO11" s="23">
        <v>-2.07</v>
      </c>
      <c r="UP11" s="23"/>
      <c r="UQ11" s="23"/>
      <c r="UR11" s="23">
        <v>0.88</v>
      </c>
      <c r="US11" s="23">
        <v>3.4</v>
      </c>
      <c r="UT11" s="23"/>
    </row>
    <row r="12" ht="16.5" customHeight="1" spans="1:566">
      <c r="D12" s="19" t="s">
        <v>170</v>
      </c>
      <c r="E12" s="21" t="s">
        <v>171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>
        <v>9.23</v>
      </c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>
        <v>8.9</v>
      </c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>
        <v>9.07</v>
      </c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>
        <v>8.5</v>
      </c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  <c r="FS12" s="23"/>
      <c r="FT12" s="23"/>
      <c r="FU12" s="23"/>
      <c r="FV12" s="23"/>
      <c r="FW12" s="23"/>
      <c r="FX12" s="23"/>
      <c r="FY12" s="23"/>
      <c r="FZ12" s="23"/>
      <c r="GA12" s="23"/>
      <c r="GB12" s="23"/>
      <c r="GC12" s="23"/>
      <c r="GD12" s="23"/>
      <c r="GE12" s="23">
        <v>8.35</v>
      </c>
      <c r="GF12" s="23"/>
      <c r="GG12" s="23"/>
      <c r="GH12" s="23"/>
      <c r="GI12" s="23"/>
      <c r="GJ12" s="23"/>
      <c r="GK12" s="23"/>
      <c r="GL12" s="23"/>
      <c r="GM12" s="23"/>
      <c r="GN12" s="23"/>
      <c r="GO12" s="23"/>
      <c r="GP12" s="23"/>
      <c r="GQ12" s="23"/>
      <c r="GR12" s="23"/>
      <c r="GS12" s="23"/>
      <c r="GT12" s="23"/>
      <c r="GU12" s="23"/>
      <c r="GV12" s="23"/>
      <c r="GW12" s="23"/>
      <c r="GX12" s="23"/>
      <c r="GY12" s="23"/>
      <c r="GZ12" s="23"/>
      <c r="HA12" s="23"/>
      <c r="HB12" s="23"/>
      <c r="HC12" s="23"/>
      <c r="HD12" s="23"/>
      <c r="HE12" s="23"/>
      <c r="HF12" s="23"/>
      <c r="HG12" s="23"/>
      <c r="HH12" s="23"/>
      <c r="HI12" s="23"/>
      <c r="HJ12" s="23">
        <v>7.17</v>
      </c>
      <c r="HK12" s="23"/>
      <c r="HL12" s="23"/>
      <c r="HM12" s="23"/>
      <c r="HN12" s="23"/>
      <c r="HO12" s="23"/>
      <c r="HP12" s="23"/>
      <c r="HQ12" s="23"/>
      <c r="HR12" s="23"/>
      <c r="HS12" s="23"/>
      <c r="HT12" s="23"/>
      <c r="HU12" s="23"/>
      <c r="HV12" s="23"/>
      <c r="HW12" s="23"/>
      <c r="HX12" s="23"/>
      <c r="HY12" s="23"/>
      <c r="HZ12" s="23"/>
      <c r="IA12" s="23"/>
      <c r="IB12" s="23"/>
      <c r="IC12" s="23"/>
      <c r="ID12" s="23"/>
      <c r="IE12" s="23"/>
      <c r="IF12" s="23"/>
      <c r="IG12" s="23"/>
      <c r="IH12" s="23"/>
      <c r="II12" s="23"/>
      <c r="IJ12" s="23"/>
      <c r="IK12" s="23"/>
      <c r="IL12" s="23"/>
      <c r="IM12" s="23"/>
      <c r="IN12" s="23"/>
      <c r="IO12" s="23">
        <v>5.43</v>
      </c>
      <c r="IP12" s="31"/>
      <c r="IQ12" s="31"/>
      <c r="IR12" s="31"/>
      <c r="IS12" s="31"/>
      <c r="IT12" s="31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  <c r="JN12" s="31"/>
      <c r="JO12" s="31"/>
      <c r="JP12" s="31"/>
      <c r="JQ12" s="31"/>
      <c r="JR12" s="31"/>
      <c r="JS12" s="31">
        <v>4.54</v>
      </c>
      <c r="JT12" s="31"/>
      <c r="JU12" s="31"/>
      <c r="JV12" s="31"/>
      <c r="JW12" s="31"/>
      <c r="JX12" s="31"/>
      <c r="JY12" s="31"/>
      <c r="JZ12" s="23"/>
      <c r="KA12" s="23"/>
      <c r="KB12" s="23"/>
      <c r="KC12" s="23"/>
      <c r="KD12" s="23"/>
      <c r="KE12" s="23"/>
      <c r="KF12" s="23"/>
      <c r="KG12" s="23"/>
      <c r="KH12" s="23"/>
      <c r="KI12" s="23"/>
      <c r="KJ12" s="23"/>
      <c r="KK12" s="23"/>
      <c r="KL12" s="23"/>
      <c r="KM12" s="23"/>
      <c r="KN12" s="23"/>
      <c r="KO12" s="23"/>
      <c r="KP12" s="23"/>
      <c r="KQ12" s="23"/>
      <c r="KR12" s="23"/>
      <c r="KS12" s="23"/>
      <c r="KT12" s="23"/>
      <c r="KU12" s="23"/>
      <c r="KV12" s="23"/>
      <c r="KW12" s="23"/>
      <c r="KX12" s="23">
        <v>3.44</v>
      </c>
      <c r="KY12" s="23"/>
      <c r="KZ12" s="23"/>
      <c r="LA12" s="23"/>
      <c r="LB12" s="23"/>
      <c r="LC12" s="23"/>
      <c r="LD12" s="23"/>
      <c r="LE12" s="23"/>
      <c r="LF12" s="23"/>
      <c r="LG12" s="23"/>
      <c r="LH12" s="23"/>
      <c r="LI12" s="23"/>
      <c r="LJ12" s="23"/>
      <c r="LK12" s="23"/>
      <c r="LL12" s="23"/>
      <c r="LM12" s="23"/>
      <c r="LN12" s="23"/>
      <c r="LO12" s="23"/>
      <c r="LP12" s="23"/>
      <c r="LQ12" s="23"/>
      <c r="LR12" s="23"/>
      <c r="LS12" s="23"/>
      <c r="LT12" s="23"/>
      <c r="LU12" s="23"/>
      <c r="LV12" s="23"/>
      <c r="LW12" s="23"/>
      <c r="LX12" s="23"/>
      <c r="LY12" s="23"/>
      <c r="LZ12" s="23"/>
      <c r="MA12" s="23"/>
      <c r="MB12" s="23">
        <v>0.6</v>
      </c>
      <c r="MC12" s="23"/>
      <c r="MD12" s="23"/>
      <c r="ME12" s="23"/>
      <c r="MF12" s="23"/>
      <c r="MG12" s="23"/>
      <c r="MH12" s="23"/>
      <c r="MI12" s="23"/>
      <c r="MJ12" s="23"/>
      <c r="MK12" s="23"/>
      <c r="ML12" s="23"/>
      <c r="MM12" s="23"/>
      <c r="MN12" s="23"/>
      <c r="MO12" s="23"/>
      <c r="MP12" s="23"/>
      <c r="MQ12" s="23"/>
      <c r="MR12" s="23"/>
      <c r="MS12" s="23"/>
      <c r="MT12" s="23"/>
      <c r="MU12" s="23"/>
      <c r="MV12" s="23"/>
      <c r="MW12" s="23"/>
      <c r="MX12" s="23"/>
      <c r="MY12" s="23"/>
      <c r="MZ12" s="23"/>
      <c r="NA12" s="23"/>
      <c r="NB12" s="23"/>
      <c r="NC12" s="23"/>
      <c r="ND12" s="23"/>
      <c r="NE12" s="23"/>
      <c r="NF12" s="23"/>
      <c r="NG12" s="23">
        <v>1.47</v>
      </c>
      <c r="NH12" s="23"/>
      <c r="NI12" s="23"/>
      <c r="NJ12" s="23"/>
      <c r="NK12" s="23"/>
      <c r="NL12" s="23"/>
      <c r="NM12" s="23"/>
      <c r="NN12" s="23"/>
      <c r="NO12" s="23"/>
      <c r="NP12" s="23"/>
      <c r="NQ12" s="23"/>
      <c r="NR12" s="23"/>
      <c r="NS12" s="23"/>
      <c r="NT12" s="23"/>
      <c r="NU12" s="23"/>
      <c r="NV12" s="23"/>
      <c r="NW12" s="23"/>
      <c r="NX12" s="23"/>
      <c r="NY12" s="23"/>
      <c r="NZ12" s="23"/>
      <c r="OA12" s="23"/>
      <c r="OB12" s="23"/>
      <c r="OC12" s="23"/>
      <c r="OD12" s="23"/>
      <c r="OE12" s="23"/>
      <c r="OF12" s="23"/>
      <c r="OG12" s="23"/>
      <c r="OH12" s="23"/>
      <c r="OI12" s="23"/>
      <c r="OJ12" s="23"/>
      <c r="OK12" s="23"/>
      <c r="OL12" s="23"/>
      <c r="OM12" s="23"/>
      <c r="ON12" s="23"/>
      <c r="OO12" s="23"/>
      <c r="OP12" s="23"/>
      <c r="OQ12" s="23"/>
      <c r="OR12" s="23"/>
      <c r="OS12" s="23"/>
      <c r="OT12" s="23"/>
      <c r="OU12" s="23"/>
      <c r="OV12" s="23"/>
      <c r="OW12" s="23"/>
      <c r="OX12" s="23"/>
      <c r="OY12" s="23"/>
      <c r="OZ12" s="23"/>
      <c r="PA12" s="23"/>
      <c r="PB12" s="23"/>
      <c r="PC12" s="23"/>
      <c r="PD12" s="23"/>
      <c r="PE12" s="23"/>
      <c r="PF12" s="23"/>
      <c r="PG12" s="23"/>
      <c r="PH12" s="23"/>
      <c r="PI12" s="23"/>
      <c r="PJ12" s="23"/>
      <c r="PK12" s="23"/>
      <c r="PL12" s="23"/>
      <c r="PM12" s="23"/>
      <c r="PN12" s="23">
        <v>0.03</v>
      </c>
      <c r="PO12" s="23"/>
      <c r="PP12" s="23"/>
      <c r="PQ12" s="23"/>
      <c r="PR12" s="23"/>
      <c r="PS12" s="23"/>
      <c r="PT12" s="23"/>
      <c r="PU12" s="23"/>
      <c r="PV12" s="23"/>
      <c r="PW12" s="23"/>
      <c r="PX12" s="23"/>
      <c r="PY12" s="23"/>
      <c r="PZ12" s="23"/>
      <c r="QA12" s="23"/>
      <c r="QB12" s="23"/>
      <c r="QC12" s="23"/>
      <c r="QD12" s="23"/>
      <c r="QE12" s="23"/>
      <c r="QF12" s="23"/>
      <c r="QG12" s="23"/>
      <c r="QH12" s="23"/>
      <c r="QI12" s="23"/>
      <c r="QJ12" s="23"/>
      <c r="QK12" s="23"/>
      <c r="QL12" s="23"/>
      <c r="QM12" s="23"/>
      <c r="QN12" s="23"/>
      <c r="QO12" s="23"/>
      <c r="QP12" s="23"/>
      <c r="QQ12" s="23"/>
      <c r="QR12" s="23"/>
      <c r="QS12" s="23">
        <v>2.4</v>
      </c>
      <c r="QT12" s="23"/>
      <c r="QU12" s="23"/>
      <c r="QV12" s="23"/>
      <c r="QW12" s="23"/>
      <c r="QX12" s="23"/>
      <c r="QY12" s="23"/>
      <c r="QZ12" s="23"/>
      <c r="RA12" s="23"/>
      <c r="RB12" s="23"/>
      <c r="RC12" s="23"/>
      <c r="RD12" s="23"/>
      <c r="RE12" s="23"/>
      <c r="RF12" s="23"/>
      <c r="RG12" s="23"/>
      <c r="RH12" s="23"/>
      <c r="RI12" s="23"/>
      <c r="RJ12" s="23"/>
      <c r="RK12" s="23"/>
      <c r="RL12" s="23"/>
      <c r="RM12" s="23"/>
      <c r="RN12" s="23"/>
      <c r="RO12" s="23"/>
      <c r="RP12" s="23"/>
      <c r="RQ12" s="23"/>
      <c r="RR12" s="23"/>
      <c r="RS12" s="23"/>
      <c r="RT12" s="23"/>
      <c r="RU12" s="23"/>
      <c r="RV12" s="23"/>
      <c r="RW12" s="23">
        <v>4.25</v>
      </c>
      <c r="RX12" s="23"/>
      <c r="RY12" s="23"/>
      <c r="RZ12" s="23"/>
      <c r="SA12" s="23"/>
      <c r="SB12" s="23"/>
      <c r="SC12" s="23"/>
      <c r="SD12" s="23"/>
      <c r="SE12" s="23"/>
      <c r="SF12" s="23"/>
      <c r="SG12" s="23"/>
      <c r="SH12" s="23"/>
      <c r="SI12" s="23"/>
      <c r="SJ12" s="23"/>
      <c r="SK12" s="23"/>
      <c r="SL12" s="23"/>
      <c r="SM12" s="23"/>
      <c r="SN12" s="23"/>
      <c r="SO12" s="23"/>
      <c r="SP12" s="23"/>
      <c r="SQ12" s="23"/>
      <c r="SR12" s="23"/>
      <c r="SS12" s="23"/>
      <c r="ST12" s="23"/>
      <c r="SU12" s="23"/>
      <c r="SV12" s="23"/>
      <c r="SW12" s="23"/>
      <c r="SX12" s="23"/>
      <c r="SY12" s="23"/>
      <c r="SZ12" s="23"/>
      <c r="TA12" s="23"/>
      <c r="TB12" s="23">
        <v>0.1</v>
      </c>
      <c r="TC12" s="23"/>
      <c r="TD12" s="23"/>
      <c r="TE12" s="23"/>
      <c r="TF12" s="23"/>
      <c r="TG12" s="23"/>
      <c r="TH12" s="23"/>
      <c r="TI12" s="23"/>
      <c r="TJ12" s="23"/>
      <c r="TK12" s="23"/>
      <c r="TL12" s="23"/>
      <c r="TM12" s="23"/>
      <c r="TN12" s="23"/>
      <c r="TO12" s="23"/>
      <c r="TP12" s="23"/>
      <c r="TQ12" s="23"/>
      <c r="TR12" s="23"/>
      <c r="TS12" s="23"/>
      <c r="TT12" s="23"/>
      <c r="TU12" s="23"/>
      <c r="TV12" s="23"/>
      <c r="TW12" s="23"/>
      <c r="TX12" s="23"/>
      <c r="TY12" s="23"/>
      <c r="TZ12" s="23"/>
      <c r="UA12" s="23"/>
      <c r="UB12" s="23"/>
      <c r="UC12" s="23"/>
      <c r="UD12" s="23"/>
      <c r="UE12" s="23"/>
      <c r="UF12" s="23">
        <v>-0.4</v>
      </c>
      <c r="UG12" s="23"/>
      <c r="UH12" s="23"/>
      <c r="UI12" s="23"/>
      <c r="UJ12" s="23"/>
      <c r="UK12" s="23"/>
      <c r="UL12" s="23"/>
      <c r="UM12" s="23"/>
      <c r="UN12" s="23"/>
      <c r="UO12" s="23">
        <v>0.9</v>
      </c>
      <c r="UP12" s="23"/>
      <c r="UQ12" s="23"/>
      <c r="UR12" s="23">
        <v>2.7</v>
      </c>
      <c r="US12" s="23"/>
      <c r="UT12" s="23"/>
    </row>
    <row r="13" ht="16.5" customHeight="1" spans="1:566">
      <c r="D13" s="19" t="s">
        <v>172</v>
      </c>
      <c r="E13" s="21" t="s">
        <v>173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>
        <v>7.08</v>
      </c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>
        <v>7.2</v>
      </c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>
        <v>10</v>
      </c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  <c r="FS13" s="23"/>
      <c r="FT13" s="23"/>
      <c r="FU13" s="23"/>
      <c r="FV13" s="23"/>
      <c r="FW13" s="23"/>
      <c r="FX13" s="23"/>
      <c r="FY13" s="23"/>
      <c r="FZ13" s="23"/>
      <c r="GA13" s="23"/>
      <c r="GB13" s="23"/>
      <c r="GC13" s="23"/>
      <c r="GD13" s="23"/>
      <c r="GE13" s="23">
        <v>8.84</v>
      </c>
      <c r="GF13" s="23"/>
      <c r="GG13" s="23"/>
      <c r="GH13" s="23"/>
      <c r="GI13" s="23"/>
      <c r="GJ13" s="23"/>
      <c r="GK13" s="23"/>
      <c r="GL13" s="23"/>
      <c r="GM13" s="23"/>
      <c r="GN13" s="23"/>
      <c r="GO13" s="23"/>
      <c r="GP13" s="23"/>
      <c r="GQ13" s="23"/>
      <c r="GR13" s="23"/>
      <c r="GS13" s="23"/>
      <c r="GT13" s="23"/>
      <c r="GU13" s="23"/>
      <c r="GV13" s="23"/>
      <c r="GW13" s="23"/>
      <c r="GX13" s="23"/>
      <c r="GY13" s="23"/>
      <c r="GZ13" s="23"/>
      <c r="HA13" s="23"/>
      <c r="HB13" s="23"/>
      <c r="HC13" s="23"/>
      <c r="HD13" s="23"/>
      <c r="HE13" s="23"/>
      <c r="HF13" s="23"/>
      <c r="HG13" s="23"/>
      <c r="HH13" s="23"/>
      <c r="HI13" s="23"/>
      <c r="HJ13" s="23">
        <v>6.58</v>
      </c>
      <c r="HK13" s="23"/>
      <c r="HL13" s="23"/>
      <c r="HM13" s="23"/>
      <c r="HN13" s="23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>
        <v>5.44</v>
      </c>
      <c r="IP13" s="31"/>
      <c r="IQ13" s="31"/>
      <c r="IR13" s="31"/>
      <c r="IS13" s="31"/>
      <c r="IT13" s="31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  <c r="JN13" s="31"/>
      <c r="JO13" s="31"/>
      <c r="JP13" s="31"/>
      <c r="JQ13" s="31"/>
      <c r="JR13" s="31"/>
      <c r="JS13" s="31">
        <v>3.45</v>
      </c>
      <c r="JT13" s="31"/>
      <c r="JU13" s="31"/>
      <c r="JV13" s="31"/>
      <c r="JW13" s="31"/>
      <c r="JX13" s="31"/>
      <c r="JY13" s="31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>
        <v>2.8</v>
      </c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>
        <v>1.45</v>
      </c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/>
      <c r="ND13" s="23"/>
      <c r="NE13" s="23"/>
      <c r="NF13" s="23"/>
      <c r="NG13" s="23">
        <v>0.8</v>
      </c>
      <c r="NH13" s="23"/>
      <c r="NI13" s="23"/>
      <c r="NJ13" s="23"/>
      <c r="NK13" s="23"/>
      <c r="NL13" s="23"/>
      <c r="NM13" s="23"/>
      <c r="NN13" s="23"/>
      <c r="NO13" s="23"/>
      <c r="NP13" s="23"/>
      <c r="NQ13" s="23"/>
      <c r="NR13" s="23"/>
      <c r="NS13" s="23"/>
      <c r="NT13" s="23"/>
      <c r="NU13" s="23"/>
      <c r="NV13" s="23"/>
      <c r="NW13" s="23"/>
      <c r="NX13" s="23"/>
      <c r="NY13" s="23"/>
      <c r="NZ13" s="23"/>
      <c r="OA13" s="23"/>
      <c r="OB13" s="23"/>
      <c r="OC13" s="23"/>
      <c r="OD13" s="23"/>
      <c r="OE13" s="23"/>
      <c r="OF13" s="23"/>
      <c r="OG13" s="23"/>
      <c r="OH13" s="23"/>
      <c r="OI13" s="23"/>
      <c r="OJ13" s="23"/>
      <c r="OK13" s="23"/>
      <c r="OL13" s="23"/>
      <c r="OM13" s="23"/>
      <c r="ON13" s="23"/>
      <c r="OO13" s="23"/>
      <c r="OP13" s="23"/>
      <c r="OQ13" s="23"/>
      <c r="OR13" s="23"/>
      <c r="OS13" s="23"/>
      <c r="OT13" s="23"/>
      <c r="OU13" s="23"/>
      <c r="OV13" s="23"/>
      <c r="OW13" s="23"/>
      <c r="OX13" s="23"/>
      <c r="OY13" s="23"/>
      <c r="OZ13" s="23"/>
      <c r="PA13" s="23"/>
      <c r="PB13" s="23"/>
      <c r="PC13" s="23"/>
      <c r="PD13" s="23"/>
      <c r="PE13" s="23"/>
      <c r="PF13" s="23"/>
      <c r="PG13" s="23"/>
      <c r="PH13" s="23"/>
      <c r="PI13" s="23"/>
      <c r="PJ13" s="23"/>
      <c r="PK13" s="23"/>
      <c r="PL13" s="23"/>
      <c r="PM13" s="23"/>
      <c r="PN13" s="23">
        <v>0.2</v>
      </c>
      <c r="PO13" s="23"/>
      <c r="PP13" s="23"/>
      <c r="PQ13" s="23"/>
      <c r="PR13" s="23"/>
      <c r="PS13" s="23"/>
      <c r="PT13" s="23"/>
      <c r="PU13" s="23"/>
      <c r="PV13" s="23"/>
      <c r="PW13" s="23"/>
      <c r="PX13" s="23"/>
      <c r="PY13" s="23"/>
      <c r="PZ13" s="23"/>
      <c r="QA13" s="23"/>
      <c r="QB13" s="23"/>
      <c r="QC13" s="23"/>
      <c r="QD13" s="23"/>
      <c r="QE13" s="23"/>
      <c r="QF13" s="23"/>
      <c r="QG13" s="23"/>
      <c r="QH13" s="23"/>
      <c r="QI13" s="23"/>
      <c r="QJ13" s="23"/>
      <c r="QK13" s="23"/>
      <c r="QL13" s="23"/>
      <c r="QM13" s="23"/>
      <c r="QN13" s="23"/>
      <c r="QO13" s="23"/>
      <c r="QP13" s="23"/>
      <c r="QQ13" s="23"/>
      <c r="QR13" s="23"/>
      <c r="QS13" s="23">
        <v>7.08</v>
      </c>
      <c r="QT13" s="23"/>
      <c r="QU13" s="23"/>
      <c r="QV13" s="23"/>
      <c r="QW13" s="23"/>
      <c r="QX13" s="23"/>
      <c r="QY13" s="23"/>
      <c r="QZ13" s="23"/>
      <c r="RA13" s="23"/>
      <c r="RB13" s="23"/>
      <c r="RC13" s="23"/>
      <c r="RD13" s="23"/>
      <c r="RE13" s="23"/>
      <c r="RF13" s="23"/>
      <c r="RG13" s="23"/>
      <c r="RH13" s="23"/>
      <c r="RI13" s="23"/>
      <c r="RJ13" s="23"/>
      <c r="RK13" s="23"/>
      <c r="RL13" s="23"/>
      <c r="RM13" s="23"/>
      <c r="RN13" s="23"/>
      <c r="RO13" s="23"/>
      <c r="RP13" s="23"/>
      <c r="RQ13" s="23"/>
      <c r="RR13" s="23"/>
      <c r="RS13" s="23"/>
      <c r="RT13" s="23"/>
      <c r="RU13" s="23"/>
      <c r="RV13" s="23"/>
      <c r="RW13" s="23">
        <v>8.23</v>
      </c>
      <c r="RX13" s="23"/>
      <c r="RY13" s="23"/>
      <c r="RZ13" s="23"/>
      <c r="SA13" s="23"/>
      <c r="SB13" s="23"/>
      <c r="SC13" s="23"/>
      <c r="SD13" s="23"/>
      <c r="SE13" s="23"/>
      <c r="SF13" s="23"/>
      <c r="SG13" s="23"/>
      <c r="SH13" s="23"/>
      <c r="SI13" s="23"/>
      <c r="SJ13" s="23"/>
      <c r="SK13" s="23"/>
      <c r="SL13" s="23"/>
      <c r="SM13" s="23"/>
      <c r="SN13" s="23"/>
      <c r="SO13" s="23"/>
      <c r="SP13" s="23"/>
      <c r="SQ13" s="23"/>
      <c r="SR13" s="23"/>
      <c r="SS13" s="23"/>
      <c r="ST13" s="23"/>
      <c r="SU13" s="23"/>
      <c r="SV13" s="23"/>
      <c r="SW13" s="23"/>
      <c r="SX13" s="23"/>
      <c r="SY13" s="23"/>
      <c r="SZ13" s="23"/>
      <c r="TA13" s="23"/>
      <c r="TB13" s="23">
        <v>2.05</v>
      </c>
      <c r="TC13" s="23"/>
      <c r="TD13" s="23"/>
      <c r="TE13" s="23"/>
      <c r="TF13" s="23"/>
      <c r="TG13" s="23"/>
      <c r="TH13" s="23"/>
      <c r="TI13" s="23"/>
      <c r="TJ13" s="23"/>
      <c r="TK13" s="23"/>
      <c r="TL13" s="23"/>
      <c r="TM13" s="23"/>
      <c r="TN13" s="23"/>
      <c r="TO13" s="23"/>
      <c r="TP13" s="23"/>
      <c r="TQ13" s="23"/>
      <c r="TR13" s="23"/>
      <c r="TS13" s="23"/>
      <c r="TT13" s="23"/>
      <c r="TU13" s="23"/>
      <c r="TV13" s="23"/>
      <c r="TW13" s="23"/>
      <c r="TX13" s="23"/>
      <c r="TY13" s="23"/>
      <c r="TZ13" s="23"/>
      <c r="UA13" s="23"/>
      <c r="UB13" s="23"/>
      <c r="UC13" s="23"/>
      <c r="UD13" s="23"/>
      <c r="UE13" s="23"/>
      <c r="UF13" s="23">
        <v>0.75</v>
      </c>
      <c r="UG13" s="23"/>
      <c r="UH13" s="23"/>
      <c r="UI13" s="23"/>
      <c r="UJ13" s="23"/>
      <c r="UK13" s="23"/>
      <c r="UL13" s="23"/>
      <c r="UM13" s="23"/>
      <c r="UN13" s="23"/>
      <c r="UO13" s="23">
        <v>2.55</v>
      </c>
      <c r="UP13" s="23"/>
      <c r="UQ13" s="23"/>
      <c r="UR13" s="23">
        <v>4.44</v>
      </c>
      <c r="US13" s="23"/>
      <c r="UT13" s="23"/>
    </row>
    <row r="14" ht="16.5" customHeight="1" spans="1:566">
      <c r="D14" s="19" t="s">
        <v>174</v>
      </c>
      <c r="E14" s="21" t="s">
        <v>175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>
        <v>-9.68</v>
      </c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G14" s="23"/>
      <c r="CH14" s="23"/>
      <c r="CI14" s="23"/>
      <c r="CJ14" s="23"/>
      <c r="CK14" s="23"/>
      <c r="CL14" s="23"/>
      <c r="CM14" s="23"/>
      <c r="CN14" s="23"/>
      <c r="CO14" s="23"/>
      <c r="CP14" s="23"/>
      <c r="CQ14" s="23"/>
      <c r="CR14" s="23">
        <v>-10.2</v>
      </c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3"/>
      <c r="DV14" s="23">
        <v>-10.1</v>
      </c>
      <c r="DW14" s="23"/>
      <c r="DX14" s="23"/>
      <c r="DY14" s="23"/>
      <c r="DZ14" s="23"/>
      <c r="EA14" s="23"/>
      <c r="EB14" s="23"/>
      <c r="EC14" s="23"/>
      <c r="ED14" s="23"/>
      <c r="EE14" s="23"/>
      <c r="EF14" s="23"/>
      <c r="EG14" s="23"/>
      <c r="EH14" s="23"/>
      <c r="EI14" s="23"/>
      <c r="EJ14" s="23"/>
      <c r="EK14" s="23"/>
      <c r="EL14" s="23"/>
      <c r="EM14" s="23"/>
      <c r="EN14" s="23"/>
      <c r="EO14" s="23"/>
      <c r="EP14" s="23"/>
      <c r="EQ14" s="23"/>
      <c r="ER14" s="23"/>
      <c r="ES14" s="23"/>
      <c r="ET14" s="23"/>
      <c r="EU14" s="23"/>
      <c r="EV14" s="23"/>
      <c r="EW14" s="23"/>
      <c r="EX14" s="23"/>
      <c r="EY14" s="23"/>
      <c r="EZ14" s="23"/>
      <c r="FA14" s="23">
        <v>-10.5</v>
      </c>
      <c r="FB14" s="23"/>
      <c r="FC14" s="23"/>
      <c r="FD14" s="23"/>
      <c r="FE14" s="23"/>
      <c r="FF14" s="23"/>
      <c r="FG14" s="23"/>
      <c r="FH14" s="23"/>
      <c r="FI14" s="23"/>
      <c r="FJ14" s="23"/>
      <c r="FK14" s="23"/>
      <c r="FL14" s="23"/>
      <c r="FM14" s="23"/>
      <c r="FN14" s="23"/>
      <c r="FO14" s="23"/>
      <c r="FP14" s="23"/>
      <c r="FQ14" s="23"/>
      <c r="FR14" s="23"/>
      <c r="FS14" s="23"/>
      <c r="FT14" s="23"/>
      <c r="FU14" s="23"/>
      <c r="FV14" s="23"/>
      <c r="FW14" s="23"/>
      <c r="FX14" s="23"/>
      <c r="FY14" s="23"/>
      <c r="FZ14" s="23"/>
      <c r="GA14" s="23"/>
      <c r="GB14" s="23"/>
      <c r="GC14" s="23"/>
      <c r="GD14" s="23"/>
      <c r="GE14" s="23">
        <v>-11.09</v>
      </c>
      <c r="GF14" s="23"/>
      <c r="GG14" s="23"/>
      <c r="GH14" s="23"/>
      <c r="GI14" s="23"/>
      <c r="GJ14" s="23"/>
      <c r="GK14" s="23"/>
      <c r="GL14" s="23"/>
      <c r="GM14" s="23"/>
      <c r="GN14" s="23"/>
      <c r="GO14" s="23"/>
      <c r="GP14" s="23"/>
      <c r="GQ14" s="23"/>
      <c r="GR14" s="23"/>
      <c r="GS14" s="23"/>
      <c r="GT14" s="23"/>
      <c r="GU14" s="23"/>
      <c r="GV14" s="23"/>
      <c r="GW14" s="23"/>
      <c r="GX14" s="23"/>
      <c r="GY14" s="23"/>
      <c r="GZ14" s="23"/>
      <c r="HA14" s="23"/>
      <c r="HB14" s="23"/>
      <c r="HC14" s="23"/>
      <c r="HD14" s="23"/>
      <c r="HE14" s="23"/>
      <c r="HF14" s="23"/>
      <c r="HG14" s="23"/>
      <c r="HH14" s="23"/>
      <c r="HI14" s="23"/>
      <c r="HJ14" s="23">
        <v>-11.53</v>
      </c>
      <c r="HK14" s="23"/>
      <c r="HL14" s="23"/>
      <c r="HM14" s="23"/>
      <c r="HN14" s="23"/>
      <c r="HO14" s="23"/>
      <c r="HP14" s="23"/>
      <c r="HQ14" s="23"/>
      <c r="HR14" s="23"/>
      <c r="HS14" s="23"/>
      <c r="HT14" s="23"/>
      <c r="HU14" s="23"/>
      <c r="HV14" s="23"/>
      <c r="HW14" s="23"/>
      <c r="HX14" s="23"/>
      <c r="HY14" s="23"/>
      <c r="HZ14" s="23"/>
      <c r="IA14" s="23"/>
      <c r="IB14" s="23"/>
      <c r="IC14" s="23"/>
      <c r="ID14" s="23"/>
      <c r="IE14" s="23"/>
      <c r="IF14" s="23"/>
      <c r="IG14" s="23"/>
      <c r="IH14" s="23"/>
      <c r="II14" s="23"/>
      <c r="IJ14" s="23"/>
      <c r="IK14" s="23"/>
      <c r="IL14" s="23"/>
      <c r="IM14" s="23"/>
      <c r="IN14" s="23"/>
      <c r="IO14" s="23">
        <v>-12.4</v>
      </c>
      <c r="IP14" s="31"/>
      <c r="IQ14" s="31"/>
      <c r="IR14" s="31"/>
      <c r="IS14" s="31"/>
      <c r="IT14" s="31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  <c r="JN14" s="31"/>
      <c r="JO14" s="31"/>
      <c r="JP14" s="31"/>
      <c r="JQ14" s="31"/>
      <c r="JR14" s="31"/>
      <c r="JS14" s="31">
        <v>-13.36</v>
      </c>
      <c r="JT14" s="31"/>
      <c r="JU14" s="31"/>
      <c r="JV14" s="31"/>
      <c r="JW14" s="31"/>
      <c r="JX14" s="31"/>
      <c r="JY14" s="31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>
        <v>-14.48</v>
      </c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>
        <v>-15.35</v>
      </c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>
        <v>-15.91</v>
      </c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>
        <v>-20.02</v>
      </c>
      <c r="PO14" s="23"/>
      <c r="PP14" s="23"/>
      <c r="PQ14" s="23"/>
      <c r="PR14" s="23"/>
      <c r="PS14" s="23"/>
      <c r="PT14" s="23"/>
      <c r="PU14" s="23"/>
      <c r="PV14" s="23"/>
      <c r="PW14" s="23"/>
      <c r="PX14" s="23"/>
      <c r="PY14" s="23"/>
      <c r="PZ14" s="23"/>
      <c r="QA14" s="23"/>
      <c r="QB14" s="23"/>
      <c r="QC14" s="23"/>
      <c r="QD14" s="23"/>
      <c r="QE14" s="23"/>
      <c r="QF14" s="23"/>
      <c r="QG14" s="23"/>
      <c r="QH14" s="23"/>
      <c r="QI14" s="23"/>
      <c r="QJ14" s="23"/>
      <c r="QK14" s="23"/>
      <c r="QL14" s="23"/>
      <c r="QM14" s="23"/>
      <c r="QN14" s="23"/>
      <c r="QO14" s="23"/>
      <c r="QP14" s="23"/>
      <c r="QQ14" s="23"/>
      <c r="QR14" s="23"/>
      <c r="QS14" s="23">
        <v>-13.68</v>
      </c>
      <c r="QT14" s="23"/>
      <c r="QU14" s="23"/>
      <c r="QV14" s="23"/>
      <c r="QW14" s="23"/>
      <c r="QX14" s="23"/>
      <c r="QY14" s="23"/>
      <c r="QZ14" s="23"/>
      <c r="RA14" s="23"/>
      <c r="RB14" s="23"/>
      <c r="RC14" s="23"/>
      <c r="RD14" s="23"/>
      <c r="RE14" s="23"/>
      <c r="RF14" s="23"/>
      <c r="RG14" s="23"/>
      <c r="RH14" s="23"/>
      <c r="RI14" s="23"/>
      <c r="RJ14" s="23"/>
      <c r="RK14" s="23"/>
      <c r="RL14" s="23"/>
      <c r="RM14" s="23"/>
      <c r="RN14" s="23"/>
      <c r="RO14" s="23"/>
      <c r="RP14" s="23"/>
      <c r="RQ14" s="23"/>
      <c r="RR14" s="23"/>
      <c r="RS14" s="23"/>
      <c r="RT14" s="23"/>
      <c r="RU14" s="23"/>
      <c r="RV14" s="23"/>
      <c r="RW14" s="23">
        <v>-11.25</v>
      </c>
      <c r="RX14" s="23"/>
      <c r="RY14" s="23"/>
      <c r="RZ14" s="23"/>
      <c r="SA14" s="23"/>
      <c r="SB14" s="23"/>
      <c r="SC14" s="23"/>
      <c r="SD14" s="23"/>
      <c r="SE14" s="23"/>
      <c r="SF14" s="23"/>
      <c r="SG14" s="23"/>
      <c r="SH14" s="23"/>
      <c r="SI14" s="23"/>
      <c r="SJ14" s="23"/>
      <c r="SK14" s="23"/>
      <c r="SL14" s="23"/>
      <c r="SM14" s="23"/>
      <c r="SN14" s="23"/>
      <c r="SO14" s="23"/>
      <c r="SP14" s="23"/>
      <c r="SQ14" s="23"/>
      <c r="SR14" s="23"/>
      <c r="SS14" s="23"/>
      <c r="ST14" s="23"/>
      <c r="SU14" s="23"/>
      <c r="SV14" s="23"/>
      <c r="SW14" s="23"/>
      <c r="SX14" s="23"/>
      <c r="SY14" s="23"/>
      <c r="SZ14" s="23"/>
      <c r="TA14" s="23"/>
      <c r="TB14" s="23">
        <v>-14.63</v>
      </c>
      <c r="TC14" s="23"/>
      <c r="TD14" s="23"/>
      <c r="TE14" s="23"/>
      <c r="TF14" s="23"/>
      <c r="TG14" s="23"/>
      <c r="TH14" s="23"/>
      <c r="TI14" s="23"/>
      <c r="TJ14" s="23"/>
      <c r="TK14" s="23"/>
      <c r="TL14" s="23"/>
      <c r="TM14" s="23"/>
      <c r="TN14" s="23"/>
      <c r="TO14" s="23"/>
      <c r="TP14" s="23"/>
      <c r="TQ14" s="23"/>
      <c r="TR14" s="23"/>
      <c r="TS14" s="23"/>
      <c r="TT14" s="23"/>
      <c r="TU14" s="23"/>
      <c r="TV14" s="23"/>
      <c r="TW14" s="23"/>
      <c r="TX14" s="23"/>
      <c r="TY14" s="23"/>
      <c r="TZ14" s="23"/>
      <c r="UA14" s="23"/>
      <c r="UB14" s="23"/>
      <c r="UC14" s="23"/>
      <c r="UD14" s="23"/>
      <c r="UE14" s="23"/>
      <c r="UF14" s="23">
        <v>-17.4</v>
      </c>
      <c r="UG14" s="23"/>
      <c r="UH14" s="23"/>
      <c r="UI14" s="23"/>
      <c r="UJ14" s="23"/>
      <c r="UK14" s="23"/>
      <c r="UL14" s="23"/>
      <c r="UM14" s="23"/>
      <c r="UN14" s="23"/>
      <c r="UO14" s="23">
        <v>-15.25</v>
      </c>
      <c r="UP14" s="23"/>
      <c r="UQ14" s="23"/>
      <c r="UR14" s="23">
        <v>-13.52</v>
      </c>
      <c r="US14" s="23"/>
      <c r="UT14" s="23"/>
    </row>
    <row r="15" ht="16.5" customHeight="1" spans="1:566">
      <c r="D15" s="19" t="s">
        <v>407</v>
      </c>
      <c r="E15" s="21" t="s">
        <v>121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>
        <v>4.1</v>
      </c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3"/>
      <c r="CP15" s="23"/>
      <c r="CQ15" s="23"/>
      <c r="CR15" s="23">
        <v>4.2</v>
      </c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3"/>
      <c r="DV15" s="23">
        <v>4</v>
      </c>
      <c r="DW15" s="23"/>
      <c r="DX15" s="23"/>
      <c r="DY15" s="23"/>
      <c r="DZ15" s="23"/>
      <c r="EA15" s="23"/>
      <c r="EB15" s="23"/>
      <c r="EC15" s="23"/>
      <c r="ED15" s="23"/>
      <c r="EE15" s="23"/>
      <c r="EF15" s="23"/>
      <c r="EG15" s="23"/>
      <c r="EH15" s="23"/>
      <c r="EI15" s="23"/>
      <c r="EJ15" s="23"/>
      <c r="EK15" s="23"/>
      <c r="EL15" s="23"/>
      <c r="EM15" s="23"/>
      <c r="EN15" s="23"/>
      <c r="EO15" s="23"/>
      <c r="EP15" s="23"/>
      <c r="EQ15" s="23"/>
      <c r="ER15" s="23"/>
      <c r="ES15" s="23"/>
      <c r="ET15" s="23"/>
      <c r="EU15" s="23"/>
      <c r="EV15" s="23"/>
      <c r="EW15" s="23"/>
      <c r="EX15" s="23"/>
      <c r="EY15" s="23"/>
      <c r="EZ15" s="23"/>
      <c r="FA15" s="23">
        <v>3.7</v>
      </c>
      <c r="FB15" s="23"/>
      <c r="FC15" s="23"/>
      <c r="FD15" s="23"/>
      <c r="FE15" s="23"/>
      <c r="FF15" s="23"/>
      <c r="FG15" s="23"/>
      <c r="FH15" s="23"/>
      <c r="FI15" s="23"/>
      <c r="FJ15" s="23"/>
      <c r="FK15" s="23"/>
      <c r="FL15" s="23"/>
      <c r="FM15" s="23"/>
      <c r="FN15" s="23"/>
      <c r="FO15" s="23"/>
      <c r="FP15" s="23"/>
      <c r="FQ15" s="23"/>
      <c r="FR15" s="23"/>
      <c r="FS15" s="23"/>
      <c r="FT15" s="23"/>
      <c r="FU15" s="23"/>
      <c r="FV15" s="23"/>
      <c r="FW15" s="23"/>
      <c r="FX15" s="23"/>
      <c r="FY15" s="23"/>
      <c r="FZ15" s="23"/>
      <c r="GA15" s="23"/>
      <c r="GB15" s="23"/>
      <c r="GC15" s="23"/>
      <c r="GD15" s="23"/>
      <c r="GE15" s="23">
        <v>2.8</v>
      </c>
      <c r="GF15" s="23"/>
      <c r="GG15" s="23"/>
      <c r="GH15" s="23"/>
      <c r="GI15" s="23"/>
      <c r="GJ15" s="23"/>
      <c r="GK15" s="23"/>
      <c r="GL15" s="23"/>
      <c r="GM15" s="23"/>
      <c r="GN15" s="23"/>
      <c r="GO15" s="23"/>
      <c r="GP15" s="23"/>
      <c r="GQ15" s="23"/>
      <c r="GR15" s="23"/>
      <c r="GS15" s="23"/>
      <c r="GT15" s="23"/>
      <c r="GU15" s="23"/>
      <c r="GV15" s="23"/>
      <c r="GW15" s="23"/>
      <c r="GX15" s="23"/>
      <c r="GY15" s="23"/>
      <c r="GZ15" s="23"/>
      <c r="HA15" s="23"/>
      <c r="HB15" s="23"/>
      <c r="HC15" s="23"/>
      <c r="HD15" s="23"/>
      <c r="HE15" s="23"/>
      <c r="HF15" s="23"/>
      <c r="HG15" s="23"/>
      <c r="HH15" s="23"/>
      <c r="HI15" s="23"/>
      <c r="HJ15" s="23">
        <v>1.6</v>
      </c>
      <c r="HK15" s="23"/>
      <c r="HL15" s="23"/>
      <c r="HM15" s="23"/>
      <c r="HN15" s="23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>
        <v>0.5</v>
      </c>
      <c r="IP15" s="31"/>
      <c r="IQ15" s="31"/>
      <c r="IR15" s="31"/>
      <c r="IS15" s="31"/>
      <c r="IT15" s="31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  <c r="JN15" s="31"/>
      <c r="JO15" s="31"/>
      <c r="JP15" s="31"/>
      <c r="JQ15" s="31"/>
      <c r="JR15" s="31"/>
      <c r="JS15" s="31">
        <v>-0.5</v>
      </c>
      <c r="JT15" s="31"/>
      <c r="JU15" s="31"/>
      <c r="JV15" s="31"/>
      <c r="JW15" s="31"/>
      <c r="JX15" s="31"/>
      <c r="JY15" s="31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>
        <v>-1.7</v>
      </c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>
        <v>-2.6</v>
      </c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>
        <v>-3.8</v>
      </c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>
        <v>1.8</v>
      </c>
      <c r="PO15" s="23"/>
      <c r="PP15" s="23"/>
      <c r="PQ15" s="23"/>
      <c r="PR15" s="23"/>
      <c r="PS15" s="23"/>
      <c r="PT15" s="23"/>
      <c r="PU15" s="23"/>
      <c r="PV15" s="23"/>
      <c r="PW15" s="23"/>
      <c r="PX15" s="23"/>
      <c r="PY15" s="23"/>
      <c r="PZ15" s="23"/>
      <c r="QA15" s="23"/>
      <c r="QB15" s="23"/>
      <c r="QC15" s="23"/>
      <c r="QD15" s="23"/>
      <c r="QE15" s="23"/>
      <c r="QF15" s="23"/>
      <c r="QG15" s="23"/>
      <c r="QH15" s="23"/>
      <c r="QI15" s="23"/>
      <c r="QJ15" s="23"/>
      <c r="QK15" s="23"/>
      <c r="QL15" s="23"/>
      <c r="QM15" s="23"/>
      <c r="QN15" s="23"/>
      <c r="QO15" s="23"/>
      <c r="QP15" s="23"/>
      <c r="QQ15" s="23"/>
      <c r="QR15" s="23"/>
      <c r="QS15" s="23">
        <v>1.7</v>
      </c>
      <c r="QT15" s="23"/>
      <c r="QU15" s="23"/>
      <c r="QV15" s="23"/>
      <c r="QW15" s="23"/>
      <c r="QX15" s="23"/>
      <c r="QY15" s="23"/>
      <c r="QZ15" s="23"/>
      <c r="RA15" s="23"/>
      <c r="RB15" s="23"/>
      <c r="RC15" s="23"/>
      <c r="RD15" s="23"/>
      <c r="RE15" s="23"/>
      <c r="RF15" s="23"/>
      <c r="RG15" s="23"/>
      <c r="RH15" s="23"/>
      <c r="RI15" s="23"/>
      <c r="RJ15" s="23"/>
      <c r="RK15" s="23"/>
      <c r="RL15" s="23"/>
      <c r="RM15" s="23"/>
      <c r="RN15" s="23"/>
      <c r="RO15" s="23"/>
      <c r="RP15" s="23"/>
      <c r="RQ15" s="23"/>
      <c r="RR15" s="23"/>
      <c r="RS15" s="23"/>
      <c r="RT15" s="23"/>
      <c r="RU15" s="23"/>
      <c r="RV15" s="23"/>
      <c r="RW15" s="23">
        <v>-1.6</v>
      </c>
      <c r="RX15" s="23"/>
      <c r="RY15" s="23"/>
      <c r="RZ15" s="23"/>
      <c r="SA15" s="23"/>
      <c r="SB15" s="23"/>
      <c r="SC15" s="23"/>
      <c r="SD15" s="23"/>
      <c r="SE15" s="23"/>
      <c r="SF15" s="23"/>
      <c r="SG15" s="23"/>
      <c r="SH15" s="23"/>
      <c r="SI15" s="23"/>
      <c r="SJ15" s="23"/>
      <c r="SK15" s="23"/>
      <c r="SL15" s="23"/>
      <c r="SM15" s="23"/>
      <c r="SN15" s="23"/>
      <c r="SO15" s="23"/>
      <c r="SP15" s="23"/>
      <c r="SQ15" s="23"/>
      <c r="SR15" s="23"/>
      <c r="SS15" s="23"/>
      <c r="ST15" s="23"/>
      <c r="SU15" s="23"/>
      <c r="SV15" s="23"/>
      <c r="SW15" s="23"/>
      <c r="SX15" s="23"/>
      <c r="SY15" s="23"/>
      <c r="SZ15" s="23"/>
      <c r="TA15" s="23"/>
      <c r="TB15" s="23">
        <v>-4.1</v>
      </c>
      <c r="TC15" s="23"/>
      <c r="TD15" s="23"/>
      <c r="TE15" s="23"/>
      <c r="TF15" s="23"/>
      <c r="TG15" s="23"/>
      <c r="TH15" s="23"/>
      <c r="TI15" s="23"/>
      <c r="TJ15" s="23"/>
      <c r="TK15" s="23"/>
      <c r="TL15" s="23"/>
      <c r="TM15" s="23"/>
      <c r="TN15" s="23"/>
      <c r="TO15" s="23"/>
      <c r="TP15" s="23"/>
      <c r="TQ15" s="23"/>
      <c r="TR15" s="23"/>
      <c r="TS15" s="23"/>
      <c r="TT15" s="23"/>
      <c r="TU15" s="23"/>
      <c r="TV15" s="23"/>
      <c r="TW15" s="23"/>
      <c r="TX15" s="23"/>
      <c r="TY15" s="23"/>
      <c r="TZ15" s="23"/>
      <c r="UA15" s="23"/>
      <c r="UB15" s="23"/>
      <c r="UC15" s="23"/>
      <c r="UD15" s="23"/>
      <c r="UE15" s="23"/>
      <c r="UF15" s="23"/>
      <c r="UG15" s="23"/>
      <c r="UH15" s="23"/>
      <c r="UI15" s="23"/>
      <c r="UJ15" s="23"/>
      <c r="UK15" s="23"/>
      <c r="UL15" s="23"/>
      <c r="UM15" s="23"/>
      <c r="UN15" s="23"/>
      <c r="UO15" s="23"/>
      <c r="UP15" s="23"/>
      <c r="UQ15" s="23"/>
      <c r="UR15" s="23"/>
      <c r="US15" s="23"/>
      <c r="UT15" s="23"/>
    </row>
    <row r="16" ht="16.5" customHeight="1" spans="1:566">
      <c r="D16" s="19" t="s">
        <v>176</v>
      </c>
      <c r="E16" s="21" t="s">
        <v>177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>
        <v>9</v>
      </c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  <c r="BZ16" s="23"/>
      <c r="CA16" s="23"/>
      <c r="CB16" s="23"/>
      <c r="CC16" s="23"/>
      <c r="CD16" s="23"/>
      <c r="CE16" s="23"/>
      <c r="CF16" s="23"/>
      <c r="CG16" s="23"/>
      <c r="CH16" s="23"/>
      <c r="CI16" s="23"/>
      <c r="CJ16" s="23"/>
      <c r="CK16" s="23"/>
      <c r="CL16" s="23"/>
      <c r="CM16" s="23"/>
      <c r="CN16" s="23"/>
      <c r="CO16" s="23"/>
      <c r="CP16" s="23"/>
      <c r="CQ16" s="23"/>
      <c r="CR16" s="23">
        <v>9.1</v>
      </c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>
        <v>8.8</v>
      </c>
      <c r="DW16" s="23"/>
      <c r="DX16" s="23"/>
      <c r="DY16" s="23"/>
      <c r="DZ16" s="23"/>
      <c r="EA16" s="23"/>
      <c r="EB16" s="23"/>
      <c r="EC16" s="23"/>
      <c r="ED16" s="23"/>
      <c r="EE16" s="23"/>
      <c r="EF16" s="23"/>
      <c r="EG16" s="23"/>
      <c r="EH16" s="23"/>
      <c r="EI16" s="23"/>
      <c r="EJ16" s="23"/>
      <c r="EK16" s="23"/>
      <c r="EL16" s="23"/>
      <c r="EM16" s="23"/>
      <c r="EN16" s="23"/>
      <c r="EO16" s="23"/>
      <c r="EP16" s="23"/>
      <c r="EQ16" s="23"/>
      <c r="ER16" s="23"/>
      <c r="ES16" s="23"/>
      <c r="ET16" s="23"/>
      <c r="EU16" s="23"/>
      <c r="EV16" s="23"/>
      <c r="EW16" s="23"/>
      <c r="EX16" s="23"/>
      <c r="EY16" s="23"/>
      <c r="EZ16" s="23"/>
      <c r="FA16" s="23">
        <v>8.5</v>
      </c>
      <c r="FB16" s="23"/>
      <c r="FC16" s="23"/>
      <c r="FD16" s="23"/>
      <c r="FE16" s="23"/>
      <c r="FF16" s="23"/>
      <c r="FG16" s="23"/>
      <c r="FH16" s="23"/>
      <c r="FI16" s="23"/>
      <c r="FJ16" s="23"/>
      <c r="FK16" s="23"/>
      <c r="FL16" s="23"/>
      <c r="FM16" s="23"/>
      <c r="FN16" s="23"/>
      <c r="FO16" s="23"/>
      <c r="FP16" s="23"/>
      <c r="FQ16" s="23"/>
      <c r="FR16" s="23"/>
      <c r="FS16" s="23"/>
      <c r="FT16" s="23"/>
      <c r="FU16" s="23"/>
      <c r="FV16" s="23"/>
      <c r="FW16" s="23"/>
      <c r="FX16" s="23"/>
      <c r="FY16" s="23"/>
      <c r="FZ16" s="23"/>
      <c r="GA16" s="23"/>
      <c r="GB16" s="23"/>
      <c r="GC16" s="23"/>
      <c r="GD16" s="23"/>
      <c r="GE16" s="23">
        <v>7.5</v>
      </c>
      <c r="GF16" s="23"/>
      <c r="GG16" s="23"/>
      <c r="GH16" s="23"/>
      <c r="GI16" s="23"/>
      <c r="GJ16" s="23"/>
      <c r="GK16" s="23"/>
      <c r="GL16" s="23"/>
      <c r="GM16" s="23"/>
      <c r="GN16" s="23"/>
      <c r="GO16" s="23"/>
      <c r="GP16" s="23"/>
      <c r="GQ16" s="23"/>
      <c r="GR16" s="23"/>
      <c r="GS16" s="23"/>
      <c r="GT16" s="23"/>
      <c r="GU16" s="23"/>
      <c r="GV16" s="23"/>
      <c r="GW16" s="23"/>
      <c r="GX16" s="23"/>
      <c r="GY16" s="23"/>
      <c r="GZ16" s="23"/>
      <c r="HA16" s="23"/>
      <c r="HB16" s="23"/>
      <c r="HC16" s="23"/>
      <c r="HD16" s="23"/>
      <c r="HE16" s="23"/>
      <c r="HF16" s="23"/>
      <c r="HG16" s="23"/>
      <c r="HH16" s="23"/>
      <c r="HI16" s="23"/>
      <c r="HJ16" s="23">
        <v>6.2</v>
      </c>
      <c r="HK16" s="23"/>
      <c r="HL16" s="23"/>
      <c r="HM16" s="23"/>
      <c r="HN16" s="23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>
        <v>5.1</v>
      </c>
      <c r="IP16" s="31"/>
      <c r="IQ16" s="31"/>
      <c r="IR16" s="31"/>
      <c r="IS16" s="31"/>
      <c r="IT16" s="31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  <c r="JN16" s="31"/>
      <c r="JO16" s="31"/>
      <c r="JP16" s="31"/>
      <c r="JQ16" s="31"/>
      <c r="JR16" s="31"/>
      <c r="JS16" s="31">
        <v>4</v>
      </c>
      <c r="JT16" s="31"/>
      <c r="JU16" s="31"/>
      <c r="JV16" s="31"/>
      <c r="JW16" s="31"/>
      <c r="JX16" s="31"/>
      <c r="JY16" s="31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>
        <v>2.7</v>
      </c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>
        <v>1.9</v>
      </c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>
        <v>0.6</v>
      </c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>
        <v>3.1</v>
      </c>
      <c r="PO16" s="23"/>
      <c r="PP16" s="23"/>
      <c r="PQ16" s="23"/>
      <c r="PR16" s="23"/>
      <c r="PS16" s="23"/>
      <c r="PT16" s="23"/>
      <c r="PU16" s="23"/>
      <c r="PV16" s="23"/>
      <c r="PW16" s="23"/>
      <c r="PX16" s="23"/>
      <c r="PY16" s="23"/>
      <c r="PZ16" s="23"/>
      <c r="QA16" s="23"/>
      <c r="QB16" s="23"/>
      <c r="QC16" s="23"/>
      <c r="QD16" s="23"/>
      <c r="QE16" s="23"/>
      <c r="QF16" s="23"/>
      <c r="QG16" s="23"/>
      <c r="QH16" s="23"/>
      <c r="QI16" s="23"/>
      <c r="QJ16" s="23"/>
      <c r="QK16" s="23"/>
      <c r="QL16" s="23"/>
      <c r="QM16" s="23"/>
      <c r="QN16" s="23"/>
      <c r="QO16" s="23"/>
      <c r="QP16" s="23"/>
      <c r="QQ16" s="23"/>
      <c r="QR16" s="23"/>
      <c r="QS16" s="23">
        <v>4.1</v>
      </c>
      <c r="QT16" s="23"/>
      <c r="QU16" s="23"/>
      <c r="QV16" s="23"/>
      <c r="QW16" s="23"/>
      <c r="QX16" s="23"/>
      <c r="QY16" s="23"/>
      <c r="QZ16" s="23"/>
      <c r="RA16" s="23"/>
      <c r="RB16" s="23"/>
      <c r="RC16" s="23"/>
      <c r="RD16" s="23"/>
      <c r="RE16" s="23"/>
      <c r="RF16" s="23"/>
      <c r="RG16" s="23"/>
      <c r="RH16" s="23"/>
      <c r="RI16" s="23"/>
      <c r="RJ16" s="23"/>
      <c r="RK16" s="23"/>
      <c r="RL16" s="23"/>
      <c r="RM16" s="23"/>
      <c r="RN16" s="23"/>
      <c r="RO16" s="23"/>
      <c r="RP16" s="23"/>
      <c r="RQ16" s="23"/>
      <c r="RR16" s="23"/>
      <c r="RS16" s="23"/>
      <c r="RT16" s="23"/>
      <c r="RU16" s="23"/>
      <c r="RV16" s="23"/>
      <c r="RW16" s="23">
        <v>1.2</v>
      </c>
      <c r="RX16" s="23"/>
      <c r="RY16" s="23"/>
      <c r="RZ16" s="23"/>
      <c r="SA16" s="23"/>
      <c r="SB16" s="23"/>
      <c r="SC16" s="23"/>
      <c r="SD16" s="23"/>
      <c r="SE16" s="23"/>
      <c r="SF16" s="23"/>
      <c r="SG16" s="23"/>
      <c r="SH16" s="23"/>
      <c r="SI16" s="23"/>
      <c r="SJ16" s="23"/>
      <c r="SK16" s="23"/>
      <c r="SL16" s="23"/>
      <c r="SM16" s="23"/>
      <c r="SN16" s="23"/>
      <c r="SO16" s="23"/>
      <c r="SP16" s="23"/>
      <c r="SQ16" s="23"/>
      <c r="SR16" s="23"/>
      <c r="SS16" s="23"/>
      <c r="ST16" s="23"/>
      <c r="SU16" s="23"/>
      <c r="SV16" s="23"/>
      <c r="SW16" s="23"/>
      <c r="SX16" s="23"/>
      <c r="SY16" s="23"/>
      <c r="SZ16" s="23"/>
      <c r="TA16" s="23"/>
      <c r="TB16" s="23">
        <v>-0.4</v>
      </c>
      <c r="TC16" s="23"/>
      <c r="TD16" s="23"/>
      <c r="TE16" s="23"/>
      <c r="TF16" s="23"/>
      <c r="TG16" s="23"/>
      <c r="TH16" s="23"/>
      <c r="TI16" s="23"/>
      <c r="TJ16" s="23"/>
      <c r="TK16" s="23"/>
      <c r="TL16" s="23"/>
      <c r="TM16" s="23"/>
      <c r="TN16" s="23"/>
      <c r="TO16" s="23"/>
      <c r="TP16" s="23"/>
      <c r="TQ16" s="23"/>
      <c r="TR16" s="23"/>
      <c r="TS16" s="23"/>
      <c r="TT16" s="23"/>
      <c r="TU16" s="23"/>
      <c r="TV16" s="23"/>
      <c r="TW16" s="23"/>
      <c r="TX16" s="23"/>
      <c r="TY16" s="23"/>
      <c r="TZ16" s="23"/>
      <c r="UA16" s="23"/>
      <c r="UB16" s="23"/>
      <c r="UC16" s="23"/>
      <c r="UD16" s="23"/>
      <c r="UE16" s="23"/>
      <c r="UF16" s="23"/>
      <c r="UG16" s="23"/>
      <c r="UH16" s="23"/>
      <c r="UI16" s="23"/>
      <c r="UJ16" s="23"/>
      <c r="UK16" s="23"/>
      <c r="UL16" s="23"/>
      <c r="UM16" s="23"/>
      <c r="UN16" s="23"/>
      <c r="UO16" s="23"/>
      <c r="UP16" s="23"/>
      <c r="UQ16" s="23"/>
      <c r="UR16" s="23"/>
      <c r="US16" s="23"/>
      <c r="UT16" s="23"/>
    </row>
    <row r="17" ht="16.5" customHeight="1" spans="4:566">
      <c r="D17" s="19" t="s">
        <v>178</v>
      </c>
      <c r="E17" s="21" t="s">
        <v>179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>
        <v>9.95</v>
      </c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>
        <v>11.5</v>
      </c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3"/>
      <c r="DV17" s="23">
        <v>10.85</v>
      </c>
      <c r="DW17" s="23"/>
      <c r="DX17" s="23"/>
      <c r="DY17" s="23"/>
      <c r="DZ17" s="23"/>
      <c r="EA17" s="23"/>
      <c r="EB17" s="23"/>
      <c r="EC17" s="23"/>
      <c r="ED17" s="23"/>
      <c r="EE17" s="23"/>
      <c r="EF17" s="23"/>
      <c r="EG17" s="23"/>
      <c r="EH17" s="23"/>
      <c r="EI17" s="23"/>
      <c r="EJ17" s="23"/>
      <c r="EK17" s="23"/>
      <c r="EL17" s="23"/>
      <c r="EM17" s="23"/>
      <c r="EN17" s="23"/>
      <c r="EO17" s="23"/>
      <c r="EP17" s="23"/>
      <c r="EQ17" s="23"/>
      <c r="ER17" s="23"/>
      <c r="ES17" s="23"/>
      <c r="ET17" s="23"/>
      <c r="EU17" s="23"/>
      <c r="EV17" s="23"/>
      <c r="EW17" s="23"/>
      <c r="EX17" s="23"/>
      <c r="EY17" s="23"/>
      <c r="EZ17" s="23"/>
      <c r="FA17" s="23">
        <v>10.42</v>
      </c>
      <c r="FB17" s="23"/>
      <c r="FC17" s="23"/>
      <c r="FD17" s="23"/>
      <c r="FE17" s="23"/>
      <c r="FF17" s="23"/>
      <c r="FG17" s="23"/>
      <c r="FH17" s="23"/>
      <c r="FI17" s="23"/>
      <c r="FJ17" s="23"/>
      <c r="FK17" s="23"/>
      <c r="FL17" s="23"/>
      <c r="FM17" s="23"/>
      <c r="FN17" s="23"/>
      <c r="FO17" s="23"/>
      <c r="FP17" s="23"/>
      <c r="FQ17" s="23"/>
      <c r="FR17" s="23"/>
      <c r="FS17" s="23"/>
      <c r="FT17" s="23"/>
      <c r="FU17" s="23"/>
      <c r="FV17" s="23"/>
      <c r="FW17" s="23"/>
      <c r="FX17" s="23"/>
      <c r="FY17" s="23"/>
      <c r="FZ17" s="23"/>
      <c r="GA17" s="23"/>
      <c r="GB17" s="23"/>
      <c r="GC17" s="23"/>
      <c r="GD17" s="23"/>
      <c r="GE17" s="23">
        <v>8.9</v>
      </c>
      <c r="GF17" s="23"/>
      <c r="GG17" s="23"/>
      <c r="GH17" s="23"/>
      <c r="GI17" s="23"/>
      <c r="GJ17" s="23"/>
      <c r="GK17" s="23"/>
      <c r="GL17" s="23"/>
      <c r="GM17" s="23"/>
      <c r="GN17" s="23"/>
      <c r="GO17" s="23"/>
      <c r="GP17" s="23"/>
      <c r="GQ17" s="23"/>
      <c r="GR17" s="23"/>
      <c r="GS17" s="23"/>
      <c r="GT17" s="23"/>
      <c r="GU17" s="23"/>
      <c r="GV17" s="23"/>
      <c r="GW17" s="23"/>
      <c r="GX17" s="23"/>
      <c r="GY17" s="23"/>
      <c r="GZ17" s="23"/>
      <c r="HA17" s="23"/>
      <c r="HB17" s="23"/>
      <c r="HC17" s="23"/>
      <c r="HD17" s="23"/>
      <c r="HE17" s="23"/>
      <c r="HF17" s="23"/>
      <c r="HG17" s="23"/>
      <c r="HH17" s="23"/>
      <c r="HI17" s="23"/>
      <c r="HJ17" s="23">
        <v>7.29</v>
      </c>
      <c r="HK17" s="23"/>
      <c r="HL17" s="23"/>
      <c r="HM17" s="23"/>
      <c r="HN17" s="23"/>
      <c r="HO17" s="23"/>
      <c r="HP17" s="23"/>
      <c r="HQ17" s="23"/>
      <c r="HR17" s="23"/>
      <c r="HS17" s="23"/>
      <c r="HT17" s="23"/>
      <c r="HU17" s="23"/>
      <c r="HV17" s="23"/>
      <c r="HW17" s="23"/>
      <c r="HX17" s="23"/>
      <c r="HY17" s="23"/>
      <c r="HZ17" s="23"/>
      <c r="IA17" s="23"/>
      <c r="IB17" s="23"/>
      <c r="IC17" s="23"/>
      <c r="ID17" s="23"/>
      <c r="IE17" s="23"/>
      <c r="IF17" s="23"/>
      <c r="IG17" s="23"/>
      <c r="IH17" s="23"/>
      <c r="II17" s="23"/>
      <c r="IJ17" s="23"/>
      <c r="IK17" s="23"/>
      <c r="IL17" s="23"/>
      <c r="IM17" s="23"/>
      <c r="IN17" s="23"/>
      <c r="IO17" s="23">
        <v>5.42</v>
      </c>
      <c r="IP17" s="31"/>
      <c r="IQ17" s="31"/>
      <c r="IR17" s="31"/>
      <c r="IS17" s="31"/>
      <c r="IT17" s="31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  <c r="JN17" s="31"/>
      <c r="JO17" s="31"/>
      <c r="JP17" s="31"/>
      <c r="JQ17" s="31"/>
      <c r="JR17" s="31"/>
      <c r="JS17" s="31">
        <v>3.34</v>
      </c>
      <c r="JT17" s="31"/>
      <c r="JU17" s="31"/>
      <c r="JV17" s="31"/>
      <c r="JW17" s="31"/>
      <c r="JX17" s="31"/>
      <c r="JY17" s="31"/>
      <c r="JZ17" s="23"/>
      <c r="KA17" s="23"/>
      <c r="KB17" s="23"/>
      <c r="KC17" s="23"/>
      <c r="KD17" s="23"/>
      <c r="KE17" s="23"/>
      <c r="KF17" s="23"/>
      <c r="KG17" s="23"/>
      <c r="KH17" s="23"/>
      <c r="KI17" s="23"/>
      <c r="KJ17" s="23"/>
      <c r="KK17" s="23"/>
      <c r="KL17" s="23"/>
      <c r="KM17" s="23"/>
      <c r="KN17" s="23"/>
      <c r="KO17" s="23"/>
      <c r="KP17" s="23"/>
      <c r="KQ17" s="23"/>
      <c r="KR17" s="23"/>
      <c r="KS17" s="23"/>
      <c r="KT17" s="23"/>
      <c r="KU17" s="23"/>
      <c r="KV17" s="23"/>
      <c r="KW17" s="23"/>
      <c r="KX17" s="23">
        <v>1.51</v>
      </c>
      <c r="KY17" s="23"/>
      <c r="KZ17" s="23"/>
      <c r="LA17" s="23"/>
      <c r="LB17" s="23"/>
      <c r="LC17" s="23"/>
      <c r="LD17" s="23"/>
      <c r="LE17" s="23"/>
      <c r="LF17" s="23"/>
      <c r="LG17" s="23"/>
      <c r="LH17" s="23"/>
      <c r="LI17" s="23"/>
      <c r="LJ17" s="23"/>
      <c r="LK17" s="23"/>
      <c r="LL17" s="23"/>
      <c r="LM17" s="23"/>
      <c r="LN17" s="23"/>
      <c r="LO17" s="23"/>
      <c r="LP17" s="23"/>
      <c r="LQ17" s="23"/>
      <c r="LR17" s="23"/>
      <c r="LS17" s="23"/>
      <c r="LT17" s="23"/>
      <c r="LU17" s="23"/>
      <c r="LV17" s="23"/>
      <c r="LW17" s="23"/>
      <c r="LX17" s="23"/>
      <c r="LY17" s="23"/>
      <c r="LZ17" s="23"/>
      <c r="MA17" s="23"/>
      <c r="MB17" s="23">
        <v>0.13</v>
      </c>
      <c r="MC17" s="23"/>
      <c r="MD17" s="23"/>
      <c r="ME17" s="23"/>
      <c r="MF17" s="23"/>
      <c r="MG17" s="23"/>
      <c r="MH17" s="23"/>
      <c r="MI17" s="23"/>
      <c r="MJ17" s="23"/>
      <c r="MK17" s="23"/>
      <c r="ML17" s="23"/>
      <c r="MM17" s="23"/>
      <c r="MN17" s="23"/>
      <c r="MO17" s="23"/>
      <c r="MP17" s="23"/>
      <c r="MQ17" s="23"/>
      <c r="MR17" s="23"/>
      <c r="MS17" s="23"/>
      <c r="MT17" s="23"/>
      <c r="MU17" s="23"/>
      <c r="MV17" s="23"/>
      <c r="MW17" s="23"/>
      <c r="MX17" s="23"/>
      <c r="MY17" s="23"/>
      <c r="MZ17" s="23"/>
      <c r="NA17" s="23"/>
      <c r="NB17" s="23"/>
      <c r="NC17" s="23"/>
      <c r="ND17" s="23"/>
      <c r="NE17" s="23"/>
      <c r="NF17" s="23"/>
      <c r="NG17" s="23">
        <v>-1.48</v>
      </c>
      <c r="NH17" s="23"/>
      <c r="NI17" s="23"/>
      <c r="NJ17" s="23"/>
      <c r="NK17" s="23"/>
      <c r="NL17" s="23"/>
      <c r="NM17" s="23"/>
      <c r="NN17" s="23"/>
      <c r="NO17" s="23"/>
      <c r="NP17" s="23"/>
      <c r="NQ17" s="23"/>
      <c r="NR17" s="23"/>
      <c r="NS17" s="23"/>
      <c r="NT17" s="23"/>
      <c r="NU17" s="23"/>
      <c r="NV17" s="23"/>
      <c r="NW17" s="23"/>
      <c r="NX17" s="23"/>
      <c r="NY17" s="23"/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/>
      <c r="OL17" s="23"/>
      <c r="OM17" s="23"/>
      <c r="ON17" s="23"/>
      <c r="OO17" s="23"/>
      <c r="OP17" s="23"/>
      <c r="OQ17" s="23"/>
      <c r="OR17" s="23"/>
      <c r="OS17" s="23"/>
      <c r="OT17" s="23"/>
      <c r="OU17" s="23"/>
      <c r="OV17" s="23"/>
      <c r="OW17" s="23"/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>
        <v>9.76</v>
      </c>
      <c r="PO17" s="23"/>
      <c r="PP17" s="23"/>
      <c r="PQ17" s="23"/>
      <c r="PR17" s="23"/>
      <c r="PS17" s="23"/>
      <c r="PT17" s="23"/>
      <c r="PU17" s="23"/>
      <c r="PV17" s="23"/>
      <c r="PW17" s="23"/>
      <c r="PX17" s="23"/>
      <c r="PY17" s="23"/>
      <c r="PZ17" s="23"/>
      <c r="QA17" s="23"/>
      <c r="QB17" s="23"/>
      <c r="QC17" s="23"/>
      <c r="QD17" s="23"/>
      <c r="QE17" s="23"/>
      <c r="QF17" s="23"/>
      <c r="QG17" s="23"/>
      <c r="QH17" s="23"/>
      <c r="QI17" s="23"/>
      <c r="QJ17" s="23"/>
      <c r="QK17" s="23"/>
      <c r="QL17" s="23"/>
      <c r="QM17" s="23"/>
      <c r="QN17" s="23"/>
      <c r="QO17" s="23"/>
      <c r="QP17" s="23"/>
      <c r="QQ17" s="23"/>
      <c r="QR17" s="23"/>
      <c r="QS17" s="23">
        <v>9.24</v>
      </c>
      <c r="QT17" s="23"/>
      <c r="QU17" s="23"/>
      <c r="QV17" s="23"/>
      <c r="QW17" s="23"/>
      <c r="QX17" s="23"/>
      <c r="QY17" s="23"/>
      <c r="QZ17" s="23"/>
      <c r="RA17" s="23"/>
      <c r="RB17" s="23"/>
      <c r="RC17" s="23"/>
      <c r="RD17" s="23"/>
      <c r="RE17" s="23"/>
      <c r="RF17" s="23"/>
      <c r="RG17" s="23"/>
      <c r="RH17" s="23"/>
      <c r="RI17" s="23"/>
      <c r="RJ17" s="23"/>
      <c r="RK17" s="23"/>
      <c r="RL17" s="23"/>
      <c r="RM17" s="23"/>
      <c r="RN17" s="23"/>
      <c r="RO17" s="23"/>
      <c r="RP17" s="23"/>
      <c r="RQ17" s="23"/>
      <c r="RR17" s="23"/>
      <c r="RS17" s="23"/>
      <c r="RT17" s="23"/>
      <c r="RU17" s="23"/>
      <c r="RV17" s="23"/>
      <c r="RW17" s="23">
        <v>4.92</v>
      </c>
      <c r="RX17" s="23"/>
      <c r="RY17" s="23"/>
      <c r="RZ17" s="23"/>
      <c r="SA17" s="23"/>
      <c r="SB17" s="23"/>
      <c r="SC17" s="23"/>
      <c r="SD17" s="23"/>
      <c r="SE17" s="23"/>
      <c r="SF17" s="23"/>
      <c r="SG17" s="23"/>
      <c r="SH17" s="23"/>
      <c r="SI17" s="23"/>
      <c r="SJ17" s="23"/>
      <c r="SK17" s="23"/>
      <c r="SL17" s="23"/>
      <c r="SM17" s="23"/>
      <c r="SN17" s="23"/>
      <c r="SO17" s="23"/>
      <c r="SP17" s="23"/>
      <c r="SQ17" s="23"/>
      <c r="SR17" s="23"/>
      <c r="SS17" s="23"/>
      <c r="ST17" s="23"/>
      <c r="SU17" s="23"/>
      <c r="SV17" s="23"/>
      <c r="SW17" s="23"/>
      <c r="SX17" s="23"/>
      <c r="SY17" s="23"/>
      <c r="SZ17" s="23"/>
      <c r="TA17" s="23"/>
      <c r="TB17" s="23">
        <v>0.75</v>
      </c>
      <c r="TC17" s="23"/>
      <c r="TD17" s="23"/>
      <c r="TE17" s="23"/>
      <c r="TF17" s="23"/>
      <c r="TG17" s="23"/>
      <c r="TH17" s="23"/>
      <c r="TI17" s="23"/>
      <c r="TJ17" s="23"/>
      <c r="TK17" s="23"/>
      <c r="TL17" s="23"/>
      <c r="TM17" s="23"/>
      <c r="TN17" s="23"/>
      <c r="TO17" s="23"/>
      <c r="TP17" s="23"/>
      <c r="TQ17" s="23"/>
      <c r="TR17" s="23"/>
      <c r="TS17" s="23"/>
      <c r="TT17" s="23"/>
      <c r="TU17" s="23"/>
      <c r="TV17" s="23"/>
      <c r="TW17" s="23"/>
      <c r="TX17" s="23"/>
      <c r="TY17" s="23"/>
      <c r="TZ17" s="23"/>
      <c r="UA17" s="23"/>
      <c r="UB17" s="23"/>
      <c r="UC17" s="23"/>
      <c r="UD17" s="23"/>
      <c r="UE17" s="23"/>
      <c r="UF17" s="23"/>
      <c r="UG17" s="23"/>
      <c r="UH17" s="23"/>
      <c r="UI17" s="23"/>
      <c r="UJ17" s="23"/>
      <c r="UK17" s="23"/>
      <c r="UL17" s="23"/>
      <c r="UM17" s="23"/>
      <c r="UN17" s="23"/>
      <c r="UO17" s="23"/>
      <c r="UP17" s="23"/>
      <c r="UQ17" s="23"/>
      <c r="UR17" s="23"/>
      <c r="US17" s="23"/>
      <c r="UT17" s="23"/>
    </row>
    <row r="18" ht="16.5" customHeight="1" spans="4:566">
      <c r="D18" s="19" t="s">
        <v>180</v>
      </c>
      <c r="E18" s="21" t="s">
        <v>181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>
        <v>-9.1</v>
      </c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>
        <v>-10</v>
      </c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3"/>
      <c r="DV18" s="23">
        <v>-10.6</v>
      </c>
      <c r="DW18" s="23"/>
      <c r="DX18" s="23"/>
      <c r="DY18" s="23"/>
      <c r="DZ18" s="23"/>
      <c r="EA18" s="23"/>
      <c r="EB18" s="23"/>
      <c r="EC18" s="23"/>
      <c r="ED18" s="23"/>
      <c r="EE18" s="23"/>
      <c r="EF18" s="23"/>
      <c r="EG18" s="23"/>
      <c r="EH18" s="23"/>
      <c r="EI18" s="23"/>
      <c r="EJ18" s="23"/>
      <c r="EK18" s="23"/>
      <c r="EL18" s="23"/>
      <c r="EM18" s="23"/>
      <c r="EN18" s="23"/>
      <c r="EO18" s="23"/>
      <c r="EP18" s="23"/>
      <c r="EQ18" s="23"/>
      <c r="ER18" s="23"/>
      <c r="ES18" s="23"/>
      <c r="ET18" s="23"/>
      <c r="EU18" s="23"/>
      <c r="EV18" s="23"/>
      <c r="EW18" s="23"/>
      <c r="EX18" s="23"/>
      <c r="EY18" s="23"/>
      <c r="EZ18" s="23"/>
      <c r="FA18" s="23">
        <v>-11.1</v>
      </c>
      <c r="FB18" s="23"/>
      <c r="FC18" s="23"/>
      <c r="FD18" s="23"/>
      <c r="FE18" s="23"/>
      <c r="FF18" s="23"/>
      <c r="FG18" s="23"/>
      <c r="FH18" s="23"/>
      <c r="FI18" s="23"/>
      <c r="FJ18" s="23"/>
      <c r="FK18" s="23"/>
      <c r="FL18" s="23"/>
      <c r="FM18" s="23"/>
      <c r="FN18" s="23"/>
      <c r="FO18" s="23"/>
      <c r="FP18" s="23"/>
      <c r="FQ18" s="23"/>
      <c r="FR18" s="23"/>
      <c r="FS18" s="23"/>
      <c r="FT18" s="23"/>
      <c r="FU18" s="23"/>
      <c r="FV18" s="23"/>
      <c r="FW18" s="23"/>
      <c r="FX18" s="23"/>
      <c r="FY18" s="23"/>
      <c r="FZ18" s="23"/>
      <c r="GA18" s="23"/>
      <c r="GB18" s="23"/>
      <c r="GC18" s="23"/>
      <c r="GD18" s="23"/>
      <c r="GE18" s="23">
        <v>-11.5</v>
      </c>
      <c r="GF18" s="23"/>
      <c r="GG18" s="23"/>
      <c r="GH18" s="23"/>
      <c r="GI18" s="23"/>
      <c r="GJ18" s="23"/>
      <c r="GK18" s="23"/>
      <c r="GL18" s="23"/>
      <c r="GM18" s="23"/>
      <c r="GN18" s="23"/>
      <c r="GO18" s="23"/>
      <c r="GP18" s="23"/>
      <c r="GQ18" s="23"/>
      <c r="GR18" s="23"/>
      <c r="GS18" s="23"/>
      <c r="GT18" s="23"/>
      <c r="GU18" s="23"/>
      <c r="GV18" s="23"/>
      <c r="GW18" s="23"/>
      <c r="GX18" s="23"/>
      <c r="GY18" s="23"/>
      <c r="GZ18" s="23"/>
      <c r="HA18" s="23"/>
      <c r="HB18" s="23"/>
      <c r="HC18" s="23"/>
      <c r="HD18" s="23"/>
      <c r="HE18" s="23"/>
      <c r="HF18" s="23"/>
      <c r="HG18" s="23"/>
      <c r="HH18" s="23"/>
      <c r="HI18" s="23"/>
      <c r="HJ18" s="23">
        <v>-12.4</v>
      </c>
      <c r="HK18" s="23"/>
      <c r="HL18" s="23"/>
      <c r="HM18" s="23"/>
      <c r="HN18" s="23"/>
      <c r="HO18" s="23"/>
      <c r="HP18" s="23"/>
      <c r="HQ18" s="23"/>
      <c r="HR18" s="23"/>
      <c r="HS18" s="23"/>
      <c r="HT18" s="23"/>
      <c r="HU18" s="23"/>
      <c r="HV18" s="23"/>
      <c r="HW18" s="23"/>
      <c r="HX18" s="23"/>
      <c r="HY18" s="23"/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>
        <v>-13.2</v>
      </c>
      <c r="IP18" s="31"/>
      <c r="IQ18" s="31"/>
      <c r="IR18" s="31"/>
      <c r="IS18" s="31"/>
      <c r="IT18" s="31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  <c r="JN18" s="31"/>
      <c r="JO18" s="31"/>
      <c r="JP18" s="31"/>
      <c r="JQ18" s="31"/>
      <c r="JR18" s="31"/>
      <c r="JS18" s="31">
        <v>-14</v>
      </c>
      <c r="JT18" s="31"/>
      <c r="JU18" s="31"/>
      <c r="JV18" s="31"/>
      <c r="JW18" s="31"/>
      <c r="JX18" s="31"/>
      <c r="JY18" s="31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>
        <v>-14.9</v>
      </c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>
        <v>-16</v>
      </c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>
        <v>-17.5</v>
      </c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>
        <v>-10.7</v>
      </c>
      <c r="PO18" s="23"/>
      <c r="PP18" s="23"/>
      <c r="PQ18" s="23"/>
      <c r="PR18" s="23"/>
      <c r="PS18" s="23"/>
      <c r="PT18" s="23"/>
      <c r="PU18" s="23"/>
      <c r="PV18" s="23"/>
      <c r="PW18" s="23"/>
      <c r="PX18" s="23"/>
      <c r="PY18" s="23"/>
      <c r="PZ18" s="23"/>
      <c r="QA18" s="23"/>
      <c r="QB18" s="23"/>
      <c r="QC18" s="23"/>
      <c r="QD18" s="23"/>
      <c r="QE18" s="23"/>
      <c r="QF18" s="23"/>
      <c r="QG18" s="23"/>
      <c r="QH18" s="23"/>
      <c r="QI18" s="23"/>
      <c r="QJ18" s="23"/>
      <c r="QK18" s="23"/>
      <c r="QL18" s="23"/>
      <c r="QM18" s="23"/>
      <c r="QN18" s="23"/>
      <c r="QO18" s="23"/>
      <c r="QP18" s="23"/>
      <c r="QQ18" s="23"/>
      <c r="QR18" s="23"/>
      <c r="QS18" s="23">
        <v>-10.6</v>
      </c>
      <c r="QT18" s="23"/>
      <c r="QU18" s="23"/>
      <c r="QV18" s="23"/>
      <c r="QW18" s="23"/>
      <c r="QX18" s="23"/>
      <c r="QY18" s="23"/>
      <c r="QZ18" s="23"/>
      <c r="RA18" s="23"/>
      <c r="RB18" s="23"/>
      <c r="RC18" s="23"/>
      <c r="RD18" s="23"/>
      <c r="RE18" s="23"/>
      <c r="RF18" s="23"/>
      <c r="RG18" s="23"/>
      <c r="RH18" s="23"/>
      <c r="RI18" s="23"/>
      <c r="RJ18" s="23"/>
      <c r="RK18" s="23"/>
      <c r="RL18" s="23"/>
      <c r="RM18" s="23"/>
      <c r="RN18" s="23"/>
      <c r="RO18" s="23"/>
      <c r="RP18" s="23"/>
      <c r="RQ18" s="23"/>
      <c r="RR18" s="23"/>
      <c r="RS18" s="23"/>
      <c r="RT18" s="23"/>
      <c r="RU18" s="23"/>
      <c r="RV18" s="23"/>
      <c r="RW18" s="23">
        <v>-13.4</v>
      </c>
      <c r="RX18" s="23"/>
      <c r="RY18" s="23"/>
      <c r="RZ18" s="23"/>
      <c r="SA18" s="23"/>
      <c r="SB18" s="23"/>
      <c r="SC18" s="23"/>
      <c r="SD18" s="23"/>
      <c r="SE18" s="23"/>
      <c r="SF18" s="23"/>
      <c r="SG18" s="23"/>
      <c r="SH18" s="23"/>
      <c r="SI18" s="23"/>
      <c r="SJ18" s="23"/>
      <c r="SK18" s="23"/>
      <c r="SL18" s="23"/>
      <c r="SM18" s="23"/>
      <c r="SN18" s="23"/>
      <c r="SO18" s="23"/>
      <c r="SP18" s="23"/>
      <c r="SQ18" s="23"/>
      <c r="SR18" s="23"/>
      <c r="SS18" s="23"/>
      <c r="ST18" s="23"/>
      <c r="SU18" s="23"/>
      <c r="SV18" s="23"/>
      <c r="SW18" s="23"/>
      <c r="SX18" s="23"/>
      <c r="SY18" s="23"/>
      <c r="SZ18" s="23"/>
      <c r="TA18" s="23"/>
      <c r="TB18" s="23">
        <v>-15.9</v>
      </c>
      <c r="TC18" s="23"/>
      <c r="TD18" s="23"/>
      <c r="TE18" s="23"/>
      <c r="TF18" s="23"/>
      <c r="TG18" s="23"/>
      <c r="TH18" s="23"/>
      <c r="TI18" s="23"/>
      <c r="TJ18" s="23"/>
      <c r="TK18" s="23"/>
      <c r="TL18" s="23"/>
      <c r="TM18" s="23"/>
      <c r="TN18" s="23"/>
      <c r="TO18" s="23"/>
      <c r="TP18" s="23"/>
      <c r="TQ18" s="23"/>
      <c r="TR18" s="23"/>
      <c r="TS18" s="23"/>
      <c r="TT18" s="23"/>
      <c r="TU18" s="23"/>
      <c r="TV18" s="23"/>
      <c r="TW18" s="23"/>
      <c r="TX18" s="23"/>
      <c r="TY18" s="23"/>
      <c r="TZ18" s="23"/>
      <c r="UA18" s="23"/>
      <c r="UB18" s="23"/>
      <c r="UC18" s="23"/>
      <c r="UD18" s="23"/>
      <c r="UE18" s="23"/>
      <c r="UF18" s="23"/>
      <c r="UG18" s="23"/>
      <c r="UH18" s="23"/>
      <c r="UI18" s="23"/>
      <c r="UJ18" s="23"/>
      <c r="UK18" s="23"/>
      <c r="UL18" s="23"/>
      <c r="UM18" s="23"/>
      <c r="UN18" s="23"/>
      <c r="UO18" s="23"/>
      <c r="UP18" s="23"/>
      <c r="UQ18" s="23"/>
      <c r="UR18" s="23"/>
      <c r="US18" s="23"/>
      <c r="UT18" s="23"/>
    </row>
    <row r="19" ht="16.5" customHeight="1" spans="4:566">
      <c r="D19" s="19" t="s">
        <v>182</v>
      </c>
      <c r="E19" s="21" t="s">
        <v>183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>
        <v>0</v>
      </c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>
        <v>0.4</v>
      </c>
      <c r="CS19" s="23"/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3"/>
      <c r="DV19" s="23">
        <v>0.2</v>
      </c>
      <c r="DW19" s="23"/>
      <c r="DX19" s="23"/>
      <c r="DY19" s="23"/>
      <c r="DZ19" s="23"/>
      <c r="EA19" s="23"/>
      <c r="EB19" s="23"/>
      <c r="EC19" s="23"/>
      <c r="ED19" s="23"/>
      <c r="EE19" s="23"/>
      <c r="EF19" s="23"/>
      <c r="EG19" s="23"/>
      <c r="EH19" s="23"/>
      <c r="EI19" s="23"/>
      <c r="EJ19" s="23"/>
      <c r="EK19" s="23"/>
      <c r="EL19" s="23"/>
      <c r="EM19" s="23"/>
      <c r="EN19" s="23"/>
      <c r="EO19" s="23"/>
      <c r="EP19" s="23"/>
      <c r="EQ19" s="23"/>
      <c r="ER19" s="23"/>
      <c r="ES19" s="23"/>
      <c r="ET19" s="23"/>
      <c r="EU19" s="23"/>
      <c r="EV19" s="23"/>
      <c r="EW19" s="23"/>
      <c r="EX19" s="23"/>
      <c r="EY19" s="23"/>
      <c r="EZ19" s="23"/>
      <c r="FA19" s="23">
        <v>0</v>
      </c>
      <c r="FB19" s="23"/>
      <c r="FC19" s="23"/>
      <c r="FD19" s="23"/>
      <c r="FE19" s="23"/>
      <c r="FF19" s="23"/>
      <c r="FG19" s="23"/>
      <c r="FH19" s="23"/>
      <c r="FI19" s="23"/>
      <c r="FJ19" s="23"/>
      <c r="FK19" s="23"/>
      <c r="FL19" s="23"/>
      <c r="FM19" s="23"/>
      <c r="FN19" s="23"/>
      <c r="FO19" s="23"/>
      <c r="FP19" s="23"/>
      <c r="FQ19" s="23"/>
      <c r="FR19" s="23"/>
      <c r="FS19" s="23"/>
      <c r="FT19" s="23"/>
      <c r="FU19" s="23"/>
      <c r="FV19" s="23"/>
      <c r="FW19" s="23"/>
      <c r="FX19" s="23"/>
      <c r="FY19" s="23"/>
      <c r="FZ19" s="23"/>
      <c r="GA19" s="23"/>
      <c r="GB19" s="23"/>
      <c r="GC19" s="23"/>
      <c r="GD19" s="23"/>
      <c r="GE19" s="23">
        <v>-0.6</v>
      </c>
      <c r="GF19" s="23"/>
      <c r="GG19" s="23"/>
      <c r="GH19" s="23"/>
      <c r="GI19" s="23"/>
      <c r="GJ19" s="23"/>
      <c r="GK19" s="23"/>
      <c r="GL19" s="23"/>
      <c r="GM19" s="23"/>
      <c r="GN19" s="23"/>
      <c r="GO19" s="23"/>
      <c r="GP19" s="23"/>
      <c r="GQ19" s="23"/>
      <c r="GR19" s="23"/>
      <c r="GS19" s="23"/>
      <c r="GT19" s="23"/>
      <c r="GU19" s="23"/>
      <c r="GV19" s="23"/>
      <c r="GW19" s="23"/>
      <c r="GX19" s="23"/>
      <c r="GY19" s="23"/>
      <c r="GZ19" s="23"/>
      <c r="HA19" s="23"/>
      <c r="HB19" s="23"/>
      <c r="HC19" s="23"/>
      <c r="HD19" s="23"/>
      <c r="HE19" s="23"/>
      <c r="HF19" s="23"/>
      <c r="HG19" s="23"/>
      <c r="HH19" s="23"/>
      <c r="HI19" s="23"/>
      <c r="HJ19" s="23">
        <v>-1.5</v>
      </c>
      <c r="HK19" s="23"/>
      <c r="HL19" s="23"/>
      <c r="HM19" s="23"/>
      <c r="HN19" s="23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>
        <v>-2.3</v>
      </c>
      <c r="IP19" s="31"/>
      <c r="IQ19" s="31"/>
      <c r="IR19" s="31"/>
      <c r="IS19" s="31"/>
      <c r="IT19" s="31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  <c r="JN19" s="31"/>
      <c r="JO19" s="31"/>
      <c r="JP19" s="31"/>
      <c r="JQ19" s="31"/>
      <c r="JR19" s="31"/>
      <c r="JS19" s="31">
        <v>-3.1</v>
      </c>
      <c r="JT19" s="31"/>
      <c r="JU19" s="31"/>
      <c r="JV19" s="31"/>
      <c r="JW19" s="31"/>
      <c r="JX19" s="31"/>
      <c r="JY19" s="31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>
        <v>-4.5</v>
      </c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>
        <v>-5.3</v>
      </c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>
        <v>-6.4</v>
      </c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>
        <v>-2.6</v>
      </c>
      <c r="PO19" s="23"/>
      <c r="PP19" s="23"/>
      <c r="PQ19" s="23"/>
      <c r="PR19" s="23"/>
      <c r="PS19" s="23"/>
      <c r="PT19" s="23"/>
      <c r="PU19" s="23"/>
      <c r="PV19" s="23"/>
      <c r="PW19" s="23"/>
      <c r="PX19" s="23"/>
      <c r="PY19" s="23"/>
      <c r="PZ19" s="23"/>
      <c r="QA19" s="23"/>
      <c r="QB19" s="23"/>
      <c r="QC19" s="23"/>
      <c r="QD19" s="23"/>
      <c r="QE19" s="23"/>
      <c r="QF19" s="23"/>
      <c r="QG19" s="23"/>
      <c r="QH19" s="23"/>
      <c r="QI19" s="23"/>
      <c r="QJ19" s="23"/>
      <c r="QK19" s="23"/>
      <c r="QL19" s="23"/>
      <c r="QM19" s="23"/>
      <c r="QN19" s="23"/>
      <c r="QO19" s="23"/>
      <c r="QP19" s="23"/>
      <c r="QQ19" s="23"/>
      <c r="QR19" s="23"/>
      <c r="QS19" s="23">
        <v>-2.2</v>
      </c>
      <c r="QT19" s="23"/>
      <c r="QU19" s="23"/>
      <c r="QV19" s="23"/>
      <c r="QW19" s="23"/>
      <c r="QX19" s="23"/>
      <c r="QY19" s="23"/>
      <c r="QZ19" s="23"/>
      <c r="RA19" s="23"/>
      <c r="RB19" s="23"/>
      <c r="RC19" s="23"/>
      <c r="RD19" s="23"/>
      <c r="RE19" s="23"/>
      <c r="RF19" s="23"/>
      <c r="RG19" s="23"/>
      <c r="RH19" s="23"/>
      <c r="RI19" s="23"/>
      <c r="RJ19" s="23"/>
      <c r="RK19" s="23"/>
      <c r="RL19" s="23"/>
      <c r="RM19" s="23"/>
      <c r="RN19" s="23"/>
      <c r="RO19" s="23"/>
      <c r="RP19" s="23"/>
      <c r="RQ19" s="23"/>
      <c r="RR19" s="23"/>
      <c r="RS19" s="23"/>
      <c r="RT19" s="23"/>
      <c r="RU19" s="23"/>
      <c r="RV19" s="23"/>
      <c r="RW19" s="23">
        <v>-5.2</v>
      </c>
      <c r="RX19" s="23"/>
      <c r="RY19" s="23"/>
      <c r="RZ19" s="23"/>
      <c r="SA19" s="23"/>
      <c r="SB19" s="23"/>
      <c r="SC19" s="23"/>
      <c r="SD19" s="23"/>
      <c r="SE19" s="23"/>
      <c r="SF19" s="23"/>
      <c r="SG19" s="23"/>
      <c r="SH19" s="23"/>
      <c r="SI19" s="23"/>
      <c r="SJ19" s="23"/>
      <c r="SK19" s="23"/>
      <c r="SL19" s="23"/>
      <c r="SM19" s="23"/>
      <c r="SN19" s="23"/>
      <c r="SO19" s="23"/>
      <c r="SP19" s="23"/>
      <c r="SQ19" s="23"/>
      <c r="SR19" s="23"/>
      <c r="SS19" s="23"/>
      <c r="ST19" s="23"/>
      <c r="SU19" s="23"/>
      <c r="SV19" s="23"/>
      <c r="SW19" s="23"/>
      <c r="SX19" s="23"/>
      <c r="SY19" s="23"/>
      <c r="SZ19" s="23"/>
      <c r="TA19" s="23"/>
      <c r="TB19" s="23">
        <v>-7.1</v>
      </c>
      <c r="TC19" s="23"/>
      <c r="TD19" s="23"/>
      <c r="TE19" s="23"/>
      <c r="TF19" s="23"/>
      <c r="TG19" s="23"/>
      <c r="TH19" s="23"/>
      <c r="TI19" s="23"/>
      <c r="TJ19" s="23"/>
      <c r="TK19" s="23"/>
      <c r="TL19" s="23"/>
      <c r="TM19" s="23"/>
      <c r="TN19" s="23"/>
      <c r="TO19" s="23"/>
      <c r="TP19" s="23"/>
      <c r="TQ19" s="23"/>
      <c r="TR19" s="23"/>
      <c r="TS19" s="23"/>
      <c r="TT19" s="23"/>
      <c r="TU19" s="23"/>
      <c r="TV19" s="23"/>
      <c r="TW19" s="23"/>
      <c r="TX19" s="23"/>
      <c r="TY19" s="23"/>
      <c r="TZ19" s="23"/>
      <c r="UA19" s="23"/>
      <c r="UB19" s="23"/>
      <c r="UC19" s="23"/>
      <c r="UD19" s="23"/>
      <c r="UE19" s="23"/>
      <c r="UF19" s="23"/>
      <c r="UG19" s="23"/>
      <c r="UH19" s="23"/>
      <c r="UI19" s="23"/>
      <c r="UJ19" s="23"/>
      <c r="UK19" s="23"/>
      <c r="UL19" s="23"/>
      <c r="UM19" s="23"/>
      <c r="UN19" s="23"/>
      <c r="UO19" s="23"/>
      <c r="UP19" s="23"/>
      <c r="UQ19" s="23"/>
      <c r="UR19" s="23"/>
      <c r="US19" s="23"/>
      <c r="UT19" s="23"/>
    </row>
    <row r="20" ht="16.5" customHeight="1" spans="4:566">
      <c r="D20" s="19" t="s">
        <v>408</v>
      </c>
      <c r="E20" s="21" t="s">
        <v>129</v>
      </c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>
        <v>-11.11</v>
      </c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>
        <v>31.02</v>
      </c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>
        <v>7.7</v>
      </c>
      <c r="CS20" s="23"/>
      <c r="CT20" s="23"/>
      <c r="CU20" s="23"/>
      <c r="CV20" s="23"/>
      <c r="CW20" s="23"/>
      <c r="CX20" s="23"/>
      <c r="CY20" s="23"/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3"/>
      <c r="DV20" s="23">
        <v>6.1</v>
      </c>
      <c r="DW20" s="23"/>
      <c r="DX20" s="23"/>
      <c r="DY20" s="23"/>
      <c r="DZ20" s="23"/>
      <c r="EA20" s="23"/>
      <c r="EB20" s="23"/>
      <c r="EC20" s="23"/>
      <c r="ED20" s="23"/>
      <c r="EE20" s="23"/>
      <c r="EF20" s="23"/>
      <c r="EG20" s="23"/>
      <c r="EH20" s="23"/>
      <c r="EI20" s="23"/>
      <c r="EJ20" s="23"/>
      <c r="EK20" s="23"/>
      <c r="EL20" s="23"/>
      <c r="EM20" s="23"/>
      <c r="EN20" s="23"/>
      <c r="EO20" s="23"/>
      <c r="EP20" s="23"/>
      <c r="EQ20" s="23"/>
      <c r="ER20" s="23"/>
      <c r="ES20" s="23"/>
      <c r="ET20" s="23"/>
      <c r="EU20" s="23"/>
      <c r="EV20" s="23"/>
      <c r="EW20" s="23"/>
      <c r="EX20" s="23"/>
      <c r="EY20" s="23"/>
      <c r="EZ20" s="23"/>
      <c r="FA20" s="23">
        <v>5.8</v>
      </c>
      <c r="FB20" s="23"/>
      <c r="FC20" s="23"/>
      <c r="FD20" s="23"/>
      <c r="FE20" s="23"/>
      <c r="FF20" s="23"/>
      <c r="FG20" s="23"/>
      <c r="FH20" s="23"/>
      <c r="FI20" s="23"/>
      <c r="FJ20" s="23"/>
      <c r="FK20" s="23"/>
      <c r="FL20" s="23"/>
      <c r="FM20" s="23"/>
      <c r="FN20" s="23"/>
      <c r="FO20" s="23"/>
      <c r="FP20" s="23"/>
      <c r="FQ20" s="23"/>
      <c r="FR20" s="23"/>
      <c r="FS20" s="23"/>
      <c r="FT20" s="23"/>
      <c r="FU20" s="23"/>
      <c r="FV20" s="23"/>
      <c r="FW20" s="23"/>
      <c r="FX20" s="23"/>
      <c r="FY20" s="23"/>
      <c r="FZ20" s="23"/>
      <c r="GA20" s="23"/>
      <c r="GB20" s="23"/>
      <c r="GC20" s="23"/>
      <c r="GD20" s="23"/>
      <c r="GE20" s="23">
        <v>6.8</v>
      </c>
      <c r="GF20" s="23"/>
      <c r="GG20" s="23"/>
      <c r="GH20" s="23"/>
      <c r="GI20" s="23"/>
      <c r="GJ20" s="23"/>
      <c r="GK20" s="23"/>
      <c r="GL20" s="23"/>
      <c r="GM20" s="23"/>
      <c r="GN20" s="23"/>
      <c r="GO20" s="23"/>
      <c r="GP20" s="23"/>
      <c r="GQ20" s="23"/>
      <c r="GR20" s="23"/>
      <c r="GS20" s="23"/>
      <c r="GT20" s="23"/>
      <c r="GU20" s="23"/>
      <c r="GV20" s="23"/>
      <c r="GW20" s="23"/>
      <c r="GX20" s="23"/>
      <c r="GY20" s="23"/>
      <c r="GZ20" s="23"/>
      <c r="HA20" s="23"/>
      <c r="HB20" s="23"/>
      <c r="HC20" s="23"/>
      <c r="HD20" s="23"/>
      <c r="HE20" s="23"/>
      <c r="HF20" s="23"/>
      <c r="HG20" s="23"/>
      <c r="HH20" s="23"/>
      <c r="HI20" s="23"/>
      <c r="HJ20" s="23">
        <v>5.7</v>
      </c>
      <c r="HK20" s="23"/>
      <c r="HL20" s="23"/>
      <c r="HM20" s="23"/>
      <c r="HN20" s="23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>
        <v>5.2</v>
      </c>
      <c r="IP20" s="31"/>
      <c r="IQ20" s="31"/>
      <c r="IR20" s="31"/>
      <c r="IS20" s="31"/>
      <c r="IT20" s="31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  <c r="JN20" s="31"/>
      <c r="JO20" s="31"/>
      <c r="JP20" s="31"/>
      <c r="JQ20" s="31"/>
      <c r="JR20" s="31"/>
      <c r="JS20" s="31">
        <v>6.5</v>
      </c>
      <c r="JT20" s="31"/>
      <c r="JU20" s="31"/>
      <c r="JV20" s="31"/>
      <c r="JW20" s="31"/>
      <c r="JX20" s="31"/>
      <c r="JY20" s="31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>
        <v>4.9</v>
      </c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>
        <v>4.8</v>
      </c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>
        <v>5.2</v>
      </c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>
        <v>6.3</v>
      </c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>
        <v>6.3</v>
      </c>
      <c r="PO20" s="23"/>
      <c r="PP20" s="23"/>
      <c r="PQ20" s="23"/>
      <c r="PR20" s="23"/>
      <c r="PS20" s="23"/>
      <c r="PT20" s="23"/>
      <c r="PU20" s="23"/>
      <c r="PV20" s="23"/>
      <c r="PW20" s="23"/>
      <c r="PX20" s="23"/>
      <c r="PY20" s="23"/>
      <c r="PZ20" s="23"/>
      <c r="QA20" s="23"/>
      <c r="QB20" s="23"/>
      <c r="QC20" s="23"/>
      <c r="QD20" s="23"/>
      <c r="QE20" s="23"/>
      <c r="QF20" s="23"/>
      <c r="QG20" s="23"/>
      <c r="QH20" s="23"/>
      <c r="QI20" s="23"/>
      <c r="QJ20" s="23"/>
      <c r="QK20" s="23"/>
      <c r="QL20" s="23"/>
      <c r="QM20" s="23"/>
      <c r="QN20" s="23"/>
      <c r="QO20" s="23"/>
      <c r="QP20" s="23"/>
      <c r="QQ20" s="23"/>
      <c r="QR20" s="23"/>
      <c r="QS20" s="23">
        <v>5.7</v>
      </c>
      <c r="QT20" s="23"/>
      <c r="QU20" s="23"/>
      <c r="QV20" s="23"/>
      <c r="QW20" s="23"/>
      <c r="QX20" s="23"/>
      <c r="QY20" s="23"/>
      <c r="QZ20" s="23"/>
      <c r="RA20" s="23"/>
      <c r="RB20" s="23"/>
      <c r="RC20" s="23"/>
      <c r="RD20" s="23"/>
      <c r="RE20" s="23"/>
      <c r="RF20" s="23"/>
      <c r="RG20" s="23"/>
      <c r="RH20" s="23"/>
      <c r="RI20" s="23"/>
      <c r="RJ20" s="23"/>
      <c r="RK20" s="23"/>
      <c r="RL20" s="23"/>
      <c r="RM20" s="23"/>
      <c r="RN20" s="23"/>
      <c r="RO20" s="23"/>
      <c r="RP20" s="23"/>
      <c r="RQ20" s="23"/>
      <c r="RR20" s="23"/>
      <c r="RS20" s="23"/>
      <c r="RT20" s="23"/>
      <c r="RU20" s="23"/>
      <c r="RV20" s="23"/>
      <c r="RW20" s="23">
        <v>4.1</v>
      </c>
      <c r="RX20" s="23"/>
      <c r="RY20" s="23"/>
      <c r="RZ20" s="23"/>
      <c r="SA20" s="23"/>
      <c r="SB20" s="23"/>
      <c r="SC20" s="23"/>
      <c r="SD20" s="23"/>
      <c r="SE20" s="23"/>
      <c r="SF20" s="23"/>
      <c r="SG20" s="23"/>
      <c r="SH20" s="23"/>
      <c r="SI20" s="23"/>
      <c r="SJ20" s="23"/>
      <c r="SK20" s="23"/>
      <c r="SL20" s="23"/>
      <c r="SM20" s="23"/>
      <c r="SN20" s="23"/>
      <c r="SO20" s="23"/>
      <c r="SP20" s="23"/>
      <c r="SQ20" s="23"/>
      <c r="SR20" s="23"/>
      <c r="SS20" s="23"/>
      <c r="ST20" s="23"/>
      <c r="SU20" s="23"/>
      <c r="SV20" s="23"/>
      <c r="SW20" s="23"/>
      <c r="SX20" s="23"/>
      <c r="SY20" s="23"/>
      <c r="SZ20" s="23"/>
      <c r="TA20" s="23"/>
      <c r="TB20" s="23">
        <v>4.5</v>
      </c>
      <c r="TC20" s="23"/>
      <c r="TD20" s="23"/>
      <c r="TE20" s="23"/>
      <c r="TF20" s="23"/>
      <c r="TG20" s="23"/>
      <c r="TH20" s="23"/>
      <c r="TI20" s="23"/>
      <c r="TJ20" s="23"/>
      <c r="TK20" s="23"/>
      <c r="TL20" s="23"/>
      <c r="TM20" s="23"/>
      <c r="TN20" s="23"/>
      <c r="TO20" s="23"/>
      <c r="TP20" s="23"/>
      <c r="TQ20" s="23"/>
      <c r="TR20" s="23"/>
      <c r="TS20" s="23"/>
      <c r="TT20" s="23"/>
      <c r="TU20" s="23"/>
      <c r="TV20" s="23"/>
      <c r="TW20" s="23"/>
      <c r="TX20" s="23"/>
      <c r="TY20" s="23"/>
      <c r="TZ20" s="23"/>
      <c r="UA20" s="23"/>
      <c r="UB20" s="23"/>
      <c r="UC20" s="23"/>
      <c r="UD20" s="23"/>
      <c r="UE20" s="23"/>
      <c r="UF20" s="23"/>
      <c r="UG20" s="23"/>
      <c r="UH20" s="23"/>
      <c r="UI20" s="23"/>
      <c r="UJ20" s="23"/>
      <c r="UK20" s="23"/>
      <c r="UL20" s="23"/>
      <c r="UM20" s="23"/>
      <c r="UN20" s="23"/>
      <c r="UO20" s="23"/>
      <c r="UP20" s="23"/>
      <c r="UQ20" s="23"/>
      <c r="UR20" s="23"/>
      <c r="US20" s="23"/>
      <c r="UT20" s="23"/>
    </row>
    <row r="21" ht="16.5" customHeight="1" spans="4:566">
      <c r="D21" s="19" t="s">
        <v>409</v>
      </c>
      <c r="E21" s="21" t="s">
        <v>131</v>
      </c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>
        <v>5.895336</v>
      </c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>
        <v>-3.104739</v>
      </c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>
        <v>12.162615</v>
      </c>
      <c r="CS21" s="23"/>
      <c r="CT21" s="23"/>
      <c r="CU21" s="23"/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3"/>
      <c r="DV21" s="23">
        <v>8.023317</v>
      </c>
      <c r="DW21" s="23"/>
      <c r="DX21" s="23"/>
      <c r="DY21" s="23"/>
      <c r="DZ21" s="23"/>
      <c r="EA21" s="23"/>
      <c r="EB21" s="23"/>
      <c r="EC21" s="23"/>
      <c r="ED21" s="23"/>
      <c r="EE21" s="23"/>
      <c r="EF21" s="23"/>
      <c r="EG21" s="23"/>
      <c r="EH21" s="23"/>
      <c r="EI21" s="23"/>
      <c r="EJ21" s="23"/>
      <c r="EK21" s="23"/>
      <c r="EL21" s="23"/>
      <c r="EM21" s="23"/>
      <c r="EN21" s="23"/>
      <c r="EO21" s="23"/>
      <c r="EP21" s="23"/>
      <c r="EQ21" s="23"/>
      <c r="ER21" s="23"/>
      <c r="ES21" s="23"/>
      <c r="ET21" s="23"/>
      <c r="EU21" s="23"/>
      <c r="EV21" s="23"/>
      <c r="EW21" s="23"/>
      <c r="EX21" s="23"/>
      <c r="EY21" s="23"/>
      <c r="EZ21" s="23"/>
      <c r="FA21" s="23">
        <v>4.65278</v>
      </c>
      <c r="FB21" s="23"/>
      <c r="FC21" s="23"/>
      <c r="FD21" s="23"/>
      <c r="FE21" s="23"/>
      <c r="FF21" s="23"/>
      <c r="FG21" s="23"/>
      <c r="FH21" s="23"/>
      <c r="FI21" s="23"/>
      <c r="FJ21" s="23"/>
      <c r="FK21" s="23"/>
      <c r="FL21" s="23"/>
      <c r="FM21" s="23"/>
      <c r="FN21" s="23"/>
      <c r="FO21" s="23"/>
      <c r="FP21" s="23"/>
      <c r="FQ21" s="23"/>
      <c r="FR21" s="23"/>
      <c r="FS21" s="23"/>
      <c r="FT21" s="23"/>
      <c r="FU21" s="23"/>
      <c r="FV21" s="23"/>
      <c r="FW21" s="23"/>
      <c r="FX21" s="23"/>
      <c r="FY21" s="23"/>
      <c r="FZ21" s="23"/>
      <c r="GA21" s="23"/>
      <c r="GB21" s="23"/>
      <c r="GC21" s="23"/>
      <c r="GD21" s="23"/>
      <c r="GE21" s="23">
        <v>5.679733</v>
      </c>
      <c r="GF21" s="23"/>
      <c r="GG21" s="23"/>
      <c r="GH21" s="23"/>
      <c r="GI21" s="23"/>
      <c r="GJ21" s="23"/>
      <c r="GK21" s="23"/>
      <c r="GL21" s="23"/>
      <c r="GM21" s="23"/>
      <c r="GN21" s="23"/>
      <c r="GO21" s="23"/>
      <c r="GP21" s="23"/>
      <c r="GQ21" s="23"/>
      <c r="GR21" s="23"/>
      <c r="GS21" s="23"/>
      <c r="GT21" s="23"/>
      <c r="GU21" s="23"/>
      <c r="GV21" s="23"/>
      <c r="GW21" s="23"/>
      <c r="GX21" s="23"/>
      <c r="GY21" s="23"/>
      <c r="GZ21" s="23"/>
      <c r="HA21" s="23"/>
      <c r="HB21" s="23"/>
      <c r="HC21" s="23"/>
      <c r="HD21" s="23"/>
      <c r="HE21" s="23"/>
      <c r="HF21" s="23"/>
      <c r="HG21" s="23"/>
      <c r="HH21" s="23"/>
      <c r="HI21" s="23"/>
      <c r="HJ21" s="23">
        <v>6.996015</v>
      </c>
      <c r="HK21" s="23"/>
      <c r="HL21" s="23"/>
      <c r="HM21" s="23"/>
      <c r="HN21" s="23"/>
      <c r="HO21" s="23"/>
      <c r="HP21" s="23"/>
      <c r="HQ21" s="23"/>
      <c r="HR21" s="23"/>
      <c r="HS21" s="23"/>
      <c r="HT21" s="23"/>
      <c r="HU21" s="23"/>
      <c r="HV21" s="23"/>
      <c r="HW21" s="23"/>
      <c r="HX21" s="23"/>
      <c r="HY21" s="23"/>
      <c r="HZ21" s="23"/>
      <c r="IA21" s="23"/>
      <c r="IB21" s="23"/>
      <c r="IC21" s="23"/>
      <c r="ID21" s="23"/>
      <c r="IE21" s="23"/>
      <c r="IF21" s="23"/>
      <c r="IG21" s="23"/>
      <c r="IH21" s="23"/>
      <c r="II21" s="23"/>
      <c r="IJ21" s="23"/>
      <c r="IK21" s="23"/>
      <c r="IL21" s="23"/>
      <c r="IM21" s="23"/>
      <c r="IN21" s="23"/>
      <c r="IO21" s="23">
        <v>4.235673</v>
      </c>
      <c r="IP21" s="31"/>
      <c r="IQ21" s="31"/>
      <c r="IR21" s="31"/>
      <c r="IS21" s="31"/>
      <c r="IT21" s="31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  <c r="JN21" s="31"/>
      <c r="JO21" s="31"/>
      <c r="JP21" s="31"/>
      <c r="JQ21" s="31"/>
      <c r="JR21" s="31"/>
      <c r="JS21" s="31">
        <v>8.175012</v>
      </c>
      <c r="JT21" s="31"/>
      <c r="JU21" s="31"/>
      <c r="JV21" s="31"/>
      <c r="JW21" s="31"/>
      <c r="JX21" s="31"/>
      <c r="JY21" s="31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>
        <v>-1.272919</v>
      </c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>
        <v>5.811098</v>
      </c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>
        <v>6.457242</v>
      </c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>
        <v>10</v>
      </c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>
        <v>39.6</v>
      </c>
      <c r="PO21" s="23"/>
      <c r="PP21" s="23"/>
      <c r="PQ21" s="23"/>
      <c r="PR21" s="23"/>
      <c r="PS21" s="23"/>
      <c r="PT21" s="23"/>
      <c r="PU21" s="23"/>
      <c r="PV21" s="23"/>
      <c r="PW21" s="23"/>
      <c r="PX21" s="23"/>
      <c r="PY21" s="23"/>
      <c r="PZ21" s="23"/>
      <c r="QA21" s="23"/>
      <c r="QB21" s="23"/>
      <c r="QC21" s="23"/>
      <c r="QD21" s="23"/>
      <c r="QE21" s="23"/>
      <c r="QF21" s="23"/>
      <c r="QG21" s="23"/>
      <c r="QH21" s="23"/>
      <c r="QI21" s="23"/>
      <c r="QJ21" s="23"/>
      <c r="QK21" s="23"/>
      <c r="QL21" s="23"/>
      <c r="QM21" s="23"/>
      <c r="QN21" s="23"/>
      <c r="QO21" s="23"/>
      <c r="QP21" s="23"/>
      <c r="QQ21" s="23"/>
      <c r="QR21" s="23"/>
      <c r="QS21" s="23">
        <v>2.5</v>
      </c>
      <c r="QT21" s="23"/>
      <c r="QU21" s="23"/>
      <c r="QV21" s="23"/>
      <c r="QW21" s="23"/>
      <c r="QX21" s="23"/>
      <c r="QY21" s="23"/>
      <c r="QZ21" s="23"/>
      <c r="RA21" s="23"/>
      <c r="RB21" s="23"/>
      <c r="RC21" s="23"/>
      <c r="RD21" s="23"/>
      <c r="RE21" s="23"/>
      <c r="RF21" s="23"/>
      <c r="RG21" s="23"/>
      <c r="RH21" s="23"/>
      <c r="RI21" s="23"/>
      <c r="RJ21" s="23"/>
      <c r="RK21" s="23"/>
      <c r="RL21" s="23"/>
      <c r="RM21" s="23"/>
      <c r="RN21" s="23"/>
      <c r="RO21" s="23"/>
      <c r="RP21" s="23"/>
      <c r="RQ21" s="23"/>
      <c r="RR21" s="23"/>
      <c r="RS21" s="23"/>
      <c r="RT21" s="23"/>
      <c r="RU21" s="23"/>
      <c r="RV21" s="23"/>
      <c r="RW21" s="23">
        <v>14</v>
      </c>
      <c r="RX21" s="23"/>
      <c r="RY21" s="23"/>
      <c r="RZ21" s="23"/>
      <c r="SA21" s="23"/>
      <c r="SB21" s="23"/>
      <c r="SC21" s="23"/>
      <c r="SD21" s="23"/>
      <c r="SE21" s="23"/>
      <c r="SF21" s="23"/>
      <c r="SG21" s="23"/>
      <c r="SH21" s="23"/>
      <c r="SI21" s="23"/>
      <c r="SJ21" s="23"/>
      <c r="SK21" s="23"/>
      <c r="SL21" s="23"/>
      <c r="SM21" s="23"/>
      <c r="SN21" s="23"/>
      <c r="SO21" s="23"/>
      <c r="SP21" s="23"/>
      <c r="SQ21" s="23"/>
      <c r="SR21" s="23"/>
      <c r="SS21" s="23"/>
      <c r="ST21" s="23"/>
      <c r="SU21" s="23"/>
      <c r="SV21" s="23"/>
      <c r="SW21" s="23"/>
      <c r="SX21" s="23"/>
      <c r="SY21" s="23"/>
      <c r="SZ21" s="23"/>
      <c r="TA21" s="23"/>
      <c r="TB21" s="23">
        <v>19.4</v>
      </c>
      <c r="TC21" s="23"/>
      <c r="TD21" s="23"/>
      <c r="TE21" s="23"/>
      <c r="TF21" s="23"/>
      <c r="TG21" s="23"/>
      <c r="TH21" s="23"/>
      <c r="TI21" s="23"/>
      <c r="TJ21" s="23"/>
      <c r="TK21" s="23"/>
      <c r="TL21" s="23"/>
      <c r="TM21" s="23"/>
      <c r="TN21" s="23"/>
      <c r="TO21" s="23"/>
      <c r="TP21" s="23"/>
      <c r="TQ21" s="23"/>
      <c r="TR21" s="23"/>
      <c r="TS21" s="23"/>
      <c r="TT21" s="23"/>
      <c r="TU21" s="23"/>
      <c r="TV21" s="23"/>
      <c r="TW21" s="23"/>
      <c r="TX21" s="23"/>
      <c r="TY21" s="23"/>
      <c r="TZ21" s="23"/>
      <c r="UA21" s="23"/>
      <c r="UB21" s="23"/>
      <c r="UC21" s="23"/>
      <c r="UD21" s="23"/>
      <c r="UE21" s="23"/>
      <c r="UF21" s="23"/>
      <c r="UG21" s="23"/>
      <c r="UH21" s="23"/>
      <c r="UI21" s="23"/>
      <c r="UJ21" s="23"/>
      <c r="UK21" s="23"/>
      <c r="UL21" s="23"/>
      <c r="UM21" s="23"/>
      <c r="UN21" s="23"/>
      <c r="UO21" s="23"/>
      <c r="UP21" s="23"/>
      <c r="UQ21" s="23"/>
      <c r="UR21" s="23"/>
      <c r="US21" s="23"/>
      <c r="UT21" s="23"/>
    </row>
    <row r="22" ht="16.5" customHeight="1" spans="4:566">
      <c r="D22" s="19" t="s">
        <v>184</v>
      </c>
      <c r="E22" s="21" t="s">
        <v>185</v>
      </c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>
        <v>1.5</v>
      </c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>
        <v>5.13</v>
      </c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>
        <v>3.48</v>
      </c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3"/>
      <c r="DV22" s="23">
        <v>0.75</v>
      </c>
      <c r="DW22" s="23"/>
      <c r="DX22" s="23"/>
      <c r="DY22" s="23"/>
      <c r="DZ22" s="23"/>
      <c r="EA22" s="23"/>
      <c r="EB22" s="23"/>
      <c r="EC22" s="23"/>
      <c r="ED22" s="23"/>
      <c r="EE22" s="23"/>
      <c r="EF22" s="23"/>
      <c r="EG22" s="23"/>
      <c r="EH22" s="23"/>
      <c r="EI22" s="23"/>
      <c r="EJ22" s="23"/>
      <c r="EK22" s="23"/>
      <c r="EL22" s="23"/>
      <c r="EM22" s="23"/>
      <c r="EN22" s="23"/>
      <c r="EO22" s="23"/>
      <c r="EP22" s="23"/>
      <c r="EQ22" s="23"/>
      <c r="ER22" s="23"/>
      <c r="ES22" s="23"/>
      <c r="ET22" s="23"/>
      <c r="EU22" s="23"/>
      <c r="EV22" s="23"/>
      <c r="EW22" s="23"/>
      <c r="EX22" s="23"/>
      <c r="EY22" s="23"/>
      <c r="EZ22" s="23"/>
      <c r="FA22" s="23">
        <v>6.24</v>
      </c>
      <c r="FB22" s="23"/>
      <c r="FC22" s="23"/>
      <c r="FD22" s="23"/>
      <c r="FE22" s="23"/>
      <c r="FF22" s="23"/>
      <c r="FG22" s="23"/>
      <c r="FH22" s="23"/>
      <c r="FI22" s="23"/>
      <c r="FJ22" s="23"/>
      <c r="FK22" s="23"/>
      <c r="FL22" s="23"/>
      <c r="FM22" s="23"/>
      <c r="FN22" s="23"/>
      <c r="FO22" s="23"/>
      <c r="FP22" s="23"/>
      <c r="FQ22" s="23"/>
      <c r="FR22" s="23"/>
      <c r="FS22" s="23"/>
      <c r="FT22" s="23"/>
      <c r="FU22" s="23"/>
      <c r="FV22" s="23"/>
      <c r="FW22" s="23"/>
      <c r="FX22" s="23"/>
      <c r="FY22" s="23"/>
      <c r="FZ22" s="23"/>
      <c r="GA22" s="23"/>
      <c r="GB22" s="23"/>
      <c r="GC22" s="23"/>
      <c r="GD22" s="23"/>
      <c r="GE22" s="23">
        <v>3.21</v>
      </c>
      <c r="GF22" s="23"/>
      <c r="GG22" s="23"/>
      <c r="GH22" s="23"/>
      <c r="GI22" s="23"/>
      <c r="GJ22" s="23"/>
      <c r="GK22" s="23"/>
      <c r="GL22" s="23"/>
      <c r="GM22" s="23"/>
      <c r="GN22" s="23"/>
      <c r="GO22" s="23"/>
      <c r="GP22" s="23"/>
      <c r="GQ22" s="23"/>
      <c r="GR22" s="23"/>
      <c r="GS22" s="23"/>
      <c r="GT22" s="23"/>
      <c r="GU22" s="23"/>
      <c r="GV22" s="23"/>
      <c r="GW22" s="23"/>
      <c r="GX22" s="23"/>
      <c r="GY22" s="23"/>
      <c r="GZ22" s="23"/>
      <c r="HA22" s="23"/>
      <c r="HB22" s="23"/>
      <c r="HC22" s="23"/>
      <c r="HD22" s="23"/>
      <c r="HE22" s="23"/>
      <c r="HF22" s="23"/>
      <c r="HG22" s="23"/>
      <c r="HH22" s="23"/>
      <c r="HI22" s="23"/>
      <c r="HJ22" s="23">
        <v>5.88</v>
      </c>
      <c r="HK22" s="23"/>
      <c r="HL22" s="23"/>
      <c r="HM22" s="23"/>
      <c r="HN22" s="23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>
        <v>5.92</v>
      </c>
      <c r="IP22" s="31"/>
      <c r="IQ22" s="31"/>
      <c r="IR22" s="31"/>
      <c r="IS22" s="31"/>
      <c r="IT22" s="31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  <c r="JN22" s="31"/>
      <c r="JO22" s="31"/>
      <c r="JP22" s="31"/>
      <c r="JQ22" s="31"/>
      <c r="JR22" s="31"/>
      <c r="JS22" s="31">
        <v>5.94</v>
      </c>
      <c r="JT22" s="31"/>
      <c r="JU22" s="31"/>
      <c r="JV22" s="31"/>
      <c r="JW22" s="31"/>
      <c r="JX22" s="31"/>
      <c r="JY22" s="31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>
        <v>2.95</v>
      </c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>
        <v>3.19</v>
      </c>
      <c r="MC22" s="23"/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>
        <v>2.59</v>
      </c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>
        <v>4.68</v>
      </c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>
        <v>6</v>
      </c>
      <c r="PO22" s="23"/>
      <c r="PP22" s="23"/>
      <c r="PQ22" s="23"/>
      <c r="PR22" s="23"/>
      <c r="PS22" s="23"/>
      <c r="PT22" s="23"/>
      <c r="PU22" s="23"/>
      <c r="PV22" s="23"/>
      <c r="PW22" s="23"/>
      <c r="PX22" s="23"/>
      <c r="PY22" s="23"/>
      <c r="PZ22" s="23"/>
      <c r="QA22" s="23"/>
      <c r="QB22" s="23"/>
      <c r="QC22" s="23"/>
      <c r="QD22" s="23"/>
      <c r="QE22" s="23"/>
      <c r="QF22" s="23"/>
      <c r="QG22" s="23"/>
      <c r="QH22" s="23"/>
      <c r="QI22" s="23"/>
      <c r="QJ22" s="23"/>
      <c r="QK22" s="23"/>
      <c r="QL22" s="23"/>
      <c r="QM22" s="23"/>
      <c r="QN22" s="23"/>
      <c r="QO22" s="23"/>
      <c r="QP22" s="23"/>
      <c r="QQ22" s="23"/>
      <c r="QR22" s="23"/>
      <c r="QS22" s="23">
        <v>3.96</v>
      </c>
      <c r="QT22" s="23"/>
      <c r="QU22" s="23"/>
      <c r="QV22" s="23"/>
      <c r="QW22" s="23"/>
      <c r="QX22" s="23"/>
      <c r="QY22" s="23"/>
      <c r="QZ22" s="23"/>
      <c r="RA22" s="23"/>
      <c r="RB22" s="23"/>
      <c r="RC22" s="23"/>
      <c r="RD22" s="23"/>
      <c r="RE22" s="23"/>
      <c r="RF22" s="23"/>
      <c r="RG22" s="23"/>
      <c r="RH22" s="23"/>
      <c r="RI22" s="23"/>
      <c r="RJ22" s="23"/>
      <c r="RK22" s="23"/>
      <c r="RL22" s="23"/>
      <c r="RM22" s="23"/>
      <c r="RN22" s="23"/>
      <c r="RO22" s="23"/>
      <c r="RP22" s="23"/>
      <c r="RQ22" s="23"/>
      <c r="RR22" s="23"/>
      <c r="RS22" s="23"/>
      <c r="RT22" s="23"/>
      <c r="RU22" s="23"/>
      <c r="RV22" s="23"/>
      <c r="RW22" s="23">
        <v>7.15</v>
      </c>
      <c r="RX22" s="23"/>
      <c r="RY22" s="23"/>
      <c r="RZ22" s="23"/>
      <c r="SA22" s="23"/>
      <c r="SB22" s="23"/>
      <c r="SC22" s="23"/>
      <c r="SD22" s="23"/>
      <c r="SE22" s="23"/>
      <c r="SF22" s="23"/>
      <c r="SG22" s="23"/>
      <c r="SH22" s="23"/>
      <c r="SI22" s="23"/>
      <c r="SJ22" s="23"/>
      <c r="SK22" s="23"/>
      <c r="SL22" s="23"/>
      <c r="SM22" s="23"/>
      <c r="SN22" s="23"/>
      <c r="SO22" s="23"/>
      <c r="SP22" s="23"/>
      <c r="SQ22" s="23"/>
      <c r="SR22" s="23"/>
      <c r="SS22" s="23"/>
      <c r="ST22" s="23"/>
      <c r="SU22" s="23"/>
      <c r="SV22" s="23"/>
      <c r="SW22" s="23"/>
      <c r="SX22" s="23"/>
      <c r="SY22" s="23"/>
      <c r="SZ22" s="23"/>
      <c r="TA22" s="23"/>
      <c r="TB22" s="23">
        <v>12.33</v>
      </c>
      <c r="TC22" s="23"/>
      <c r="TD22" s="23"/>
      <c r="TE22" s="23"/>
      <c r="TF22" s="23"/>
      <c r="TG22" s="23"/>
      <c r="TH22" s="23"/>
      <c r="TI22" s="23"/>
      <c r="TJ22" s="23"/>
      <c r="TK22" s="23"/>
      <c r="TL22" s="23"/>
      <c r="TM22" s="23"/>
      <c r="TN22" s="23"/>
      <c r="TO22" s="23"/>
      <c r="TP22" s="23"/>
      <c r="TQ22" s="23"/>
      <c r="TR22" s="23"/>
      <c r="TS22" s="23"/>
      <c r="TT22" s="23"/>
      <c r="TU22" s="23"/>
      <c r="TV22" s="23"/>
      <c r="TW22" s="23"/>
      <c r="TX22" s="23"/>
      <c r="TY22" s="23"/>
      <c r="TZ22" s="23"/>
      <c r="UA22" s="23"/>
      <c r="UB22" s="23"/>
      <c r="UC22" s="23"/>
      <c r="UD22" s="23"/>
      <c r="UE22" s="23"/>
      <c r="UF22" s="23">
        <v>18.51</v>
      </c>
      <c r="UG22" s="23"/>
      <c r="UH22" s="23"/>
      <c r="UI22" s="23"/>
      <c r="UJ22" s="23"/>
      <c r="UK22" s="23"/>
      <c r="UL22" s="23"/>
      <c r="UM22" s="23"/>
      <c r="UN22" s="23"/>
      <c r="UO22" s="23"/>
      <c r="UP22" s="23"/>
      <c r="UQ22" s="23"/>
      <c r="UR22" s="23"/>
      <c r="US22" s="23"/>
      <c r="UT22" s="23"/>
    </row>
    <row r="23" ht="16.5" customHeight="1" spans="4:566">
      <c r="D23" s="19" t="s">
        <v>410</v>
      </c>
      <c r="E23" s="21" t="s">
        <v>133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>
        <v>-2.3</v>
      </c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>
        <v>-2.2</v>
      </c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>
        <v>-2.5</v>
      </c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>
        <v>-2.7</v>
      </c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>
        <v>-3.3</v>
      </c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>
        <v>-3.6</v>
      </c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>
        <v>-3.6</v>
      </c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>
        <v>-2.9</v>
      </c>
      <c r="IP23" s="31"/>
      <c r="IQ23" s="31"/>
      <c r="IR23" s="31"/>
      <c r="IS23" s="31"/>
      <c r="IT23" s="31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  <c r="JN23" s="31"/>
      <c r="JO23" s="31"/>
      <c r="JP23" s="31"/>
      <c r="JQ23" s="31"/>
      <c r="JR23" s="31"/>
      <c r="JS23" s="31">
        <v>-2.3</v>
      </c>
      <c r="JT23" s="31"/>
      <c r="JU23" s="31"/>
      <c r="JV23" s="31"/>
      <c r="JW23" s="31"/>
      <c r="JX23" s="31"/>
      <c r="JY23" s="31"/>
      <c r="JZ23" s="23"/>
      <c r="KA23" s="23"/>
      <c r="KB23" s="23"/>
      <c r="KC23" s="23"/>
      <c r="KD23" s="23"/>
      <c r="KE23" s="23"/>
      <c r="KF23" s="23"/>
      <c r="KG23" s="23"/>
      <c r="KH23" s="23"/>
      <c r="KI23" s="23"/>
      <c r="KJ23" s="23"/>
      <c r="KK23" s="23"/>
      <c r="KL23" s="23"/>
      <c r="KM23" s="23"/>
      <c r="KN23" s="23"/>
      <c r="KO23" s="23"/>
      <c r="KP23" s="23"/>
      <c r="KQ23" s="23"/>
      <c r="KR23" s="23"/>
      <c r="KS23" s="23"/>
      <c r="KT23" s="23"/>
      <c r="KU23" s="23"/>
      <c r="KV23" s="23"/>
      <c r="KW23" s="23"/>
      <c r="KX23" s="23">
        <v>-2.1</v>
      </c>
      <c r="KY23" s="23"/>
      <c r="KZ23" s="23"/>
      <c r="LA23" s="23"/>
      <c r="LB23" s="23"/>
      <c r="LC23" s="23"/>
      <c r="LD23" s="23"/>
      <c r="LE23" s="23"/>
      <c r="LF23" s="23"/>
      <c r="LG23" s="23"/>
      <c r="LH23" s="23"/>
      <c r="LI23" s="23"/>
      <c r="LJ23" s="23"/>
      <c r="LK23" s="23"/>
      <c r="LL23" s="23"/>
      <c r="LM23" s="23"/>
      <c r="LN23" s="23"/>
      <c r="LO23" s="23"/>
      <c r="LP23" s="23"/>
      <c r="LQ23" s="23"/>
      <c r="LR23" s="23"/>
      <c r="LS23" s="23"/>
      <c r="LT23" s="23"/>
      <c r="LU23" s="23"/>
      <c r="LV23" s="23"/>
      <c r="LW23" s="23"/>
      <c r="LX23" s="23"/>
      <c r="LY23" s="23"/>
      <c r="LZ23" s="23"/>
      <c r="MA23" s="23"/>
      <c r="MB23" s="23">
        <v>-2.2</v>
      </c>
      <c r="MC23" s="23"/>
      <c r="MD23" s="23"/>
      <c r="ME23" s="23"/>
      <c r="MF23" s="23"/>
      <c r="MG23" s="23"/>
      <c r="MH23" s="23"/>
      <c r="MI23" s="23"/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>
        <v>-1.9</v>
      </c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>
        <v>-1.4</v>
      </c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>
        <v>-0.9</v>
      </c>
      <c r="PO23" s="23"/>
      <c r="PP23" s="23"/>
      <c r="PQ23" s="23"/>
      <c r="PR23" s="23"/>
      <c r="PS23" s="23"/>
      <c r="PT23" s="23"/>
      <c r="PU23" s="23"/>
      <c r="PV23" s="23"/>
      <c r="PW23" s="23"/>
      <c r="PX23" s="23"/>
      <c r="PY23" s="23"/>
      <c r="PZ23" s="23"/>
      <c r="QA23" s="23"/>
      <c r="QB23" s="23"/>
      <c r="QC23" s="23"/>
      <c r="QD23" s="23"/>
      <c r="QE23" s="23"/>
      <c r="QF23" s="23"/>
      <c r="QG23" s="23"/>
      <c r="QH23" s="23"/>
      <c r="QI23" s="23"/>
      <c r="QJ23" s="23"/>
      <c r="QK23" s="23"/>
      <c r="QL23" s="23"/>
      <c r="QM23" s="23"/>
      <c r="QN23" s="23"/>
      <c r="QO23" s="23"/>
      <c r="QP23" s="23"/>
      <c r="QQ23" s="23"/>
      <c r="QR23" s="23"/>
      <c r="QS23" s="23">
        <v>0.5</v>
      </c>
      <c r="QT23" s="23"/>
      <c r="QU23" s="23"/>
      <c r="QV23" s="23"/>
      <c r="QW23" s="23"/>
      <c r="QX23" s="23"/>
      <c r="QY23" s="23"/>
      <c r="QZ23" s="23"/>
      <c r="RA23" s="23"/>
      <c r="RB23" s="23"/>
      <c r="RC23" s="23"/>
      <c r="RD23" s="23"/>
      <c r="RE23" s="23"/>
      <c r="RF23" s="23"/>
      <c r="RG23" s="23"/>
      <c r="RH23" s="23"/>
      <c r="RI23" s="23"/>
      <c r="RJ23" s="23"/>
      <c r="RK23" s="23"/>
      <c r="RL23" s="23"/>
      <c r="RM23" s="23"/>
      <c r="RN23" s="23"/>
      <c r="RO23" s="23"/>
      <c r="RP23" s="23"/>
      <c r="RQ23" s="23"/>
      <c r="RR23" s="23"/>
      <c r="RS23" s="23"/>
      <c r="RT23" s="23"/>
      <c r="RU23" s="23"/>
      <c r="RV23" s="23"/>
      <c r="RW23" s="23">
        <v>2.8</v>
      </c>
      <c r="RX23" s="23"/>
      <c r="RY23" s="23"/>
      <c r="RZ23" s="23"/>
      <c r="SA23" s="23"/>
      <c r="SB23" s="23"/>
      <c r="SC23" s="23"/>
      <c r="SD23" s="23"/>
      <c r="SE23" s="23"/>
      <c r="SF23" s="23"/>
      <c r="SG23" s="23"/>
      <c r="SH23" s="23"/>
      <c r="SI23" s="23"/>
      <c r="SJ23" s="23"/>
      <c r="SK23" s="23"/>
      <c r="SL23" s="23"/>
      <c r="SM23" s="23"/>
      <c r="SN23" s="23"/>
      <c r="SO23" s="23"/>
      <c r="SP23" s="23"/>
      <c r="SQ23" s="23"/>
      <c r="SR23" s="23"/>
      <c r="SS23" s="23"/>
      <c r="ST23" s="23"/>
      <c r="SU23" s="23"/>
      <c r="SV23" s="23"/>
      <c r="SW23" s="23"/>
      <c r="SX23" s="23"/>
      <c r="SY23" s="23"/>
      <c r="SZ23" s="23"/>
      <c r="TA23" s="23"/>
      <c r="TB23" s="23">
        <v>3.9</v>
      </c>
      <c r="TC23" s="23"/>
      <c r="TD23" s="23"/>
      <c r="TE23" s="23"/>
      <c r="TF23" s="23"/>
      <c r="TG23" s="23"/>
      <c r="TH23" s="23"/>
      <c r="TI23" s="23"/>
      <c r="TJ23" s="23"/>
      <c r="TK23" s="23"/>
      <c r="TL23" s="23"/>
      <c r="TM23" s="23"/>
      <c r="TN23" s="23"/>
      <c r="TO23" s="23"/>
      <c r="TP23" s="23"/>
      <c r="TQ23" s="23"/>
      <c r="TR23" s="23"/>
      <c r="TS23" s="23"/>
      <c r="TT23" s="23"/>
      <c r="TU23" s="23"/>
      <c r="TV23" s="23"/>
      <c r="TW23" s="23"/>
      <c r="TX23" s="23"/>
      <c r="TY23" s="23"/>
      <c r="TZ23" s="23"/>
      <c r="UA23" s="23"/>
      <c r="UB23" s="23"/>
      <c r="UC23" s="23"/>
      <c r="UD23" s="23"/>
      <c r="UE23" s="23"/>
      <c r="UF23" s="23"/>
      <c r="UG23" s="23"/>
      <c r="UH23" s="23"/>
      <c r="UI23" s="23"/>
      <c r="UJ23" s="23"/>
      <c r="UK23" s="23"/>
      <c r="UL23" s="23"/>
      <c r="UM23" s="23"/>
      <c r="UN23" s="23"/>
      <c r="UO23" s="23"/>
      <c r="UP23" s="23"/>
      <c r="UQ23" s="23"/>
      <c r="UR23" s="23"/>
      <c r="US23" s="23"/>
      <c r="UT23" s="23"/>
    </row>
    <row r="24" ht="16.5" customHeight="1" spans="4:566">
      <c r="D24" s="19" t="s">
        <v>186</v>
      </c>
      <c r="E24" s="21" t="s">
        <v>187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>
        <v>-1.6</v>
      </c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>
        <v>-2.06</v>
      </c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>
        <v>-2.19</v>
      </c>
      <c r="CS24" s="23"/>
      <c r="CT24" s="23"/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3"/>
      <c r="DV24" s="23">
        <v>-2.83</v>
      </c>
      <c r="DW24" s="23"/>
      <c r="DX24" s="23"/>
      <c r="DY24" s="23"/>
      <c r="DZ24" s="23"/>
      <c r="EA24" s="23"/>
      <c r="EB24" s="23"/>
      <c r="EC24" s="23"/>
      <c r="ED24" s="23"/>
      <c r="EE24" s="23"/>
      <c r="EF24" s="23"/>
      <c r="EG24" s="23"/>
      <c r="EH24" s="23"/>
      <c r="EI24" s="23"/>
      <c r="EJ24" s="23"/>
      <c r="EK24" s="23"/>
      <c r="EL24" s="23"/>
      <c r="EM24" s="23"/>
      <c r="EN24" s="23"/>
      <c r="EO24" s="23"/>
      <c r="EP24" s="23"/>
      <c r="EQ24" s="23"/>
      <c r="ER24" s="23"/>
      <c r="ES24" s="23"/>
      <c r="ET24" s="23"/>
      <c r="EU24" s="23"/>
      <c r="EV24" s="23"/>
      <c r="EW24" s="23"/>
      <c r="EX24" s="23"/>
      <c r="EY24" s="23"/>
      <c r="EZ24" s="23"/>
      <c r="FA24" s="23">
        <v>-3.17</v>
      </c>
      <c r="FB24" s="23"/>
      <c r="FC24" s="23"/>
      <c r="FD24" s="23"/>
      <c r="FE24" s="23"/>
      <c r="FF24" s="23"/>
      <c r="FG24" s="23"/>
      <c r="FH24" s="23"/>
      <c r="FI24" s="23"/>
      <c r="FJ24" s="23"/>
      <c r="FK24" s="23"/>
      <c r="FL24" s="23"/>
      <c r="FM24" s="23"/>
      <c r="FN24" s="23"/>
      <c r="FO24" s="23"/>
      <c r="FP24" s="23"/>
      <c r="FQ24" s="23"/>
      <c r="FR24" s="23"/>
      <c r="FS24" s="23"/>
      <c r="FT24" s="23"/>
      <c r="FU24" s="23"/>
      <c r="FV24" s="23"/>
      <c r="FW24" s="23"/>
      <c r="FX24" s="23"/>
      <c r="FY24" s="23"/>
      <c r="FZ24" s="23"/>
      <c r="GA24" s="23"/>
      <c r="GB24" s="23"/>
      <c r="GC24" s="23"/>
      <c r="GD24" s="23"/>
      <c r="GE24" s="23">
        <v>-3.23</v>
      </c>
      <c r="GF24" s="23"/>
      <c r="GG24" s="23"/>
      <c r="GH24" s="23"/>
      <c r="GI24" s="23"/>
      <c r="GJ24" s="23"/>
      <c r="GK24" s="23"/>
      <c r="GL24" s="23"/>
      <c r="GM24" s="23"/>
      <c r="GN24" s="23"/>
      <c r="GO24" s="23"/>
      <c r="GP24" s="23"/>
      <c r="GQ24" s="23"/>
      <c r="GR24" s="23"/>
      <c r="GS24" s="23"/>
      <c r="GT24" s="23"/>
      <c r="GU24" s="23"/>
      <c r="GV24" s="23"/>
      <c r="GW24" s="23"/>
      <c r="GX24" s="23"/>
      <c r="GY24" s="23"/>
      <c r="GZ24" s="23"/>
      <c r="HA24" s="23"/>
      <c r="HB24" s="23"/>
      <c r="HC24" s="23"/>
      <c r="HD24" s="23"/>
      <c r="HE24" s="23"/>
      <c r="HF24" s="23"/>
      <c r="HG24" s="23"/>
      <c r="HH24" s="23"/>
      <c r="HI24" s="23"/>
      <c r="HJ24" s="23">
        <v>-3.39</v>
      </c>
      <c r="HK24" s="23"/>
      <c r="HL24" s="23"/>
      <c r="HM24" s="23"/>
      <c r="HN24" s="23"/>
      <c r="HO24" s="23"/>
      <c r="HP24" s="23"/>
      <c r="HQ24" s="23"/>
      <c r="HR24" s="23"/>
      <c r="HS24" s="23"/>
      <c r="HT24" s="23"/>
      <c r="HU24" s="23"/>
      <c r="HV24" s="23"/>
      <c r="HW24" s="23"/>
      <c r="HX24" s="23"/>
      <c r="HY24" s="23"/>
      <c r="HZ24" s="23"/>
      <c r="IA24" s="23"/>
      <c r="IB24" s="23"/>
      <c r="IC24" s="23"/>
      <c r="ID24" s="23"/>
      <c r="IE24" s="23"/>
      <c r="IF24" s="23"/>
      <c r="IG24" s="23"/>
      <c r="IH24" s="23"/>
      <c r="II24" s="23"/>
      <c r="IJ24" s="23"/>
      <c r="IK24" s="23"/>
      <c r="IL24" s="23"/>
      <c r="IM24" s="23"/>
      <c r="IN24" s="23"/>
      <c r="IO24" s="23">
        <v>-2.88</v>
      </c>
      <c r="IP24" s="31"/>
      <c r="IQ24" s="31"/>
      <c r="IR24" s="31"/>
      <c r="IS24" s="31"/>
      <c r="IT24" s="31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  <c r="JN24" s="31"/>
      <c r="JO24" s="31"/>
      <c r="JP24" s="31"/>
      <c r="JQ24" s="31"/>
      <c r="JR24" s="31"/>
      <c r="JS24" s="31">
        <v>-2.4</v>
      </c>
      <c r="JT24" s="31"/>
      <c r="JU24" s="31"/>
      <c r="JV24" s="31"/>
      <c r="JW24" s="31"/>
      <c r="JX24" s="31"/>
      <c r="JY24" s="31"/>
      <c r="JZ24" s="23"/>
      <c r="KA24" s="23"/>
      <c r="KB24" s="23"/>
      <c r="KC24" s="23"/>
      <c r="KD24" s="23"/>
      <c r="KE24" s="23"/>
      <c r="KF24" s="23"/>
      <c r="KG24" s="23"/>
      <c r="KH24" s="23"/>
      <c r="KI24" s="23"/>
      <c r="KJ24" s="23"/>
      <c r="KK24" s="23"/>
      <c r="KL24" s="23"/>
      <c r="KM24" s="23"/>
      <c r="KN24" s="23"/>
      <c r="KO24" s="23"/>
      <c r="KP24" s="23"/>
      <c r="KQ24" s="23"/>
      <c r="KR24" s="23"/>
      <c r="KS24" s="23"/>
      <c r="KT24" s="23"/>
      <c r="KU24" s="23"/>
      <c r="KV24" s="23"/>
      <c r="KW24" s="23"/>
      <c r="KX24" s="23">
        <v>-2.28</v>
      </c>
      <c r="KY24" s="23"/>
      <c r="KZ24" s="23"/>
      <c r="LA24" s="23"/>
      <c r="LB24" s="23"/>
      <c r="LC24" s="23"/>
      <c r="LD24" s="23"/>
      <c r="LE24" s="23"/>
      <c r="LF24" s="23"/>
      <c r="LG24" s="23"/>
      <c r="LH24" s="23"/>
      <c r="LI24" s="23"/>
      <c r="LJ24" s="23"/>
      <c r="LK24" s="23"/>
      <c r="LL24" s="23"/>
      <c r="LM24" s="23"/>
      <c r="LN24" s="23"/>
      <c r="LO24" s="23"/>
      <c r="LP24" s="23"/>
      <c r="LQ24" s="23"/>
      <c r="LR24" s="23"/>
      <c r="LS24" s="23"/>
      <c r="LT24" s="23"/>
      <c r="LU24" s="23"/>
      <c r="LV24" s="23"/>
      <c r="LW24" s="23"/>
      <c r="LX24" s="23"/>
      <c r="LY24" s="23"/>
      <c r="LZ24" s="23"/>
      <c r="MA24" s="23"/>
      <c r="MB24" s="23">
        <v>-2.03</v>
      </c>
      <c r="MC24" s="23"/>
      <c r="MD24" s="23"/>
      <c r="ME24" s="23"/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>
        <v>-1.99</v>
      </c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>
        <v>-1.45</v>
      </c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>
        <v>-1.14</v>
      </c>
      <c r="PO24" s="23"/>
      <c r="PP24" s="23"/>
      <c r="PQ24" s="23"/>
      <c r="PR24" s="23"/>
      <c r="PS24" s="23"/>
      <c r="PT24" s="23"/>
      <c r="PU24" s="23"/>
      <c r="PV24" s="23"/>
      <c r="PW24" s="23"/>
      <c r="PX24" s="23"/>
      <c r="PY24" s="23"/>
      <c r="PZ24" s="23"/>
      <c r="QA24" s="23"/>
      <c r="QB24" s="23"/>
      <c r="QC24" s="23"/>
      <c r="QD24" s="23"/>
      <c r="QE24" s="23"/>
      <c r="QF24" s="23"/>
      <c r="QG24" s="23"/>
      <c r="QH24" s="23"/>
      <c r="QI24" s="23"/>
      <c r="QJ24" s="23"/>
      <c r="QK24" s="23"/>
      <c r="QL24" s="23"/>
      <c r="QM24" s="23"/>
      <c r="QN24" s="23"/>
      <c r="QO24" s="23"/>
      <c r="QP24" s="23"/>
      <c r="QQ24" s="23"/>
      <c r="QR24" s="23"/>
      <c r="QS24" s="23">
        <v>0.45</v>
      </c>
      <c r="QT24" s="23"/>
      <c r="QU24" s="23"/>
      <c r="QV24" s="23"/>
      <c r="QW24" s="23"/>
      <c r="QX24" s="23"/>
      <c r="QY24" s="23"/>
      <c r="QZ24" s="23"/>
      <c r="RA24" s="23"/>
      <c r="RB24" s="23"/>
      <c r="RC24" s="23"/>
      <c r="RD24" s="23"/>
      <c r="RE24" s="23"/>
      <c r="RF24" s="23"/>
      <c r="RG24" s="23"/>
      <c r="RH24" s="23"/>
      <c r="RI24" s="23"/>
      <c r="RJ24" s="23"/>
      <c r="RK24" s="23"/>
      <c r="RL24" s="23"/>
      <c r="RM24" s="23"/>
      <c r="RN24" s="23"/>
      <c r="RO24" s="23"/>
      <c r="RP24" s="23"/>
      <c r="RQ24" s="23"/>
      <c r="RR24" s="23"/>
      <c r="RS24" s="23"/>
      <c r="RT24" s="23"/>
      <c r="RU24" s="23"/>
      <c r="RV24" s="23"/>
      <c r="RW24" s="23">
        <v>1.56</v>
      </c>
      <c r="RX24" s="23"/>
      <c r="RY24" s="23"/>
      <c r="RZ24" s="23"/>
      <c r="SA24" s="23"/>
      <c r="SB24" s="23"/>
      <c r="SC24" s="23"/>
      <c r="SD24" s="23"/>
      <c r="SE24" s="23"/>
      <c r="SF24" s="23"/>
      <c r="SG24" s="23"/>
      <c r="SH24" s="23"/>
      <c r="SI24" s="23"/>
      <c r="SJ24" s="23"/>
      <c r="SK24" s="23"/>
      <c r="SL24" s="23"/>
      <c r="SM24" s="23"/>
      <c r="SN24" s="23"/>
      <c r="SO24" s="23"/>
      <c r="SP24" s="23"/>
      <c r="SQ24" s="23"/>
      <c r="SR24" s="23"/>
      <c r="SS24" s="23"/>
      <c r="ST24" s="23"/>
      <c r="SU24" s="23"/>
      <c r="SV24" s="23"/>
      <c r="SW24" s="23"/>
      <c r="SX24" s="23"/>
      <c r="SY24" s="23"/>
      <c r="SZ24" s="23"/>
      <c r="TA24" s="23"/>
      <c r="TB24" s="23">
        <v>3.53</v>
      </c>
      <c r="TC24" s="23"/>
      <c r="TD24" s="23"/>
      <c r="TE24" s="23"/>
      <c r="TF24" s="23"/>
      <c r="TG24" s="23"/>
      <c r="TH24" s="23"/>
      <c r="TI24" s="23"/>
      <c r="TJ24" s="23"/>
      <c r="TK24" s="23"/>
      <c r="TL24" s="23"/>
      <c r="TM24" s="23"/>
      <c r="TN24" s="23"/>
      <c r="TO24" s="23"/>
      <c r="TP24" s="23"/>
      <c r="TQ24" s="23"/>
      <c r="TR24" s="23"/>
      <c r="TS24" s="23"/>
      <c r="TT24" s="23"/>
      <c r="TU24" s="23"/>
      <c r="TV24" s="23"/>
      <c r="TW24" s="23"/>
      <c r="TX24" s="23"/>
      <c r="TY24" s="23"/>
      <c r="TZ24" s="23"/>
      <c r="UA24" s="23"/>
      <c r="UB24" s="23"/>
      <c r="UC24" s="23"/>
      <c r="UD24" s="23"/>
      <c r="UE24" s="23"/>
      <c r="UF24" s="23">
        <v>4.07</v>
      </c>
      <c r="UG24" s="23"/>
      <c r="UH24" s="23"/>
      <c r="UI24" s="23"/>
      <c r="UJ24" s="23"/>
      <c r="UK24" s="23"/>
      <c r="UL24" s="23"/>
      <c r="UM24" s="23"/>
      <c r="UN24" s="23"/>
      <c r="UO24" s="23">
        <v>4.5</v>
      </c>
      <c r="UP24" s="23"/>
      <c r="UQ24" s="23"/>
      <c r="UR24" s="23">
        <v>-0.65</v>
      </c>
      <c r="US24" s="23"/>
      <c r="UT24" s="23"/>
    </row>
    <row r="25" ht="16.5" customHeight="1" spans="4:566">
      <c r="D25" s="19" t="s">
        <v>411</v>
      </c>
      <c r="E25" s="21" t="s">
        <v>135</v>
      </c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>
        <v>0.5</v>
      </c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>
        <v>-0.7</v>
      </c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>
        <v>-0.1</v>
      </c>
      <c r="CS25" s="23"/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3"/>
      <c r="DV25" s="23">
        <v>-0.1</v>
      </c>
      <c r="DW25" s="23"/>
      <c r="DX25" s="23"/>
      <c r="DY25" s="23"/>
      <c r="DZ25" s="23"/>
      <c r="EA25" s="23"/>
      <c r="EB25" s="23"/>
      <c r="EC25" s="23"/>
      <c r="ED25" s="23"/>
      <c r="EE25" s="23"/>
      <c r="EF25" s="23"/>
      <c r="EG25" s="23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3"/>
      <c r="ET25" s="23"/>
      <c r="EU25" s="23"/>
      <c r="EV25" s="23"/>
      <c r="EW25" s="23"/>
      <c r="EX25" s="23"/>
      <c r="EY25" s="23"/>
      <c r="EZ25" s="23"/>
      <c r="FA25" s="23">
        <v>-0.1</v>
      </c>
      <c r="FB25" s="23"/>
      <c r="FC25" s="23"/>
      <c r="FD25" s="23"/>
      <c r="FE25" s="23"/>
      <c r="FF25" s="23"/>
      <c r="FG25" s="23"/>
      <c r="FH25" s="23"/>
      <c r="FI25" s="23"/>
      <c r="FJ25" s="23"/>
      <c r="FK25" s="23"/>
      <c r="FL25" s="23"/>
      <c r="FM25" s="23"/>
      <c r="FN25" s="23"/>
      <c r="FO25" s="23"/>
      <c r="FP25" s="23"/>
      <c r="FQ25" s="23"/>
      <c r="FR25" s="23"/>
      <c r="FS25" s="23"/>
      <c r="FT25" s="23"/>
      <c r="FU25" s="23"/>
      <c r="FV25" s="23"/>
      <c r="FW25" s="23"/>
      <c r="FX25" s="23"/>
      <c r="FY25" s="23"/>
      <c r="FZ25" s="23"/>
      <c r="GA25" s="23"/>
      <c r="GB25" s="23"/>
      <c r="GC25" s="23"/>
      <c r="GD25" s="23"/>
      <c r="GE25" s="23">
        <v>0.1</v>
      </c>
      <c r="GF25" s="23"/>
      <c r="GG25" s="23"/>
      <c r="GH25" s="23"/>
      <c r="GI25" s="23"/>
      <c r="GJ25" s="23"/>
      <c r="GK25" s="23"/>
      <c r="GL25" s="23"/>
      <c r="GM25" s="23"/>
      <c r="GN25" s="23"/>
      <c r="GO25" s="23"/>
      <c r="GP25" s="23"/>
      <c r="GQ25" s="23"/>
      <c r="GR25" s="23"/>
      <c r="GS25" s="23"/>
      <c r="GT25" s="23"/>
      <c r="GU25" s="23"/>
      <c r="GV25" s="23"/>
      <c r="GW25" s="23"/>
      <c r="GX25" s="23"/>
      <c r="GY25" s="23"/>
      <c r="GZ25" s="23"/>
      <c r="HA25" s="23"/>
      <c r="HB25" s="23"/>
      <c r="HC25" s="23"/>
      <c r="HD25" s="23"/>
      <c r="HE25" s="23"/>
      <c r="HF25" s="23"/>
      <c r="HG25" s="23"/>
      <c r="HH25" s="23"/>
      <c r="HI25" s="23"/>
      <c r="HJ25" s="23">
        <v>0</v>
      </c>
      <c r="HK25" s="23"/>
      <c r="HL25" s="23"/>
      <c r="HM25" s="23"/>
      <c r="HN25" s="23"/>
      <c r="HO25" s="23"/>
      <c r="HP25" s="23"/>
      <c r="HQ25" s="23"/>
      <c r="HR25" s="23"/>
      <c r="HS25" s="23"/>
      <c r="HT25" s="23"/>
      <c r="HU25" s="23"/>
      <c r="HV25" s="23"/>
      <c r="HW25" s="23"/>
      <c r="HX25" s="23"/>
      <c r="HY25" s="23"/>
      <c r="HZ25" s="23"/>
      <c r="IA25" s="23"/>
      <c r="IB25" s="23"/>
      <c r="IC25" s="23"/>
      <c r="ID25" s="23"/>
      <c r="IE25" s="23"/>
      <c r="IF25" s="23"/>
      <c r="IG25" s="23"/>
      <c r="IH25" s="23"/>
      <c r="II25" s="23"/>
      <c r="IJ25" s="23"/>
      <c r="IK25" s="23"/>
      <c r="IL25" s="23"/>
      <c r="IM25" s="23"/>
      <c r="IN25" s="23"/>
      <c r="IO25" s="23">
        <v>-0.4</v>
      </c>
      <c r="IP25" s="31"/>
      <c r="IQ25" s="31"/>
      <c r="IR25" s="31"/>
      <c r="IS25" s="31"/>
      <c r="IT25" s="31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  <c r="JN25" s="31"/>
      <c r="JO25" s="31"/>
      <c r="JP25" s="31"/>
      <c r="JQ25" s="31"/>
      <c r="JR25" s="31"/>
      <c r="JS25" s="31">
        <v>-0.3</v>
      </c>
      <c r="JT25" s="31"/>
      <c r="JU25" s="31"/>
      <c r="JV25" s="31"/>
      <c r="JW25" s="31"/>
      <c r="JX25" s="31"/>
      <c r="JY25" s="31"/>
      <c r="JZ25" s="23"/>
      <c r="KA25" s="23"/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>
        <v>0.2</v>
      </c>
      <c r="KY25" s="23"/>
      <c r="KZ25" s="23"/>
      <c r="LA25" s="23"/>
      <c r="LB25" s="23"/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>
        <v>0.7</v>
      </c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>
        <v>0.8</v>
      </c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>
        <v>0.2</v>
      </c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>
        <v>1.3</v>
      </c>
      <c r="PO25" s="23"/>
      <c r="PP25" s="23"/>
      <c r="PQ25" s="23"/>
      <c r="PR25" s="23"/>
      <c r="PS25" s="23"/>
      <c r="PT25" s="23"/>
      <c r="PU25" s="23"/>
      <c r="PV25" s="23"/>
      <c r="PW25" s="23"/>
      <c r="PX25" s="23"/>
      <c r="PY25" s="23"/>
      <c r="PZ25" s="23"/>
      <c r="QA25" s="23"/>
      <c r="QB25" s="23"/>
      <c r="QC25" s="23"/>
      <c r="QD25" s="23"/>
      <c r="QE25" s="23"/>
      <c r="QF25" s="23"/>
      <c r="QG25" s="23"/>
      <c r="QH25" s="23"/>
      <c r="QI25" s="23"/>
      <c r="QJ25" s="23"/>
      <c r="QK25" s="23"/>
      <c r="QL25" s="23"/>
      <c r="QM25" s="23"/>
      <c r="QN25" s="23"/>
      <c r="QO25" s="23"/>
      <c r="QP25" s="23"/>
      <c r="QQ25" s="23"/>
      <c r="QR25" s="23"/>
      <c r="QS25" s="23">
        <v>1</v>
      </c>
      <c r="QT25" s="23"/>
      <c r="QU25" s="23"/>
      <c r="QV25" s="23"/>
      <c r="QW25" s="23"/>
      <c r="QX25" s="23"/>
      <c r="QY25" s="23"/>
      <c r="QZ25" s="23"/>
      <c r="RA25" s="23"/>
      <c r="RB25" s="23"/>
      <c r="RC25" s="23"/>
      <c r="RD25" s="23"/>
      <c r="RE25" s="23"/>
      <c r="RF25" s="23"/>
      <c r="RG25" s="23"/>
      <c r="RH25" s="23"/>
      <c r="RI25" s="23"/>
      <c r="RJ25" s="23"/>
      <c r="RK25" s="23"/>
      <c r="RL25" s="23"/>
      <c r="RM25" s="23"/>
      <c r="RN25" s="23"/>
      <c r="RO25" s="23"/>
      <c r="RP25" s="23"/>
      <c r="RQ25" s="23"/>
      <c r="RR25" s="23"/>
      <c r="RS25" s="23"/>
      <c r="RT25" s="23"/>
      <c r="RU25" s="23"/>
      <c r="RV25" s="23"/>
      <c r="RW25" s="23">
        <v>1.2</v>
      </c>
      <c r="RX25" s="23"/>
      <c r="RY25" s="23"/>
      <c r="RZ25" s="23"/>
      <c r="SA25" s="23"/>
      <c r="SB25" s="23"/>
      <c r="SC25" s="23"/>
      <c r="SD25" s="23"/>
      <c r="SE25" s="23"/>
      <c r="SF25" s="23"/>
      <c r="SG25" s="23"/>
      <c r="SH25" s="23"/>
      <c r="SI25" s="23"/>
      <c r="SJ25" s="23"/>
      <c r="SK25" s="23"/>
      <c r="SL25" s="23"/>
      <c r="SM25" s="23"/>
      <c r="SN25" s="23"/>
      <c r="SO25" s="23"/>
      <c r="SP25" s="23"/>
      <c r="SQ25" s="23"/>
      <c r="SR25" s="23"/>
      <c r="SS25" s="23"/>
      <c r="ST25" s="23"/>
      <c r="SU25" s="23"/>
      <c r="SV25" s="23"/>
      <c r="SW25" s="23"/>
      <c r="SX25" s="23"/>
      <c r="SY25" s="23"/>
      <c r="SZ25" s="23"/>
      <c r="TA25" s="23"/>
      <c r="TB25" s="23">
        <v>1.2</v>
      </c>
      <c r="TC25" s="23"/>
      <c r="TD25" s="23"/>
      <c r="TE25" s="23"/>
      <c r="TF25" s="23"/>
      <c r="TG25" s="23"/>
      <c r="TH25" s="23"/>
      <c r="TI25" s="23"/>
      <c r="TJ25" s="23"/>
      <c r="TK25" s="23"/>
      <c r="TL25" s="23"/>
      <c r="TM25" s="23"/>
      <c r="TN25" s="23"/>
      <c r="TO25" s="23"/>
      <c r="TP25" s="23"/>
      <c r="TQ25" s="23"/>
      <c r="TR25" s="23"/>
      <c r="TS25" s="23"/>
      <c r="TT25" s="23"/>
      <c r="TU25" s="23"/>
      <c r="TV25" s="23"/>
      <c r="TW25" s="23"/>
      <c r="TX25" s="23"/>
      <c r="TY25" s="23"/>
      <c r="TZ25" s="23"/>
      <c r="UA25" s="23"/>
      <c r="UB25" s="23"/>
      <c r="UC25" s="23"/>
      <c r="UD25" s="23"/>
      <c r="UE25" s="23"/>
      <c r="UF25" s="23"/>
      <c r="UG25" s="23"/>
      <c r="UH25" s="23"/>
      <c r="UI25" s="23"/>
      <c r="UJ25" s="23"/>
      <c r="UK25" s="23"/>
      <c r="UL25" s="23"/>
      <c r="UM25" s="23"/>
      <c r="UN25" s="23"/>
      <c r="UO25" s="23"/>
      <c r="UP25" s="23"/>
      <c r="UQ25" s="23"/>
      <c r="UR25" s="23"/>
      <c r="US25" s="23"/>
      <c r="UT25" s="23"/>
    </row>
    <row r="26" ht="16.5" customHeight="1" spans="4:566">
      <c r="D26" s="19" t="s">
        <v>188</v>
      </c>
      <c r="E26" s="21" t="s">
        <v>189</v>
      </c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>
        <v>0.3</v>
      </c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>
        <v>-0.37</v>
      </c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3"/>
      <c r="CA26" s="23"/>
      <c r="CB26" s="23"/>
      <c r="CC26" s="23"/>
      <c r="CD26" s="23"/>
      <c r="CE26" s="23"/>
      <c r="CF26" s="23"/>
      <c r="CG26" s="23"/>
      <c r="CH26" s="23"/>
      <c r="CI26" s="23"/>
      <c r="CJ26" s="23"/>
      <c r="CK26" s="23"/>
      <c r="CL26" s="23"/>
      <c r="CM26" s="23"/>
      <c r="CN26" s="23"/>
      <c r="CO26" s="23"/>
      <c r="CP26" s="23"/>
      <c r="CQ26" s="23"/>
      <c r="CR26" s="23">
        <v>-0.12</v>
      </c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3"/>
      <c r="DV26" s="23">
        <v>-0.15</v>
      </c>
      <c r="DW26" s="23"/>
      <c r="DX26" s="23"/>
      <c r="DY26" s="23"/>
      <c r="DZ26" s="23"/>
      <c r="EA26" s="23"/>
      <c r="EB26" s="23"/>
      <c r="EC26" s="23"/>
      <c r="ED26" s="23"/>
      <c r="EE26" s="23"/>
      <c r="EF26" s="23"/>
      <c r="EG26" s="23"/>
      <c r="EH26" s="23"/>
      <c r="EI26" s="23"/>
      <c r="EJ26" s="23"/>
      <c r="EK26" s="23"/>
      <c r="EL26" s="23"/>
      <c r="EM26" s="23"/>
      <c r="EN26" s="23"/>
      <c r="EO26" s="23"/>
      <c r="EP26" s="23"/>
      <c r="EQ26" s="23"/>
      <c r="ER26" s="23"/>
      <c r="ES26" s="23"/>
      <c r="ET26" s="23"/>
      <c r="EU26" s="23"/>
      <c r="EV26" s="23"/>
      <c r="EW26" s="23"/>
      <c r="EX26" s="23"/>
      <c r="EY26" s="23"/>
      <c r="EZ26" s="23"/>
      <c r="FA26" s="23">
        <v>-0.17</v>
      </c>
      <c r="FB26" s="23"/>
      <c r="FC26" s="23"/>
      <c r="FD26" s="23"/>
      <c r="FE26" s="23"/>
      <c r="FF26" s="23"/>
      <c r="FG26" s="23"/>
      <c r="FH26" s="23"/>
      <c r="FI26" s="23"/>
      <c r="FJ26" s="23"/>
      <c r="FK26" s="23"/>
      <c r="FL26" s="23"/>
      <c r="FM26" s="23"/>
      <c r="FN26" s="23"/>
      <c r="FO26" s="23"/>
      <c r="FP26" s="23"/>
      <c r="FQ26" s="23"/>
      <c r="FR26" s="23"/>
      <c r="FS26" s="23"/>
      <c r="FT26" s="23"/>
      <c r="FU26" s="23"/>
      <c r="FV26" s="23"/>
      <c r="FW26" s="23"/>
      <c r="FX26" s="23"/>
      <c r="FY26" s="23"/>
      <c r="FZ26" s="23"/>
      <c r="GA26" s="23"/>
      <c r="GB26" s="23"/>
      <c r="GC26" s="23"/>
      <c r="GD26" s="23"/>
      <c r="GE26" s="23">
        <v>-0.03</v>
      </c>
      <c r="GF26" s="23"/>
      <c r="GG26" s="23"/>
      <c r="GH26" s="23"/>
      <c r="GI26" s="23"/>
      <c r="GJ26" s="23"/>
      <c r="GK26" s="23"/>
      <c r="GL26" s="23"/>
      <c r="GM26" s="23"/>
      <c r="GN26" s="23"/>
      <c r="GO26" s="23"/>
      <c r="GP26" s="23"/>
      <c r="GQ26" s="23"/>
      <c r="GR26" s="23"/>
      <c r="GS26" s="23"/>
      <c r="GT26" s="23"/>
      <c r="GU26" s="23"/>
      <c r="GV26" s="23"/>
      <c r="GW26" s="23"/>
      <c r="GX26" s="23"/>
      <c r="GY26" s="23"/>
      <c r="GZ26" s="23"/>
      <c r="HA26" s="23"/>
      <c r="HB26" s="23"/>
      <c r="HC26" s="23"/>
      <c r="HD26" s="23"/>
      <c r="HE26" s="23"/>
      <c r="HF26" s="23"/>
      <c r="HG26" s="23"/>
      <c r="HH26" s="23"/>
      <c r="HI26" s="23"/>
      <c r="HJ26" s="23">
        <v>-0.14</v>
      </c>
      <c r="HK26" s="23"/>
      <c r="HL26" s="23"/>
      <c r="HM26" s="23"/>
      <c r="HN26" s="23"/>
      <c r="HO26" s="23"/>
      <c r="HP26" s="23"/>
      <c r="HQ26" s="23"/>
      <c r="HR26" s="23"/>
      <c r="HS26" s="23"/>
      <c r="HT26" s="23"/>
      <c r="HU26" s="23"/>
      <c r="HV26" s="23"/>
      <c r="HW26" s="23"/>
      <c r="HX26" s="23"/>
      <c r="HY26" s="23"/>
      <c r="HZ26" s="23"/>
      <c r="IA26" s="23"/>
      <c r="IB26" s="23"/>
      <c r="IC26" s="23"/>
      <c r="ID26" s="23"/>
      <c r="IE26" s="23"/>
      <c r="IF26" s="23"/>
      <c r="IG26" s="23"/>
      <c r="IH26" s="23"/>
      <c r="II26" s="23"/>
      <c r="IJ26" s="23"/>
      <c r="IK26" s="23"/>
      <c r="IL26" s="23"/>
      <c r="IM26" s="23"/>
      <c r="IN26" s="23"/>
      <c r="IO26" s="23">
        <v>-0.2</v>
      </c>
      <c r="IP26" s="31"/>
      <c r="IQ26" s="31"/>
      <c r="IR26" s="31"/>
      <c r="IS26" s="31"/>
      <c r="IT26" s="31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  <c r="JN26" s="31"/>
      <c r="JO26" s="31"/>
      <c r="JP26" s="31"/>
      <c r="JQ26" s="31"/>
      <c r="JR26" s="31"/>
      <c r="JS26" s="31">
        <v>-0.15</v>
      </c>
      <c r="JT26" s="31"/>
      <c r="JU26" s="31"/>
      <c r="JV26" s="31"/>
      <c r="JW26" s="31"/>
      <c r="JX26" s="31"/>
      <c r="JY26" s="31"/>
      <c r="JZ26" s="23"/>
      <c r="KA26" s="23"/>
      <c r="KB26" s="23"/>
      <c r="KC26" s="23"/>
      <c r="KD26" s="23"/>
      <c r="KE26" s="23"/>
      <c r="KF26" s="23"/>
      <c r="KG26" s="23"/>
      <c r="KH26" s="23"/>
      <c r="KI26" s="23"/>
      <c r="KJ26" s="23"/>
      <c r="KK26" s="23"/>
      <c r="KL26" s="23"/>
      <c r="KM26" s="23"/>
      <c r="KN26" s="23"/>
      <c r="KO26" s="23"/>
      <c r="KP26" s="23"/>
      <c r="KQ26" s="23"/>
      <c r="KR26" s="23"/>
      <c r="KS26" s="23"/>
      <c r="KT26" s="23"/>
      <c r="KU26" s="23"/>
      <c r="KV26" s="23"/>
      <c r="KW26" s="23"/>
      <c r="KX26" s="23">
        <v>-0.04</v>
      </c>
      <c r="KY26" s="23"/>
      <c r="KZ26" s="23"/>
      <c r="LA26" s="23"/>
      <c r="LB26" s="23"/>
      <c r="LC26" s="23"/>
      <c r="LD26" s="23"/>
      <c r="LE26" s="23"/>
      <c r="LF26" s="23"/>
      <c r="LG26" s="23"/>
      <c r="LH26" s="23"/>
      <c r="LI26" s="23"/>
      <c r="LJ26" s="23"/>
      <c r="LK26" s="23"/>
      <c r="LL26" s="23"/>
      <c r="LM26" s="23"/>
      <c r="LN26" s="23"/>
      <c r="LO26" s="23"/>
      <c r="LP26" s="23"/>
      <c r="LQ26" s="23"/>
      <c r="LR26" s="23"/>
      <c r="LS26" s="23"/>
      <c r="LT26" s="23"/>
      <c r="LU26" s="23"/>
      <c r="LV26" s="23"/>
      <c r="LW26" s="23"/>
      <c r="LX26" s="23"/>
      <c r="LY26" s="23"/>
      <c r="LZ26" s="23"/>
      <c r="MA26" s="23"/>
      <c r="MB26" s="23">
        <v>0.67</v>
      </c>
      <c r="MC26" s="23"/>
      <c r="MD26" s="23"/>
      <c r="ME26" s="23"/>
      <c r="MF26" s="23"/>
      <c r="MG26" s="23"/>
      <c r="MH26" s="23"/>
      <c r="MI26" s="23"/>
      <c r="MJ26" s="23"/>
      <c r="MK26" s="23"/>
      <c r="ML26" s="23"/>
      <c r="MM26" s="23"/>
      <c r="MN26" s="23"/>
      <c r="MO26" s="23"/>
      <c r="MP26" s="23"/>
      <c r="MQ26" s="23"/>
      <c r="MR26" s="23"/>
      <c r="MS26" s="23"/>
      <c r="MT26" s="23"/>
      <c r="MU26" s="23"/>
      <c r="MV26" s="23"/>
      <c r="MW26" s="23"/>
      <c r="MX26" s="23"/>
      <c r="MY26" s="23"/>
      <c r="MZ26" s="23"/>
      <c r="NA26" s="23"/>
      <c r="NB26" s="23"/>
      <c r="NC26" s="23"/>
      <c r="ND26" s="23"/>
      <c r="NE26" s="23"/>
      <c r="NF26" s="23"/>
      <c r="NG26" s="23">
        <v>0.76</v>
      </c>
      <c r="NH26" s="23"/>
      <c r="NI26" s="23"/>
      <c r="NJ26" s="23"/>
      <c r="NK26" s="23"/>
      <c r="NL26" s="23"/>
      <c r="NM26" s="23"/>
      <c r="NN26" s="23"/>
      <c r="NO26" s="23"/>
      <c r="NP26" s="23"/>
      <c r="NQ26" s="23"/>
      <c r="NR26" s="23"/>
      <c r="NS26" s="23"/>
      <c r="NT26" s="23"/>
      <c r="NU26" s="23"/>
      <c r="NV26" s="23"/>
      <c r="NW26" s="23"/>
      <c r="NX26" s="23"/>
      <c r="NY26" s="23"/>
      <c r="NZ26" s="23"/>
      <c r="OA26" s="23"/>
      <c r="OB26" s="23"/>
      <c r="OC26" s="23"/>
      <c r="OD26" s="23"/>
      <c r="OE26" s="23"/>
      <c r="OF26" s="23"/>
      <c r="OG26" s="23"/>
      <c r="OH26" s="23"/>
      <c r="OI26" s="23"/>
      <c r="OJ26" s="23"/>
      <c r="OK26" s="23"/>
      <c r="OL26" s="23">
        <v>0.44</v>
      </c>
      <c r="OM26" s="23"/>
      <c r="ON26" s="23"/>
      <c r="OO26" s="23"/>
      <c r="OP26" s="23"/>
      <c r="OQ26" s="23"/>
      <c r="OR26" s="23"/>
      <c r="OS26" s="23"/>
      <c r="OT26" s="23"/>
      <c r="OU26" s="23"/>
      <c r="OV26" s="23"/>
      <c r="OW26" s="23"/>
      <c r="OX26" s="23"/>
      <c r="OY26" s="23"/>
      <c r="OZ26" s="23"/>
      <c r="PA26" s="23"/>
      <c r="PB26" s="23"/>
      <c r="PC26" s="23"/>
      <c r="PD26" s="23"/>
      <c r="PE26" s="23"/>
      <c r="PF26" s="23"/>
      <c r="PG26" s="23"/>
      <c r="PH26" s="23"/>
      <c r="PI26" s="23"/>
      <c r="PJ26" s="23"/>
      <c r="PK26" s="23"/>
      <c r="PL26" s="23"/>
      <c r="PM26" s="23"/>
      <c r="PN26" s="23">
        <v>0.91</v>
      </c>
      <c r="PO26" s="23"/>
      <c r="PP26" s="23"/>
      <c r="PQ26" s="23"/>
      <c r="PR26" s="23"/>
      <c r="PS26" s="23"/>
      <c r="PT26" s="23"/>
      <c r="PU26" s="23"/>
      <c r="PV26" s="23"/>
      <c r="PW26" s="23"/>
      <c r="PX26" s="23"/>
      <c r="PY26" s="23"/>
      <c r="PZ26" s="23"/>
      <c r="QA26" s="23"/>
      <c r="QB26" s="23"/>
      <c r="QC26" s="23"/>
      <c r="QD26" s="23"/>
      <c r="QE26" s="23"/>
      <c r="QF26" s="23"/>
      <c r="QG26" s="23"/>
      <c r="QH26" s="23"/>
      <c r="QI26" s="23"/>
      <c r="QJ26" s="23"/>
      <c r="QK26" s="23"/>
      <c r="QL26" s="23"/>
      <c r="QM26" s="23"/>
      <c r="QN26" s="23"/>
      <c r="QO26" s="23"/>
      <c r="QP26" s="23"/>
      <c r="QQ26" s="23"/>
      <c r="QR26" s="23"/>
      <c r="QS26" s="23">
        <v>1.27</v>
      </c>
      <c r="QT26" s="23"/>
      <c r="QU26" s="23"/>
      <c r="QV26" s="23"/>
      <c r="QW26" s="23"/>
      <c r="QX26" s="23"/>
      <c r="QY26" s="23"/>
      <c r="QZ26" s="23"/>
      <c r="RA26" s="23"/>
      <c r="RB26" s="23"/>
      <c r="RC26" s="23"/>
      <c r="RD26" s="23"/>
      <c r="RE26" s="23"/>
      <c r="RF26" s="23"/>
      <c r="RG26" s="23"/>
      <c r="RH26" s="23"/>
      <c r="RI26" s="23"/>
      <c r="RJ26" s="23"/>
      <c r="RK26" s="23"/>
      <c r="RL26" s="23"/>
      <c r="RM26" s="23"/>
      <c r="RN26" s="23"/>
      <c r="RO26" s="23"/>
      <c r="RP26" s="23"/>
      <c r="RQ26" s="23"/>
      <c r="RR26" s="23"/>
      <c r="RS26" s="23"/>
      <c r="RT26" s="23"/>
      <c r="RU26" s="23"/>
      <c r="RV26" s="23"/>
      <c r="RW26" s="23">
        <v>0.94</v>
      </c>
      <c r="RX26" s="23"/>
      <c r="RY26" s="23"/>
      <c r="RZ26" s="23"/>
      <c r="SA26" s="23"/>
      <c r="SB26" s="23"/>
      <c r="SC26" s="23"/>
      <c r="SD26" s="23"/>
      <c r="SE26" s="23"/>
      <c r="SF26" s="23"/>
      <c r="SG26" s="23"/>
      <c r="SH26" s="23"/>
      <c r="SI26" s="23"/>
      <c r="SJ26" s="23"/>
      <c r="SK26" s="23"/>
      <c r="SL26" s="23"/>
      <c r="SM26" s="23"/>
      <c r="SN26" s="23"/>
      <c r="SO26" s="23"/>
      <c r="SP26" s="23"/>
      <c r="SQ26" s="23"/>
      <c r="SR26" s="23"/>
      <c r="SS26" s="23"/>
      <c r="ST26" s="23"/>
      <c r="SU26" s="23"/>
      <c r="SV26" s="23"/>
      <c r="SW26" s="23"/>
      <c r="SX26" s="23"/>
      <c r="SY26" s="23"/>
      <c r="SZ26" s="23"/>
      <c r="TA26" s="23"/>
      <c r="TB26" s="23">
        <v>1.37</v>
      </c>
      <c r="TC26" s="23"/>
      <c r="TD26" s="23"/>
      <c r="TE26" s="23"/>
      <c r="TF26" s="23"/>
      <c r="TG26" s="23"/>
      <c r="TH26" s="23"/>
      <c r="TI26" s="23"/>
      <c r="TJ26" s="23"/>
      <c r="TK26" s="23"/>
      <c r="TL26" s="23"/>
      <c r="TM26" s="23"/>
      <c r="TN26" s="23"/>
      <c r="TO26" s="23"/>
      <c r="TP26" s="23"/>
      <c r="TQ26" s="23"/>
      <c r="TR26" s="23"/>
      <c r="TS26" s="23"/>
      <c r="TT26" s="23"/>
      <c r="TU26" s="23"/>
      <c r="TV26" s="23"/>
      <c r="TW26" s="23"/>
      <c r="TX26" s="23"/>
      <c r="TY26" s="23"/>
      <c r="TZ26" s="23"/>
      <c r="UA26" s="23"/>
      <c r="UB26" s="23"/>
      <c r="UC26" s="23"/>
      <c r="UD26" s="23"/>
      <c r="UE26" s="23"/>
      <c r="UF26" s="23">
        <v>1.18</v>
      </c>
      <c r="UG26" s="23"/>
      <c r="UH26" s="23"/>
      <c r="UI26" s="23"/>
      <c r="UJ26" s="23"/>
      <c r="UK26" s="23"/>
      <c r="UL26" s="23"/>
      <c r="UM26" s="23">
        <v>0.1</v>
      </c>
      <c r="UN26" s="23"/>
      <c r="UO26" s="23">
        <v>0.3</v>
      </c>
      <c r="UP26" s="23"/>
      <c r="UQ26" s="23"/>
      <c r="UR26" s="23">
        <v>1.2</v>
      </c>
      <c r="US26" s="23"/>
      <c r="UT26" s="23"/>
    </row>
    <row r="27" ht="16.5" customHeight="1" spans="4:566">
      <c r="D27" s="19" t="s">
        <v>412</v>
      </c>
      <c r="E27" s="21" t="s">
        <v>105</v>
      </c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>
        <v>9.5</v>
      </c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>
        <v>9.5</v>
      </c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3"/>
      <c r="CA27" s="23"/>
      <c r="CB27" s="23"/>
      <c r="CC27" s="23"/>
      <c r="CD27" s="23"/>
      <c r="CE27" s="23"/>
      <c r="CF27" s="23"/>
      <c r="CG27" s="23"/>
      <c r="CH27" s="23"/>
      <c r="CI27" s="23"/>
      <c r="CJ27" s="23"/>
      <c r="CK27" s="23"/>
      <c r="CL27" s="23"/>
      <c r="CM27" s="23"/>
      <c r="CN27" s="23"/>
      <c r="CO27" s="23"/>
      <c r="CP27" s="23"/>
      <c r="CQ27" s="23"/>
      <c r="CR27" s="23">
        <v>9.5</v>
      </c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3"/>
      <c r="DV27" s="23">
        <v>9.5</v>
      </c>
      <c r="DW27" s="23"/>
      <c r="DX27" s="23"/>
      <c r="DY27" s="23"/>
      <c r="DZ27" s="23"/>
      <c r="EA27" s="23"/>
      <c r="EB27" s="23"/>
      <c r="EC27" s="23"/>
      <c r="ED27" s="23"/>
      <c r="EE27" s="23"/>
      <c r="EF27" s="23"/>
      <c r="EG27" s="23"/>
      <c r="EH27" s="23"/>
      <c r="EI27" s="23"/>
      <c r="EJ27" s="23"/>
      <c r="EK27" s="23"/>
      <c r="EL27" s="23"/>
      <c r="EM27" s="23"/>
      <c r="EN27" s="23"/>
      <c r="EO27" s="23"/>
      <c r="EP27" s="23"/>
      <c r="EQ27" s="23"/>
      <c r="ER27" s="23"/>
      <c r="ES27" s="23"/>
      <c r="ET27" s="23"/>
      <c r="EU27" s="23"/>
      <c r="EV27" s="23"/>
      <c r="EW27" s="23"/>
      <c r="EX27" s="23"/>
      <c r="EY27" s="23"/>
      <c r="EZ27" s="23"/>
      <c r="FA27" s="23">
        <v>9</v>
      </c>
      <c r="FB27" s="23"/>
      <c r="FC27" s="23"/>
      <c r="FD27" s="23"/>
      <c r="FE27" s="23"/>
      <c r="FF27" s="23"/>
      <c r="FG27" s="23"/>
      <c r="FH27" s="23"/>
      <c r="FI27" s="23"/>
      <c r="FJ27" s="23"/>
      <c r="FK27" s="23"/>
      <c r="FL27" s="23"/>
      <c r="FM27" s="23"/>
      <c r="FN27" s="23"/>
      <c r="FO27" s="23"/>
      <c r="FP27" s="23"/>
      <c r="FQ27" s="23"/>
      <c r="FR27" s="23"/>
      <c r="FS27" s="23"/>
      <c r="FT27" s="23"/>
      <c r="FU27" s="23"/>
      <c r="FV27" s="23"/>
      <c r="FW27" s="23"/>
      <c r="FX27" s="23"/>
      <c r="FY27" s="23"/>
      <c r="FZ27" s="23"/>
      <c r="GA27" s="23"/>
      <c r="GB27" s="23"/>
      <c r="GC27" s="23"/>
      <c r="GD27" s="23"/>
      <c r="GE27" s="23">
        <v>9</v>
      </c>
      <c r="GF27" s="23"/>
      <c r="GG27" s="23"/>
      <c r="GH27" s="23"/>
      <c r="GI27" s="23"/>
      <c r="GJ27" s="23"/>
      <c r="GK27" s="23"/>
      <c r="GL27" s="23"/>
      <c r="GM27" s="23"/>
      <c r="GN27" s="23"/>
      <c r="GO27" s="23"/>
      <c r="GP27" s="23"/>
      <c r="GQ27" s="23"/>
      <c r="GR27" s="23"/>
      <c r="GS27" s="23"/>
      <c r="GT27" s="23"/>
      <c r="GU27" s="23"/>
      <c r="GV27" s="23"/>
      <c r="GW27" s="23"/>
      <c r="GX27" s="23"/>
      <c r="GY27" s="23"/>
      <c r="GZ27" s="23"/>
      <c r="HA27" s="23"/>
      <c r="HB27" s="23"/>
      <c r="HC27" s="23"/>
      <c r="HD27" s="23"/>
      <c r="HE27" s="23"/>
      <c r="HF27" s="23"/>
      <c r="HG27" s="23"/>
      <c r="HH27" s="23"/>
      <c r="HI27" s="23"/>
      <c r="HJ27" s="23">
        <v>9</v>
      </c>
      <c r="HK27" s="23"/>
      <c r="HL27" s="23"/>
      <c r="HM27" s="23"/>
      <c r="HN27" s="23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>
        <v>9</v>
      </c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>
        <v>9</v>
      </c>
      <c r="JT27" s="31"/>
      <c r="JU27" s="31"/>
      <c r="JV27" s="31"/>
      <c r="JW27" s="31"/>
      <c r="JX27" s="31"/>
      <c r="JY27" s="31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>
        <v>9</v>
      </c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>
        <v>9</v>
      </c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>
        <v>9</v>
      </c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>
        <v>9</v>
      </c>
      <c r="OM27" s="23"/>
      <c r="ON27" s="23"/>
      <c r="OO27" s="23"/>
      <c r="OP27" s="23"/>
      <c r="OQ27" s="23"/>
      <c r="OR27" s="23"/>
      <c r="OS27" s="23"/>
      <c r="OT27" s="23"/>
      <c r="OU27" s="23"/>
      <c r="OV27" s="23"/>
      <c r="OW27" s="23"/>
      <c r="OX27" s="23"/>
      <c r="OY27" s="23"/>
      <c r="OZ27" s="23"/>
      <c r="PA27" s="23"/>
      <c r="PB27" s="23"/>
      <c r="PC27" s="23"/>
      <c r="PD27" s="23"/>
      <c r="PE27" s="23"/>
      <c r="PF27" s="23"/>
      <c r="PG27" s="23"/>
      <c r="PH27" s="23"/>
      <c r="PI27" s="23"/>
      <c r="PJ27" s="23"/>
      <c r="PK27" s="23"/>
      <c r="PL27" s="23"/>
      <c r="PM27" s="23"/>
      <c r="PN27" s="23">
        <v>9</v>
      </c>
      <c r="PO27" s="23"/>
      <c r="PP27" s="23"/>
      <c r="PQ27" s="23"/>
      <c r="PR27" s="23"/>
      <c r="PS27" s="23"/>
      <c r="PT27" s="23"/>
      <c r="PU27" s="23"/>
      <c r="PV27" s="23"/>
      <c r="PW27" s="23"/>
      <c r="PX27" s="23"/>
      <c r="PY27" s="23"/>
      <c r="PZ27" s="23"/>
      <c r="QA27" s="23"/>
      <c r="QB27" s="23"/>
      <c r="QC27" s="23"/>
      <c r="QD27" s="23"/>
      <c r="QE27" s="23"/>
      <c r="QF27" s="23"/>
      <c r="QG27" s="23"/>
      <c r="QH27" s="23"/>
      <c r="QI27" s="23"/>
      <c r="QJ27" s="23"/>
      <c r="QK27" s="23"/>
      <c r="QL27" s="23"/>
      <c r="QM27" s="23"/>
      <c r="QN27" s="23"/>
      <c r="QO27" s="23"/>
      <c r="QP27" s="23"/>
      <c r="QQ27" s="23"/>
      <c r="QR27" s="23"/>
      <c r="QS27" s="23">
        <v>9</v>
      </c>
      <c r="QT27" s="23"/>
      <c r="QU27" s="23"/>
      <c r="QV27" s="23"/>
      <c r="QW27" s="23"/>
      <c r="QX27" s="23"/>
      <c r="QY27" s="23"/>
      <c r="QZ27" s="23"/>
      <c r="RA27" s="23"/>
      <c r="RB27" s="23"/>
      <c r="RC27" s="23"/>
      <c r="RD27" s="23"/>
      <c r="RE27" s="23"/>
      <c r="RF27" s="23"/>
      <c r="RG27" s="23"/>
      <c r="RH27" s="23"/>
      <c r="RI27" s="23"/>
      <c r="RJ27" s="23"/>
      <c r="RK27" s="23"/>
      <c r="RL27" s="23"/>
      <c r="RM27" s="23"/>
      <c r="RN27" s="23"/>
      <c r="RO27" s="23"/>
      <c r="RP27" s="23"/>
      <c r="RQ27" s="23"/>
      <c r="RR27" s="23"/>
      <c r="RS27" s="23"/>
      <c r="RT27" s="23"/>
      <c r="RU27" s="23"/>
      <c r="RV27" s="23"/>
      <c r="RW27" s="23">
        <v>9</v>
      </c>
      <c r="RX27" s="23"/>
      <c r="RY27" s="23"/>
      <c r="RZ27" s="23"/>
      <c r="SA27" s="23"/>
      <c r="SB27" s="23"/>
      <c r="SC27" s="23"/>
      <c r="SD27" s="23"/>
      <c r="SE27" s="23"/>
      <c r="SF27" s="23"/>
      <c r="SG27" s="23"/>
      <c r="SH27" s="23"/>
      <c r="SI27" s="23"/>
      <c r="SJ27" s="23"/>
      <c r="SK27" s="23"/>
      <c r="SL27" s="23"/>
      <c r="SM27" s="23"/>
      <c r="SN27" s="23"/>
      <c r="SO27" s="23"/>
      <c r="SP27" s="23"/>
      <c r="SQ27" s="23"/>
      <c r="SR27" s="23"/>
      <c r="SS27" s="23"/>
      <c r="ST27" s="23"/>
      <c r="SU27" s="23"/>
      <c r="SV27" s="23"/>
      <c r="SW27" s="23"/>
      <c r="SX27" s="23"/>
      <c r="SY27" s="23"/>
      <c r="SZ27" s="23"/>
      <c r="TA27" s="23"/>
      <c r="TB27" s="23">
        <v>9</v>
      </c>
      <c r="TC27" s="23"/>
      <c r="TD27" s="23"/>
      <c r="TE27" s="23"/>
      <c r="TF27" s="23"/>
      <c r="TG27" s="23"/>
      <c r="TH27" s="23"/>
      <c r="TI27" s="23"/>
      <c r="TJ27" s="23"/>
      <c r="TK27" s="23"/>
      <c r="TL27" s="23"/>
      <c r="TM27" s="23"/>
      <c r="TN27" s="23"/>
      <c r="TO27" s="23"/>
      <c r="TP27" s="23"/>
      <c r="TQ27" s="23"/>
      <c r="TR27" s="23"/>
      <c r="TS27" s="23"/>
      <c r="TT27" s="23"/>
      <c r="TU27" s="23"/>
      <c r="TV27" s="23"/>
      <c r="TW27" s="23"/>
      <c r="TX27" s="23"/>
      <c r="TY27" s="23"/>
      <c r="TZ27" s="23"/>
      <c r="UA27" s="23"/>
      <c r="UB27" s="23"/>
      <c r="UC27" s="23"/>
      <c r="UD27" s="23"/>
      <c r="UE27" s="23"/>
      <c r="UF27" s="23">
        <v>9</v>
      </c>
      <c r="UG27" s="23"/>
      <c r="UH27" s="23"/>
      <c r="UI27" s="23"/>
      <c r="UJ27" s="23"/>
      <c r="UK27" s="23"/>
      <c r="UL27" s="23"/>
      <c r="UM27" s="23"/>
      <c r="UN27" s="23"/>
      <c r="UO27" s="23"/>
      <c r="UP27" s="23"/>
      <c r="UQ27" s="23"/>
      <c r="UR27" s="23"/>
      <c r="US27" s="23"/>
      <c r="UT27" s="23"/>
    </row>
    <row r="28" ht="16.5" customHeight="1" spans="4:566">
      <c r="D28" s="19" t="s">
        <v>190</v>
      </c>
      <c r="E28" s="21" t="s">
        <v>191</v>
      </c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>
        <v>-70.9</v>
      </c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>
        <v>-33.1</v>
      </c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>
        <v>12.4</v>
      </c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3"/>
      <c r="DV28" s="23">
        <v>-16.4</v>
      </c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>
        <v>5</v>
      </c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>
        <v>3</v>
      </c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>
        <v>-3</v>
      </c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  <c r="IN28" s="23"/>
      <c r="IO28" s="23">
        <v>2</v>
      </c>
      <c r="IP28" s="31"/>
      <c r="IQ28" s="31"/>
      <c r="IR28" s="31"/>
      <c r="IS28" s="31"/>
      <c r="IT28" s="31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  <c r="JN28" s="31"/>
      <c r="JO28" s="31"/>
      <c r="JP28" s="31"/>
      <c r="JQ28" s="31"/>
      <c r="JR28" s="31"/>
      <c r="JS28" s="31">
        <v>19</v>
      </c>
      <c r="JT28" s="31"/>
      <c r="JU28" s="31"/>
      <c r="JV28" s="31"/>
      <c r="JW28" s="31"/>
      <c r="JX28" s="31"/>
      <c r="JY28" s="31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>
        <v>-24</v>
      </c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>
        <v>-3</v>
      </c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>
        <v>71</v>
      </c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>
        <v>-79</v>
      </c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>
        <v>0</v>
      </c>
      <c r="PO28" s="23"/>
      <c r="PP28" s="23"/>
      <c r="PQ28" s="23"/>
      <c r="PR28" s="23"/>
      <c r="PS28" s="23"/>
      <c r="PT28" s="23"/>
      <c r="PU28" s="23"/>
      <c r="PV28" s="23"/>
      <c r="PW28" s="23"/>
      <c r="PX28" s="23"/>
      <c r="PY28" s="23"/>
      <c r="PZ28" s="23"/>
      <c r="QA28" s="23"/>
      <c r="QB28" s="23"/>
      <c r="QC28" s="23"/>
      <c r="QD28" s="23"/>
      <c r="QE28" s="23"/>
      <c r="QF28" s="23"/>
      <c r="QG28" s="23"/>
      <c r="QH28" s="23"/>
      <c r="QI28" s="23"/>
      <c r="QJ28" s="23"/>
      <c r="QK28" s="23"/>
      <c r="QL28" s="23"/>
      <c r="QM28" s="23"/>
      <c r="QN28" s="23"/>
      <c r="QO28" s="23"/>
      <c r="QP28" s="23"/>
      <c r="QQ28" s="23"/>
      <c r="QR28" s="23"/>
      <c r="QS28" s="23">
        <v>8</v>
      </c>
      <c r="QT28" s="23"/>
      <c r="QU28" s="23"/>
      <c r="QV28" s="23"/>
      <c r="QW28" s="23"/>
      <c r="QX28" s="23"/>
      <c r="QY28" s="23"/>
      <c r="QZ28" s="23"/>
      <c r="RA28" s="23"/>
      <c r="RB28" s="23"/>
      <c r="RC28" s="2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>
        <v>-7</v>
      </c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/>
      <c r="SQ28" s="23"/>
      <c r="SR28" s="23"/>
      <c r="SS28" s="23"/>
      <c r="ST28" s="23"/>
      <c r="SU28" s="23"/>
      <c r="SV28" s="23"/>
      <c r="SW28" s="23"/>
      <c r="SX28" s="23"/>
      <c r="SY28" s="23"/>
      <c r="SZ28" s="23"/>
      <c r="TA28" s="23"/>
      <c r="TB28" s="23">
        <v>9</v>
      </c>
      <c r="TC28" s="23"/>
      <c r="TD28" s="23"/>
      <c r="TE28" s="23"/>
      <c r="TF28" s="23"/>
      <c r="TG28" s="23"/>
      <c r="TH28" s="23"/>
      <c r="TI28" s="23"/>
      <c r="TJ28" s="23"/>
      <c r="TK28" s="23"/>
      <c r="TL28" s="23"/>
      <c r="TM28" s="23"/>
      <c r="TN28" s="23"/>
      <c r="TO28" s="23"/>
      <c r="TP28" s="23"/>
      <c r="TQ28" s="23"/>
      <c r="TR28" s="23"/>
      <c r="TS28" s="23"/>
      <c r="TT28" s="23"/>
      <c r="TU28" s="23"/>
      <c r="TV28" s="23"/>
      <c r="TW28" s="23"/>
      <c r="TX28" s="23"/>
      <c r="TY28" s="23"/>
      <c r="TZ28" s="23"/>
      <c r="UA28" s="23"/>
      <c r="UB28" s="23"/>
      <c r="UC28" s="23"/>
      <c r="UD28" s="23"/>
      <c r="UE28" s="23"/>
      <c r="UF28" s="23">
        <v>0</v>
      </c>
      <c r="UG28" s="23"/>
      <c r="UH28" s="23"/>
      <c r="UI28" s="23"/>
      <c r="UJ28" s="23"/>
      <c r="UK28" s="23"/>
      <c r="UL28" s="23"/>
      <c r="UM28" s="23"/>
      <c r="UN28" s="23"/>
      <c r="UO28" s="23"/>
      <c r="UP28" s="23"/>
      <c r="UQ28" s="23"/>
      <c r="UR28" s="23"/>
      <c r="US28" s="23"/>
      <c r="UT28" s="23"/>
    </row>
    <row r="29" ht="16.5" customHeight="1" spans="4:566">
      <c r="D29" s="19" t="s">
        <v>192</v>
      </c>
      <c r="E29" s="21" t="s">
        <v>193</v>
      </c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>
        <v>-7950</v>
      </c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>
        <v>-2000</v>
      </c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  <c r="BZ29" s="23"/>
      <c r="CA29" s="23"/>
      <c r="CB29" s="23"/>
      <c r="CC29" s="23"/>
      <c r="CD29" s="23"/>
      <c r="CE29" s="23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>
        <v>630</v>
      </c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>
        <v>5000</v>
      </c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>
        <v>3750</v>
      </c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>
        <v>1180</v>
      </c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>
        <v>1000</v>
      </c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>
        <v>3000</v>
      </c>
      <c r="IP29" s="31"/>
      <c r="IQ29" s="31"/>
      <c r="IR29" s="31"/>
      <c r="IS29" s="31"/>
      <c r="IT29" s="31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  <c r="JN29" s="31"/>
      <c r="JO29" s="31"/>
      <c r="JP29" s="31"/>
      <c r="JQ29" s="31"/>
      <c r="JR29" s="31"/>
      <c r="JS29" s="31">
        <v>3000</v>
      </c>
      <c r="JT29" s="31"/>
      <c r="JU29" s="31"/>
      <c r="JV29" s="31"/>
      <c r="JW29" s="31"/>
      <c r="JX29" s="31"/>
      <c r="JY29" s="31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>
        <v>2000</v>
      </c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>
        <v>1000</v>
      </c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>
        <v>1000</v>
      </c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>
        <v>7000</v>
      </c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>
        <v>3000</v>
      </c>
      <c r="PO29" s="23"/>
      <c r="PP29" s="23"/>
      <c r="PQ29" s="23"/>
      <c r="PR29" s="23"/>
      <c r="PS29" s="23"/>
      <c r="PT29" s="23"/>
      <c r="PU29" s="23"/>
      <c r="PV29" s="23"/>
      <c r="PW29" s="23"/>
      <c r="PX29" s="23"/>
      <c r="PY29" s="23"/>
      <c r="PZ29" s="23"/>
      <c r="QA29" s="23"/>
      <c r="QB29" s="23"/>
      <c r="QC29" s="23"/>
      <c r="QD29" s="23"/>
      <c r="QE29" s="23"/>
      <c r="QF29" s="23"/>
      <c r="QG29" s="23"/>
      <c r="QH29" s="23"/>
      <c r="QI29" s="23"/>
      <c r="QJ29" s="23"/>
      <c r="QK29" s="23"/>
      <c r="QL29" s="23"/>
      <c r="QM29" s="23"/>
      <c r="QN29" s="23"/>
      <c r="QO29" s="23"/>
      <c r="QP29" s="23"/>
      <c r="QQ29" s="23"/>
      <c r="QR29" s="23"/>
      <c r="QS29" s="23">
        <v>500</v>
      </c>
      <c r="QT29" s="23"/>
      <c r="QU29" s="23"/>
      <c r="QV29" s="23"/>
      <c r="QW29" s="23"/>
      <c r="QX29" s="23"/>
      <c r="QY29" s="23"/>
      <c r="QZ29" s="23"/>
      <c r="RA29" s="23"/>
      <c r="RB29" s="23"/>
      <c r="RC29" s="23"/>
      <c r="RD29" s="23"/>
      <c r="RE29" s="23"/>
      <c r="RF29" s="23"/>
      <c r="RG29" s="23"/>
      <c r="RH29" s="23"/>
      <c r="RI29" s="23"/>
      <c r="RJ29" s="23"/>
      <c r="RK29" s="23"/>
      <c r="RL29" s="23"/>
      <c r="RM29" s="23"/>
      <c r="RN29" s="23"/>
      <c r="RO29" s="23"/>
      <c r="RP29" s="23"/>
      <c r="RQ29" s="23"/>
      <c r="RR29" s="23"/>
      <c r="RS29" s="23"/>
      <c r="RT29" s="23"/>
      <c r="RU29" s="23"/>
      <c r="RV29" s="23"/>
      <c r="RW29" s="23">
        <v>-2000</v>
      </c>
      <c r="RX29" s="23"/>
      <c r="RY29" s="23"/>
      <c r="RZ29" s="23"/>
      <c r="SA29" s="23"/>
      <c r="SB29" s="23"/>
      <c r="SC29" s="23"/>
      <c r="SD29" s="23"/>
      <c r="SE29" s="23"/>
      <c r="SF29" s="23"/>
      <c r="SG29" s="23"/>
      <c r="SH29" s="23"/>
      <c r="SI29" s="23"/>
      <c r="SJ29" s="23"/>
      <c r="SK29" s="23"/>
      <c r="SL29" s="23"/>
      <c r="SM29" s="23"/>
      <c r="SN29" s="23"/>
      <c r="SO29" s="23"/>
      <c r="SP29" s="23"/>
      <c r="SQ29" s="23"/>
      <c r="SR29" s="23"/>
      <c r="SS29" s="23"/>
      <c r="ST29" s="23"/>
      <c r="SU29" s="23"/>
      <c r="SV29" s="23"/>
      <c r="SW29" s="23"/>
      <c r="SX29" s="23"/>
      <c r="SY29" s="23"/>
      <c r="SZ29" s="23"/>
      <c r="TA29" s="23"/>
      <c r="TB29" s="23">
        <v>1000</v>
      </c>
      <c r="TC29" s="23"/>
      <c r="TD29" s="23"/>
      <c r="TE29" s="23"/>
      <c r="TF29" s="23"/>
      <c r="TG29" s="23"/>
      <c r="TH29" s="23"/>
      <c r="TI29" s="23"/>
      <c r="TJ29" s="23"/>
      <c r="TK29" s="23"/>
      <c r="TL29" s="23"/>
      <c r="TM29" s="23"/>
      <c r="TN29" s="23"/>
      <c r="TO29" s="23"/>
      <c r="TP29" s="23"/>
      <c r="TQ29" s="23"/>
      <c r="TR29" s="23"/>
      <c r="TS29" s="23"/>
      <c r="TT29" s="23"/>
      <c r="TU29" s="23"/>
      <c r="TV29" s="23"/>
      <c r="TW29" s="23"/>
      <c r="TX29" s="23"/>
      <c r="TY29" s="23"/>
      <c r="TZ29" s="23"/>
      <c r="UA29" s="23"/>
      <c r="UB29" s="23"/>
      <c r="UC29" s="23"/>
      <c r="UD29" s="23"/>
      <c r="UE29" s="23"/>
      <c r="UF29" s="23">
        <v>2000</v>
      </c>
      <c r="UG29" s="23"/>
      <c r="UH29" s="23"/>
      <c r="UI29" s="23"/>
      <c r="UJ29" s="23"/>
      <c r="UK29" s="23"/>
      <c r="UL29" s="23"/>
      <c r="UM29" s="23"/>
      <c r="UN29" s="23"/>
      <c r="UO29" s="23"/>
      <c r="UP29" s="23"/>
      <c r="UQ29" s="23"/>
      <c r="UR29" s="23"/>
      <c r="US29" s="23"/>
      <c r="UT29" s="23"/>
    </row>
    <row r="30" ht="16.5" customHeight="1" spans="4:566">
      <c r="D30" s="19" t="s">
        <v>194</v>
      </c>
      <c r="E30" s="21" t="s">
        <v>195</v>
      </c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>
        <v>-1000</v>
      </c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  <c r="BZ30" s="23"/>
      <c r="CA30" s="23"/>
      <c r="CB30" s="23"/>
      <c r="CC30" s="23"/>
      <c r="CD30" s="23"/>
      <c r="CE30" s="23"/>
      <c r="CF30" s="23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>
        <v>-2000</v>
      </c>
      <c r="CS30" s="23"/>
      <c r="CT30" s="23"/>
      <c r="CU30" s="23"/>
      <c r="CV30" s="23"/>
      <c r="CW30" s="23"/>
      <c r="CX30" s="23"/>
      <c r="CY30" s="23"/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>
        <v>-2700</v>
      </c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>
        <v>-3000</v>
      </c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>
        <v>-2300</v>
      </c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>
        <v>-1608</v>
      </c>
      <c r="IP30" s="31"/>
      <c r="IQ30" s="31"/>
      <c r="IR30" s="31"/>
      <c r="IS30" s="31"/>
      <c r="IT30" s="31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  <c r="JN30" s="31"/>
      <c r="JO30" s="31"/>
      <c r="JP30" s="31"/>
      <c r="JQ30" s="31"/>
      <c r="JR30" s="31"/>
      <c r="JS30" s="31">
        <v>-883</v>
      </c>
      <c r="JT30" s="31"/>
      <c r="JU30" s="31"/>
      <c r="JV30" s="31"/>
      <c r="JW30" s="31"/>
      <c r="JX30" s="31"/>
      <c r="JY30" s="31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>
        <v>-55</v>
      </c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>
        <v>254</v>
      </c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>
        <v>-56</v>
      </c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>
        <v>1744</v>
      </c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>
        <v>0</v>
      </c>
      <c r="PO30" s="23"/>
      <c r="PP30" s="23"/>
      <c r="PQ30" s="23"/>
      <c r="PR30" s="23"/>
      <c r="PS30" s="23"/>
      <c r="PT30" s="23"/>
      <c r="PU30" s="23"/>
      <c r="PV30" s="23"/>
      <c r="PW30" s="23"/>
      <c r="PX30" s="23"/>
      <c r="PY30" s="23"/>
      <c r="PZ30" s="23"/>
      <c r="QA30" s="23"/>
      <c r="QB30" s="23"/>
      <c r="QC30" s="23"/>
      <c r="QD30" s="23"/>
      <c r="QE30" s="23"/>
      <c r="QF30" s="23"/>
      <c r="QG30" s="23"/>
      <c r="QH30" s="23"/>
      <c r="QI30" s="23"/>
      <c r="QJ30" s="23"/>
      <c r="QK30" s="23"/>
      <c r="QL30" s="23"/>
      <c r="QM30" s="23"/>
      <c r="QN30" s="23"/>
      <c r="QO30" s="23"/>
      <c r="QP30" s="23"/>
      <c r="QQ30" s="23"/>
      <c r="QR30" s="23"/>
      <c r="QS30" s="23">
        <v>0</v>
      </c>
      <c r="QT30" s="23"/>
      <c r="QU30" s="23"/>
      <c r="QV30" s="23"/>
      <c r="QW30" s="23"/>
      <c r="QX30" s="23"/>
      <c r="QY30" s="23"/>
      <c r="QZ30" s="23"/>
      <c r="RA30" s="23"/>
      <c r="RB30" s="23"/>
      <c r="RC30" s="23"/>
      <c r="RD30" s="23"/>
      <c r="RE30" s="23"/>
      <c r="RF30" s="23"/>
      <c r="RG30" s="23"/>
      <c r="RH30" s="23"/>
      <c r="RI30" s="23"/>
      <c r="RJ30" s="23"/>
      <c r="RK30" s="23"/>
      <c r="RL30" s="23"/>
      <c r="RM30" s="23"/>
      <c r="RN30" s="23"/>
      <c r="RO30" s="23"/>
      <c r="RP30" s="23"/>
      <c r="RQ30" s="23"/>
      <c r="RR30" s="23"/>
      <c r="RS30" s="23"/>
      <c r="RT30" s="23"/>
      <c r="RU30" s="23"/>
      <c r="RV30" s="23"/>
      <c r="RW30" s="23">
        <v>-2000</v>
      </c>
      <c r="RX30" s="23"/>
      <c r="RY30" s="23"/>
      <c r="RZ30" s="23"/>
      <c r="SA30" s="23"/>
      <c r="SB30" s="23"/>
      <c r="SC30" s="23"/>
      <c r="SD30" s="23"/>
      <c r="SE30" s="23"/>
      <c r="SF30" s="23"/>
      <c r="SG30" s="23"/>
      <c r="SH30" s="23"/>
      <c r="SI30" s="23"/>
      <c r="SJ30" s="23"/>
      <c r="SK30" s="23"/>
      <c r="SL30" s="23"/>
      <c r="SM30" s="23"/>
      <c r="SN30" s="23"/>
      <c r="SO30" s="23"/>
      <c r="SP30" s="23"/>
      <c r="SQ30" s="23"/>
      <c r="SR30" s="23"/>
      <c r="SS30" s="23"/>
      <c r="ST30" s="23"/>
      <c r="SU30" s="23"/>
      <c r="SV30" s="23"/>
      <c r="SW30" s="23"/>
      <c r="SX30" s="23"/>
      <c r="SY30" s="23"/>
      <c r="SZ30" s="23"/>
      <c r="TA30" s="23"/>
      <c r="TB30" s="23">
        <v>-1545</v>
      </c>
      <c r="TC30" s="23"/>
      <c r="TD30" s="23"/>
      <c r="TE30" s="23"/>
      <c r="TF30" s="23"/>
      <c r="TG30" s="23"/>
      <c r="TH30" s="23"/>
      <c r="TI30" s="23"/>
      <c r="TJ30" s="23"/>
      <c r="TK30" s="23"/>
      <c r="TL30" s="23"/>
      <c r="TM30" s="23"/>
      <c r="TN30" s="23"/>
      <c r="TO30" s="23"/>
      <c r="TP30" s="23"/>
      <c r="TQ30" s="23"/>
      <c r="TR30" s="23"/>
      <c r="TS30" s="23"/>
      <c r="TT30" s="23"/>
      <c r="TU30" s="23"/>
      <c r="TV30" s="23"/>
      <c r="TW30" s="23"/>
      <c r="TX30" s="23"/>
      <c r="TY30" s="23"/>
      <c r="TZ30" s="23"/>
      <c r="UA30" s="23"/>
      <c r="UB30" s="23"/>
      <c r="UC30" s="23"/>
      <c r="UD30" s="23"/>
      <c r="UE30" s="23"/>
      <c r="UF30" s="23">
        <v>-500</v>
      </c>
      <c r="UG30" s="23"/>
      <c r="UH30" s="23"/>
      <c r="UI30" s="23"/>
      <c r="UJ30" s="23"/>
      <c r="UK30" s="23"/>
      <c r="UL30" s="23"/>
      <c r="UM30" s="23"/>
      <c r="UN30" s="23"/>
      <c r="UO30" s="23"/>
      <c r="UP30" s="23"/>
      <c r="UQ30" s="23"/>
      <c r="UR30" s="23"/>
      <c r="US30" s="23"/>
      <c r="UT30" s="23"/>
    </row>
    <row r="31" ht="16.5" customHeight="1" spans="4:566">
      <c r="D31" s="19" t="s">
        <v>196</v>
      </c>
      <c r="E31" s="21" t="s">
        <v>197</v>
      </c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3"/>
      <c r="DV31" s="23"/>
      <c r="DW31" s="23"/>
      <c r="DX31" s="23"/>
      <c r="DY31" s="23"/>
      <c r="DZ31" s="23"/>
      <c r="EA31" s="23"/>
      <c r="EB31" s="23"/>
      <c r="EC31" s="23"/>
      <c r="ED31" s="23"/>
      <c r="EE31" s="23"/>
      <c r="EF31" s="23"/>
      <c r="EG31" s="23"/>
      <c r="EH31" s="23"/>
      <c r="EI31" s="23"/>
      <c r="EJ31" s="23"/>
      <c r="EK31" s="23"/>
      <c r="EL31" s="23"/>
      <c r="EM31" s="23"/>
      <c r="EN31" s="23"/>
      <c r="EO31" s="23"/>
      <c r="EP31" s="23"/>
      <c r="EQ31" s="23"/>
      <c r="ER31" s="23"/>
      <c r="ES31" s="23"/>
      <c r="ET31" s="23"/>
      <c r="EU31" s="23"/>
      <c r="EV31" s="23"/>
      <c r="EW31" s="23"/>
      <c r="EX31" s="23"/>
      <c r="EY31" s="23"/>
      <c r="EZ31" s="23"/>
      <c r="FA31" s="23">
        <v>-107</v>
      </c>
      <c r="FB31" s="23"/>
      <c r="FC31" s="23"/>
      <c r="FD31" s="23"/>
      <c r="FE31" s="23"/>
      <c r="FF31" s="23"/>
      <c r="FG31" s="23"/>
      <c r="FH31" s="23"/>
      <c r="FI31" s="23"/>
      <c r="FJ31" s="23"/>
      <c r="FK31" s="23"/>
      <c r="FL31" s="23"/>
      <c r="FM31" s="23"/>
      <c r="FN31" s="23"/>
      <c r="FO31" s="23"/>
      <c r="FP31" s="23"/>
      <c r="FQ31" s="23"/>
      <c r="FR31" s="23"/>
      <c r="FS31" s="23"/>
      <c r="FT31" s="23"/>
      <c r="FU31" s="23"/>
      <c r="FV31" s="23"/>
      <c r="FW31" s="23"/>
      <c r="FX31" s="23"/>
      <c r="FY31" s="23"/>
      <c r="FZ31" s="23"/>
      <c r="GA31" s="23"/>
      <c r="GB31" s="23"/>
      <c r="GC31" s="23"/>
      <c r="GD31" s="23"/>
      <c r="GE31" s="23">
        <v>2018</v>
      </c>
      <c r="GF31" s="23"/>
      <c r="GG31" s="23"/>
      <c r="GH31" s="23"/>
      <c r="GI31" s="23"/>
      <c r="GJ31" s="23"/>
      <c r="GK31" s="23"/>
      <c r="GL31" s="23"/>
      <c r="GM31" s="23"/>
      <c r="GN31" s="23"/>
      <c r="GO31" s="23"/>
      <c r="GP31" s="23"/>
      <c r="GQ31" s="23"/>
      <c r="GR31" s="23"/>
      <c r="GS31" s="23"/>
      <c r="GT31" s="23"/>
      <c r="GU31" s="23"/>
      <c r="GV31" s="23"/>
      <c r="GW31" s="23"/>
      <c r="GX31" s="23"/>
      <c r="GY31" s="23"/>
      <c r="GZ31" s="23"/>
      <c r="HA31" s="23"/>
      <c r="HB31" s="23"/>
      <c r="HC31" s="23"/>
      <c r="HD31" s="23"/>
      <c r="HE31" s="23"/>
      <c r="HF31" s="23"/>
      <c r="HG31" s="23"/>
      <c r="HH31" s="23"/>
      <c r="HI31" s="23"/>
      <c r="HJ31" s="23">
        <v>-12</v>
      </c>
      <c r="HK31" s="23"/>
      <c r="HL31" s="23"/>
      <c r="HM31" s="23"/>
      <c r="HN31" s="23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>
        <v>1005</v>
      </c>
      <c r="IP31" s="31"/>
      <c r="IQ31" s="31"/>
      <c r="IR31" s="31"/>
      <c r="IS31" s="31"/>
      <c r="IT31" s="31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1"/>
      <c r="JI31" s="31"/>
      <c r="JJ31" s="31"/>
      <c r="JK31" s="31"/>
      <c r="JL31" s="31"/>
      <c r="JM31" s="31"/>
      <c r="JN31" s="31"/>
      <c r="JO31" s="31"/>
      <c r="JP31" s="31"/>
      <c r="JQ31" s="31"/>
      <c r="JR31" s="31"/>
      <c r="JS31" s="31">
        <v>-70</v>
      </c>
      <c r="JT31" s="31"/>
      <c r="JU31" s="31"/>
      <c r="JV31" s="31"/>
      <c r="JW31" s="31"/>
      <c r="JX31" s="31"/>
      <c r="JY31" s="31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>
        <v>-173</v>
      </c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>
        <v>1150</v>
      </c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>
        <v>1594</v>
      </c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>
        <v>641</v>
      </c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>
        <v>-76</v>
      </c>
      <c r="PO31" s="23"/>
      <c r="PP31" s="23"/>
      <c r="PQ31" s="23"/>
      <c r="PR31" s="23"/>
      <c r="PS31" s="23"/>
      <c r="PT31" s="23"/>
      <c r="PU31" s="23"/>
      <c r="PV31" s="23"/>
      <c r="PW31" s="23"/>
      <c r="PX31" s="23"/>
      <c r="PY31" s="23"/>
      <c r="PZ31" s="23"/>
      <c r="QA31" s="23"/>
      <c r="QB31" s="23"/>
      <c r="QC31" s="23"/>
      <c r="QD31" s="23"/>
      <c r="QE31" s="23"/>
      <c r="QF31" s="23"/>
      <c r="QG31" s="23"/>
      <c r="QH31" s="23"/>
      <c r="QI31" s="23"/>
      <c r="QJ31" s="23"/>
      <c r="QK31" s="23"/>
      <c r="QL31" s="23"/>
      <c r="QM31" s="23"/>
      <c r="QN31" s="23"/>
      <c r="QO31" s="23"/>
      <c r="QP31" s="23"/>
      <c r="QQ31" s="23"/>
      <c r="QR31" s="23"/>
      <c r="QS31" s="23">
        <v>1728</v>
      </c>
      <c r="QT31" s="23"/>
      <c r="QU31" s="23"/>
      <c r="QV31" s="23"/>
      <c r="QW31" s="23"/>
      <c r="QX31" s="23"/>
      <c r="QY31" s="23"/>
      <c r="QZ31" s="23"/>
      <c r="RA31" s="23"/>
      <c r="RB31" s="23"/>
      <c r="RC31" s="23"/>
      <c r="RD31" s="23"/>
      <c r="RE31" s="23"/>
      <c r="RF31" s="23"/>
      <c r="RG31" s="23"/>
      <c r="RH31" s="23"/>
      <c r="RI31" s="23"/>
      <c r="RJ31" s="23"/>
      <c r="RK31" s="23"/>
      <c r="RL31" s="23"/>
      <c r="RM31" s="23"/>
      <c r="RN31" s="23"/>
      <c r="RO31" s="23"/>
      <c r="RP31" s="23"/>
      <c r="RQ31" s="23"/>
      <c r="RR31" s="23"/>
      <c r="RS31" s="23"/>
      <c r="RT31" s="23"/>
      <c r="RU31" s="23"/>
      <c r="RV31" s="23"/>
      <c r="RW31" s="23">
        <v>3667</v>
      </c>
      <c r="RX31" s="23"/>
      <c r="RY31" s="23"/>
      <c r="RZ31" s="23"/>
      <c r="SA31" s="23"/>
      <c r="SB31" s="23"/>
      <c r="SC31" s="23"/>
      <c r="SD31" s="23"/>
      <c r="SE31" s="23"/>
      <c r="SF31" s="23"/>
      <c r="SG31" s="23"/>
      <c r="SH31" s="23"/>
      <c r="SI31" s="23"/>
      <c r="SJ31" s="23"/>
      <c r="SK31" s="23"/>
      <c r="SL31" s="23"/>
      <c r="SM31" s="23"/>
      <c r="SN31" s="23"/>
      <c r="SO31" s="23"/>
      <c r="SP31" s="23"/>
      <c r="SQ31" s="23"/>
      <c r="SR31" s="23"/>
      <c r="SS31" s="23"/>
      <c r="ST31" s="23"/>
      <c r="SU31" s="23"/>
      <c r="SV31" s="23"/>
      <c r="SW31" s="23"/>
      <c r="SX31" s="23"/>
      <c r="SY31" s="23"/>
      <c r="SZ31" s="23"/>
      <c r="TA31" s="23"/>
      <c r="TB31" s="23">
        <v>1129</v>
      </c>
      <c r="TC31" s="23"/>
      <c r="TD31" s="23"/>
      <c r="TE31" s="23"/>
      <c r="TF31" s="23"/>
      <c r="TG31" s="23"/>
      <c r="TH31" s="23"/>
      <c r="TI31" s="23"/>
      <c r="TJ31" s="23"/>
      <c r="TK31" s="23"/>
      <c r="TL31" s="23"/>
      <c r="TM31" s="23"/>
      <c r="TN31" s="23"/>
      <c r="TO31" s="23"/>
      <c r="TP31" s="23"/>
      <c r="TQ31" s="23"/>
      <c r="TR31" s="23"/>
      <c r="TS31" s="23"/>
      <c r="TT31" s="23"/>
      <c r="TU31" s="23"/>
      <c r="TV31" s="23"/>
      <c r="TW31" s="23"/>
      <c r="TX31" s="23"/>
      <c r="TY31" s="23"/>
      <c r="TZ31" s="23"/>
      <c r="UA31" s="23"/>
      <c r="UB31" s="23"/>
      <c r="UC31" s="23"/>
      <c r="UD31" s="23"/>
      <c r="UE31" s="23"/>
      <c r="UF31" s="23">
        <v>-1372</v>
      </c>
      <c r="UG31" s="23"/>
      <c r="UH31" s="23"/>
      <c r="UI31" s="23"/>
      <c r="UJ31" s="23"/>
      <c r="UK31" s="23"/>
      <c r="UL31" s="23"/>
      <c r="UM31" s="23"/>
      <c r="UN31" s="23"/>
      <c r="UO31" s="23"/>
      <c r="UP31" s="23"/>
      <c r="UQ31" s="23"/>
      <c r="UR31" s="23"/>
      <c r="US31" s="23"/>
      <c r="UT31" s="23"/>
    </row>
    <row r="32" ht="16.5" customHeight="1" spans="4:566">
      <c r="D32" s="19" t="s">
        <v>198</v>
      </c>
      <c r="E32" s="21" t="s">
        <v>199</v>
      </c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  <c r="BZ32" s="23"/>
      <c r="CA32" s="23"/>
      <c r="CB32" s="23"/>
      <c r="CC32" s="23"/>
      <c r="CD32" s="23"/>
      <c r="CE32" s="23"/>
      <c r="CF32" s="23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3"/>
      <c r="DV32" s="23"/>
      <c r="DW32" s="23"/>
      <c r="DX32" s="23"/>
      <c r="DY32" s="23"/>
      <c r="DZ32" s="23"/>
      <c r="EA32" s="23"/>
      <c r="EB32" s="23"/>
      <c r="EC32" s="23"/>
      <c r="ED32" s="23"/>
      <c r="EE32" s="23"/>
      <c r="EF32" s="23"/>
      <c r="EG32" s="23"/>
      <c r="EH32" s="23"/>
      <c r="EI32" s="23"/>
      <c r="EJ32" s="23"/>
      <c r="EK32" s="23"/>
      <c r="EL32" s="23"/>
      <c r="EM32" s="23"/>
      <c r="EN32" s="23"/>
      <c r="EO32" s="23"/>
      <c r="EP32" s="23"/>
      <c r="EQ32" s="23"/>
      <c r="ER32" s="23"/>
      <c r="ES32" s="23"/>
      <c r="ET32" s="23"/>
      <c r="EU32" s="23"/>
      <c r="EV32" s="23"/>
      <c r="EW32" s="23"/>
      <c r="EX32" s="23"/>
      <c r="EY32" s="23"/>
      <c r="EZ32" s="23"/>
      <c r="FA32" s="23">
        <v>10000</v>
      </c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/>
      <c r="ND32" s="23"/>
      <c r="NE32" s="23"/>
      <c r="NF32" s="23"/>
      <c r="NG32" s="23"/>
      <c r="NH32" s="23"/>
      <c r="NI32" s="23"/>
      <c r="NJ32" s="23"/>
      <c r="NK32" s="23"/>
      <c r="NL32" s="23"/>
      <c r="NM32" s="23"/>
      <c r="NN32" s="23"/>
      <c r="NO32" s="23"/>
      <c r="NP32" s="23"/>
      <c r="NQ32" s="23"/>
      <c r="NR32" s="23"/>
      <c r="NS32" s="23"/>
      <c r="NT32" s="23"/>
      <c r="NU32" s="23"/>
      <c r="NV32" s="23"/>
      <c r="NW32" s="23"/>
      <c r="NX32" s="23"/>
      <c r="NY32" s="23"/>
      <c r="NZ32" s="23"/>
      <c r="OA32" s="23"/>
      <c r="OB32" s="23"/>
      <c r="OC32" s="23"/>
      <c r="OD32" s="23"/>
      <c r="OE32" s="23"/>
      <c r="OF32" s="23"/>
      <c r="OG32" s="23"/>
      <c r="OH32" s="23"/>
      <c r="OI32" s="23"/>
      <c r="OJ32" s="23"/>
      <c r="OK32" s="23"/>
      <c r="OL32" s="23"/>
      <c r="OM32" s="23"/>
      <c r="ON32" s="23"/>
      <c r="OO32" s="23"/>
      <c r="OP32" s="23"/>
      <c r="OQ32" s="23"/>
      <c r="OR32" s="23"/>
      <c r="OS32" s="23"/>
      <c r="OT32" s="23"/>
      <c r="OU32" s="23"/>
      <c r="OV32" s="23"/>
      <c r="OW32" s="23"/>
      <c r="OX32" s="23"/>
      <c r="OY32" s="23"/>
      <c r="OZ32" s="23"/>
      <c r="PA32" s="23"/>
      <c r="PB32" s="23"/>
      <c r="PC32" s="23"/>
      <c r="PD32" s="23"/>
      <c r="PE32" s="23"/>
      <c r="PF32" s="23"/>
      <c r="PG32" s="23"/>
      <c r="PH32" s="23"/>
      <c r="PI32" s="23"/>
      <c r="PJ32" s="23"/>
      <c r="PK32" s="23"/>
      <c r="PL32" s="23"/>
      <c r="PM32" s="23"/>
      <c r="PN32" s="23"/>
      <c r="PO32" s="23"/>
      <c r="PP32" s="23"/>
      <c r="PQ32" s="23"/>
      <c r="PR32" s="23"/>
      <c r="PS32" s="23"/>
      <c r="PT32" s="23"/>
      <c r="PU32" s="23"/>
      <c r="PV32" s="23"/>
      <c r="PW32" s="23"/>
      <c r="PX32" s="23"/>
      <c r="PY32" s="23"/>
      <c r="PZ32" s="23"/>
      <c r="QA32" s="23"/>
      <c r="QB32" s="23"/>
      <c r="QC32" s="23"/>
      <c r="QD32" s="23"/>
      <c r="QE32" s="23"/>
      <c r="QF32" s="23"/>
      <c r="QG32" s="23"/>
      <c r="QH32" s="23"/>
      <c r="QI32" s="23"/>
      <c r="QJ32" s="23"/>
      <c r="QK32" s="23"/>
      <c r="QL32" s="23"/>
      <c r="QM32" s="23"/>
      <c r="QN32" s="23"/>
      <c r="QO32" s="23"/>
      <c r="QP32" s="23"/>
      <c r="QQ32" s="23"/>
      <c r="QR32" s="23"/>
      <c r="QS32" s="23"/>
      <c r="QT32" s="23"/>
      <c r="QU32" s="23"/>
      <c r="QV32" s="23"/>
      <c r="QW32" s="23"/>
      <c r="QX32" s="23"/>
      <c r="QY32" s="23"/>
      <c r="QZ32" s="23"/>
      <c r="RA32" s="23"/>
      <c r="RB32" s="23"/>
      <c r="RC32" s="23"/>
      <c r="RD32" s="23"/>
      <c r="RE32" s="23"/>
      <c r="RF32" s="23"/>
      <c r="RG32" s="23"/>
      <c r="RH32" s="23"/>
      <c r="RI32" s="23"/>
      <c r="RJ32" s="23"/>
      <c r="RK32" s="23"/>
      <c r="RL32" s="23"/>
      <c r="RM32" s="23"/>
      <c r="RN32" s="23"/>
      <c r="RO32" s="23"/>
      <c r="RP32" s="23"/>
      <c r="RQ32" s="23"/>
      <c r="RR32" s="23"/>
      <c r="RS32" s="23"/>
      <c r="RT32" s="23"/>
      <c r="RU32" s="23"/>
      <c r="RV32" s="23"/>
      <c r="RW32" s="23"/>
      <c r="RX32" s="23"/>
      <c r="RY32" s="23"/>
      <c r="RZ32" s="23"/>
      <c r="SA32" s="23"/>
      <c r="SB32" s="23"/>
      <c r="SC32" s="23"/>
      <c r="SD32" s="23"/>
      <c r="SE32" s="23"/>
      <c r="SF32" s="23"/>
      <c r="SG32" s="23"/>
      <c r="SH32" s="23"/>
      <c r="SI32" s="23"/>
      <c r="SJ32" s="23"/>
      <c r="SK32" s="23"/>
      <c r="SL32" s="23"/>
      <c r="SM32" s="23"/>
      <c r="SN32" s="23"/>
      <c r="SO32" s="23"/>
      <c r="SP32" s="23"/>
      <c r="SQ32" s="23"/>
      <c r="SR32" s="23"/>
      <c r="SS32" s="23"/>
      <c r="ST32" s="23"/>
      <c r="SU32" s="23"/>
      <c r="SV32" s="23"/>
      <c r="SW32" s="23"/>
      <c r="SX32" s="23"/>
      <c r="SY32" s="23"/>
      <c r="SZ32" s="23"/>
      <c r="TA32" s="23"/>
      <c r="TB32" s="23"/>
      <c r="TC32" s="23"/>
      <c r="TD32" s="23"/>
      <c r="TE32" s="23"/>
      <c r="TF32" s="23"/>
      <c r="TG32" s="23"/>
      <c r="TH32" s="23"/>
      <c r="TI32" s="23"/>
      <c r="TJ32" s="23"/>
      <c r="TK32" s="23"/>
      <c r="TL32" s="23"/>
      <c r="TM32" s="23"/>
      <c r="TN32" s="23"/>
      <c r="TO32" s="23"/>
      <c r="TP32" s="23"/>
      <c r="TQ32" s="23"/>
      <c r="TR32" s="23"/>
      <c r="TS32" s="23"/>
      <c r="TT32" s="23"/>
      <c r="TU32" s="23"/>
      <c r="TV32" s="23"/>
      <c r="TW32" s="23"/>
      <c r="TX32" s="23"/>
      <c r="TY32" s="23"/>
      <c r="TZ32" s="23"/>
      <c r="UA32" s="23"/>
      <c r="UB32" s="23"/>
      <c r="UC32" s="23"/>
      <c r="UD32" s="23"/>
      <c r="UE32" s="23"/>
      <c r="UF32" s="23"/>
      <c r="UG32" s="23"/>
      <c r="UH32" s="23"/>
      <c r="UI32" s="23"/>
      <c r="UJ32" s="23"/>
      <c r="UK32" s="23"/>
      <c r="UL32" s="23"/>
      <c r="UM32" s="23"/>
      <c r="UN32" s="23"/>
      <c r="UO32" s="23"/>
      <c r="UP32" s="23"/>
      <c r="UQ32" s="23"/>
      <c r="UR32" s="23"/>
      <c r="US32" s="23"/>
      <c r="UT32" s="23"/>
    </row>
    <row r="33" ht="16.5" customHeight="1" spans="4:566">
      <c r="D33" s="19" t="s">
        <v>413</v>
      </c>
      <c r="E33" s="21" t="s">
        <v>111</v>
      </c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>
        <v>8</v>
      </c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>
        <v>8.2</v>
      </c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3"/>
      <c r="CA33" s="23"/>
      <c r="CB33" s="23"/>
      <c r="CC33" s="23"/>
      <c r="CD33" s="23"/>
      <c r="CE33" s="23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>
        <v>8.4</v>
      </c>
      <c r="CS33" s="23"/>
      <c r="CT33" s="23"/>
      <c r="CU33" s="23"/>
      <c r="CV33" s="23"/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3"/>
      <c r="DV33" s="23">
        <v>8.7</v>
      </c>
      <c r="DW33" s="23"/>
      <c r="DX33" s="23"/>
      <c r="DY33" s="23"/>
      <c r="DZ33" s="23"/>
      <c r="EA33" s="23"/>
      <c r="EB33" s="23"/>
      <c r="EC33" s="23"/>
      <c r="ED33" s="23"/>
      <c r="EE33" s="23"/>
      <c r="EF33" s="23"/>
      <c r="EG33" s="23"/>
      <c r="EH33" s="23"/>
      <c r="EI33" s="23"/>
      <c r="EJ33" s="23"/>
      <c r="EK33" s="23"/>
      <c r="EL33" s="23"/>
      <c r="EM33" s="23"/>
      <c r="EN33" s="23"/>
      <c r="EO33" s="23"/>
      <c r="EP33" s="23"/>
      <c r="EQ33" s="23"/>
      <c r="ER33" s="23"/>
      <c r="ES33" s="23"/>
      <c r="ET33" s="23"/>
      <c r="EU33" s="23"/>
      <c r="EV33" s="23"/>
      <c r="EW33" s="23"/>
      <c r="EX33" s="23"/>
      <c r="EY33" s="23"/>
      <c r="EZ33" s="23"/>
      <c r="FA33" s="23">
        <v>8.7</v>
      </c>
      <c r="FB33" s="23"/>
      <c r="FC33" s="23"/>
      <c r="FD33" s="23"/>
      <c r="FE33" s="23"/>
      <c r="FF33" s="23"/>
      <c r="FG33" s="23"/>
      <c r="FH33" s="23"/>
      <c r="FI33" s="23"/>
      <c r="FJ33" s="23"/>
      <c r="FK33" s="23"/>
      <c r="FL33" s="23"/>
      <c r="FM33" s="23"/>
      <c r="FN33" s="23"/>
      <c r="FO33" s="23"/>
      <c r="FP33" s="23"/>
      <c r="FQ33" s="23"/>
      <c r="FR33" s="23"/>
      <c r="FS33" s="23"/>
      <c r="FT33" s="23"/>
      <c r="FU33" s="23"/>
      <c r="FV33" s="23"/>
      <c r="FW33" s="23"/>
      <c r="FX33" s="23"/>
      <c r="FY33" s="23"/>
      <c r="FZ33" s="23"/>
      <c r="GA33" s="23"/>
      <c r="GB33" s="23"/>
      <c r="GC33" s="23"/>
      <c r="GD33" s="23"/>
      <c r="GE33" s="23">
        <v>8.9</v>
      </c>
      <c r="GF33" s="23"/>
      <c r="GG33" s="23"/>
      <c r="GH33" s="23"/>
      <c r="GI33" s="23"/>
      <c r="GJ33" s="23"/>
      <c r="GK33" s="23"/>
      <c r="GL33" s="23"/>
      <c r="GM33" s="23"/>
      <c r="GN33" s="23"/>
      <c r="GO33" s="23"/>
      <c r="GP33" s="23"/>
      <c r="GQ33" s="23"/>
      <c r="GR33" s="23"/>
      <c r="GS33" s="23"/>
      <c r="GT33" s="23"/>
      <c r="GU33" s="23"/>
      <c r="GV33" s="23"/>
      <c r="GW33" s="23"/>
      <c r="GX33" s="23"/>
      <c r="GY33" s="23"/>
      <c r="GZ33" s="23"/>
      <c r="HA33" s="23"/>
      <c r="HB33" s="23"/>
      <c r="HC33" s="23"/>
      <c r="HD33" s="23"/>
      <c r="HE33" s="23"/>
      <c r="HF33" s="23"/>
      <c r="HG33" s="23"/>
      <c r="HH33" s="23"/>
      <c r="HI33" s="23"/>
      <c r="HJ33" s="23">
        <v>9</v>
      </c>
      <c r="HK33" s="23"/>
      <c r="HL33" s="23"/>
      <c r="HM33" s="23"/>
      <c r="HN33" s="23"/>
      <c r="HO33" s="23"/>
      <c r="HP33" s="23"/>
      <c r="HQ33" s="23"/>
      <c r="HR33" s="23"/>
      <c r="HS33" s="23"/>
      <c r="HT33" s="23"/>
      <c r="HU33" s="23"/>
      <c r="HV33" s="23"/>
      <c r="HW33" s="23"/>
      <c r="HX33" s="23"/>
      <c r="HY33" s="23"/>
      <c r="HZ33" s="23"/>
      <c r="IA33" s="23"/>
      <c r="IB33" s="23"/>
      <c r="IC33" s="23"/>
      <c r="ID33" s="23"/>
      <c r="IE33" s="23"/>
      <c r="IF33" s="23"/>
      <c r="IG33" s="23"/>
      <c r="IH33" s="23"/>
      <c r="II33" s="23"/>
      <c r="IJ33" s="23"/>
      <c r="IK33" s="23"/>
      <c r="IL33" s="23"/>
      <c r="IM33" s="23"/>
      <c r="IN33" s="23"/>
      <c r="IO33" s="23">
        <v>8.8</v>
      </c>
      <c r="IP33" s="31"/>
      <c r="IQ33" s="31"/>
      <c r="IR33" s="31"/>
      <c r="IS33" s="31"/>
      <c r="IT33" s="31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  <c r="JN33" s="31"/>
      <c r="JO33" s="31"/>
      <c r="JP33" s="31"/>
      <c r="JQ33" s="31"/>
      <c r="JR33" s="31"/>
      <c r="JS33" s="31">
        <v>8.7</v>
      </c>
      <c r="JT33" s="31"/>
      <c r="JU33" s="31"/>
      <c r="JV33" s="31"/>
      <c r="JW33" s="31"/>
      <c r="JX33" s="31"/>
      <c r="JY33" s="31"/>
      <c r="JZ33" s="23"/>
      <c r="KA33" s="23"/>
      <c r="KB33" s="23"/>
      <c r="KC33" s="23"/>
      <c r="KD33" s="23"/>
      <c r="KE33" s="23"/>
      <c r="KF33" s="23"/>
      <c r="KG33" s="23"/>
      <c r="KH33" s="23"/>
      <c r="KI33" s="23"/>
      <c r="KJ33" s="23"/>
      <c r="KK33" s="23"/>
      <c r="KL33" s="23"/>
      <c r="KM33" s="23"/>
      <c r="KN33" s="23"/>
      <c r="KO33" s="23"/>
      <c r="KP33" s="23"/>
      <c r="KQ33" s="23"/>
      <c r="KR33" s="23"/>
      <c r="KS33" s="23"/>
      <c r="KT33" s="23"/>
      <c r="KU33" s="23"/>
      <c r="KV33" s="23"/>
      <c r="KW33" s="23"/>
      <c r="KX33" s="23">
        <v>8.5</v>
      </c>
      <c r="KY33" s="23"/>
      <c r="KZ33" s="23"/>
      <c r="LA33" s="23"/>
      <c r="LB33" s="23"/>
      <c r="LC33" s="23"/>
      <c r="LD33" s="23"/>
      <c r="LE33" s="23"/>
      <c r="LF33" s="23"/>
      <c r="LG33" s="23"/>
      <c r="LH33" s="23"/>
      <c r="LI33" s="23"/>
      <c r="LJ33" s="23"/>
      <c r="LK33" s="23"/>
      <c r="LL33" s="23"/>
      <c r="LM33" s="23"/>
      <c r="LN33" s="23"/>
      <c r="LO33" s="23"/>
      <c r="LP33" s="23"/>
      <c r="LQ33" s="23"/>
      <c r="LR33" s="23"/>
      <c r="LS33" s="23"/>
      <c r="LT33" s="23"/>
      <c r="LU33" s="23"/>
      <c r="LV33" s="23"/>
      <c r="LW33" s="23"/>
      <c r="LX33" s="23"/>
      <c r="LY33" s="23"/>
      <c r="LZ33" s="23"/>
      <c r="MA33" s="23"/>
      <c r="MB33" s="23">
        <v>8.5</v>
      </c>
      <c r="MC33" s="23"/>
      <c r="MD33" s="23"/>
      <c r="ME33" s="23"/>
      <c r="MF33" s="23"/>
      <c r="MG33" s="23"/>
      <c r="MH33" s="23"/>
      <c r="MI33" s="23"/>
      <c r="MJ33" s="23"/>
      <c r="MK33" s="23"/>
      <c r="ML33" s="23"/>
      <c r="MM33" s="23"/>
      <c r="MN33" s="23"/>
      <c r="MO33" s="23"/>
      <c r="MP33" s="23"/>
      <c r="MQ33" s="23"/>
      <c r="MR33" s="23"/>
      <c r="MS33" s="23"/>
      <c r="MT33" s="23"/>
      <c r="MU33" s="23"/>
      <c r="MV33" s="23"/>
      <c r="MW33" s="23"/>
      <c r="MX33" s="23"/>
      <c r="MY33" s="23"/>
      <c r="MZ33" s="23"/>
      <c r="NA33" s="23"/>
      <c r="NB33" s="23"/>
      <c r="NC33" s="23"/>
      <c r="ND33" s="23"/>
      <c r="NE33" s="23"/>
      <c r="NF33" s="23"/>
      <c r="NG33" s="23">
        <v>8.3</v>
      </c>
      <c r="NH33" s="23"/>
      <c r="NI33" s="23"/>
      <c r="NJ33" s="23"/>
      <c r="NK33" s="23"/>
      <c r="NL33" s="23"/>
      <c r="NM33" s="23"/>
      <c r="NN33" s="23"/>
      <c r="NO33" s="23"/>
      <c r="NP33" s="23"/>
      <c r="NQ33" s="23"/>
      <c r="NR33" s="23"/>
      <c r="NS33" s="23"/>
      <c r="NT33" s="23"/>
      <c r="NU33" s="23"/>
      <c r="NV33" s="23"/>
      <c r="NW33" s="23"/>
      <c r="NX33" s="23"/>
      <c r="NY33" s="23"/>
      <c r="NZ33" s="23"/>
      <c r="OA33" s="23"/>
      <c r="OB33" s="23"/>
      <c r="OC33" s="23"/>
      <c r="OD33" s="23"/>
      <c r="OE33" s="23"/>
      <c r="OF33" s="23"/>
      <c r="OG33" s="23"/>
      <c r="OH33" s="23"/>
      <c r="OI33" s="23"/>
      <c r="OJ33" s="23"/>
      <c r="OK33" s="23"/>
      <c r="OL33" s="23">
        <v>8.2</v>
      </c>
      <c r="OM33" s="23"/>
      <c r="ON33" s="23"/>
      <c r="OO33" s="23"/>
      <c r="OP33" s="23"/>
      <c r="OQ33" s="23"/>
      <c r="OR33" s="23"/>
      <c r="OS33" s="23"/>
      <c r="OT33" s="23"/>
      <c r="OU33" s="23"/>
      <c r="OV33" s="23"/>
      <c r="OW33" s="23"/>
      <c r="OX33" s="23"/>
      <c r="OY33" s="23"/>
      <c r="OZ33" s="23"/>
      <c r="PA33" s="23"/>
      <c r="PB33" s="23"/>
      <c r="PC33" s="23"/>
      <c r="PD33" s="23"/>
      <c r="PE33" s="23"/>
      <c r="PF33" s="23"/>
      <c r="PG33" s="23"/>
      <c r="PH33" s="23"/>
      <c r="PI33" s="23"/>
      <c r="PJ33" s="23"/>
      <c r="PK33" s="23"/>
      <c r="PL33" s="23"/>
      <c r="PM33" s="23"/>
      <c r="PN33" s="23">
        <v>8.2</v>
      </c>
      <c r="PO33" s="23"/>
      <c r="PP33" s="23"/>
      <c r="PQ33" s="23"/>
      <c r="PR33" s="23"/>
      <c r="PS33" s="23"/>
      <c r="PT33" s="23"/>
      <c r="PU33" s="23"/>
      <c r="PV33" s="23"/>
      <c r="PW33" s="23"/>
      <c r="PX33" s="23"/>
      <c r="PY33" s="23"/>
      <c r="PZ33" s="23"/>
      <c r="QA33" s="23"/>
      <c r="QB33" s="23"/>
      <c r="QC33" s="23"/>
      <c r="QD33" s="23"/>
      <c r="QE33" s="23"/>
      <c r="QF33" s="23"/>
      <c r="QG33" s="23"/>
      <c r="QH33" s="23"/>
      <c r="QI33" s="23"/>
      <c r="QJ33" s="23"/>
      <c r="QK33" s="23"/>
      <c r="QL33" s="23"/>
      <c r="QM33" s="23"/>
      <c r="QN33" s="23"/>
      <c r="QO33" s="23"/>
      <c r="QP33" s="23"/>
      <c r="QQ33" s="23"/>
      <c r="QR33" s="23"/>
      <c r="QS33" s="23">
        <v>7.9</v>
      </c>
      <c r="QT33" s="23"/>
      <c r="QU33" s="23"/>
      <c r="QV33" s="23"/>
      <c r="QW33" s="23"/>
      <c r="QX33" s="23"/>
      <c r="QY33" s="23"/>
      <c r="QZ33" s="23"/>
      <c r="RA33" s="23"/>
      <c r="RB33" s="23"/>
      <c r="RC33" s="23"/>
      <c r="RD33" s="23"/>
      <c r="RE33" s="23"/>
      <c r="RF33" s="23"/>
      <c r="RG33" s="23"/>
      <c r="RH33" s="23"/>
      <c r="RI33" s="23"/>
      <c r="RJ33" s="23"/>
      <c r="RK33" s="23"/>
      <c r="RL33" s="23"/>
      <c r="RM33" s="23"/>
      <c r="RN33" s="23"/>
      <c r="RO33" s="23"/>
      <c r="RP33" s="23"/>
      <c r="RQ33" s="23"/>
      <c r="RR33" s="23"/>
      <c r="RS33" s="23"/>
      <c r="RT33" s="23"/>
      <c r="RU33" s="23"/>
      <c r="RV33" s="23"/>
      <c r="RW33" s="23">
        <v>7.8</v>
      </c>
      <c r="RX33" s="23"/>
      <c r="RY33" s="23"/>
      <c r="RZ33" s="23"/>
      <c r="SA33" s="23"/>
      <c r="SB33" s="23"/>
      <c r="SC33" s="23"/>
      <c r="SD33" s="23"/>
      <c r="SE33" s="23"/>
      <c r="SF33" s="23"/>
      <c r="SG33" s="23"/>
      <c r="SH33" s="23"/>
      <c r="SI33" s="23"/>
      <c r="SJ33" s="23"/>
      <c r="SK33" s="23"/>
      <c r="SL33" s="23"/>
      <c r="SM33" s="23"/>
      <c r="SN33" s="23"/>
      <c r="SO33" s="23"/>
      <c r="SP33" s="23"/>
      <c r="SQ33" s="23"/>
      <c r="SR33" s="23"/>
      <c r="SS33" s="23"/>
      <c r="ST33" s="23"/>
      <c r="SU33" s="23"/>
      <c r="SV33" s="23"/>
      <c r="SW33" s="23"/>
      <c r="SX33" s="23"/>
      <c r="SY33" s="23"/>
      <c r="SZ33" s="23"/>
      <c r="TA33" s="23"/>
      <c r="TB33" s="23">
        <v>7.7</v>
      </c>
      <c r="TC33" s="23"/>
      <c r="TD33" s="23"/>
      <c r="TE33" s="23"/>
      <c r="TF33" s="23"/>
      <c r="TG33" s="23"/>
      <c r="TH33" s="23"/>
      <c r="TI33" s="23"/>
      <c r="TJ33" s="23"/>
      <c r="TK33" s="23"/>
      <c r="TL33" s="23"/>
      <c r="TM33" s="23"/>
      <c r="TN33" s="23"/>
      <c r="TO33" s="23"/>
      <c r="TP33" s="23"/>
      <c r="TQ33" s="23"/>
      <c r="TR33" s="23"/>
      <c r="TS33" s="23"/>
      <c r="TT33" s="23"/>
      <c r="TU33" s="23"/>
      <c r="TV33" s="23"/>
      <c r="TW33" s="23"/>
      <c r="TX33" s="23"/>
      <c r="TY33" s="23"/>
      <c r="TZ33" s="23"/>
      <c r="UA33" s="23"/>
      <c r="UB33" s="23"/>
      <c r="UC33" s="23"/>
      <c r="UD33" s="23"/>
      <c r="UE33" s="23"/>
      <c r="UF33" s="23"/>
      <c r="UG33" s="23"/>
      <c r="UH33" s="23"/>
      <c r="UI33" s="23"/>
      <c r="UJ33" s="23"/>
      <c r="UK33" s="23"/>
      <c r="UL33" s="23"/>
      <c r="UM33" s="23"/>
      <c r="UN33" s="23"/>
      <c r="UO33" s="23"/>
      <c r="UP33" s="23"/>
      <c r="UQ33" s="23"/>
      <c r="UR33" s="23"/>
      <c r="US33" s="23"/>
      <c r="UT33" s="23"/>
    </row>
    <row r="34" ht="16.5" customHeight="1" spans="4:566">
      <c r="D34" s="19" t="s">
        <v>200</v>
      </c>
      <c r="E34" s="21" t="s">
        <v>201</v>
      </c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>
        <v>8.1</v>
      </c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>
        <v>8.3</v>
      </c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>
        <v>8.15</v>
      </c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>
        <v>8.8</v>
      </c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>
        <v>8.78</v>
      </c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>
        <v>8.81</v>
      </c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>
        <v>9.08</v>
      </c>
      <c r="HK34" s="23"/>
      <c r="HL34" s="23"/>
      <c r="HM34" s="23"/>
      <c r="HN34" s="23"/>
      <c r="HO34" s="23"/>
      <c r="HP34" s="23"/>
      <c r="HQ34" s="23"/>
      <c r="HR34" s="23"/>
      <c r="HS34" s="23"/>
      <c r="HT34" s="23"/>
      <c r="HU34" s="23"/>
      <c r="HV34" s="23"/>
      <c r="HW34" s="23"/>
      <c r="HX34" s="23"/>
      <c r="HY34" s="23"/>
      <c r="HZ34" s="23"/>
      <c r="IA34" s="23"/>
      <c r="IB34" s="23"/>
      <c r="IC34" s="23"/>
      <c r="ID34" s="23"/>
      <c r="IE34" s="23"/>
      <c r="IF34" s="23"/>
      <c r="IG34" s="23"/>
      <c r="IH34" s="23"/>
      <c r="II34" s="23"/>
      <c r="IJ34" s="23"/>
      <c r="IK34" s="23"/>
      <c r="IL34" s="23"/>
      <c r="IM34" s="23"/>
      <c r="IN34" s="23"/>
      <c r="IO34" s="23">
        <v>8.85</v>
      </c>
      <c r="IP34" s="31"/>
      <c r="IQ34" s="31"/>
      <c r="IR34" s="31"/>
      <c r="IS34" s="31"/>
      <c r="IT34" s="31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  <c r="JN34" s="31"/>
      <c r="JO34" s="31"/>
      <c r="JP34" s="31"/>
      <c r="JQ34" s="31"/>
      <c r="JR34" s="31"/>
      <c r="JS34" s="31">
        <v>8.63</v>
      </c>
      <c r="JT34" s="31"/>
      <c r="JU34" s="31"/>
      <c r="JV34" s="31"/>
      <c r="JW34" s="31"/>
      <c r="JX34" s="31"/>
      <c r="JY34" s="31"/>
      <c r="JZ34" s="23"/>
      <c r="KA34" s="23"/>
      <c r="KB34" s="23"/>
      <c r="KC34" s="23"/>
      <c r="KD34" s="23"/>
      <c r="KE34" s="23"/>
      <c r="KF34" s="23"/>
      <c r="KG34" s="23"/>
      <c r="KH34" s="23"/>
      <c r="KI34" s="23"/>
      <c r="KJ34" s="23"/>
      <c r="KK34" s="23"/>
      <c r="KL34" s="23"/>
      <c r="KM34" s="23"/>
      <c r="KN34" s="23"/>
      <c r="KO34" s="23"/>
      <c r="KP34" s="23"/>
      <c r="KQ34" s="23"/>
      <c r="KR34" s="23"/>
      <c r="KS34" s="23"/>
      <c r="KT34" s="23"/>
      <c r="KU34" s="23"/>
      <c r="KV34" s="23"/>
      <c r="KW34" s="23"/>
      <c r="KX34" s="23">
        <v>8.61</v>
      </c>
      <c r="KY34" s="23"/>
      <c r="KZ34" s="23"/>
      <c r="LA34" s="23"/>
      <c r="LB34" s="23"/>
      <c r="LC34" s="23"/>
      <c r="LD34" s="23"/>
      <c r="LE34" s="23"/>
      <c r="LF34" s="23"/>
      <c r="LG34" s="23"/>
      <c r="LH34" s="23"/>
      <c r="LI34" s="23"/>
      <c r="LJ34" s="23"/>
      <c r="LK34" s="23"/>
      <c r="LL34" s="23"/>
      <c r="LM34" s="23"/>
      <c r="LN34" s="23"/>
      <c r="LO34" s="23"/>
      <c r="LP34" s="23"/>
      <c r="LQ34" s="23"/>
      <c r="LR34" s="23"/>
      <c r="LS34" s="23"/>
      <c r="LT34" s="23"/>
      <c r="LU34" s="23"/>
      <c r="LV34" s="23"/>
      <c r="LW34" s="23"/>
      <c r="LX34" s="23"/>
      <c r="LY34" s="23"/>
      <c r="LZ34" s="23"/>
      <c r="MA34" s="23"/>
      <c r="MB34" s="23">
        <v>8.45</v>
      </c>
      <c r="MC34" s="23"/>
      <c r="MD34" s="23"/>
      <c r="ME34" s="23"/>
      <c r="MF34" s="23"/>
      <c r="MG34" s="23"/>
      <c r="MH34" s="23"/>
      <c r="MI34" s="23"/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>
        <v>8.22</v>
      </c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>
        <v>8.25</v>
      </c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>
        <v>8.07</v>
      </c>
      <c r="PO34" s="23"/>
      <c r="PP34" s="23"/>
      <c r="PQ34" s="23"/>
      <c r="PR34" s="23"/>
      <c r="PS34" s="23"/>
      <c r="PT34" s="23"/>
      <c r="PU34" s="23"/>
      <c r="PV34" s="23"/>
      <c r="PW34" s="23"/>
      <c r="PX34" s="23"/>
      <c r="PY34" s="23"/>
      <c r="PZ34" s="23"/>
      <c r="QA34" s="23"/>
      <c r="QB34" s="23"/>
      <c r="QC34" s="23"/>
      <c r="QD34" s="23"/>
      <c r="QE34" s="23"/>
      <c r="QF34" s="23"/>
      <c r="QG34" s="23"/>
      <c r="QH34" s="23"/>
      <c r="QI34" s="23"/>
      <c r="QJ34" s="23"/>
      <c r="QK34" s="23"/>
      <c r="QL34" s="23"/>
      <c r="QM34" s="23"/>
      <c r="QN34" s="23"/>
      <c r="QO34" s="23"/>
      <c r="QP34" s="23"/>
      <c r="QQ34" s="23"/>
      <c r="QR34" s="23"/>
      <c r="QS34" s="23">
        <v>7.97</v>
      </c>
      <c r="QT34" s="23"/>
      <c r="QU34" s="23"/>
      <c r="QV34" s="23"/>
      <c r="QW34" s="23"/>
      <c r="QX34" s="23"/>
      <c r="QY34" s="23"/>
      <c r="QZ34" s="23"/>
      <c r="RA34" s="23"/>
      <c r="RB34" s="23"/>
      <c r="RC34" s="23"/>
      <c r="RD34" s="23"/>
      <c r="RE34" s="23"/>
      <c r="RF34" s="23"/>
      <c r="RG34" s="23"/>
      <c r="RH34" s="23"/>
      <c r="RI34" s="23"/>
      <c r="RJ34" s="23"/>
      <c r="RK34" s="23"/>
      <c r="RL34" s="23"/>
      <c r="RM34" s="23"/>
      <c r="RN34" s="23"/>
      <c r="RO34" s="23"/>
      <c r="RP34" s="23"/>
      <c r="RQ34" s="23"/>
      <c r="RR34" s="23"/>
      <c r="RS34" s="23"/>
      <c r="RT34" s="23"/>
      <c r="RU34" s="23"/>
      <c r="RV34" s="23"/>
      <c r="RW34" s="23">
        <v>7.89</v>
      </c>
      <c r="RX34" s="23"/>
      <c r="RY34" s="23"/>
      <c r="RZ34" s="23"/>
      <c r="SA34" s="23"/>
      <c r="SB34" s="23"/>
      <c r="SC34" s="23"/>
      <c r="SD34" s="23"/>
      <c r="SE34" s="23"/>
      <c r="SF34" s="23"/>
      <c r="SG34" s="23"/>
      <c r="SH34" s="23"/>
      <c r="SI34" s="23"/>
      <c r="SJ34" s="23"/>
      <c r="SK34" s="23"/>
      <c r="SL34" s="23"/>
      <c r="SM34" s="23"/>
      <c r="SN34" s="23"/>
      <c r="SO34" s="23"/>
      <c r="SP34" s="23"/>
      <c r="SQ34" s="23"/>
      <c r="SR34" s="23"/>
      <c r="SS34" s="23"/>
      <c r="ST34" s="23"/>
      <c r="SU34" s="23"/>
      <c r="SV34" s="23"/>
      <c r="SW34" s="23"/>
      <c r="SX34" s="23"/>
      <c r="SY34" s="23"/>
      <c r="SZ34" s="23"/>
      <c r="TA34" s="23"/>
      <c r="TB34" s="23">
        <v>7.59</v>
      </c>
      <c r="TC34" s="23"/>
      <c r="TD34" s="23"/>
      <c r="TE34" s="23"/>
      <c r="TF34" s="23"/>
      <c r="TG34" s="23"/>
      <c r="TH34" s="23"/>
      <c r="TI34" s="23"/>
      <c r="TJ34" s="23"/>
      <c r="TK34" s="23"/>
      <c r="TL34" s="23"/>
      <c r="TM34" s="23"/>
      <c r="TN34" s="23"/>
      <c r="TO34" s="23"/>
      <c r="TP34" s="23"/>
      <c r="TQ34" s="23"/>
      <c r="TR34" s="23"/>
      <c r="TS34" s="23"/>
      <c r="TT34" s="23"/>
      <c r="TU34" s="23"/>
      <c r="TV34" s="23"/>
      <c r="TW34" s="23"/>
      <c r="TX34" s="23"/>
      <c r="TY34" s="23"/>
      <c r="TZ34" s="23"/>
      <c r="UA34" s="23"/>
      <c r="UB34" s="23"/>
      <c r="UC34" s="23"/>
      <c r="UD34" s="23"/>
      <c r="UE34" s="23"/>
      <c r="UF34" s="23">
        <v>7.43</v>
      </c>
      <c r="UG34" s="23"/>
      <c r="UH34" s="23"/>
      <c r="UI34" s="23"/>
      <c r="UJ34" s="23"/>
      <c r="UK34" s="23"/>
      <c r="UL34" s="23"/>
      <c r="UM34" s="23"/>
      <c r="UN34" s="23"/>
      <c r="UO34" s="23">
        <v>7.83</v>
      </c>
      <c r="UP34" s="23"/>
      <c r="UQ34" s="23"/>
      <c r="UR34" s="23">
        <v>7.94</v>
      </c>
      <c r="US34" s="23">
        <v>8.3</v>
      </c>
      <c r="UT34" s="23"/>
    </row>
    <row r="35" ht="16.5" customHeight="1" spans="4:566">
      <c r="D35" s="19" t="s">
        <v>414</v>
      </c>
      <c r="E35" s="21" t="s">
        <v>113</v>
      </c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>
        <v>7.2</v>
      </c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>
        <v>7.1</v>
      </c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>
        <v>7.2</v>
      </c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3"/>
      <c r="DV35" s="23">
        <v>7.1</v>
      </c>
      <c r="DW35" s="23"/>
      <c r="DX35" s="23"/>
      <c r="DY35" s="23"/>
      <c r="DZ35" s="23"/>
      <c r="EA35" s="23"/>
      <c r="EB35" s="23"/>
      <c r="EC35" s="23"/>
      <c r="ED35" s="23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3"/>
      <c r="ER35" s="23"/>
      <c r="ES35" s="23"/>
      <c r="ET35" s="23"/>
      <c r="EU35" s="23"/>
      <c r="EV35" s="23"/>
      <c r="EW35" s="23"/>
      <c r="EX35" s="23"/>
      <c r="EY35" s="23"/>
      <c r="EZ35" s="23"/>
      <c r="FA35" s="23">
        <v>7</v>
      </c>
      <c r="FB35" s="23"/>
      <c r="FC35" s="23"/>
      <c r="FD35" s="23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3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3"/>
      <c r="GE35" s="23">
        <v>7</v>
      </c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3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3"/>
      <c r="HE35" s="23"/>
      <c r="HF35" s="23"/>
      <c r="HG35" s="23"/>
      <c r="HH35" s="23"/>
      <c r="HI35" s="23"/>
      <c r="HJ35" s="23">
        <v>6.8</v>
      </c>
      <c r="HK35" s="23"/>
      <c r="HL35" s="23"/>
      <c r="HM35" s="23"/>
      <c r="HN35" s="23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>
        <v>6.6</v>
      </c>
      <c r="IP35" s="31"/>
      <c r="IQ35" s="31"/>
      <c r="IR35" s="31"/>
      <c r="IS35" s="31"/>
      <c r="IT35" s="31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  <c r="JN35" s="31"/>
      <c r="JO35" s="31"/>
      <c r="JP35" s="31"/>
      <c r="JQ35" s="31"/>
      <c r="JR35" s="31"/>
      <c r="JS35" s="31">
        <v>6.4</v>
      </c>
      <c r="JT35" s="31"/>
      <c r="JU35" s="31"/>
      <c r="JV35" s="31"/>
      <c r="JW35" s="31"/>
      <c r="JX35" s="31"/>
      <c r="JY35" s="31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>
        <v>6.3</v>
      </c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>
        <v>6.3</v>
      </c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>
        <v>6.3</v>
      </c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>
        <v>6.1</v>
      </c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>
        <v>6.1</v>
      </c>
      <c r="PO35" s="23"/>
      <c r="PP35" s="23"/>
      <c r="PQ35" s="23"/>
      <c r="PR35" s="23"/>
      <c r="PS35" s="23"/>
      <c r="PT35" s="23"/>
      <c r="PU35" s="23"/>
      <c r="PV35" s="23"/>
      <c r="PW35" s="23"/>
      <c r="PX35" s="23"/>
      <c r="PY35" s="23"/>
      <c r="PZ35" s="23"/>
      <c r="QA35" s="23"/>
      <c r="QB35" s="23"/>
      <c r="QC35" s="23"/>
      <c r="QD35" s="23"/>
      <c r="QE35" s="23"/>
      <c r="QF35" s="23"/>
      <c r="QG35" s="23"/>
      <c r="QH35" s="23"/>
      <c r="QI35" s="23"/>
      <c r="QJ35" s="23"/>
      <c r="QK35" s="23"/>
      <c r="QL35" s="23"/>
      <c r="QM35" s="23"/>
      <c r="QN35" s="23"/>
      <c r="QO35" s="23"/>
      <c r="QP35" s="23"/>
      <c r="QQ35" s="23"/>
      <c r="QR35" s="23"/>
      <c r="QS35" s="23">
        <v>5.8</v>
      </c>
      <c r="QT35" s="23"/>
      <c r="QU35" s="23"/>
      <c r="QV35" s="23"/>
      <c r="QW35" s="23"/>
      <c r="QX35" s="23"/>
      <c r="QY35" s="23"/>
      <c r="QZ35" s="23"/>
      <c r="RA35" s="23"/>
      <c r="RB35" s="23"/>
      <c r="RC35" s="23"/>
      <c r="RD35" s="23"/>
      <c r="RE35" s="23"/>
      <c r="RF35" s="23"/>
      <c r="RG35" s="23"/>
      <c r="RH35" s="23"/>
      <c r="RI35" s="23"/>
      <c r="RJ35" s="23"/>
      <c r="RK35" s="23"/>
      <c r="RL35" s="23"/>
      <c r="RM35" s="23"/>
      <c r="RN35" s="23"/>
      <c r="RO35" s="23"/>
      <c r="RP35" s="23"/>
      <c r="RQ35" s="23"/>
      <c r="RR35" s="23"/>
      <c r="RS35" s="23"/>
      <c r="RT35" s="23"/>
      <c r="RU35" s="23"/>
      <c r="RV35" s="23"/>
      <c r="RW35" s="23">
        <v>5.6</v>
      </c>
      <c r="RX35" s="23"/>
      <c r="RY35" s="23"/>
      <c r="RZ35" s="23"/>
      <c r="SA35" s="23"/>
      <c r="SB35" s="23"/>
      <c r="SC35" s="23"/>
      <c r="SD35" s="23"/>
      <c r="SE35" s="23"/>
      <c r="SF35" s="23"/>
      <c r="SG35" s="23"/>
      <c r="SH35" s="23"/>
      <c r="SI35" s="23"/>
      <c r="SJ35" s="23"/>
      <c r="SK35" s="23"/>
      <c r="SL35" s="23"/>
      <c r="SM35" s="23"/>
      <c r="SN35" s="23"/>
      <c r="SO35" s="23"/>
      <c r="SP35" s="23"/>
      <c r="SQ35" s="23"/>
      <c r="SR35" s="23"/>
      <c r="SS35" s="23"/>
      <c r="ST35" s="23"/>
      <c r="SU35" s="23"/>
      <c r="SV35" s="23"/>
      <c r="SW35" s="23"/>
      <c r="SX35" s="23"/>
      <c r="SY35" s="23"/>
      <c r="SZ35" s="23"/>
      <c r="TA35" s="23"/>
      <c r="TB35" s="23">
        <v>5.5</v>
      </c>
      <c r="TC35" s="23"/>
      <c r="TD35" s="23"/>
      <c r="TE35" s="23"/>
      <c r="TF35" s="23"/>
      <c r="TG35" s="23"/>
      <c r="TH35" s="23"/>
      <c r="TI35" s="23"/>
      <c r="TJ35" s="23"/>
      <c r="TK35" s="23"/>
      <c r="TL35" s="23"/>
      <c r="TM35" s="23"/>
      <c r="TN35" s="23"/>
      <c r="TO35" s="23"/>
      <c r="TP35" s="23"/>
      <c r="TQ35" s="23"/>
      <c r="TR35" s="23"/>
      <c r="TS35" s="23"/>
      <c r="TT35" s="23"/>
      <c r="TU35" s="23"/>
      <c r="TV35" s="23"/>
      <c r="TW35" s="23"/>
      <c r="TX35" s="23"/>
      <c r="TY35" s="23"/>
      <c r="TZ35" s="23"/>
      <c r="UA35" s="23"/>
      <c r="UB35" s="23"/>
      <c r="UC35" s="23"/>
      <c r="UD35" s="23"/>
      <c r="UE35" s="23"/>
      <c r="UF35" s="23"/>
      <c r="UG35" s="23"/>
      <c r="UH35" s="23"/>
      <c r="UI35" s="23"/>
      <c r="UJ35" s="23"/>
      <c r="UK35" s="23"/>
      <c r="UL35" s="23"/>
      <c r="UM35" s="23"/>
      <c r="UN35" s="23"/>
      <c r="UO35" s="23"/>
      <c r="UP35" s="23"/>
      <c r="UQ35" s="23"/>
      <c r="UR35" s="23"/>
      <c r="US35" s="23"/>
      <c r="UT35" s="23"/>
    </row>
    <row r="36" ht="16.5" customHeight="1" spans="4:566">
      <c r="D36" s="19" t="s">
        <v>202</v>
      </c>
      <c r="E36" s="21" t="s">
        <v>203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>
        <v>-14.6</v>
      </c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>
        <v>-14</v>
      </c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>
        <v>-12.1</v>
      </c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3"/>
      <c r="DV36" s="23">
        <v>-7.6</v>
      </c>
      <c r="DW36" s="23"/>
      <c r="DX36" s="23"/>
      <c r="DY36" s="23"/>
      <c r="DZ36" s="23"/>
      <c r="EA36" s="23"/>
      <c r="EB36" s="23"/>
      <c r="EC36" s="23"/>
      <c r="ED36" s="23"/>
      <c r="EE36" s="23"/>
      <c r="EF36" s="23"/>
      <c r="EG36" s="23"/>
      <c r="EH36" s="23"/>
      <c r="EI36" s="23"/>
      <c r="EJ36" s="23"/>
      <c r="EK36" s="23"/>
      <c r="EL36" s="23"/>
      <c r="EM36" s="23"/>
      <c r="EN36" s="23"/>
      <c r="EO36" s="23"/>
      <c r="EP36" s="23"/>
      <c r="EQ36" s="23"/>
      <c r="ER36" s="23"/>
      <c r="ES36" s="23"/>
      <c r="ET36" s="23"/>
      <c r="EU36" s="23"/>
      <c r="EV36" s="23"/>
      <c r="EW36" s="23"/>
      <c r="EX36" s="23"/>
      <c r="EY36" s="23"/>
      <c r="EZ36" s="23"/>
      <c r="FA36" s="23">
        <v>-7.4</v>
      </c>
      <c r="FB36" s="23"/>
      <c r="FC36" s="23"/>
      <c r="FD36" s="23"/>
      <c r="FE36" s="23"/>
      <c r="FF36" s="23"/>
      <c r="FG36" s="23"/>
      <c r="FH36" s="23"/>
      <c r="FI36" s="23"/>
      <c r="FJ36" s="23"/>
      <c r="FK36" s="23"/>
      <c r="FL36" s="23"/>
      <c r="FM36" s="23"/>
      <c r="FN36" s="23"/>
      <c r="FO36" s="23"/>
      <c r="FP36" s="23"/>
      <c r="FQ36" s="23"/>
      <c r="FR36" s="23"/>
      <c r="FS36" s="23"/>
      <c r="FT36" s="23"/>
      <c r="FU36" s="23"/>
      <c r="FV36" s="23"/>
      <c r="FW36" s="23"/>
      <c r="FX36" s="23"/>
      <c r="FY36" s="23"/>
      <c r="FZ36" s="23"/>
      <c r="GA36" s="23"/>
      <c r="GB36" s="23"/>
      <c r="GC36" s="23"/>
      <c r="GD36" s="23"/>
      <c r="GE36" s="23">
        <v>-7.4</v>
      </c>
      <c r="GF36" s="23"/>
      <c r="GG36" s="23"/>
      <c r="GH36" s="23"/>
      <c r="GI36" s="23"/>
      <c r="GJ36" s="23"/>
      <c r="GK36" s="23"/>
      <c r="GL36" s="23"/>
      <c r="GM36" s="23"/>
      <c r="GN36" s="23"/>
      <c r="GO36" s="23"/>
      <c r="GP36" s="23"/>
      <c r="GQ36" s="23"/>
      <c r="GR36" s="23"/>
      <c r="GS36" s="23"/>
      <c r="GT36" s="23"/>
      <c r="GU36" s="23"/>
      <c r="GV36" s="23"/>
      <c r="GW36" s="23"/>
      <c r="GX36" s="23"/>
      <c r="GY36" s="23"/>
      <c r="GZ36" s="23"/>
      <c r="HA36" s="23"/>
      <c r="HB36" s="23"/>
      <c r="HC36" s="23"/>
      <c r="HD36" s="23"/>
      <c r="HE36" s="23"/>
      <c r="HF36" s="23"/>
      <c r="HG36" s="23"/>
      <c r="HH36" s="23"/>
      <c r="HI36" s="23"/>
      <c r="HJ36" s="23">
        <v>-10.4</v>
      </c>
      <c r="HK36" s="23"/>
      <c r="HL36" s="23"/>
      <c r="HM36" s="23"/>
      <c r="HN36" s="23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>
        <v>-4.1</v>
      </c>
      <c r="IP36" s="31"/>
      <c r="IQ36" s="31"/>
      <c r="IR36" s="31"/>
      <c r="IS36" s="31"/>
      <c r="IT36" s="31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  <c r="JN36" s="31"/>
      <c r="JO36" s="31"/>
      <c r="JP36" s="31"/>
      <c r="JQ36" s="31"/>
      <c r="JR36" s="31"/>
      <c r="JS36" s="31">
        <v>4.4</v>
      </c>
      <c r="JT36" s="31"/>
      <c r="JU36" s="31"/>
      <c r="JV36" s="31"/>
      <c r="JW36" s="31"/>
      <c r="JX36" s="31"/>
      <c r="JY36" s="31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>
        <v>-2.2</v>
      </c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>
        <v>0.4</v>
      </c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>
        <v>-0.3</v>
      </c>
      <c r="NH36" s="23"/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>
        <v>6.7</v>
      </c>
      <c r="OM36" s="23"/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>
        <v>12.9</v>
      </c>
      <c r="PO36" s="23"/>
      <c r="PP36" s="23"/>
      <c r="PQ36" s="23"/>
      <c r="PR36" s="23"/>
      <c r="PS36" s="23"/>
      <c r="PT36" s="23"/>
      <c r="PU36" s="23"/>
      <c r="PV36" s="23"/>
      <c r="PW36" s="23"/>
      <c r="PX36" s="23"/>
      <c r="PY36" s="23"/>
      <c r="PZ36" s="23"/>
      <c r="QA36" s="23"/>
      <c r="QB36" s="23"/>
      <c r="QC36" s="23"/>
      <c r="QD36" s="23"/>
      <c r="QE36" s="23"/>
      <c r="QF36" s="23"/>
      <c r="QG36" s="23"/>
      <c r="QH36" s="23"/>
      <c r="QI36" s="23"/>
      <c r="QJ36" s="23"/>
      <c r="QK36" s="23"/>
      <c r="QL36" s="23"/>
      <c r="QM36" s="23"/>
      <c r="QN36" s="23"/>
      <c r="QO36" s="23"/>
      <c r="QP36" s="23"/>
      <c r="QQ36" s="23"/>
      <c r="QR36" s="23"/>
      <c r="QS36" s="23">
        <v>2.3</v>
      </c>
      <c r="QT36" s="23"/>
      <c r="QU36" s="23"/>
      <c r="QV36" s="23"/>
      <c r="QW36" s="23"/>
      <c r="QX36" s="23"/>
      <c r="QY36" s="23"/>
      <c r="QZ36" s="23"/>
      <c r="RA36" s="23"/>
      <c r="RB36" s="23"/>
      <c r="RC36" s="23"/>
      <c r="RD36" s="23"/>
      <c r="RE36" s="23"/>
      <c r="RF36" s="23"/>
      <c r="RG36" s="23"/>
      <c r="RH36" s="23"/>
      <c r="RI36" s="23"/>
      <c r="RJ36" s="23"/>
      <c r="RK36" s="23"/>
      <c r="RL36" s="23"/>
      <c r="RM36" s="23"/>
      <c r="RN36" s="23"/>
      <c r="RO36" s="23"/>
      <c r="RP36" s="23"/>
      <c r="RQ36" s="23"/>
      <c r="RR36" s="23"/>
      <c r="RS36" s="23"/>
      <c r="RT36" s="23"/>
      <c r="RU36" s="23"/>
      <c r="RV36" s="23"/>
      <c r="RW36" s="23">
        <v>-7.9</v>
      </c>
      <c r="RX36" s="23"/>
      <c r="RY36" s="23"/>
      <c r="RZ36" s="23"/>
      <c r="SA36" s="23"/>
      <c r="SB36" s="23"/>
      <c r="SC36" s="23"/>
      <c r="SD36" s="23"/>
      <c r="SE36" s="23"/>
      <c r="SF36" s="23"/>
      <c r="SG36" s="23"/>
      <c r="SH36" s="23"/>
      <c r="SI36" s="23"/>
      <c r="SJ36" s="23"/>
      <c r="SK36" s="23"/>
      <c r="SL36" s="23"/>
      <c r="SM36" s="23"/>
      <c r="SN36" s="23"/>
      <c r="SO36" s="23"/>
      <c r="SP36" s="23"/>
      <c r="SQ36" s="23"/>
      <c r="SR36" s="23"/>
      <c r="SS36" s="23"/>
      <c r="ST36" s="23"/>
      <c r="SU36" s="23"/>
      <c r="SV36" s="23"/>
      <c r="SW36" s="23"/>
      <c r="SX36" s="23"/>
      <c r="SY36" s="23"/>
      <c r="SZ36" s="23"/>
      <c r="TA36" s="23"/>
      <c r="TB36" s="23">
        <v>-6.2</v>
      </c>
      <c r="TC36" s="23"/>
      <c r="TD36" s="23"/>
      <c r="TE36" s="23"/>
      <c r="TF36" s="23"/>
      <c r="TG36" s="23"/>
      <c r="TH36" s="23"/>
      <c r="TI36" s="23"/>
      <c r="TJ36" s="23"/>
      <c r="TK36" s="23"/>
      <c r="TL36" s="23"/>
      <c r="TM36" s="23"/>
      <c r="TN36" s="23"/>
      <c r="TO36" s="23"/>
      <c r="TP36" s="23"/>
      <c r="TQ36" s="23"/>
      <c r="TR36" s="23"/>
      <c r="TS36" s="23"/>
      <c r="TT36" s="23"/>
      <c r="TU36" s="23"/>
      <c r="TV36" s="23"/>
      <c r="TW36" s="23"/>
      <c r="TX36" s="23"/>
      <c r="TY36" s="23"/>
      <c r="TZ36" s="23"/>
      <c r="UA36" s="23"/>
      <c r="UB36" s="23"/>
      <c r="UC36" s="23"/>
      <c r="UD36" s="23"/>
      <c r="UE36" s="23"/>
      <c r="UF36" s="23"/>
      <c r="UG36" s="23"/>
      <c r="UH36" s="23"/>
      <c r="UI36" s="23"/>
      <c r="UJ36" s="23"/>
      <c r="UK36" s="23"/>
      <c r="UL36" s="23"/>
      <c r="UM36" s="23"/>
      <c r="UN36" s="23"/>
      <c r="UO36" s="23"/>
      <c r="UP36" s="23"/>
      <c r="UQ36" s="23"/>
      <c r="UR36" s="23"/>
      <c r="US36" s="23"/>
      <c r="UT36" s="23"/>
    </row>
    <row r="37" ht="16.5" customHeight="1" spans="4:566">
      <c r="D37" s="19" t="s">
        <v>56</v>
      </c>
      <c r="E37" s="21" t="s">
        <v>57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>
        <v>4.1</v>
      </c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>
        <v>4</v>
      </c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>
        <v>2.4</v>
      </c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3"/>
      <c r="DV37" s="23">
        <v>3.2</v>
      </c>
      <c r="DW37" s="23"/>
      <c r="DX37" s="23"/>
      <c r="DY37" s="23"/>
      <c r="DZ37" s="23"/>
      <c r="EA37" s="23"/>
      <c r="EB37" s="23"/>
      <c r="EC37" s="23"/>
      <c r="ED37" s="23"/>
      <c r="EE37" s="23"/>
      <c r="EF37" s="23"/>
      <c r="EG37" s="23"/>
      <c r="EH37" s="23"/>
      <c r="EI37" s="23"/>
      <c r="EJ37" s="23"/>
      <c r="EK37" s="23"/>
      <c r="EL37" s="23"/>
      <c r="EM37" s="23"/>
      <c r="EN37" s="23"/>
      <c r="EO37" s="23"/>
      <c r="EP37" s="23"/>
      <c r="EQ37" s="23"/>
      <c r="ER37" s="23"/>
      <c r="ES37" s="23"/>
      <c r="ET37" s="23"/>
      <c r="EU37" s="23"/>
      <c r="EV37" s="23"/>
      <c r="EW37" s="23"/>
      <c r="EX37" s="23"/>
      <c r="EY37" s="23"/>
      <c r="EZ37" s="23"/>
      <c r="FA37" s="23">
        <v>3.4</v>
      </c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>
        <v>3.5</v>
      </c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>
        <v>3.8</v>
      </c>
      <c r="HK37" s="23"/>
      <c r="HL37" s="23"/>
      <c r="HM37" s="23"/>
      <c r="HN37" s="23"/>
      <c r="HO37" s="23"/>
      <c r="HP37" s="23"/>
      <c r="HQ37" s="23"/>
      <c r="HR37" s="23"/>
      <c r="HS37" s="23"/>
      <c r="HT37" s="23"/>
      <c r="HU37" s="23"/>
      <c r="HV37" s="23"/>
      <c r="HW37" s="23"/>
      <c r="HX37" s="23"/>
      <c r="HY37" s="23"/>
      <c r="HZ37" s="23"/>
      <c r="IA37" s="23"/>
      <c r="IB37" s="23"/>
      <c r="IC37" s="23"/>
      <c r="ID37" s="23"/>
      <c r="IE37" s="23"/>
      <c r="IF37" s="23"/>
      <c r="IG37" s="23"/>
      <c r="IH37" s="23"/>
      <c r="II37" s="23"/>
      <c r="IJ37" s="23"/>
      <c r="IK37" s="23"/>
      <c r="IL37" s="23"/>
      <c r="IM37" s="23"/>
      <c r="IN37" s="23"/>
      <c r="IO37" s="23">
        <v>3.7</v>
      </c>
      <c r="IP37" s="31"/>
      <c r="IQ37" s="31"/>
      <c r="IR37" s="31"/>
      <c r="IS37" s="31"/>
      <c r="IT37" s="31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  <c r="JN37" s="31"/>
      <c r="JO37" s="31"/>
      <c r="JP37" s="31"/>
      <c r="JQ37" s="31"/>
      <c r="JR37" s="31"/>
      <c r="JS37" s="31">
        <v>4.5</v>
      </c>
      <c r="JT37" s="31"/>
      <c r="JU37" s="31"/>
      <c r="JV37" s="31"/>
      <c r="JW37" s="31"/>
      <c r="JX37" s="31"/>
      <c r="JY37" s="31"/>
      <c r="JZ37" s="23"/>
      <c r="KA37" s="23"/>
      <c r="KB37" s="23"/>
      <c r="KC37" s="23"/>
      <c r="KD37" s="23"/>
      <c r="KE37" s="23"/>
      <c r="KF37" s="23"/>
      <c r="KG37" s="23"/>
      <c r="KH37" s="23"/>
      <c r="KI37" s="23"/>
      <c r="KJ37" s="23"/>
      <c r="KK37" s="23"/>
      <c r="KL37" s="23"/>
      <c r="KM37" s="23"/>
      <c r="KN37" s="23"/>
      <c r="KO37" s="23"/>
      <c r="KP37" s="23"/>
      <c r="KQ37" s="23"/>
      <c r="KR37" s="23"/>
      <c r="KS37" s="23"/>
      <c r="KT37" s="23"/>
      <c r="KU37" s="23"/>
      <c r="KV37" s="23"/>
      <c r="KW37" s="23"/>
      <c r="KX37" s="23">
        <v>4.9</v>
      </c>
      <c r="KY37" s="23"/>
      <c r="KZ37" s="23"/>
      <c r="LA37" s="23"/>
      <c r="LB37" s="23"/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>
        <v>5.6</v>
      </c>
      <c r="MC37" s="23"/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>
        <v>6</v>
      </c>
      <c r="NH37" s="23"/>
      <c r="NI37" s="23"/>
      <c r="NJ37" s="23"/>
      <c r="NK37" s="23"/>
      <c r="NL37" s="23"/>
      <c r="NM37" s="23"/>
      <c r="NN37" s="23"/>
      <c r="NO37" s="23"/>
      <c r="NP37" s="23"/>
      <c r="NQ37" s="23"/>
      <c r="NR37" s="23"/>
      <c r="NS37" s="23"/>
      <c r="NT37" s="23"/>
      <c r="NU37" s="23"/>
      <c r="NV37" s="23"/>
      <c r="NW37" s="23"/>
      <c r="NX37" s="23"/>
      <c r="NY37" s="23"/>
      <c r="NZ37" s="23"/>
      <c r="OA37" s="23"/>
      <c r="OB37" s="23"/>
      <c r="OC37" s="23"/>
      <c r="OD37" s="23"/>
      <c r="OE37" s="23"/>
      <c r="OF37" s="23"/>
      <c r="OG37" s="23"/>
      <c r="OH37" s="23"/>
      <c r="OI37" s="23"/>
      <c r="OJ37" s="23"/>
      <c r="OK37" s="23"/>
      <c r="OL37" s="23">
        <v>6.1</v>
      </c>
      <c r="OM37" s="23"/>
      <c r="ON37" s="23"/>
      <c r="OO37" s="23"/>
      <c r="OP37" s="23"/>
      <c r="OQ37" s="23"/>
      <c r="OR37" s="23"/>
      <c r="OS37" s="23"/>
      <c r="OT37" s="23"/>
      <c r="OU37" s="23"/>
      <c r="OV37" s="23"/>
      <c r="OW37" s="23"/>
      <c r="OX37" s="23"/>
      <c r="OY37" s="23"/>
      <c r="OZ37" s="23"/>
      <c r="PA37" s="23"/>
      <c r="PB37" s="23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>
        <v>6.2</v>
      </c>
      <c r="PO37" s="23"/>
      <c r="PP37" s="23"/>
      <c r="PQ37" s="23"/>
      <c r="PR37" s="23"/>
      <c r="PS37" s="23"/>
      <c r="PT37" s="23"/>
      <c r="PU37" s="23"/>
      <c r="PV37" s="23"/>
      <c r="PW37" s="23"/>
      <c r="PX37" s="23"/>
      <c r="PY37" s="23"/>
      <c r="PZ37" s="23"/>
      <c r="QA37" s="23"/>
      <c r="QB37" s="23"/>
      <c r="QC37" s="23"/>
      <c r="QD37" s="23"/>
      <c r="QE37" s="23"/>
      <c r="QF37" s="23"/>
      <c r="QG37" s="23"/>
      <c r="QH37" s="23"/>
      <c r="QI37" s="23"/>
      <c r="QJ37" s="23"/>
      <c r="QK37" s="23"/>
      <c r="QL37" s="23"/>
      <c r="QM37" s="23"/>
      <c r="QN37" s="23"/>
      <c r="QO37" s="23"/>
      <c r="QP37" s="23"/>
      <c r="QQ37" s="23"/>
      <c r="QR37" s="23"/>
      <c r="QS37" s="23">
        <v>7.9</v>
      </c>
      <c r="QT37" s="23"/>
      <c r="QU37" s="23"/>
      <c r="QV37" s="23"/>
      <c r="QW37" s="23"/>
      <c r="QX37" s="23"/>
      <c r="QY37" s="23"/>
      <c r="QZ37" s="23"/>
      <c r="RA37" s="23"/>
      <c r="RB37" s="23"/>
      <c r="RC37" s="23"/>
      <c r="RD37" s="23"/>
      <c r="RE37" s="23"/>
      <c r="RF37" s="23"/>
      <c r="RG37" s="23"/>
      <c r="RH37" s="23"/>
      <c r="RI37" s="23"/>
      <c r="RJ37" s="23"/>
      <c r="RK37" s="23"/>
      <c r="RL37" s="23"/>
      <c r="RM37" s="23"/>
      <c r="RN37" s="23"/>
      <c r="RO37" s="23"/>
      <c r="RP37" s="23"/>
      <c r="RQ37" s="23"/>
      <c r="RR37" s="23"/>
      <c r="RS37" s="23"/>
      <c r="RT37" s="23"/>
      <c r="RU37" s="23"/>
      <c r="RV37" s="23"/>
      <c r="RW37" s="23">
        <v>8.3</v>
      </c>
      <c r="RX37" s="23"/>
      <c r="RY37" s="23"/>
      <c r="RZ37" s="23"/>
      <c r="SA37" s="23"/>
      <c r="SB37" s="23"/>
      <c r="SC37" s="23"/>
      <c r="SD37" s="23"/>
      <c r="SE37" s="23"/>
      <c r="SF37" s="23"/>
      <c r="SG37" s="23"/>
      <c r="SH37" s="23"/>
      <c r="SI37" s="23"/>
      <c r="SJ37" s="23"/>
      <c r="SK37" s="23"/>
      <c r="SL37" s="23"/>
      <c r="SM37" s="23"/>
      <c r="SN37" s="23"/>
      <c r="SO37" s="23"/>
      <c r="SP37" s="23"/>
      <c r="SQ37" s="23"/>
      <c r="SR37" s="23"/>
      <c r="SS37" s="23"/>
      <c r="ST37" s="23"/>
      <c r="SU37" s="23"/>
      <c r="SV37" s="23"/>
      <c r="SW37" s="23"/>
      <c r="SX37" s="23"/>
      <c r="SY37" s="23"/>
      <c r="SZ37" s="23"/>
      <c r="TA37" s="23"/>
      <c r="TB37" s="23">
        <v>8.4</v>
      </c>
      <c r="TC37" s="23"/>
      <c r="TD37" s="23"/>
      <c r="TE37" s="23"/>
      <c r="TF37" s="23"/>
      <c r="TG37" s="23"/>
      <c r="TH37" s="23"/>
      <c r="TI37" s="23"/>
      <c r="TJ37" s="23"/>
      <c r="TK37" s="23"/>
      <c r="TL37" s="23"/>
      <c r="TM37" s="23"/>
      <c r="TN37" s="23"/>
      <c r="TO37" s="23"/>
      <c r="TP37" s="23"/>
      <c r="TQ37" s="23"/>
      <c r="TR37" s="23"/>
      <c r="TS37" s="23"/>
      <c r="TT37" s="23"/>
      <c r="TU37" s="23"/>
      <c r="TV37" s="23"/>
      <c r="TW37" s="23"/>
      <c r="TX37" s="23"/>
      <c r="TY37" s="23"/>
      <c r="TZ37" s="23"/>
      <c r="UA37" s="23"/>
      <c r="UB37" s="23"/>
      <c r="UC37" s="23"/>
      <c r="UD37" s="23"/>
      <c r="UE37" s="23"/>
      <c r="UF37" s="23"/>
      <c r="UG37" s="23"/>
      <c r="UH37" s="23"/>
      <c r="UI37" s="23"/>
      <c r="UJ37" s="23"/>
      <c r="UK37" s="23"/>
      <c r="UL37" s="23"/>
      <c r="UM37" s="23"/>
      <c r="UN37" s="23"/>
      <c r="UO37" s="23"/>
      <c r="UP37" s="23"/>
      <c r="UQ37" s="23"/>
      <c r="UR37" s="23"/>
      <c r="US37" s="23"/>
      <c r="UT37" s="23"/>
    </row>
    <row r="38" ht="16.5" customHeight="1" spans="4:566">
      <c r="D38" s="19" t="s">
        <v>204</v>
      </c>
      <c r="E38" s="21" t="s">
        <v>205</v>
      </c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>
        <v>16.7</v>
      </c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>
        <v>18.1</v>
      </c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>
        <v>19.4</v>
      </c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3"/>
      <c r="DV38" s="23">
        <v>20.9</v>
      </c>
      <c r="DW38" s="23"/>
      <c r="DX38" s="23"/>
      <c r="DY38" s="23"/>
      <c r="DZ38" s="23"/>
      <c r="EA38" s="23"/>
      <c r="EB38" s="23"/>
      <c r="EC38" s="23"/>
      <c r="ED38" s="23"/>
      <c r="EE38" s="23"/>
      <c r="EF38" s="23"/>
      <c r="EG38" s="23"/>
      <c r="EH38" s="23"/>
      <c r="EI38" s="23"/>
      <c r="EJ38" s="23"/>
      <c r="EK38" s="23"/>
      <c r="EL38" s="23"/>
      <c r="EM38" s="23"/>
      <c r="EN38" s="23"/>
      <c r="EO38" s="23"/>
      <c r="EP38" s="23"/>
      <c r="EQ38" s="23"/>
      <c r="ER38" s="23"/>
      <c r="ES38" s="23"/>
      <c r="ET38" s="23"/>
      <c r="EU38" s="23"/>
      <c r="EV38" s="23"/>
      <c r="EW38" s="23"/>
      <c r="EX38" s="23"/>
      <c r="EY38" s="23"/>
      <c r="EZ38" s="23"/>
      <c r="FA38" s="23">
        <v>20.9</v>
      </c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>
        <v>21.3</v>
      </c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>
        <v>21.9</v>
      </c>
      <c r="HK38" s="23"/>
      <c r="HL38" s="23"/>
      <c r="HM38" s="23"/>
      <c r="HN38" s="23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>
        <v>21.1</v>
      </c>
      <c r="IP38" s="31"/>
      <c r="IQ38" s="31"/>
      <c r="IR38" s="31"/>
      <c r="IS38" s="31"/>
      <c r="IT38" s="31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  <c r="JN38" s="31"/>
      <c r="JO38" s="31"/>
      <c r="JP38" s="31"/>
      <c r="JQ38" s="31"/>
      <c r="JR38" s="31"/>
      <c r="JS38" s="31">
        <v>20.2</v>
      </c>
      <c r="JT38" s="31"/>
      <c r="JU38" s="31"/>
      <c r="JV38" s="31"/>
      <c r="JW38" s="31"/>
      <c r="JX38" s="31"/>
      <c r="JY38" s="31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>
        <v>19.2</v>
      </c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/>
      <c r="LL38" s="23"/>
      <c r="LM38" s="23"/>
      <c r="LN38" s="23"/>
      <c r="LO38" s="23"/>
      <c r="LP38" s="23"/>
      <c r="LQ38" s="23"/>
      <c r="LR38" s="23"/>
      <c r="LS38" s="23"/>
      <c r="LT38" s="23"/>
      <c r="LU38" s="23"/>
      <c r="LV38" s="23"/>
      <c r="LW38" s="23"/>
      <c r="LX38" s="23"/>
      <c r="LY38" s="23"/>
      <c r="LZ38" s="23"/>
      <c r="MA38" s="23"/>
      <c r="MB38" s="23">
        <v>18.8</v>
      </c>
      <c r="MC38" s="23"/>
      <c r="MD38" s="23"/>
      <c r="ME38" s="23"/>
      <c r="MF38" s="23"/>
      <c r="MG38" s="23"/>
      <c r="MH38" s="23"/>
      <c r="MI38" s="23"/>
      <c r="MJ38" s="23"/>
      <c r="MK38" s="23"/>
      <c r="ML38" s="23"/>
      <c r="MM38" s="23"/>
      <c r="MN38" s="23"/>
      <c r="MO38" s="23"/>
      <c r="MP38" s="23"/>
      <c r="MQ38" s="23"/>
      <c r="MR38" s="23"/>
      <c r="MS38" s="23"/>
      <c r="MT38" s="23"/>
      <c r="MU38" s="23"/>
      <c r="MV38" s="23"/>
      <c r="MW38" s="23"/>
      <c r="MX38" s="23"/>
      <c r="MY38" s="23"/>
      <c r="MZ38" s="23"/>
      <c r="NA38" s="23"/>
      <c r="NB38" s="23"/>
      <c r="NC38" s="23"/>
      <c r="ND38" s="23"/>
      <c r="NE38" s="23"/>
      <c r="NF38" s="23"/>
      <c r="NG38" s="23">
        <v>17.1</v>
      </c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>
        <v>17.3</v>
      </c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>
        <v>16.6</v>
      </c>
      <c r="PO38" s="23"/>
      <c r="PP38" s="23"/>
      <c r="PQ38" s="23"/>
      <c r="PR38" s="23"/>
      <c r="PS38" s="23"/>
      <c r="PT38" s="23"/>
      <c r="PU38" s="23"/>
      <c r="PV38" s="23"/>
      <c r="PW38" s="23"/>
      <c r="PX38" s="23"/>
      <c r="PY38" s="23"/>
      <c r="PZ38" s="23"/>
      <c r="QA38" s="23"/>
      <c r="QB38" s="23"/>
      <c r="QC38" s="23"/>
      <c r="QD38" s="23"/>
      <c r="QE38" s="23"/>
      <c r="QF38" s="23"/>
      <c r="QG38" s="23"/>
      <c r="QH38" s="23"/>
      <c r="QI38" s="23"/>
      <c r="QJ38" s="23"/>
      <c r="QK38" s="23"/>
      <c r="QL38" s="23"/>
      <c r="QM38" s="23"/>
      <c r="QN38" s="23"/>
      <c r="QO38" s="23"/>
      <c r="QP38" s="23"/>
      <c r="QQ38" s="23"/>
      <c r="QR38" s="23"/>
      <c r="QS38" s="23">
        <v>15.9</v>
      </c>
      <c r="QT38" s="23"/>
      <c r="QU38" s="23"/>
      <c r="QV38" s="23"/>
      <c r="QW38" s="23"/>
      <c r="QX38" s="23"/>
      <c r="QY38" s="23"/>
      <c r="QZ38" s="23"/>
      <c r="RA38" s="23"/>
      <c r="RB38" s="23"/>
      <c r="RC38" s="23"/>
      <c r="RD38" s="23"/>
      <c r="RE38" s="23"/>
      <c r="RF38" s="23"/>
      <c r="RG38" s="23"/>
      <c r="RH38" s="23"/>
      <c r="RI38" s="23"/>
      <c r="RJ38" s="23"/>
      <c r="RK38" s="23"/>
      <c r="RL38" s="23"/>
      <c r="RM38" s="23"/>
      <c r="RN38" s="23"/>
      <c r="RO38" s="23"/>
      <c r="RP38" s="23"/>
      <c r="RQ38" s="23"/>
      <c r="RR38" s="23"/>
      <c r="RS38" s="23"/>
      <c r="RT38" s="23"/>
      <c r="RU38" s="23"/>
      <c r="RV38" s="23"/>
      <c r="RW38" s="23">
        <v>15.6</v>
      </c>
      <c r="RX38" s="23"/>
      <c r="RY38" s="23"/>
      <c r="RZ38" s="23"/>
      <c r="SA38" s="23"/>
      <c r="SB38" s="23"/>
      <c r="SC38" s="23"/>
      <c r="SD38" s="23"/>
      <c r="SE38" s="23"/>
      <c r="SF38" s="23"/>
      <c r="SG38" s="23"/>
      <c r="SH38" s="23"/>
      <c r="SI38" s="23"/>
      <c r="SJ38" s="23"/>
      <c r="SK38" s="23"/>
      <c r="SL38" s="23"/>
      <c r="SM38" s="23"/>
      <c r="SN38" s="23"/>
      <c r="SO38" s="23"/>
      <c r="SP38" s="23"/>
      <c r="SQ38" s="23"/>
      <c r="SR38" s="23"/>
      <c r="SS38" s="23"/>
      <c r="ST38" s="23"/>
      <c r="SU38" s="23"/>
      <c r="SV38" s="23"/>
      <c r="SW38" s="23"/>
      <c r="SX38" s="23"/>
      <c r="SY38" s="23"/>
      <c r="SZ38" s="23"/>
      <c r="TA38" s="23"/>
      <c r="TB38" s="23">
        <v>15.1</v>
      </c>
      <c r="TC38" s="23"/>
      <c r="TD38" s="23"/>
      <c r="TE38" s="23"/>
      <c r="TF38" s="23"/>
      <c r="TG38" s="23"/>
      <c r="TH38" s="23"/>
      <c r="TI38" s="23"/>
      <c r="TJ38" s="23"/>
      <c r="TK38" s="23"/>
      <c r="TL38" s="23"/>
      <c r="TM38" s="23"/>
      <c r="TN38" s="23"/>
      <c r="TO38" s="23"/>
      <c r="TP38" s="23"/>
      <c r="TQ38" s="23"/>
      <c r="TR38" s="23"/>
      <c r="TS38" s="23"/>
      <c r="TT38" s="23"/>
      <c r="TU38" s="23"/>
      <c r="TV38" s="23"/>
      <c r="TW38" s="23"/>
      <c r="TX38" s="23"/>
      <c r="TY38" s="23"/>
      <c r="TZ38" s="23"/>
      <c r="UA38" s="23"/>
      <c r="UB38" s="23"/>
      <c r="UC38" s="23"/>
      <c r="UD38" s="23"/>
      <c r="UE38" s="23"/>
      <c r="UF38" s="23"/>
      <c r="UG38" s="23"/>
      <c r="UH38" s="23"/>
      <c r="UI38" s="23"/>
      <c r="UJ38" s="23"/>
      <c r="UK38" s="23"/>
      <c r="UL38" s="23"/>
      <c r="UM38" s="23"/>
      <c r="UN38" s="23"/>
      <c r="UO38" s="23"/>
      <c r="UP38" s="23"/>
      <c r="UQ38" s="23"/>
      <c r="UR38" s="23"/>
      <c r="US38" s="23"/>
      <c r="UT38" s="23"/>
    </row>
    <row r="39" ht="16.5" customHeight="1" spans="4:566">
      <c r="D39" s="19" t="s">
        <v>415</v>
      </c>
      <c r="E39" s="21" t="s">
        <v>115</v>
      </c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>
        <v>0.4</v>
      </c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>
        <v>0.1</v>
      </c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3"/>
      <c r="CJ39" s="23"/>
      <c r="CK39" s="23"/>
      <c r="CL39" s="23"/>
      <c r="CM39" s="23"/>
      <c r="CN39" s="23"/>
      <c r="CO39" s="23"/>
      <c r="CP39" s="23"/>
      <c r="CQ39" s="23"/>
      <c r="CR39" s="23">
        <v>1.6</v>
      </c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>
        <v>1.5</v>
      </c>
      <c r="DW39" s="23"/>
      <c r="DX39" s="23"/>
      <c r="DY39" s="23"/>
      <c r="DZ39" s="23"/>
      <c r="EA39" s="23"/>
      <c r="EB39" s="23"/>
      <c r="EC39" s="23"/>
      <c r="ED39" s="23"/>
      <c r="EE39" s="23"/>
      <c r="EF39" s="23"/>
      <c r="EG39" s="23"/>
      <c r="EH39" s="23"/>
      <c r="EI39" s="23"/>
      <c r="EJ39" s="23"/>
      <c r="EK39" s="23"/>
      <c r="EL39" s="23"/>
      <c r="EM39" s="23"/>
      <c r="EN39" s="23"/>
      <c r="EO39" s="23"/>
      <c r="EP39" s="23"/>
      <c r="EQ39" s="23"/>
      <c r="ER39" s="23"/>
      <c r="ES39" s="23"/>
      <c r="ET39" s="23"/>
      <c r="EU39" s="23"/>
      <c r="EV39" s="23"/>
      <c r="EW39" s="23"/>
      <c r="EX39" s="23"/>
      <c r="EY39" s="23"/>
      <c r="EZ39" s="23"/>
      <c r="FA39" s="23">
        <v>2.3</v>
      </c>
      <c r="FB39" s="23"/>
      <c r="FC39" s="23"/>
      <c r="FD39" s="23"/>
      <c r="FE39" s="23"/>
      <c r="FF39" s="23"/>
      <c r="FG39" s="23"/>
      <c r="FH39" s="23"/>
      <c r="FI39" s="23"/>
      <c r="FJ39" s="23"/>
      <c r="FK39" s="23"/>
      <c r="FL39" s="23"/>
      <c r="FM39" s="23"/>
      <c r="FN39" s="23"/>
      <c r="FO39" s="23"/>
      <c r="FP39" s="23"/>
      <c r="FQ39" s="23"/>
      <c r="FR39" s="23"/>
      <c r="FS39" s="23"/>
      <c r="FT39" s="23"/>
      <c r="FU39" s="23"/>
      <c r="FV39" s="23"/>
      <c r="FW39" s="23"/>
      <c r="FX39" s="23"/>
      <c r="FY39" s="23"/>
      <c r="FZ39" s="23"/>
      <c r="GA39" s="23"/>
      <c r="GB39" s="23"/>
      <c r="GC39" s="23"/>
      <c r="GD39" s="23"/>
      <c r="GE39" s="23">
        <v>4.6</v>
      </c>
      <c r="GF39" s="23"/>
      <c r="GG39" s="23"/>
      <c r="GH39" s="23"/>
      <c r="GI39" s="23"/>
      <c r="GJ39" s="23"/>
      <c r="GK39" s="23"/>
      <c r="GL39" s="23"/>
      <c r="GM39" s="23"/>
      <c r="GN39" s="23"/>
      <c r="GO39" s="23"/>
      <c r="GP39" s="23"/>
      <c r="GQ39" s="23"/>
      <c r="GR39" s="23"/>
      <c r="GS39" s="23"/>
      <c r="GT39" s="23"/>
      <c r="GU39" s="23"/>
      <c r="GV39" s="23"/>
      <c r="GW39" s="23"/>
      <c r="GX39" s="23"/>
      <c r="GY39" s="23"/>
      <c r="GZ39" s="23"/>
      <c r="HA39" s="23"/>
      <c r="HB39" s="23"/>
      <c r="HC39" s="23"/>
      <c r="HD39" s="23"/>
      <c r="HE39" s="23"/>
      <c r="HF39" s="23"/>
      <c r="HG39" s="23"/>
      <c r="HH39" s="23"/>
      <c r="HI39" s="23"/>
      <c r="HJ39" s="23">
        <v>5.6</v>
      </c>
      <c r="HK39" s="23"/>
      <c r="HL39" s="23"/>
      <c r="HM39" s="23"/>
      <c r="HN39" s="23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>
        <v>6</v>
      </c>
      <c r="IP39" s="31"/>
      <c r="IQ39" s="31"/>
      <c r="IR39" s="31"/>
      <c r="IS39" s="31"/>
      <c r="IT39" s="31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  <c r="JN39" s="31"/>
      <c r="JO39" s="31"/>
      <c r="JP39" s="31"/>
      <c r="JQ39" s="31"/>
      <c r="JR39" s="31"/>
      <c r="JS39" s="31">
        <v>7.2</v>
      </c>
      <c r="JT39" s="31"/>
      <c r="JU39" s="31"/>
      <c r="JV39" s="31"/>
      <c r="JW39" s="31"/>
      <c r="JX39" s="31"/>
      <c r="JY39" s="31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>
        <v>6.2</v>
      </c>
      <c r="KY39" s="23"/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>
        <v>4.9</v>
      </c>
      <c r="MC39" s="23"/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>
        <v>3.8</v>
      </c>
      <c r="NH39" s="23"/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>
        <v>4.9</v>
      </c>
      <c r="OM39" s="23"/>
      <c r="ON39" s="23"/>
      <c r="OO39" s="23"/>
      <c r="OP39" s="23"/>
      <c r="OQ39" s="23"/>
      <c r="OR39" s="23"/>
      <c r="OS39" s="23"/>
      <c r="OT39" s="23"/>
      <c r="OU39" s="23"/>
      <c r="OV39" s="23"/>
      <c r="OW39" s="23"/>
      <c r="OX39" s="23"/>
      <c r="OY39" s="23"/>
      <c r="OZ39" s="23"/>
      <c r="PA39" s="23"/>
      <c r="PB39" s="23"/>
      <c r="PC39" s="23"/>
      <c r="PD39" s="23"/>
      <c r="PE39" s="23"/>
      <c r="PF39" s="23"/>
      <c r="PG39" s="23"/>
      <c r="PH39" s="23"/>
      <c r="PI39" s="23"/>
      <c r="PJ39" s="23"/>
      <c r="PK39" s="23"/>
      <c r="PL39" s="23"/>
      <c r="PM39" s="23"/>
      <c r="PN39" s="23">
        <v>5.9</v>
      </c>
      <c r="PO39" s="23"/>
      <c r="PP39" s="23"/>
      <c r="PQ39" s="23"/>
      <c r="PR39" s="23"/>
      <c r="PS39" s="23"/>
      <c r="PT39" s="23"/>
      <c r="PU39" s="23"/>
      <c r="PV39" s="23"/>
      <c r="PW39" s="23"/>
      <c r="PX39" s="23"/>
      <c r="PY39" s="23"/>
      <c r="PZ39" s="23"/>
      <c r="QA39" s="23"/>
      <c r="QB39" s="23"/>
      <c r="QC39" s="23"/>
      <c r="QD39" s="23"/>
      <c r="QE39" s="23"/>
      <c r="QF39" s="23"/>
      <c r="QG39" s="23"/>
      <c r="QH39" s="23"/>
      <c r="QI39" s="23"/>
      <c r="QJ39" s="23"/>
      <c r="QK39" s="23"/>
      <c r="QL39" s="23"/>
      <c r="QM39" s="23"/>
      <c r="QN39" s="23"/>
      <c r="QO39" s="23"/>
      <c r="QP39" s="23"/>
      <c r="QQ39" s="23"/>
      <c r="QR39" s="23"/>
      <c r="QS39" s="23">
        <v>5.1</v>
      </c>
      <c r="QT39" s="23"/>
      <c r="QU39" s="23"/>
      <c r="QV39" s="23"/>
      <c r="QW39" s="23"/>
      <c r="QX39" s="23"/>
      <c r="QY39" s="23"/>
      <c r="QZ39" s="23"/>
      <c r="RA39" s="23"/>
      <c r="RB39" s="23"/>
      <c r="RC39" s="23"/>
      <c r="RD39" s="23"/>
      <c r="RE39" s="23"/>
      <c r="RF39" s="23"/>
      <c r="RG39" s="23"/>
      <c r="RH39" s="23"/>
      <c r="RI39" s="23"/>
      <c r="RJ39" s="23"/>
      <c r="RK39" s="23"/>
      <c r="RL39" s="23"/>
      <c r="RM39" s="23"/>
      <c r="RN39" s="23"/>
      <c r="RO39" s="23"/>
      <c r="RP39" s="23"/>
      <c r="RQ39" s="23"/>
      <c r="RR39" s="23"/>
      <c r="RS39" s="23"/>
      <c r="RT39" s="23"/>
      <c r="RU39" s="23"/>
      <c r="RV39" s="23"/>
      <c r="RW39" s="23">
        <v>5</v>
      </c>
      <c r="RX39" s="23"/>
      <c r="RY39" s="23"/>
      <c r="RZ39" s="23"/>
      <c r="SA39" s="23"/>
      <c r="SB39" s="23"/>
      <c r="SC39" s="23"/>
      <c r="SD39" s="23"/>
      <c r="SE39" s="23"/>
      <c r="SF39" s="23"/>
      <c r="SG39" s="23"/>
      <c r="SH39" s="23"/>
      <c r="SI39" s="23"/>
      <c r="SJ39" s="23"/>
      <c r="SK39" s="23"/>
      <c r="SL39" s="23"/>
      <c r="SM39" s="23"/>
      <c r="SN39" s="23"/>
      <c r="SO39" s="23"/>
      <c r="SP39" s="23"/>
      <c r="SQ39" s="23"/>
      <c r="SR39" s="23"/>
      <c r="SS39" s="23"/>
      <c r="ST39" s="23"/>
      <c r="SU39" s="23"/>
      <c r="SV39" s="23"/>
      <c r="SW39" s="23"/>
      <c r="SX39" s="23"/>
      <c r="SY39" s="23"/>
      <c r="SZ39" s="23"/>
      <c r="TA39" s="23"/>
      <c r="TB39" s="23">
        <v>5.5</v>
      </c>
      <c r="TC39" s="23"/>
      <c r="TD39" s="23"/>
      <c r="TE39" s="23"/>
      <c r="TF39" s="23"/>
      <c r="TG39" s="23"/>
      <c r="TH39" s="23"/>
      <c r="TI39" s="23"/>
      <c r="TJ39" s="23"/>
      <c r="TK39" s="23"/>
      <c r="TL39" s="23"/>
      <c r="TM39" s="23"/>
      <c r="TN39" s="23"/>
      <c r="TO39" s="23"/>
      <c r="TP39" s="23"/>
      <c r="TQ39" s="23"/>
      <c r="TR39" s="23"/>
      <c r="TS39" s="23"/>
      <c r="TT39" s="23"/>
      <c r="TU39" s="23"/>
      <c r="TV39" s="23"/>
      <c r="TW39" s="23"/>
      <c r="TX39" s="23"/>
      <c r="TY39" s="23"/>
      <c r="TZ39" s="23"/>
      <c r="UA39" s="23"/>
      <c r="UB39" s="23"/>
      <c r="UC39" s="23"/>
      <c r="UD39" s="23"/>
      <c r="UE39" s="23"/>
      <c r="UF39" s="23"/>
      <c r="UG39" s="23"/>
      <c r="UH39" s="23"/>
      <c r="UI39" s="23"/>
      <c r="UJ39" s="23"/>
      <c r="UK39" s="23"/>
      <c r="UL39" s="23"/>
      <c r="UM39" s="23"/>
      <c r="UN39" s="23"/>
      <c r="UO39" s="23"/>
      <c r="UP39" s="23"/>
      <c r="UQ39" s="23"/>
      <c r="UR39" s="23"/>
      <c r="US39" s="23"/>
      <c r="UT39" s="23"/>
    </row>
    <row r="40" ht="16.5" customHeight="1" spans="4:566">
      <c r="D40" s="19" t="s">
        <v>206</v>
      </c>
      <c r="E40" s="21" t="s">
        <v>207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>
        <v>1.2</v>
      </c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3"/>
      <c r="CP40" s="23"/>
      <c r="CQ40" s="23"/>
      <c r="CR40" s="23">
        <v>0.33</v>
      </c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3"/>
      <c r="DV40" s="23">
        <v>3</v>
      </c>
      <c r="DW40" s="23"/>
      <c r="DX40" s="23"/>
      <c r="DY40" s="23"/>
      <c r="DZ40" s="23"/>
      <c r="EA40" s="23"/>
      <c r="EB40" s="23"/>
      <c r="EC40" s="23"/>
      <c r="ED40" s="23"/>
      <c r="EE40" s="23"/>
      <c r="EF40" s="23"/>
      <c r="EG40" s="23"/>
      <c r="EH40" s="23"/>
      <c r="EI40" s="23"/>
      <c r="EJ40" s="23"/>
      <c r="EK40" s="23"/>
      <c r="EL40" s="23"/>
      <c r="EM40" s="23"/>
      <c r="EN40" s="23"/>
      <c r="EO40" s="23"/>
      <c r="EP40" s="23"/>
      <c r="EQ40" s="23"/>
      <c r="ER40" s="23"/>
      <c r="ES40" s="23"/>
      <c r="ET40" s="23"/>
      <c r="EU40" s="23"/>
      <c r="EV40" s="23"/>
      <c r="EW40" s="23"/>
      <c r="EX40" s="23"/>
      <c r="EY40" s="23"/>
      <c r="EZ40" s="23"/>
      <c r="FA40" s="23">
        <v>1.8</v>
      </c>
      <c r="FB40" s="23"/>
      <c r="FC40" s="23"/>
      <c r="FD40" s="23"/>
      <c r="FE40" s="23"/>
      <c r="FF40" s="23"/>
      <c r="FG40" s="23"/>
      <c r="FH40" s="23"/>
      <c r="FI40" s="23"/>
      <c r="FJ40" s="23"/>
      <c r="FK40" s="23"/>
      <c r="FL40" s="23"/>
      <c r="FM40" s="23"/>
      <c r="FN40" s="23"/>
      <c r="FO40" s="23"/>
      <c r="FP40" s="23"/>
      <c r="FQ40" s="23"/>
      <c r="FR40" s="23"/>
      <c r="FS40" s="23"/>
      <c r="FT40" s="23"/>
      <c r="FU40" s="23"/>
      <c r="FV40" s="23"/>
      <c r="FW40" s="23"/>
      <c r="FX40" s="23"/>
      <c r="FY40" s="23"/>
      <c r="FZ40" s="23"/>
      <c r="GA40" s="23"/>
      <c r="GB40" s="23"/>
      <c r="GC40" s="23"/>
      <c r="GD40" s="23"/>
      <c r="GE40" s="23">
        <v>2.44</v>
      </c>
      <c r="GF40" s="23"/>
      <c r="GG40" s="23"/>
      <c r="GH40" s="23"/>
      <c r="GI40" s="23"/>
      <c r="GJ40" s="23"/>
      <c r="GK40" s="23"/>
      <c r="GL40" s="23"/>
      <c r="GM40" s="23"/>
      <c r="GN40" s="23"/>
      <c r="GO40" s="23"/>
      <c r="GP40" s="23"/>
      <c r="GQ40" s="23"/>
      <c r="GR40" s="23"/>
      <c r="GS40" s="23"/>
      <c r="GT40" s="23"/>
      <c r="GU40" s="23"/>
      <c r="GV40" s="23"/>
      <c r="GW40" s="23"/>
      <c r="GX40" s="23"/>
      <c r="GY40" s="23"/>
      <c r="GZ40" s="23"/>
      <c r="HA40" s="23"/>
      <c r="HB40" s="23"/>
      <c r="HC40" s="23"/>
      <c r="HD40" s="23"/>
      <c r="HE40" s="23"/>
      <c r="HF40" s="23"/>
      <c r="HG40" s="23"/>
      <c r="HH40" s="23"/>
      <c r="HI40" s="23"/>
      <c r="HJ40" s="23">
        <v>5.27</v>
      </c>
      <c r="HK40" s="23"/>
      <c r="HL40" s="23"/>
      <c r="HM40" s="23"/>
      <c r="HN40" s="23"/>
      <c r="HO40" s="23"/>
      <c r="HP40" s="23"/>
      <c r="HQ40" s="23"/>
      <c r="HR40" s="23"/>
      <c r="HS40" s="23"/>
      <c r="HT40" s="23"/>
      <c r="HU40" s="23"/>
      <c r="HV40" s="23"/>
      <c r="HW40" s="23"/>
      <c r="HX40" s="23"/>
      <c r="HY40" s="23"/>
      <c r="HZ40" s="23"/>
      <c r="IA40" s="23"/>
      <c r="IB40" s="23"/>
      <c r="IC40" s="23"/>
      <c r="ID40" s="23"/>
      <c r="IE40" s="23"/>
      <c r="IF40" s="23"/>
      <c r="IG40" s="23"/>
      <c r="IH40" s="23"/>
      <c r="II40" s="23"/>
      <c r="IJ40" s="23"/>
      <c r="IK40" s="23"/>
      <c r="IL40" s="23"/>
      <c r="IM40" s="23"/>
      <c r="IN40" s="23"/>
      <c r="IO40" s="23">
        <v>5.87</v>
      </c>
      <c r="IP40" s="31"/>
      <c r="IQ40" s="31"/>
      <c r="IR40" s="31"/>
      <c r="IS40" s="31"/>
      <c r="IT40" s="31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  <c r="JN40" s="31"/>
      <c r="JO40" s="31"/>
      <c r="JP40" s="31"/>
      <c r="JQ40" s="31"/>
      <c r="JR40" s="31"/>
      <c r="JS40" s="31">
        <v>6</v>
      </c>
      <c r="JT40" s="31"/>
      <c r="JU40" s="31"/>
      <c r="JV40" s="31"/>
      <c r="JW40" s="31"/>
      <c r="JX40" s="31"/>
      <c r="JY40" s="31"/>
      <c r="JZ40" s="23"/>
      <c r="KA40" s="23"/>
      <c r="KB40" s="23"/>
      <c r="KC40" s="23"/>
      <c r="KD40" s="23"/>
      <c r="KE40" s="23"/>
      <c r="KF40" s="23"/>
      <c r="KG40" s="23"/>
      <c r="KH40" s="23"/>
      <c r="KI40" s="23"/>
      <c r="KJ40" s="23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>
        <v>6.55</v>
      </c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>
        <v>5</v>
      </c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>
        <v>3.77</v>
      </c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>
        <v>2.93</v>
      </c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>
        <v>5.15</v>
      </c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>
        <v>5.23</v>
      </c>
      <c r="QT40" s="23"/>
      <c r="QU40" s="23"/>
      <c r="QV40" s="23"/>
      <c r="QW40" s="23"/>
      <c r="QX40" s="23"/>
      <c r="QY40" s="23"/>
      <c r="QZ40" s="23"/>
      <c r="RA40" s="23"/>
      <c r="RB40" s="23"/>
      <c r="RC40" s="23"/>
      <c r="RD40" s="23"/>
      <c r="RE40" s="23"/>
      <c r="RF40" s="23"/>
      <c r="RG40" s="23"/>
      <c r="RH40" s="23"/>
      <c r="RI40" s="23"/>
      <c r="RJ40" s="23"/>
      <c r="RK40" s="23"/>
      <c r="RL40" s="23"/>
      <c r="RM40" s="23"/>
      <c r="RN40" s="23"/>
      <c r="RO40" s="23"/>
      <c r="RP40" s="23"/>
      <c r="RQ40" s="23"/>
      <c r="RR40" s="23"/>
      <c r="RS40" s="23"/>
      <c r="RT40" s="23"/>
      <c r="RU40" s="23"/>
      <c r="RV40" s="23"/>
      <c r="RW40" s="23">
        <v>5</v>
      </c>
      <c r="RX40" s="23"/>
      <c r="RY40" s="23"/>
      <c r="RZ40" s="23"/>
      <c r="SA40" s="23"/>
      <c r="SB40" s="23"/>
      <c r="SC40" s="23"/>
      <c r="SD40" s="23"/>
      <c r="SE40" s="23"/>
      <c r="SF40" s="23"/>
      <c r="SG40" s="23"/>
      <c r="SH40" s="23"/>
      <c r="SI40" s="23"/>
      <c r="SJ40" s="23"/>
      <c r="SK40" s="23"/>
      <c r="SL40" s="23"/>
      <c r="SM40" s="23"/>
      <c r="SN40" s="23"/>
      <c r="SO40" s="23"/>
      <c r="SP40" s="23"/>
      <c r="SQ40" s="23"/>
      <c r="SR40" s="23"/>
      <c r="SS40" s="23"/>
      <c r="ST40" s="23"/>
      <c r="SU40" s="23"/>
      <c r="SV40" s="23"/>
      <c r="SW40" s="23"/>
      <c r="SX40" s="23"/>
      <c r="SY40" s="23"/>
      <c r="SZ40" s="23"/>
      <c r="TA40" s="23"/>
      <c r="TB40" s="23">
        <v>4.8</v>
      </c>
      <c r="TC40" s="23"/>
      <c r="TD40" s="23"/>
      <c r="TE40" s="23"/>
      <c r="TF40" s="23"/>
      <c r="TG40" s="23"/>
      <c r="TH40" s="23"/>
      <c r="TI40" s="23"/>
      <c r="TJ40" s="23"/>
      <c r="TK40" s="23"/>
      <c r="TL40" s="23"/>
      <c r="TM40" s="23"/>
      <c r="TN40" s="23"/>
      <c r="TO40" s="23"/>
      <c r="TP40" s="23"/>
      <c r="TQ40" s="23"/>
      <c r="TR40" s="23"/>
      <c r="TS40" s="23"/>
      <c r="TT40" s="23"/>
      <c r="TU40" s="23"/>
      <c r="TV40" s="23"/>
      <c r="TW40" s="23"/>
      <c r="TX40" s="23"/>
      <c r="TY40" s="23"/>
      <c r="TZ40" s="23"/>
      <c r="UA40" s="23"/>
      <c r="UB40" s="23"/>
      <c r="UC40" s="23"/>
      <c r="UD40" s="23"/>
      <c r="UE40" s="23"/>
      <c r="UF40" s="23">
        <v>4.88</v>
      </c>
      <c r="UG40" s="23"/>
      <c r="UH40" s="23"/>
      <c r="UI40" s="23"/>
      <c r="UJ40" s="23"/>
      <c r="UK40" s="23"/>
      <c r="UL40" s="23"/>
      <c r="UM40" s="23">
        <v>3.7</v>
      </c>
      <c r="UN40" s="23">
        <v>3.8</v>
      </c>
      <c r="UO40" s="23">
        <v>5</v>
      </c>
      <c r="UP40" s="23">
        <v>3.4</v>
      </c>
      <c r="UQ40" s="23">
        <v>3.2</v>
      </c>
      <c r="UR40" s="23">
        <v>4.8</v>
      </c>
      <c r="US40" s="23"/>
      <c r="UT40" s="23"/>
    </row>
    <row r="41" ht="16.5" customHeight="1" spans="4:566">
      <c r="D41" s="19" t="s">
        <v>416</v>
      </c>
      <c r="E41" s="21" t="s">
        <v>117</v>
      </c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>
        <v>7</v>
      </c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>
        <v>7</v>
      </c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23"/>
      <c r="CM41" s="23"/>
      <c r="CN41" s="23"/>
      <c r="CO41" s="23"/>
      <c r="CP41" s="23"/>
      <c r="CQ41" s="23"/>
      <c r="CR41" s="23">
        <v>7</v>
      </c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3"/>
      <c r="DV41" s="23">
        <v>8</v>
      </c>
      <c r="DW41" s="23"/>
      <c r="DX41" s="23"/>
      <c r="DY41" s="23"/>
      <c r="DZ41" s="23"/>
      <c r="EA41" s="23"/>
      <c r="EB41" s="23"/>
      <c r="EC41" s="23"/>
      <c r="ED41" s="23"/>
      <c r="EE41" s="23"/>
      <c r="EF41" s="23"/>
      <c r="EG41" s="23"/>
      <c r="EH41" s="23"/>
      <c r="EI41" s="23"/>
      <c r="EJ41" s="23"/>
      <c r="EK41" s="23"/>
      <c r="EL41" s="23"/>
      <c r="EM41" s="23"/>
      <c r="EN41" s="23"/>
      <c r="EO41" s="23"/>
      <c r="EP41" s="23"/>
      <c r="EQ41" s="23"/>
      <c r="ER41" s="23"/>
      <c r="ES41" s="23"/>
      <c r="ET41" s="23"/>
      <c r="EU41" s="23"/>
      <c r="EV41" s="23"/>
      <c r="EW41" s="23"/>
      <c r="EX41" s="23"/>
      <c r="EY41" s="23"/>
      <c r="EZ41" s="23"/>
      <c r="FA41" s="23">
        <v>7.9</v>
      </c>
      <c r="FB41" s="23"/>
      <c r="FC41" s="23"/>
      <c r="FD41" s="23"/>
      <c r="FE41" s="23"/>
      <c r="FF41" s="23"/>
      <c r="FG41" s="23"/>
      <c r="FH41" s="23"/>
      <c r="FI41" s="23"/>
      <c r="FJ41" s="23"/>
      <c r="FK41" s="23"/>
      <c r="FL41" s="23"/>
      <c r="FM41" s="23"/>
      <c r="FN41" s="23"/>
      <c r="FO41" s="23"/>
      <c r="FP41" s="23"/>
      <c r="FQ41" s="23"/>
      <c r="FR41" s="23"/>
      <c r="FS41" s="23"/>
      <c r="FT41" s="23"/>
      <c r="FU41" s="23"/>
      <c r="FV41" s="23"/>
      <c r="FW41" s="23"/>
      <c r="FX41" s="23"/>
      <c r="FY41" s="23"/>
      <c r="FZ41" s="23"/>
      <c r="GA41" s="23"/>
      <c r="GB41" s="23"/>
      <c r="GC41" s="23"/>
      <c r="GD41" s="23"/>
      <c r="GE41" s="23">
        <v>8.3</v>
      </c>
      <c r="GF41" s="23"/>
      <c r="GG41" s="23"/>
      <c r="GH41" s="23"/>
      <c r="GI41" s="23"/>
      <c r="GJ41" s="23"/>
      <c r="GK41" s="23"/>
      <c r="GL41" s="23"/>
      <c r="GM41" s="23"/>
      <c r="GN41" s="23"/>
      <c r="GO41" s="23"/>
      <c r="GP41" s="23"/>
      <c r="GQ41" s="23"/>
      <c r="GR41" s="23"/>
      <c r="GS41" s="23"/>
      <c r="GT41" s="23"/>
      <c r="GU41" s="23"/>
      <c r="GV41" s="23"/>
      <c r="GW41" s="23"/>
      <c r="GX41" s="23"/>
      <c r="GY41" s="23"/>
      <c r="GZ41" s="23"/>
      <c r="HA41" s="23"/>
      <c r="HB41" s="23"/>
      <c r="HC41" s="23"/>
      <c r="HD41" s="23"/>
      <c r="HE41" s="23"/>
      <c r="HF41" s="23"/>
      <c r="HG41" s="23"/>
      <c r="HH41" s="23"/>
      <c r="HI41" s="23"/>
      <c r="HJ41" s="23">
        <v>8.8</v>
      </c>
      <c r="HK41" s="23"/>
      <c r="HL41" s="23"/>
      <c r="HM41" s="23"/>
      <c r="HN41" s="23"/>
      <c r="HO41" s="23"/>
      <c r="HP41" s="23"/>
      <c r="HQ41" s="23"/>
      <c r="HR41" s="23"/>
      <c r="HS41" s="23"/>
      <c r="HT41" s="23"/>
      <c r="HU41" s="23"/>
      <c r="HV41" s="23"/>
      <c r="HW41" s="23"/>
      <c r="HX41" s="23"/>
      <c r="HY41" s="23"/>
      <c r="HZ41" s="23"/>
      <c r="IA41" s="23"/>
      <c r="IB41" s="23"/>
      <c r="IC41" s="23"/>
      <c r="ID41" s="23"/>
      <c r="IE41" s="23"/>
      <c r="IF41" s="23"/>
      <c r="IG41" s="23"/>
      <c r="IH41" s="23"/>
      <c r="II41" s="23"/>
      <c r="IJ41" s="23"/>
      <c r="IK41" s="23"/>
      <c r="IL41" s="23"/>
      <c r="IM41" s="23"/>
      <c r="IN41" s="23"/>
      <c r="IO41" s="23">
        <v>8.8</v>
      </c>
      <c r="IP41" s="31"/>
      <c r="IQ41" s="31"/>
      <c r="IR41" s="31"/>
      <c r="IS41" s="31"/>
      <c r="IT41" s="31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  <c r="JN41" s="31"/>
      <c r="JO41" s="31"/>
      <c r="JP41" s="31"/>
      <c r="JQ41" s="31"/>
      <c r="JR41" s="31"/>
      <c r="JS41" s="31">
        <v>8.4</v>
      </c>
      <c r="JT41" s="31"/>
      <c r="JU41" s="31"/>
      <c r="JV41" s="31"/>
      <c r="JW41" s="31"/>
      <c r="JX41" s="31"/>
      <c r="JY41" s="31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>
        <v>8.2</v>
      </c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>
        <v>8</v>
      </c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>
        <v>8.5</v>
      </c>
      <c r="NH41" s="23"/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>
        <v>9</v>
      </c>
      <c r="OM41" s="23"/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>
        <v>9</v>
      </c>
      <c r="PO41" s="23"/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>
        <v>8.5</v>
      </c>
      <c r="QT41" s="23"/>
      <c r="QU41" s="23"/>
      <c r="QV41" s="23"/>
      <c r="QW41" s="23"/>
      <c r="QX41" s="23"/>
      <c r="QY41" s="23"/>
      <c r="QZ41" s="23"/>
      <c r="RA41" s="23"/>
      <c r="RB41" s="23"/>
      <c r="RC41" s="23"/>
      <c r="RD41" s="23"/>
      <c r="RE41" s="23"/>
      <c r="RF41" s="23"/>
      <c r="RG41" s="23"/>
      <c r="RH41" s="23"/>
      <c r="RI41" s="23"/>
      <c r="RJ41" s="23"/>
      <c r="RK41" s="23"/>
      <c r="RL41" s="23"/>
      <c r="RM41" s="23"/>
      <c r="RN41" s="23"/>
      <c r="RO41" s="23"/>
      <c r="RP41" s="23"/>
      <c r="RQ41" s="23"/>
      <c r="RR41" s="23"/>
      <c r="RS41" s="23"/>
      <c r="RT41" s="23"/>
      <c r="RU41" s="23"/>
      <c r="RV41" s="23"/>
      <c r="RW41" s="23">
        <v>8.6</v>
      </c>
      <c r="RX41" s="23"/>
      <c r="RY41" s="23"/>
      <c r="RZ41" s="23"/>
      <c r="SA41" s="23"/>
      <c r="SB41" s="23"/>
      <c r="SC41" s="23"/>
      <c r="SD41" s="23"/>
      <c r="SE41" s="23"/>
      <c r="SF41" s="23"/>
      <c r="SG41" s="23"/>
      <c r="SH41" s="23"/>
      <c r="SI41" s="23"/>
      <c r="SJ41" s="23"/>
      <c r="SK41" s="23"/>
      <c r="SL41" s="23"/>
      <c r="SM41" s="23"/>
      <c r="SN41" s="23"/>
      <c r="SO41" s="23"/>
      <c r="SP41" s="23"/>
      <c r="SQ41" s="23"/>
      <c r="SR41" s="23"/>
      <c r="SS41" s="23"/>
      <c r="ST41" s="23"/>
      <c r="SU41" s="23"/>
      <c r="SV41" s="23"/>
      <c r="SW41" s="23"/>
      <c r="SX41" s="23"/>
      <c r="SY41" s="23"/>
      <c r="SZ41" s="23"/>
      <c r="TA41" s="23"/>
      <c r="TB41" s="23">
        <v>8.6</v>
      </c>
      <c r="TC41" s="23"/>
      <c r="TD41" s="23"/>
      <c r="TE41" s="23"/>
      <c r="TF41" s="23"/>
      <c r="TG41" s="23"/>
      <c r="TH41" s="23"/>
      <c r="TI41" s="23"/>
      <c r="TJ41" s="23"/>
      <c r="TK41" s="23"/>
      <c r="TL41" s="23"/>
      <c r="TM41" s="23"/>
      <c r="TN41" s="23"/>
      <c r="TO41" s="23"/>
      <c r="TP41" s="23"/>
      <c r="TQ41" s="23"/>
      <c r="TR41" s="23"/>
      <c r="TS41" s="23"/>
      <c r="TT41" s="23"/>
      <c r="TU41" s="23"/>
      <c r="TV41" s="23"/>
      <c r="TW41" s="23"/>
      <c r="TX41" s="23"/>
      <c r="TY41" s="23"/>
      <c r="TZ41" s="23"/>
      <c r="UA41" s="23"/>
      <c r="UB41" s="23"/>
      <c r="UC41" s="23"/>
      <c r="UD41" s="23"/>
      <c r="UE41" s="23"/>
      <c r="UF41" s="23"/>
      <c r="UG41" s="23"/>
      <c r="UH41" s="23"/>
      <c r="UI41" s="23"/>
      <c r="UJ41" s="23"/>
      <c r="UK41" s="23"/>
      <c r="UL41" s="23"/>
      <c r="UM41" s="23"/>
      <c r="UN41" s="23"/>
      <c r="UO41" s="23"/>
      <c r="UP41" s="23"/>
      <c r="UQ41" s="23"/>
      <c r="UR41" s="23"/>
      <c r="US41" s="23"/>
      <c r="UT41" s="23"/>
    </row>
    <row r="42" ht="16.5" customHeight="1" spans="4:566">
      <c r="D42" s="19" t="s">
        <v>208</v>
      </c>
      <c r="E42" s="21" t="s">
        <v>209</v>
      </c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>
        <v>8.4</v>
      </c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>
        <v>7.04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>
        <v>7.01</v>
      </c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3"/>
      <c r="DV42" s="23">
        <v>7.54</v>
      </c>
      <c r="DW42" s="23"/>
      <c r="DX42" s="23"/>
      <c r="DY42" s="23"/>
      <c r="DZ42" s="23"/>
      <c r="EA42" s="23"/>
      <c r="EB42" s="23"/>
      <c r="EC42" s="23"/>
      <c r="ED42" s="23"/>
      <c r="EE42" s="23"/>
      <c r="EF42" s="23"/>
      <c r="EG42" s="23"/>
      <c r="EH42" s="23"/>
      <c r="EI42" s="23"/>
      <c r="EJ42" s="23"/>
      <c r="EK42" s="23"/>
      <c r="EL42" s="23"/>
      <c r="EM42" s="23"/>
      <c r="EN42" s="23"/>
      <c r="EO42" s="23"/>
      <c r="EP42" s="23"/>
      <c r="EQ42" s="23"/>
      <c r="ER42" s="23"/>
      <c r="ES42" s="23"/>
      <c r="ET42" s="23"/>
      <c r="EU42" s="23"/>
      <c r="EV42" s="23"/>
      <c r="EW42" s="23"/>
      <c r="EX42" s="23"/>
      <c r="EY42" s="23"/>
      <c r="EZ42" s="23"/>
      <c r="FA42" s="23">
        <v>8.08</v>
      </c>
      <c r="FB42" s="23"/>
      <c r="FC42" s="23"/>
      <c r="FD42" s="23"/>
      <c r="FE42" s="23"/>
      <c r="FF42" s="23"/>
      <c r="FG42" s="23"/>
      <c r="FH42" s="23"/>
      <c r="FI42" s="23"/>
      <c r="FJ42" s="23"/>
      <c r="FK42" s="23"/>
      <c r="FL42" s="23"/>
      <c r="FM42" s="23"/>
      <c r="FN42" s="23"/>
      <c r="FO42" s="23"/>
      <c r="FP42" s="23"/>
      <c r="FQ42" s="23"/>
      <c r="FR42" s="23"/>
      <c r="FS42" s="23"/>
      <c r="FT42" s="23"/>
      <c r="FU42" s="23"/>
      <c r="FV42" s="23"/>
      <c r="FW42" s="23"/>
      <c r="FX42" s="23"/>
      <c r="FY42" s="23"/>
      <c r="FZ42" s="23"/>
      <c r="GA42" s="23"/>
      <c r="GB42" s="23"/>
      <c r="GC42" s="23"/>
      <c r="GD42" s="23"/>
      <c r="GE42" s="23">
        <v>8.04</v>
      </c>
      <c r="GF42" s="23"/>
      <c r="GG42" s="23"/>
      <c r="GH42" s="23"/>
      <c r="GI42" s="23"/>
      <c r="GJ42" s="23"/>
      <c r="GK42" s="23"/>
      <c r="GL42" s="23"/>
      <c r="GM42" s="23"/>
      <c r="GN42" s="23"/>
      <c r="GO42" s="23"/>
      <c r="GP42" s="23"/>
      <c r="GQ42" s="23"/>
      <c r="GR42" s="23"/>
      <c r="GS42" s="23"/>
      <c r="GT42" s="23"/>
      <c r="GU42" s="23"/>
      <c r="GV42" s="23"/>
      <c r="GW42" s="23"/>
      <c r="GX42" s="23"/>
      <c r="GY42" s="23"/>
      <c r="GZ42" s="23"/>
      <c r="HA42" s="23"/>
      <c r="HB42" s="23"/>
      <c r="HC42" s="23"/>
      <c r="HD42" s="23"/>
      <c r="HE42" s="23"/>
      <c r="HF42" s="23"/>
      <c r="HG42" s="23"/>
      <c r="HH42" s="23"/>
      <c r="HI42" s="23"/>
      <c r="HJ42" s="23">
        <v>8.3</v>
      </c>
      <c r="HK42" s="23"/>
      <c r="HL42" s="23"/>
      <c r="HM42" s="23"/>
      <c r="HN42" s="23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>
        <v>8.68</v>
      </c>
      <c r="IP42" s="31"/>
      <c r="IQ42" s="31"/>
      <c r="IR42" s="31"/>
      <c r="IS42" s="31"/>
      <c r="IT42" s="31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  <c r="JN42" s="31"/>
      <c r="JO42" s="31"/>
      <c r="JP42" s="31"/>
      <c r="JQ42" s="31"/>
      <c r="JR42" s="31"/>
      <c r="JS42" s="31">
        <v>8.51</v>
      </c>
      <c r="JT42" s="31"/>
      <c r="JU42" s="31"/>
      <c r="JV42" s="31"/>
      <c r="JW42" s="31"/>
      <c r="JX42" s="31"/>
      <c r="JY42" s="31"/>
      <c r="JZ42" s="23"/>
      <c r="KA42" s="23"/>
      <c r="KB42" s="23"/>
      <c r="KC42" s="23"/>
      <c r="KD42" s="23"/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>
        <v>8.04</v>
      </c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>
        <v>8.2</v>
      </c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>
        <v>7.91</v>
      </c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>
        <v>8.42</v>
      </c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>
        <v>8.82</v>
      </c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>
        <v>8.74</v>
      </c>
      <c r="QT42" s="23"/>
      <c r="QU42" s="23"/>
      <c r="QV42" s="23"/>
      <c r="QW42" s="23"/>
      <c r="QX42" s="23"/>
      <c r="QY42" s="23"/>
      <c r="QZ42" s="23"/>
      <c r="RA42" s="23"/>
      <c r="RB42" s="23"/>
      <c r="RC42" s="23"/>
      <c r="RD42" s="23"/>
      <c r="RE42" s="23"/>
      <c r="RF42" s="23"/>
      <c r="RG42" s="23"/>
      <c r="RH42" s="23"/>
      <c r="RI42" s="23"/>
      <c r="RJ42" s="23"/>
      <c r="RK42" s="23"/>
      <c r="RL42" s="23"/>
      <c r="RM42" s="23"/>
      <c r="RN42" s="23"/>
      <c r="RO42" s="23"/>
      <c r="RP42" s="23"/>
      <c r="RQ42" s="23"/>
      <c r="RR42" s="23"/>
      <c r="RS42" s="23"/>
      <c r="RT42" s="23"/>
      <c r="RU42" s="23"/>
      <c r="RV42" s="23"/>
      <c r="RW42" s="23">
        <v>8.42</v>
      </c>
      <c r="RX42" s="23"/>
      <c r="RY42" s="23"/>
      <c r="RZ42" s="23"/>
      <c r="SA42" s="23"/>
      <c r="SB42" s="23"/>
      <c r="SC42" s="23"/>
      <c r="SD42" s="23"/>
      <c r="SE42" s="23"/>
      <c r="SF42" s="23"/>
      <c r="SG42" s="23"/>
      <c r="SH42" s="23"/>
      <c r="SI42" s="23"/>
      <c r="SJ42" s="23"/>
      <c r="SK42" s="23"/>
      <c r="SL42" s="23"/>
      <c r="SM42" s="23"/>
      <c r="SN42" s="23"/>
      <c r="SO42" s="23"/>
      <c r="SP42" s="23"/>
      <c r="SQ42" s="23"/>
      <c r="SR42" s="23"/>
      <c r="SS42" s="23"/>
      <c r="ST42" s="23"/>
      <c r="SU42" s="23"/>
      <c r="SV42" s="23"/>
      <c r="SW42" s="23"/>
      <c r="SX42" s="23"/>
      <c r="SY42" s="23"/>
      <c r="SZ42" s="23"/>
      <c r="TA42" s="23"/>
      <c r="TB42" s="23">
        <v>8.55</v>
      </c>
      <c r="TC42" s="23"/>
      <c r="TD42" s="23"/>
      <c r="TE42" s="23"/>
      <c r="TF42" s="23"/>
      <c r="TG42" s="23"/>
      <c r="TH42" s="23"/>
      <c r="TI42" s="23"/>
      <c r="TJ42" s="23"/>
      <c r="TK42" s="23"/>
      <c r="TL42" s="23"/>
      <c r="TM42" s="23"/>
      <c r="TN42" s="23"/>
      <c r="TO42" s="23"/>
      <c r="TP42" s="23"/>
      <c r="TQ42" s="23"/>
      <c r="TR42" s="23"/>
      <c r="TS42" s="23"/>
      <c r="TT42" s="23"/>
      <c r="TU42" s="23"/>
      <c r="TV42" s="23"/>
      <c r="TW42" s="23"/>
      <c r="TX42" s="23"/>
      <c r="TY42" s="23"/>
      <c r="TZ42" s="23"/>
      <c r="UA42" s="23"/>
      <c r="UB42" s="23"/>
      <c r="UC42" s="23"/>
      <c r="UD42" s="23"/>
      <c r="UE42" s="23"/>
      <c r="UF42" s="23">
        <v>8.48</v>
      </c>
      <c r="UG42" s="23"/>
      <c r="UH42" s="23"/>
      <c r="UI42" s="23"/>
      <c r="UJ42" s="23"/>
      <c r="UK42" s="23"/>
      <c r="UL42" s="23"/>
      <c r="UM42" s="23"/>
      <c r="UN42" s="23"/>
      <c r="UO42" s="23">
        <v>7.6</v>
      </c>
      <c r="UP42" s="23"/>
      <c r="UQ42" s="23"/>
      <c r="UR42" s="23">
        <v>7.68</v>
      </c>
      <c r="US42" s="23">
        <v>7.1</v>
      </c>
      <c r="UT42" s="23"/>
    </row>
    <row r="43" ht="16.5" customHeight="1" spans="4:566">
      <c r="D43" s="19" t="s">
        <v>417</v>
      </c>
      <c r="E43" s="21" t="s">
        <v>50</v>
      </c>
      <c r="F43" s="23"/>
      <c r="G43" s="23"/>
      <c r="H43" s="23">
        <v>1.0676</v>
      </c>
      <c r="I43" s="23">
        <v>1.0572</v>
      </c>
      <c r="J43" s="23"/>
      <c r="K43" s="23"/>
      <c r="L43" s="23">
        <v>1.0328</v>
      </c>
      <c r="M43" s="23">
        <v>1.0602</v>
      </c>
      <c r="N43" s="23">
        <v>1.1056</v>
      </c>
      <c r="O43" s="23">
        <v>1.167</v>
      </c>
      <c r="P43" s="23">
        <v>1.24</v>
      </c>
      <c r="Q43" s="23"/>
      <c r="R43" s="23"/>
      <c r="S43" s="23">
        <v>1.2029</v>
      </c>
      <c r="T43" s="23">
        <v>1.2149</v>
      </c>
      <c r="U43" s="23">
        <v>1.212</v>
      </c>
      <c r="V43" s="23">
        <v>1.2301</v>
      </c>
      <c r="W43" s="23">
        <v>1.2465</v>
      </c>
      <c r="X43" s="23"/>
      <c r="Y43" s="23"/>
      <c r="Z43" s="23">
        <v>1.2408</v>
      </c>
      <c r="AA43" s="23">
        <v>1.2607</v>
      </c>
      <c r="AB43" s="23">
        <v>1.2682</v>
      </c>
      <c r="AC43" s="23">
        <v>1.2619</v>
      </c>
      <c r="AD43" s="23">
        <v>1.2714</v>
      </c>
      <c r="AE43" s="23"/>
      <c r="AF43" s="23">
        <v>1.2876</v>
      </c>
      <c r="AG43" s="23">
        <v>1.2363</v>
      </c>
      <c r="AH43" s="23"/>
      <c r="AI43" s="23"/>
      <c r="AJ43" s="23"/>
      <c r="AK43" s="23"/>
      <c r="AL43" s="23"/>
      <c r="AM43" s="23"/>
      <c r="AN43" s="23"/>
      <c r="AO43" s="23"/>
      <c r="AP43" s="23">
        <v>1.241</v>
      </c>
      <c r="AQ43" s="23">
        <v>1.2288</v>
      </c>
      <c r="AR43" s="23">
        <v>1.2134</v>
      </c>
      <c r="AS43" s="23">
        <v>1.2101</v>
      </c>
      <c r="AT43" s="23"/>
      <c r="AU43" s="23">
        <v>1.2412</v>
      </c>
      <c r="AV43" s="23">
        <v>1.2691</v>
      </c>
      <c r="AW43" s="23">
        <v>1.2556</v>
      </c>
      <c r="AX43" s="23">
        <v>1.2757</v>
      </c>
      <c r="AY43" s="23">
        <v>1.319</v>
      </c>
      <c r="AZ43" s="23"/>
      <c r="BA43" s="23"/>
      <c r="BB43" s="23">
        <v>1.3853</v>
      </c>
      <c r="BC43" s="23">
        <v>1.4524</v>
      </c>
      <c r="BD43" s="23">
        <v>1.4464</v>
      </c>
      <c r="BE43" s="23">
        <v>1.4556</v>
      </c>
      <c r="BF43" s="23">
        <v>1.4689</v>
      </c>
      <c r="BG43" s="23"/>
      <c r="BH43" s="23"/>
      <c r="BI43" s="23">
        <v>1.4769</v>
      </c>
      <c r="BJ43" s="23">
        <v>1.4751</v>
      </c>
      <c r="BK43" s="23">
        <v>1.4622</v>
      </c>
      <c r="BL43" s="23">
        <v>1.4714</v>
      </c>
      <c r="BM43" s="23">
        <v>1.4981</v>
      </c>
      <c r="BN43" s="23"/>
      <c r="BO43" s="23"/>
      <c r="BP43" s="23">
        <v>1.4641</v>
      </c>
      <c r="BQ43" s="23">
        <v>1.4449</v>
      </c>
      <c r="BR43" s="23">
        <v>1.4469</v>
      </c>
      <c r="BS43" s="23">
        <v>1.4699</v>
      </c>
      <c r="BT43" s="23">
        <v>1.5064</v>
      </c>
      <c r="BU43" s="23"/>
      <c r="BV43" s="23"/>
      <c r="BW43" s="23">
        <v>1.5582</v>
      </c>
      <c r="BX43" s="23">
        <v>1.5814</v>
      </c>
      <c r="BY43" s="23">
        <v>1.5937</v>
      </c>
      <c r="BZ43" s="23">
        <v>1.5405</v>
      </c>
      <c r="CA43" s="23">
        <v>1.5653</v>
      </c>
      <c r="CB43" s="23"/>
      <c r="CC43" s="23"/>
      <c r="CD43" s="23">
        <v>1.5693</v>
      </c>
      <c r="CE43" s="23">
        <v>1.5674</v>
      </c>
      <c r="CF43" s="23">
        <v>1.5666</v>
      </c>
      <c r="CG43" s="23">
        <v>1.5478</v>
      </c>
      <c r="CH43" s="23">
        <v>1.5374</v>
      </c>
      <c r="CI43" s="23"/>
      <c r="CJ43" s="23"/>
      <c r="CK43" s="23">
        <v>1.5393</v>
      </c>
      <c r="CL43" s="23">
        <v>1.5218</v>
      </c>
      <c r="CM43" s="23">
        <v>1.5227</v>
      </c>
      <c r="CN43" s="23">
        <v>1.5165</v>
      </c>
      <c r="CO43" s="23">
        <v>1.5161</v>
      </c>
      <c r="CP43" s="23"/>
      <c r="CQ43" s="23"/>
      <c r="CR43" s="23">
        <v>1.5176</v>
      </c>
      <c r="CS43" s="23">
        <v>1.5354</v>
      </c>
      <c r="CT43" s="23">
        <v>1.5451</v>
      </c>
      <c r="CU43" s="23">
        <v>1.5025</v>
      </c>
      <c r="CV43" s="23"/>
      <c r="CW43" s="23"/>
      <c r="CX43" s="23"/>
      <c r="CY43" s="23">
        <v>1.4506</v>
      </c>
      <c r="CZ43" s="23">
        <v>1.4506</v>
      </c>
      <c r="DA43" s="23">
        <v>1.4559</v>
      </c>
      <c r="DB43" s="23">
        <v>1.4323</v>
      </c>
      <c r="DC43" s="23">
        <v>1.3977</v>
      </c>
      <c r="DD43" s="23"/>
      <c r="DE43" s="23"/>
      <c r="DF43" s="23">
        <v>1.4028</v>
      </c>
      <c r="DG43" s="23">
        <v>1.407</v>
      </c>
      <c r="DH43" s="23">
        <v>1.4174</v>
      </c>
      <c r="DI43" s="23">
        <v>1.4194</v>
      </c>
      <c r="DJ43" s="23">
        <v>1.4379</v>
      </c>
      <c r="DK43" s="23"/>
      <c r="DL43" s="23"/>
      <c r="DM43" s="23">
        <v>1.4431</v>
      </c>
      <c r="DN43" s="23">
        <v>1.4399</v>
      </c>
      <c r="DO43" s="23">
        <v>1.4494</v>
      </c>
      <c r="DP43" s="23">
        <v>1.4449</v>
      </c>
      <c r="DQ43" s="23">
        <v>1.4552</v>
      </c>
      <c r="DR43" s="23"/>
      <c r="DS43" s="23">
        <v>1.4637</v>
      </c>
      <c r="DT43" s="23">
        <v>1.4596</v>
      </c>
      <c r="DU43" s="23">
        <v>1.4589</v>
      </c>
      <c r="DV43" s="23">
        <v>1.4553</v>
      </c>
      <c r="DW43" s="23"/>
      <c r="DX43" s="23"/>
      <c r="DY43" s="23"/>
      <c r="DZ43" s="23"/>
      <c r="EA43" s="23"/>
      <c r="EB43" s="23">
        <v>1.4607</v>
      </c>
      <c r="EC43" s="23">
        <v>1.4462</v>
      </c>
      <c r="ED43" s="23">
        <v>1.4155</v>
      </c>
      <c r="EE43" s="23">
        <v>1.4043</v>
      </c>
      <c r="EF43" s="23"/>
      <c r="EG43" s="23"/>
      <c r="EH43" s="23">
        <v>1.4076</v>
      </c>
      <c r="EI43" s="23">
        <v>1.4296</v>
      </c>
      <c r="EJ43" s="23">
        <v>1.4177</v>
      </c>
      <c r="EK43" s="23">
        <v>1.4289</v>
      </c>
      <c r="EL43" s="23">
        <v>1.4489</v>
      </c>
      <c r="EM43" s="23"/>
      <c r="EN43" s="23"/>
      <c r="EO43" s="23">
        <v>1.4453</v>
      </c>
      <c r="EP43" s="23">
        <v>1.4377</v>
      </c>
      <c r="EQ43" s="23">
        <v>1.4489</v>
      </c>
      <c r="ER43" s="23">
        <v>1.4417</v>
      </c>
      <c r="ES43" s="23">
        <v>1.4519</v>
      </c>
      <c r="ET43" s="23"/>
      <c r="EU43" s="23"/>
      <c r="EV43" s="23">
        <v>1.4511</v>
      </c>
      <c r="EW43" s="23">
        <v>1.4516</v>
      </c>
      <c r="EX43" s="23">
        <v>1.4678</v>
      </c>
      <c r="EY43" s="23">
        <v>1.4766</v>
      </c>
      <c r="EZ43" s="23">
        <v>1.4669</v>
      </c>
      <c r="FA43" s="23"/>
      <c r="FB43" s="23"/>
      <c r="FC43" s="23"/>
      <c r="FD43" s="23">
        <v>1.464</v>
      </c>
      <c r="FE43" s="23">
        <v>1.4605</v>
      </c>
      <c r="FF43" s="23">
        <v>1.4355</v>
      </c>
      <c r="FG43" s="23">
        <v>1.4156</v>
      </c>
      <c r="FH43" s="23"/>
      <c r="FI43" s="23"/>
      <c r="FJ43" s="23">
        <v>1.4119</v>
      </c>
      <c r="FK43" s="23">
        <v>1.4085</v>
      </c>
      <c r="FL43" s="23">
        <v>1.4069</v>
      </c>
      <c r="FM43" s="23">
        <v>1.4072</v>
      </c>
      <c r="FN43" s="23">
        <v>1.4075</v>
      </c>
      <c r="FO43" s="23"/>
      <c r="FP43" s="23"/>
      <c r="FQ43" s="23">
        <v>1.3997</v>
      </c>
      <c r="FR43" s="23">
        <v>1.3951</v>
      </c>
      <c r="FS43" s="23">
        <v>1.3749</v>
      </c>
      <c r="FT43" s="23">
        <v>1.362</v>
      </c>
      <c r="FU43" s="23">
        <v>1.3646</v>
      </c>
      <c r="FV43" s="23"/>
      <c r="FW43" s="23"/>
      <c r="FX43" s="23">
        <v>1.3554</v>
      </c>
      <c r="FY43" s="23">
        <v>1.3614</v>
      </c>
      <c r="FZ43" s="23">
        <v>1.3628</v>
      </c>
      <c r="GA43" s="23">
        <v>1.3637</v>
      </c>
      <c r="GB43" s="23">
        <v>1.3577</v>
      </c>
      <c r="GC43" s="23"/>
      <c r="GD43" s="23"/>
      <c r="GE43" s="23">
        <v>1.3469</v>
      </c>
      <c r="GF43" s="23">
        <v>1.3427</v>
      </c>
      <c r="GG43" s="23">
        <v>1.3403</v>
      </c>
      <c r="GH43" s="23">
        <v>1.3404</v>
      </c>
      <c r="GI43" s="23">
        <v>1.3377</v>
      </c>
      <c r="GJ43" s="23"/>
      <c r="GK43" s="23"/>
      <c r="GL43" s="23">
        <v>1.3381</v>
      </c>
      <c r="GM43" s="23">
        <v>1.348</v>
      </c>
      <c r="GN43" s="23">
        <v>1.3638</v>
      </c>
      <c r="GO43" s="23">
        <v>1.3714</v>
      </c>
      <c r="GP43" s="23">
        <v>1.3834</v>
      </c>
      <c r="GQ43" s="23"/>
      <c r="GR43" s="23"/>
      <c r="GS43" s="23">
        <v>1.3757</v>
      </c>
      <c r="GT43" s="23">
        <v>1.3662</v>
      </c>
      <c r="GU43" s="23">
        <v>1.3623</v>
      </c>
      <c r="GV43" s="23">
        <v>1.3592</v>
      </c>
      <c r="GW43" s="23">
        <v>1.3548</v>
      </c>
      <c r="GX43" s="23"/>
      <c r="GY43" s="23"/>
      <c r="GZ43" s="23">
        <v>1.3598</v>
      </c>
      <c r="HA43" s="23">
        <v>1.3514</v>
      </c>
      <c r="HB43" s="23">
        <v>1.3732</v>
      </c>
      <c r="HC43" s="23">
        <v>1.3891</v>
      </c>
      <c r="HD43" s="23">
        <v>1.412</v>
      </c>
      <c r="HE43" s="23"/>
      <c r="HF43" s="23"/>
      <c r="HG43" s="23">
        <v>1.3805</v>
      </c>
      <c r="HH43" s="23">
        <v>1.3788</v>
      </c>
      <c r="HI43" s="23">
        <v>1.4059</v>
      </c>
      <c r="HJ43" s="23">
        <v>1.3808</v>
      </c>
      <c r="HK43" s="23">
        <v>1.3816</v>
      </c>
      <c r="HL43" s="23"/>
      <c r="HM43" s="23"/>
      <c r="HN43" s="23">
        <v>1.3592</v>
      </c>
      <c r="HO43" s="23">
        <v>1.3767</v>
      </c>
      <c r="HP43" s="23">
        <v>1.3693</v>
      </c>
      <c r="HQ43" s="23">
        <v>1.364</v>
      </c>
      <c r="HR43" s="23">
        <v>1.3606</v>
      </c>
      <c r="HS43" s="23"/>
      <c r="HT43" s="23"/>
      <c r="HU43" s="23">
        <v>1.356</v>
      </c>
      <c r="HV43" s="23">
        <v>1.3626</v>
      </c>
      <c r="HW43" s="23">
        <v>1.3762</v>
      </c>
      <c r="HX43" s="23">
        <v>1.3677</v>
      </c>
      <c r="HY43" s="23">
        <v>1.3697</v>
      </c>
      <c r="HZ43" s="23"/>
      <c r="IA43" s="23"/>
      <c r="IB43" s="23">
        <v>1.3751</v>
      </c>
      <c r="IC43" s="23">
        <v>1.4016</v>
      </c>
      <c r="ID43" s="23">
        <v>1.3845</v>
      </c>
      <c r="IE43" s="23">
        <v>1.3895</v>
      </c>
      <c r="IF43" s="23">
        <v>1.3905</v>
      </c>
      <c r="IG43" s="23"/>
      <c r="IH43" s="23"/>
      <c r="II43" s="23">
        <v>1.3749</v>
      </c>
      <c r="IJ43" s="23">
        <v>1.3613</v>
      </c>
      <c r="IK43" s="23">
        <v>1.3612</v>
      </c>
      <c r="IL43" s="23">
        <v>1.3656</v>
      </c>
      <c r="IM43" s="23">
        <v>1.3709</v>
      </c>
      <c r="IN43" s="23"/>
      <c r="IO43" s="23"/>
      <c r="IP43" s="31">
        <v>1.3681</v>
      </c>
      <c r="IQ43" s="31">
        <v>1.3659</v>
      </c>
      <c r="IR43" s="31">
        <v>1.3661</v>
      </c>
      <c r="IS43" s="31">
        <v>1.3671</v>
      </c>
      <c r="IT43" s="31">
        <v>1.3826</v>
      </c>
      <c r="IU43" s="31"/>
      <c r="IV43" s="31"/>
      <c r="IW43" s="31">
        <v>1.3995</v>
      </c>
      <c r="IX43" s="31">
        <v>1.397</v>
      </c>
      <c r="IY43" s="31">
        <v>1.4019</v>
      </c>
      <c r="IZ43" s="31">
        <v>1.4126</v>
      </c>
      <c r="JA43" s="31">
        <v>1.3986</v>
      </c>
      <c r="JB43" s="31"/>
      <c r="JC43" s="31"/>
      <c r="JD43" s="31">
        <v>1.4014</v>
      </c>
      <c r="JE43" s="31">
        <v>1.4002</v>
      </c>
      <c r="JF43" s="31">
        <v>1.3984</v>
      </c>
      <c r="JG43" s="31">
        <v>1.3924</v>
      </c>
      <c r="JH43" s="31">
        <v>1.3888</v>
      </c>
      <c r="JI43" s="31"/>
      <c r="JJ43" s="31"/>
      <c r="JK43" s="31">
        <v>1.3875</v>
      </c>
      <c r="JL43" s="31">
        <v>1.3945</v>
      </c>
      <c r="JM43" s="31">
        <v>1.3911</v>
      </c>
      <c r="JN43" s="31">
        <v>1.4051</v>
      </c>
      <c r="JO43" s="31">
        <v>1.3918</v>
      </c>
      <c r="JP43" s="31"/>
      <c r="JQ43" s="31">
        <v>1.3933</v>
      </c>
      <c r="JR43" s="31">
        <v>1.4005</v>
      </c>
      <c r="JS43" s="31">
        <v>1.3928</v>
      </c>
      <c r="JT43" s="31"/>
      <c r="JU43" s="31"/>
      <c r="JV43" s="31"/>
      <c r="JW43" s="31"/>
      <c r="JX43" s="31"/>
      <c r="JY43" s="31"/>
      <c r="JZ43" s="23"/>
      <c r="KA43" s="23"/>
      <c r="KB43" s="23">
        <v>1.3825</v>
      </c>
      <c r="KC43" s="23">
        <v>1.3799</v>
      </c>
      <c r="KD43" s="23">
        <v>1.3848</v>
      </c>
      <c r="KE43" s="23"/>
      <c r="KF43" s="23">
        <v>1.3871</v>
      </c>
      <c r="KG43" s="23">
        <v>1.3976</v>
      </c>
      <c r="KH43" s="23">
        <v>1.4159</v>
      </c>
      <c r="KI43" s="23">
        <v>1.4217</v>
      </c>
      <c r="KJ43" s="23">
        <v>1.4126</v>
      </c>
      <c r="KK43" s="23"/>
      <c r="KL43" s="23"/>
      <c r="KM43" s="23">
        <v>1.4159</v>
      </c>
      <c r="KN43" s="23">
        <v>1.4211</v>
      </c>
      <c r="KO43" s="23">
        <v>1.4165</v>
      </c>
      <c r="KP43" s="23">
        <v>1.4149</v>
      </c>
      <c r="KQ43" s="23">
        <v>1.4152</v>
      </c>
      <c r="KR43" s="23"/>
      <c r="KS43" s="23"/>
      <c r="KT43" s="23">
        <v>1.3944</v>
      </c>
      <c r="KU43" s="23">
        <v>1.3822</v>
      </c>
      <c r="KV43" s="23">
        <v>1.3348</v>
      </c>
      <c r="KW43" s="23">
        <v>1.3347</v>
      </c>
      <c r="KX43" s="23">
        <v>1.3313</v>
      </c>
      <c r="KY43" s="23"/>
      <c r="KZ43" s="23"/>
      <c r="LA43" s="23">
        <v>1.3446</v>
      </c>
      <c r="LB43" s="23">
        <v>1.3553</v>
      </c>
      <c r="LC43" s="23">
        <v>1.3581</v>
      </c>
      <c r="LD43" s="23">
        <v>1.3571</v>
      </c>
      <c r="LE43" s="23">
        <v>1.3567</v>
      </c>
      <c r="LF43" s="23"/>
      <c r="LG43" s="23"/>
      <c r="LH43" s="23">
        <v>1.3582</v>
      </c>
      <c r="LI43" s="23">
        <v>1.3489</v>
      </c>
      <c r="LJ43" s="23">
        <v>1.3444</v>
      </c>
      <c r="LK43" s="23">
        <v>1.342</v>
      </c>
      <c r="LL43" s="23">
        <v>1.3427</v>
      </c>
      <c r="LM43" s="23"/>
      <c r="LN43" s="23"/>
      <c r="LO43" s="23">
        <v>1.3457</v>
      </c>
      <c r="LP43" s="23">
        <v>1.3431</v>
      </c>
      <c r="LQ43" s="23">
        <v>1.344</v>
      </c>
      <c r="LR43" s="23">
        <v>1.342</v>
      </c>
      <c r="LS43" s="23">
        <v>1.342</v>
      </c>
      <c r="LT43" s="23"/>
      <c r="LU43" s="23"/>
      <c r="LV43" s="23">
        <v>1.3408</v>
      </c>
      <c r="LW43" s="23">
        <v>1.3461</v>
      </c>
      <c r="LX43" s="23">
        <v>1.3476</v>
      </c>
      <c r="LY43" s="23">
        <v>1.3557</v>
      </c>
      <c r="LZ43" s="23">
        <v>1.3538</v>
      </c>
      <c r="MA43" s="23"/>
      <c r="MB43" s="23"/>
      <c r="MC43" s="23">
        <v>1.3513</v>
      </c>
      <c r="MD43" s="23">
        <v>1.3508</v>
      </c>
      <c r="ME43" s="23">
        <v>1.3457</v>
      </c>
      <c r="MF43" s="23">
        <v>1.3405</v>
      </c>
      <c r="MG43" s="23">
        <v>1.3393</v>
      </c>
      <c r="MH43" s="23"/>
      <c r="MI43" s="23"/>
      <c r="MJ43" s="23">
        <v>1.3404</v>
      </c>
      <c r="MK43" s="23">
        <v>1.3369</v>
      </c>
      <c r="ML43" s="23">
        <v>1.3334</v>
      </c>
      <c r="MM43" s="23">
        <v>1.3247</v>
      </c>
      <c r="MN43" s="23">
        <v>1.3906</v>
      </c>
      <c r="MO43" s="23"/>
      <c r="MP43" s="23"/>
      <c r="MQ43" s="23">
        <v>1.3862</v>
      </c>
      <c r="MR43" s="23">
        <v>1.3857</v>
      </c>
      <c r="MS43" s="23">
        <v>1.3827</v>
      </c>
      <c r="MT43" s="23">
        <v>1.3771</v>
      </c>
      <c r="MU43" s="23">
        <v>1.3608</v>
      </c>
      <c r="MV43" s="23"/>
      <c r="MW43" s="23"/>
      <c r="MX43" s="23">
        <v>1.359</v>
      </c>
      <c r="MY43" s="23">
        <v>1.3481</v>
      </c>
      <c r="MZ43" s="23">
        <v>1.3404</v>
      </c>
      <c r="NA43" s="23">
        <v>1.3225</v>
      </c>
      <c r="NB43" s="23">
        <v>1.2881</v>
      </c>
      <c r="NC43" s="23"/>
      <c r="ND43" s="23"/>
      <c r="NE43" s="23">
        <v>1.3183</v>
      </c>
      <c r="NF43" s="23">
        <v>1.3415</v>
      </c>
      <c r="NG43" s="23">
        <v>1.3418</v>
      </c>
      <c r="NH43" s="23"/>
      <c r="NI43" s="23"/>
      <c r="NJ43" s="23"/>
      <c r="NK43" s="23">
        <v>1.3381</v>
      </c>
      <c r="NL43" s="23">
        <v>1.3457</v>
      </c>
      <c r="NM43" s="23">
        <v>1.3516</v>
      </c>
      <c r="NN43" s="23">
        <v>1.3589</v>
      </c>
      <c r="NO43" s="23">
        <v>1.3417</v>
      </c>
      <c r="NP43" s="23">
        <v>1.315</v>
      </c>
      <c r="NQ43" s="23"/>
      <c r="NR43" s="23"/>
      <c r="NS43" s="23">
        <v>1.2899</v>
      </c>
      <c r="NT43" s="23">
        <v>1.2845</v>
      </c>
      <c r="NU43" s="23">
        <v>1.2891</v>
      </c>
      <c r="NV43" s="23">
        <v>1.2799</v>
      </c>
      <c r="NW43" s="23">
        <v>1.2761</v>
      </c>
      <c r="NX43" s="23"/>
      <c r="NY43" s="23"/>
      <c r="NZ43" s="23">
        <v>1.2603</v>
      </c>
      <c r="OA43" s="23">
        <v>1.2315</v>
      </c>
      <c r="OB43" s="23">
        <v>1.2379</v>
      </c>
      <c r="OC43" s="23">
        <v>1.2402</v>
      </c>
      <c r="OD43" s="23">
        <v>1.2383</v>
      </c>
      <c r="OE43" s="23"/>
      <c r="OF43" s="23"/>
      <c r="OG43" s="23">
        <v>1.2497</v>
      </c>
      <c r="OH43" s="23">
        <v>1.2512</v>
      </c>
      <c r="OI43" s="23">
        <v>1.2604</v>
      </c>
      <c r="OJ43" s="23">
        <v>1.2559</v>
      </c>
      <c r="OK43" s="23">
        <v>1.2541</v>
      </c>
      <c r="OL43" s="23"/>
      <c r="OM43" s="23"/>
      <c r="ON43" s="23">
        <v>1.3101</v>
      </c>
      <c r="OO43" s="23">
        <v>1.3018</v>
      </c>
      <c r="OP43" s="23">
        <v>1.2996</v>
      </c>
      <c r="OQ43" s="23">
        <v>1.3113</v>
      </c>
      <c r="OR43" s="23">
        <v>1.2999</v>
      </c>
      <c r="OS43" s="23"/>
      <c r="OT43" s="23"/>
      <c r="OU43" s="23">
        <v>1.3133</v>
      </c>
      <c r="OV43" s="23">
        <v>1.3052</v>
      </c>
      <c r="OW43" s="23">
        <v>1.3034</v>
      </c>
      <c r="OX43" s="23">
        <v>1.3081</v>
      </c>
      <c r="OY43" s="23">
        <v>1.3173</v>
      </c>
      <c r="OZ43" s="23">
        <v>1.3098</v>
      </c>
      <c r="PA43" s="23"/>
      <c r="PB43" s="23"/>
      <c r="PC43" s="23"/>
      <c r="PD43" s="23"/>
      <c r="PE43" s="23"/>
      <c r="PF43" s="23"/>
      <c r="PG43" s="23"/>
      <c r="PH43" s="23"/>
      <c r="PI43" s="23"/>
      <c r="PJ43" s="23">
        <v>1.3007</v>
      </c>
      <c r="PK43" s="23">
        <v>1.3091</v>
      </c>
      <c r="PL43" s="23">
        <v>1.3134</v>
      </c>
      <c r="PM43" s="23">
        <v>1.3091</v>
      </c>
      <c r="PN43" s="23">
        <v>1.3084</v>
      </c>
      <c r="PO43" s="23"/>
      <c r="PP43" s="23">
        <v>1.2965</v>
      </c>
      <c r="PQ43" s="23">
        <v>1.2853</v>
      </c>
      <c r="PR43" s="23">
        <v>1.2748</v>
      </c>
      <c r="PS43" s="23">
        <v>1.2753</v>
      </c>
      <c r="PT43" s="23">
        <v>1.2723</v>
      </c>
      <c r="PU43" s="23"/>
      <c r="PV43" s="23"/>
      <c r="PW43" s="23">
        <v>1.2715</v>
      </c>
      <c r="PX43" s="23">
        <v>1.2727</v>
      </c>
      <c r="PY43" s="23">
        <v>1.2686</v>
      </c>
      <c r="PZ43" s="23">
        <v>1.2546</v>
      </c>
      <c r="QA43" s="23">
        <v>1.2565</v>
      </c>
      <c r="QB43" s="23"/>
      <c r="QC43" s="23"/>
      <c r="QD43" s="23">
        <v>1.259</v>
      </c>
      <c r="QE43" s="23">
        <v>1.2609</v>
      </c>
      <c r="QF43" s="23">
        <v>1.2524</v>
      </c>
      <c r="QG43" s="23">
        <v>1.2489</v>
      </c>
      <c r="QH43" s="23">
        <v>1.2437</v>
      </c>
      <c r="QI43" s="23"/>
      <c r="QJ43" s="23"/>
      <c r="QK43" s="23">
        <v>1.2456</v>
      </c>
      <c r="QL43" s="23">
        <v>1.2561</v>
      </c>
      <c r="QM43" s="23">
        <v>1.2525</v>
      </c>
      <c r="QN43" s="23">
        <v>1.251</v>
      </c>
      <c r="QO43" s="23">
        <v>1.2434</v>
      </c>
      <c r="QP43" s="23"/>
      <c r="QQ43" s="23"/>
      <c r="QR43" s="23">
        <v>1.211</v>
      </c>
      <c r="QS43" s="23">
        <v>1.2078</v>
      </c>
      <c r="QT43" s="23">
        <v>1.2285</v>
      </c>
      <c r="QU43" s="23">
        <v>1.234</v>
      </c>
      <c r="QV43" s="23">
        <v>1.2263</v>
      </c>
      <c r="QW43" s="23"/>
      <c r="QX43" s="23"/>
      <c r="QY43" s="23"/>
      <c r="QZ43" s="23">
        <v>1.2148</v>
      </c>
      <c r="RA43" s="23">
        <v>1.2166</v>
      </c>
      <c r="RB43" s="23">
        <v>1.2137</v>
      </c>
      <c r="RC43" s="23">
        <v>1.2158</v>
      </c>
      <c r="RD43" s="23"/>
      <c r="RE43" s="23"/>
      <c r="RF43" s="23">
        <v>1.2084</v>
      </c>
      <c r="RG43" s="23">
        <v>1.2022</v>
      </c>
      <c r="RH43" s="23">
        <v>1.1858</v>
      </c>
      <c r="RI43" s="23">
        <v>1.1718</v>
      </c>
      <c r="RJ43" s="23">
        <v>1.1814</v>
      </c>
      <c r="RK43" s="23"/>
      <c r="RL43" s="23"/>
      <c r="RM43" s="23">
        <v>1.1707</v>
      </c>
      <c r="RN43" s="23">
        <v>1.1574</v>
      </c>
      <c r="RO43" s="23">
        <v>1.1522</v>
      </c>
      <c r="RP43" s="23">
        <v>1.1555</v>
      </c>
      <c r="RQ43" s="23">
        <v>1.1494</v>
      </c>
      <c r="RR43" s="23"/>
      <c r="RS43" s="23"/>
      <c r="RT43" s="23">
        <v>1.1543</v>
      </c>
      <c r="RU43" s="23">
        <v>1.1642</v>
      </c>
      <c r="RV43" s="23">
        <v>1.1663</v>
      </c>
      <c r="RW43" s="23">
        <v>1.1573</v>
      </c>
      <c r="RX43" s="23"/>
      <c r="RY43" s="23"/>
      <c r="RZ43" s="23"/>
      <c r="SA43" s="23"/>
      <c r="SB43" s="23"/>
      <c r="SC43" s="23">
        <v>1.1673</v>
      </c>
      <c r="SD43" s="23">
        <v>1.1783</v>
      </c>
      <c r="SE43" s="23">
        <v>1.1801</v>
      </c>
      <c r="SF43" s="23">
        <v>1.1898</v>
      </c>
      <c r="SG43" s="23"/>
      <c r="SH43" s="23">
        <v>1.1866</v>
      </c>
      <c r="SI43" s="23">
        <v>1.1874</v>
      </c>
      <c r="SJ43" s="23">
        <v>1.1918</v>
      </c>
      <c r="SK43" s="23">
        <v>1.2004</v>
      </c>
      <c r="SL43" s="23">
        <v>1.1993</v>
      </c>
      <c r="SM43" s="23"/>
      <c r="SN43" s="23"/>
      <c r="SO43" s="23">
        <v>1.199</v>
      </c>
      <c r="SP43" s="23">
        <v>1.1857</v>
      </c>
      <c r="SQ43" s="23">
        <v>1.1698</v>
      </c>
      <c r="SR43" s="23">
        <v>1.1666</v>
      </c>
      <c r="SS43" s="23">
        <v>1.1706</v>
      </c>
      <c r="ST43" s="23"/>
      <c r="SU43" s="23"/>
      <c r="SV43" s="23">
        <v>1.1726</v>
      </c>
      <c r="SW43" s="23">
        <v>1.1709</v>
      </c>
      <c r="SX43" s="23">
        <v>1.1658</v>
      </c>
      <c r="SY43" s="23">
        <v>1.1497</v>
      </c>
      <c r="SZ43" s="23">
        <v>1.1501</v>
      </c>
      <c r="TA43" s="23"/>
      <c r="TB43" s="23"/>
      <c r="TC43" s="23">
        <v>1.1387</v>
      </c>
      <c r="TD43" s="23">
        <v>1.1364</v>
      </c>
      <c r="TE43" s="23">
        <v>1.1293</v>
      </c>
      <c r="TF43" s="23">
        <v>1.1307</v>
      </c>
      <c r="TG43" s="23">
        <v>1.1356</v>
      </c>
      <c r="TH43" s="23"/>
      <c r="TI43" s="23"/>
      <c r="TJ43" s="23">
        <v>1.1421</v>
      </c>
      <c r="TK43" s="23">
        <v>1.1365</v>
      </c>
      <c r="TL43" s="23">
        <v>1.1483</v>
      </c>
      <c r="TM43" s="23">
        <v>1.1481</v>
      </c>
      <c r="TN43" s="23">
        <v>1.158</v>
      </c>
      <c r="TO43" s="23"/>
      <c r="TP43" s="23"/>
      <c r="TQ43" s="23">
        <v>1.1654</v>
      </c>
      <c r="TR43" s="23">
        <v>1.1754</v>
      </c>
      <c r="TS43" s="23">
        <v>1.1644</v>
      </c>
      <c r="TT43" s="23">
        <v>1.1453</v>
      </c>
      <c r="TU43" s="23"/>
      <c r="TV43" s="23"/>
      <c r="TW43" s="23"/>
      <c r="TX43" s="23">
        <v>1.1382</v>
      </c>
      <c r="TY43" s="23">
        <v>1.1367</v>
      </c>
      <c r="TZ43" s="23">
        <v>1.1328</v>
      </c>
      <c r="UA43" s="23">
        <v>1.1141</v>
      </c>
      <c r="UB43" s="23">
        <v>1.1089</v>
      </c>
      <c r="UC43" s="23"/>
      <c r="UD43" s="23"/>
      <c r="UE43" s="23">
        <v>1.1049</v>
      </c>
      <c r="UF43" s="23">
        <v>1.0999</v>
      </c>
      <c r="UG43" s="23">
        <v>1.1319</v>
      </c>
      <c r="UH43" s="23">
        <v>1.1336</v>
      </c>
      <c r="UI43" s="23">
        <v>1.1365</v>
      </c>
      <c r="UJ43" s="23"/>
      <c r="UK43" s="23"/>
      <c r="UL43" s="23"/>
      <c r="UM43" s="23"/>
      <c r="UN43" s="23"/>
      <c r="UO43" s="23"/>
      <c r="UP43" s="23"/>
      <c r="UQ43" s="23"/>
      <c r="UR43" s="23"/>
      <c r="US43" s="23"/>
      <c r="UT43" s="23"/>
    </row>
    <row r="44" ht="16.5" customHeight="1" spans="4:566">
      <c r="D44" s="19" t="s">
        <v>58</v>
      </c>
      <c r="E44" s="21" t="s">
        <v>59</v>
      </c>
      <c r="F44" s="23"/>
      <c r="G44" s="23"/>
      <c r="H44" s="23">
        <v>1.1011</v>
      </c>
      <c r="I44" s="23">
        <v>1.0205</v>
      </c>
      <c r="J44" s="23"/>
      <c r="K44" s="23"/>
      <c r="L44" s="23">
        <v>1.0133</v>
      </c>
      <c r="M44" s="23">
        <v>1.0483</v>
      </c>
      <c r="N44" s="23">
        <v>1.0908</v>
      </c>
      <c r="O44" s="23">
        <v>1.1708</v>
      </c>
      <c r="P44" s="23">
        <v>1.2112</v>
      </c>
      <c r="Q44" s="23"/>
      <c r="R44" s="23"/>
      <c r="S44" s="23">
        <v>1.2516</v>
      </c>
      <c r="T44" s="23">
        <v>1.221</v>
      </c>
      <c r="U44" s="23">
        <v>1.2135</v>
      </c>
      <c r="V44" s="23">
        <v>1.2366</v>
      </c>
      <c r="W44" s="23">
        <v>1.2708</v>
      </c>
      <c r="X44" s="23"/>
      <c r="Y44" s="23"/>
      <c r="Z44" s="23">
        <v>1.2755</v>
      </c>
      <c r="AA44" s="23">
        <v>1.2506</v>
      </c>
      <c r="AB44" s="23">
        <v>1.2554</v>
      </c>
      <c r="AC44" s="23">
        <v>1.2804</v>
      </c>
      <c r="AD44" s="23">
        <v>1.3004</v>
      </c>
      <c r="AE44" s="23"/>
      <c r="AF44" s="23">
        <v>1.3154</v>
      </c>
      <c r="AG44" s="23">
        <v>1.2515</v>
      </c>
      <c r="AH44" s="23"/>
      <c r="AI44" s="23"/>
      <c r="AJ44" s="23"/>
      <c r="AK44" s="23"/>
      <c r="AL44" s="23"/>
      <c r="AM44" s="23"/>
      <c r="AN44" s="23"/>
      <c r="AO44" s="23"/>
      <c r="AP44" s="23">
        <v>1.2521</v>
      </c>
      <c r="AQ44" s="23">
        <v>1.2129</v>
      </c>
      <c r="AR44" s="23">
        <v>1.237</v>
      </c>
      <c r="AS44" s="23">
        <v>1.237</v>
      </c>
      <c r="AT44" s="23"/>
      <c r="AU44" s="23">
        <v>1.2721</v>
      </c>
      <c r="AV44" s="23">
        <v>1.2736</v>
      </c>
      <c r="AW44" s="23">
        <v>1.2758</v>
      </c>
      <c r="AX44" s="23">
        <v>1.3023</v>
      </c>
      <c r="AY44" s="23">
        <v>1.3606</v>
      </c>
      <c r="AZ44" s="23"/>
      <c r="BA44" s="23"/>
      <c r="BB44" s="23">
        <v>1.3854</v>
      </c>
      <c r="BC44" s="23">
        <v>1.3916</v>
      </c>
      <c r="BD44" s="23">
        <v>1.3676</v>
      </c>
      <c r="BE44" s="23">
        <v>1.4267</v>
      </c>
      <c r="BF44" s="23">
        <v>1.4706</v>
      </c>
      <c r="BG44" s="23"/>
      <c r="BH44" s="23"/>
      <c r="BI44" s="23">
        <v>1.4726</v>
      </c>
      <c r="BJ44" s="23">
        <v>1.4449</v>
      </c>
      <c r="BK44" s="23">
        <v>1.4239</v>
      </c>
      <c r="BL44" s="23">
        <v>1.4639</v>
      </c>
      <c r="BM44" s="23">
        <v>1.4253</v>
      </c>
      <c r="BN44" s="23"/>
      <c r="BO44" s="23"/>
      <c r="BP44" s="23">
        <v>1.3834</v>
      </c>
      <c r="BQ44" s="23">
        <v>1.4056</v>
      </c>
      <c r="BR44" s="23">
        <v>1.3995</v>
      </c>
      <c r="BS44" s="23">
        <v>1.447</v>
      </c>
      <c r="BT44" s="23">
        <v>1.507</v>
      </c>
      <c r="BU44" s="23"/>
      <c r="BV44" s="23"/>
      <c r="BW44" s="23">
        <v>1.5355</v>
      </c>
      <c r="BX44" s="23">
        <v>1.5975</v>
      </c>
      <c r="BY44" s="23">
        <v>1.5578</v>
      </c>
      <c r="BZ44" s="23">
        <v>1.5644</v>
      </c>
      <c r="CA44" s="23">
        <v>1.5474</v>
      </c>
      <c r="CB44" s="23"/>
      <c r="CC44" s="23"/>
      <c r="CD44" s="23">
        <v>1.5774</v>
      </c>
      <c r="CE44" s="23">
        <v>1.5374</v>
      </c>
      <c r="CF44" s="23">
        <v>1.6027</v>
      </c>
      <c r="CG44" s="23">
        <v>1.555</v>
      </c>
      <c r="CH44" s="23">
        <v>1.5804</v>
      </c>
      <c r="CI44" s="23"/>
      <c r="CJ44" s="23"/>
      <c r="CK44" s="23">
        <v>1.5863</v>
      </c>
      <c r="CL44" s="23">
        <v>1.5811</v>
      </c>
      <c r="CM44" s="23">
        <v>1.561</v>
      </c>
      <c r="CN44" s="23">
        <v>1.5508</v>
      </c>
      <c r="CO44" s="23">
        <v>1.5302</v>
      </c>
      <c r="CP44" s="23"/>
      <c r="CQ44" s="23"/>
      <c r="CR44" s="23">
        <v>1.5663</v>
      </c>
      <c r="CS44" s="23">
        <v>1.5791</v>
      </c>
      <c r="CT44" s="23">
        <v>1.5611</v>
      </c>
      <c r="CU44" s="23">
        <v>1.4853</v>
      </c>
      <c r="CV44" s="23"/>
      <c r="CW44" s="23"/>
      <c r="CX44" s="23"/>
      <c r="CY44" s="23">
        <v>1.4278</v>
      </c>
      <c r="CZ44" s="23">
        <v>1.4703</v>
      </c>
      <c r="DA44" s="23">
        <v>1.4328</v>
      </c>
      <c r="DB44" s="23">
        <v>1.4053</v>
      </c>
      <c r="DC44" s="23">
        <v>1.3979</v>
      </c>
      <c r="DD44" s="23"/>
      <c r="DE44" s="23"/>
      <c r="DF44" s="23">
        <v>1.4131</v>
      </c>
      <c r="DG44" s="23">
        <v>1.423</v>
      </c>
      <c r="DH44" s="23">
        <v>1.4261</v>
      </c>
      <c r="DI44" s="23">
        <v>1.4413</v>
      </c>
      <c r="DJ44" s="23">
        <v>1.4495</v>
      </c>
      <c r="DK44" s="23"/>
      <c r="DL44" s="23"/>
      <c r="DM44" s="23">
        <v>1.4618</v>
      </c>
      <c r="DN44" s="23">
        <v>1.4567</v>
      </c>
      <c r="DO44" s="23">
        <v>1.4725</v>
      </c>
      <c r="DP44" s="23">
        <v>1.4781</v>
      </c>
      <c r="DQ44" s="23">
        <v>1.4838</v>
      </c>
      <c r="DR44" s="23"/>
      <c r="DS44" s="23">
        <v>1.4788</v>
      </c>
      <c r="DT44" s="23">
        <v>1.483</v>
      </c>
      <c r="DU44" s="23">
        <v>1.4616</v>
      </c>
      <c r="DV44" s="23">
        <v>1.4507</v>
      </c>
      <c r="DW44" s="23"/>
      <c r="DX44" s="23"/>
      <c r="DY44" s="23"/>
      <c r="DZ44" s="23"/>
      <c r="EA44" s="23"/>
      <c r="EB44" s="23">
        <v>1.454</v>
      </c>
      <c r="EC44" s="23">
        <v>1.4415</v>
      </c>
      <c r="ED44" s="23">
        <v>1.4067</v>
      </c>
      <c r="EE44" s="23">
        <v>1.4296</v>
      </c>
      <c r="EF44" s="23"/>
      <c r="EG44" s="23"/>
      <c r="EH44" s="23">
        <v>1.4375</v>
      </c>
      <c r="EI44" s="23">
        <v>1.4167</v>
      </c>
      <c r="EJ44" s="23">
        <v>1.4356</v>
      </c>
      <c r="EK44" s="23">
        <v>1.454</v>
      </c>
      <c r="EL44" s="23">
        <v>1.4749</v>
      </c>
      <c r="EM44" s="23"/>
      <c r="EN44" s="23"/>
      <c r="EO44" s="23">
        <v>1.4645</v>
      </c>
      <c r="EP44" s="23">
        <v>1.4834</v>
      </c>
      <c r="EQ44" s="23">
        <v>1.4775</v>
      </c>
      <c r="ER44" s="23">
        <v>1.4801</v>
      </c>
      <c r="ES44" s="23">
        <v>1.4747</v>
      </c>
      <c r="ET44" s="23"/>
      <c r="EU44" s="23"/>
      <c r="EV44" s="23">
        <v>1.4676</v>
      </c>
      <c r="EW44" s="23">
        <v>1.4723</v>
      </c>
      <c r="EX44" s="23">
        <v>1.4755</v>
      </c>
      <c r="EY44" s="23">
        <v>1.4875</v>
      </c>
      <c r="EZ44" s="23">
        <v>1.4617</v>
      </c>
      <c r="FA44" s="23"/>
      <c r="FB44" s="23"/>
      <c r="FC44" s="23"/>
      <c r="FD44" s="23">
        <v>1.4831</v>
      </c>
      <c r="FE44" s="23">
        <v>1.462</v>
      </c>
      <c r="FF44" s="23">
        <v>1.4391</v>
      </c>
      <c r="FG44" s="23">
        <v>1.4257</v>
      </c>
      <c r="FH44" s="23"/>
      <c r="FI44" s="23"/>
      <c r="FJ44" s="23">
        <v>1.4286</v>
      </c>
      <c r="FK44" s="23">
        <v>1.4331</v>
      </c>
      <c r="FL44" s="23">
        <v>1.4186</v>
      </c>
      <c r="FM44" s="23">
        <v>1.4263</v>
      </c>
      <c r="FN44" s="23">
        <v>1.4132</v>
      </c>
      <c r="FO44" s="23"/>
      <c r="FP44" s="23"/>
      <c r="FQ44" s="23">
        <v>1.4032</v>
      </c>
      <c r="FR44" s="23">
        <v>1.3712</v>
      </c>
      <c r="FS44" s="23">
        <v>1.3701</v>
      </c>
      <c r="FT44" s="23">
        <v>1.3701</v>
      </c>
      <c r="FU44" s="23">
        <v>1.3662</v>
      </c>
      <c r="FV44" s="23"/>
      <c r="FW44" s="23"/>
      <c r="FX44" s="23">
        <v>1.3683</v>
      </c>
      <c r="FY44" s="23">
        <v>1.3733</v>
      </c>
      <c r="FZ44" s="23">
        <v>1.3728</v>
      </c>
      <c r="GA44" s="23">
        <v>1.3703</v>
      </c>
      <c r="GB44" s="23">
        <v>1.3605</v>
      </c>
      <c r="GC44" s="23"/>
      <c r="GD44" s="23"/>
      <c r="GE44" s="23">
        <v>1.3635</v>
      </c>
      <c r="GF44" s="23">
        <v>1.3663</v>
      </c>
      <c r="GG44" s="23">
        <v>1.3586</v>
      </c>
      <c r="GH44" s="23">
        <v>1.3611</v>
      </c>
      <c r="GI44" s="23">
        <v>1.3534</v>
      </c>
      <c r="GJ44" s="23"/>
      <c r="GK44" s="23"/>
      <c r="GL44" s="23">
        <v>1.3508</v>
      </c>
      <c r="GM44" s="23">
        <v>1.3633</v>
      </c>
      <c r="GN44" s="23">
        <v>1.3771</v>
      </c>
      <c r="GO44" s="23">
        <v>1.3965</v>
      </c>
      <c r="GP44" s="23">
        <v>1.3995</v>
      </c>
      <c r="GQ44" s="23"/>
      <c r="GR44" s="23"/>
      <c r="GS44" s="23">
        <v>1.4127</v>
      </c>
      <c r="GT44" s="23">
        <v>1.3921</v>
      </c>
      <c r="GU44" s="23">
        <v>1.3875</v>
      </c>
      <c r="GV44" s="23">
        <v>1.3851</v>
      </c>
      <c r="GW44" s="23">
        <v>1.3803</v>
      </c>
      <c r="GX44" s="23"/>
      <c r="GY44" s="23"/>
      <c r="GZ44" s="23">
        <v>1.3908</v>
      </c>
      <c r="HA44" s="23">
        <v>1.3934</v>
      </c>
      <c r="HB44" s="23">
        <v>1.4087</v>
      </c>
      <c r="HC44" s="23">
        <v>1.4556</v>
      </c>
      <c r="HD44" s="23">
        <v>1.4355</v>
      </c>
      <c r="HE44" s="23"/>
      <c r="HF44" s="23"/>
      <c r="HG44" s="23">
        <v>1.4155</v>
      </c>
      <c r="HH44" s="23">
        <v>1.4445</v>
      </c>
      <c r="HI44" s="23">
        <v>1.4289</v>
      </c>
      <c r="HJ44" s="23">
        <v>1.4195</v>
      </c>
      <c r="HK44" s="23">
        <v>1.4258</v>
      </c>
      <c r="HL44" s="23"/>
      <c r="HM44" s="23"/>
      <c r="HN44" s="23">
        <v>1.4253</v>
      </c>
      <c r="HO44" s="23">
        <v>1.4253</v>
      </c>
      <c r="HP44" s="23">
        <v>1.4154</v>
      </c>
      <c r="HQ44" s="23">
        <v>1.4054</v>
      </c>
      <c r="HR44" s="23">
        <v>1.3956</v>
      </c>
      <c r="HS44" s="23"/>
      <c r="HT44" s="23"/>
      <c r="HU44" s="23">
        <v>1.4061</v>
      </c>
      <c r="HV44" s="23">
        <v>1.4096</v>
      </c>
      <c r="HW44" s="23">
        <v>1.3996</v>
      </c>
      <c r="HX44" s="23">
        <v>1.4023</v>
      </c>
      <c r="HY44" s="23">
        <v>1.4021</v>
      </c>
      <c r="HZ44" s="23"/>
      <c r="IA44" s="23"/>
      <c r="IB44" s="23">
        <v>1.4342</v>
      </c>
      <c r="IC44" s="23">
        <v>1.4273</v>
      </c>
      <c r="ID44" s="23">
        <v>1.4398</v>
      </c>
      <c r="IE44" s="23">
        <v>1.4373</v>
      </c>
      <c r="IF44" s="23">
        <v>1.4341</v>
      </c>
      <c r="IG44" s="23"/>
      <c r="IH44" s="23"/>
      <c r="II44" s="23">
        <v>1.4194</v>
      </c>
      <c r="IJ44" s="23">
        <v>1.417</v>
      </c>
      <c r="IK44" s="23">
        <v>1.411</v>
      </c>
      <c r="IL44" s="23">
        <v>1.4184</v>
      </c>
      <c r="IM44" s="23">
        <v>1.4042</v>
      </c>
      <c r="IN44" s="23"/>
      <c r="IO44" s="23"/>
      <c r="IP44" s="31">
        <v>1.3994</v>
      </c>
      <c r="IQ44" s="31">
        <v>1.3994</v>
      </c>
      <c r="IR44" s="31">
        <v>1.385</v>
      </c>
      <c r="IS44" s="31">
        <v>1.4036</v>
      </c>
      <c r="IT44" s="31">
        <v>1.4081</v>
      </c>
      <c r="IU44" s="31"/>
      <c r="IV44" s="31"/>
      <c r="IW44" s="31">
        <v>1.4065</v>
      </c>
      <c r="IX44" s="31">
        <v>1.4205</v>
      </c>
      <c r="IY44" s="31">
        <v>1.4298</v>
      </c>
      <c r="IZ44" s="31">
        <v>1.4177</v>
      </c>
      <c r="JA44" s="31">
        <v>1.4295</v>
      </c>
      <c r="JB44" s="31"/>
      <c r="JC44" s="31"/>
      <c r="JD44" s="31">
        <v>1.4245</v>
      </c>
      <c r="JE44" s="31">
        <v>1.4095</v>
      </c>
      <c r="JF44" s="31">
        <v>1.4345</v>
      </c>
      <c r="JG44" s="31">
        <v>1.4806</v>
      </c>
      <c r="JH44" s="31">
        <v>1.4859</v>
      </c>
      <c r="JI44" s="31"/>
      <c r="JJ44" s="31"/>
      <c r="JK44" s="31">
        <v>1.4908</v>
      </c>
      <c r="JL44" s="31">
        <v>1.5015</v>
      </c>
      <c r="JM44" s="31">
        <v>1.5163</v>
      </c>
      <c r="JN44" s="31">
        <v>1.5211</v>
      </c>
      <c r="JO44" s="31">
        <v>1.5125</v>
      </c>
      <c r="JP44" s="31"/>
      <c r="JQ44" s="31">
        <v>1.5038</v>
      </c>
      <c r="JR44" s="31">
        <v>1.5081</v>
      </c>
      <c r="JS44" s="31">
        <v>1.4934</v>
      </c>
      <c r="JT44" s="31"/>
      <c r="JU44" s="31"/>
      <c r="JV44" s="31"/>
      <c r="JW44" s="31"/>
      <c r="JX44" s="31"/>
      <c r="JY44" s="31"/>
      <c r="JZ44" s="23"/>
      <c r="KA44" s="23"/>
      <c r="KB44" s="23">
        <v>1.4857</v>
      </c>
      <c r="KC44" s="23">
        <v>1.5016</v>
      </c>
      <c r="KD44" s="23">
        <v>1.4822</v>
      </c>
      <c r="KE44" s="23"/>
      <c r="KF44" s="23">
        <v>1.4922</v>
      </c>
      <c r="KG44" s="23">
        <v>1.494</v>
      </c>
      <c r="KH44" s="23">
        <v>1.4997</v>
      </c>
      <c r="KI44" s="23">
        <v>1.4981</v>
      </c>
      <c r="KJ44" s="23">
        <v>1.494</v>
      </c>
      <c r="KK44" s="23"/>
      <c r="KL44" s="23"/>
      <c r="KM44" s="23">
        <v>1.5014</v>
      </c>
      <c r="KN44" s="23">
        <v>1.4961</v>
      </c>
      <c r="KO44" s="23">
        <v>1.5011</v>
      </c>
      <c r="KP44" s="23">
        <v>1.4961</v>
      </c>
      <c r="KQ44" s="23">
        <v>1.4923</v>
      </c>
      <c r="KR44" s="23"/>
      <c r="KS44" s="23"/>
      <c r="KT44" s="23">
        <v>1.4814</v>
      </c>
      <c r="KU44" s="23">
        <v>1.4408</v>
      </c>
      <c r="KV44" s="23">
        <v>1.4063</v>
      </c>
      <c r="KW44" s="23">
        <v>1.4067</v>
      </c>
      <c r="KX44" s="23">
        <v>1.4022</v>
      </c>
      <c r="KY44" s="23"/>
      <c r="KZ44" s="23"/>
      <c r="LA44" s="23">
        <v>1.4143</v>
      </c>
      <c r="LB44" s="23">
        <v>1.4233</v>
      </c>
      <c r="LC44" s="23">
        <v>1.431</v>
      </c>
      <c r="LD44" s="23">
        <v>1.4342</v>
      </c>
      <c r="LE44" s="23">
        <v>1.4337</v>
      </c>
      <c r="LF44" s="23"/>
      <c r="LG44" s="23"/>
      <c r="LH44" s="23">
        <v>1.4322</v>
      </c>
      <c r="LI44" s="23">
        <v>1.433</v>
      </c>
      <c r="LJ44" s="23">
        <v>1.4319</v>
      </c>
      <c r="LK44" s="23">
        <v>1.428</v>
      </c>
      <c r="LL44" s="23">
        <v>1.4312</v>
      </c>
      <c r="LM44" s="23"/>
      <c r="LN44" s="23"/>
      <c r="LO44" s="23">
        <v>1.4312</v>
      </c>
      <c r="LP44" s="23">
        <v>1.4311</v>
      </c>
      <c r="LQ44" s="23">
        <v>1.4299</v>
      </c>
      <c r="LR44" s="23">
        <v>1.4291</v>
      </c>
      <c r="LS44" s="23">
        <v>1.4303</v>
      </c>
      <c r="LT44" s="23"/>
      <c r="LU44" s="23"/>
      <c r="LV44" s="23">
        <v>1.4313</v>
      </c>
      <c r="LW44" s="23">
        <v>1.43</v>
      </c>
      <c r="LX44" s="23">
        <v>1.4342</v>
      </c>
      <c r="LY44" s="23">
        <v>1.4317</v>
      </c>
      <c r="LZ44" s="23">
        <v>1.4183</v>
      </c>
      <c r="MA44" s="23"/>
      <c r="MB44" s="23"/>
      <c r="MC44" s="23">
        <v>1.4162</v>
      </c>
      <c r="MD44" s="23">
        <v>1.4166</v>
      </c>
      <c r="ME44" s="23">
        <v>1.4137</v>
      </c>
      <c r="MF44" s="23">
        <v>1.4054</v>
      </c>
      <c r="MG44" s="23">
        <v>1.4036</v>
      </c>
      <c r="MH44" s="23"/>
      <c r="MI44" s="23"/>
      <c r="MJ44" s="23">
        <v>1.4034</v>
      </c>
      <c r="MK44" s="23">
        <v>1.3987</v>
      </c>
      <c r="ML44" s="23">
        <v>1.3886</v>
      </c>
      <c r="MM44" s="23">
        <v>1.3919</v>
      </c>
      <c r="MN44" s="23">
        <v>1.3951</v>
      </c>
      <c r="MO44" s="23"/>
      <c r="MP44" s="23"/>
      <c r="MQ44" s="23">
        <v>1.3986</v>
      </c>
      <c r="MR44" s="23">
        <v>1.4036</v>
      </c>
      <c r="MS44" s="23">
        <v>1.4001</v>
      </c>
      <c r="MT44" s="23">
        <v>1.3876</v>
      </c>
      <c r="MU44" s="23">
        <v>1.3752</v>
      </c>
      <c r="MV44" s="23"/>
      <c r="MW44" s="23"/>
      <c r="MX44" s="23">
        <v>1.3652</v>
      </c>
      <c r="MY44" s="23">
        <v>1.3502</v>
      </c>
      <c r="MZ44" s="23">
        <v>1.3401</v>
      </c>
      <c r="NA44" s="23">
        <v>1.3358</v>
      </c>
      <c r="NB44" s="23">
        <v>1.3378</v>
      </c>
      <c r="NC44" s="23"/>
      <c r="ND44" s="23"/>
      <c r="NE44" s="23">
        <v>1.3438</v>
      </c>
      <c r="NF44" s="23">
        <v>1.3555</v>
      </c>
      <c r="NG44" s="23">
        <v>1.3605</v>
      </c>
      <c r="NH44" s="23"/>
      <c r="NI44" s="23"/>
      <c r="NJ44" s="23"/>
      <c r="NK44" s="23">
        <v>1.3522</v>
      </c>
      <c r="NL44" s="23">
        <v>1.3813</v>
      </c>
      <c r="NM44" s="23">
        <v>1.3988</v>
      </c>
      <c r="NN44" s="23">
        <v>1.4388</v>
      </c>
      <c r="NO44" s="23">
        <v>1.4388</v>
      </c>
      <c r="NP44" s="23">
        <v>1.4362</v>
      </c>
      <c r="NQ44" s="23"/>
      <c r="NR44" s="23"/>
      <c r="NS44" s="23">
        <v>1.4392</v>
      </c>
      <c r="NT44" s="23">
        <v>1.4386</v>
      </c>
      <c r="NU44" s="23">
        <v>1.4344</v>
      </c>
      <c r="NV44" s="23">
        <v>1.4241</v>
      </c>
      <c r="NW44" s="23">
        <v>1.4043</v>
      </c>
      <c r="NX44" s="23"/>
      <c r="NY44" s="23"/>
      <c r="NZ44" s="23">
        <v>1.4072</v>
      </c>
      <c r="OA44" s="23">
        <v>1.3949</v>
      </c>
      <c r="OB44" s="23">
        <v>1.3994</v>
      </c>
      <c r="OC44" s="23">
        <v>1.4034</v>
      </c>
      <c r="OD44" s="23">
        <v>1.3959</v>
      </c>
      <c r="OE44" s="23"/>
      <c r="OF44" s="23"/>
      <c r="OG44" s="23">
        <v>1.4034</v>
      </c>
      <c r="OH44" s="23">
        <v>1.4098</v>
      </c>
      <c r="OI44" s="23">
        <v>1.3988</v>
      </c>
      <c r="OJ44" s="23">
        <v>1.3908</v>
      </c>
      <c r="OK44" s="23">
        <v>1.3765</v>
      </c>
      <c r="OL44" s="23"/>
      <c r="OM44" s="23"/>
      <c r="ON44" s="23">
        <v>1.3852</v>
      </c>
      <c r="OO44" s="23">
        <v>1.3772</v>
      </c>
      <c r="OP44" s="23">
        <v>1.3769</v>
      </c>
      <c r="OQ44" s="23">
        <v>1.3634</v>
      </c>
      <c r="OR44" s="23">
        <v>1.3597</v>
      </c>
      <c r="OS44" s="23"/>
      <c r="OT44" s="23"/>
      <c r="OU44" s="23">
        <v>1.3577</v>
      </c>
      <c r="OV44" s="23">
        <v>1.3552</v>
      </c>
      <c r="OW44" s="23">
        <v>1.358</v>
      </c>
      <c r="OX44" s="23">
        <v>1.3576</v>
      </c>
      <c r="OY44" s="23">
        <v>1.3577</v>
      </c>
      <c r="OZ44" s="23">
        <v>1.3542</v>
      </c>
      <c r="PA44" s="23"/>
      <c r="PB44" s="23"/>
      <c r="PC44" s="23"/>
      <c r="PD44" s="23"/>
      <c r="PE44" s="23"/>
      <c r="PF44" s="23"/>
      <c r="PG44" s="23"/>
      <c r="PH44" s="23"/>
      <c r="PI44" s="23"/>
      <c r="PJ44" s="23">
        <v>1.3569</v>
      </c>
      <c r="PK44" s="23">
        <v>1.3608</v>
      </c>
      <c r="PL44" s="23">
        <v>1.3657</v>
      </c>
      <c r="PM44" s="23">
        <v>1.3638</v>
      </c>
      <c r="PN44" s="23">
        <v>1.3589</v>
      </c>
      <c r="PO44" s="23"/>
      <c r="PP44" s="23">
        <v>1.3579</v>
      </c>
      <c r="PQ44" s="23">
        <v>1.3508</v>
      </c>
      <c r="PR44" s="23">
        <v>1.3349</v>
      </c>
      <c r="PS44" s="23">
        <v>1.3486</v>
      </c>
      <c r="PT44" s="23">
        <v>1.3432</v>
      </c>
      <c r="PU44" s="23"/>
      <c r="PV44" s="23"/>
      <c r="PW44" s="23">
        <v>1.3605</v>
      </c>
      <c r="PX44" s="23">
        <v>1.3622</v>
      </c>
      <c r="PY44" s="23">
        <v>1.3639</v>
      </c>
      <c r="PZ44" s="23">
        <v>1.3614</v>
      </c>
      <c r="QA44" s="23">
        <v>1.3532</v>
      </c>
      <c r="QB44" s="23"/>
      <c r="QC44" s="23"/>
      <c r="QD44" s="23">
        <v>1.3593</v>
      </c>
      <c r="QE44" s="23">
        <v>1.3393</v>
      </c>
      <c r="QF44" s="23">
        <v>1.3205</v>
      </c>
      <c r="QG44" s="23">
        <v>1.3106</v>
      </c>
      <c r="QH44" s="23">
        <v>1.3087</v>
      </c>
      <c r="QI44" s="23"/>
      <c r="QJ44" s="23"/>
      <c r="QK44" s="23">
        <v>1.3163</v>
      </c>
      <c r="QL44" s="23">
        <v>1.3112</v>
      </c>
      <c r="QM44" s="23">
        <v>1.3123</v>
      </c>
      <c r="QN44" s="23">
        <v>1.3023</v>
      </c>
      <c r="QO44" s="23">
        <v>1.2964</v>
      </c>
      <c r="QP44" s="23"/>
      <c r="QQ44" s="23"/>
      <c r="QR44" s="23">
        <v>1.2672</v>
      </c>
      <c r="QS44" s="23">
        <v>1.2746</v>
      </c>
      <c r="QT44" s="23">
        <v>1.285</v>
      </c>
      <c r="QU44" s="23">
        <v>1.2899</v>
      </c>
      <c r="QV44" s="23">
        <v>1.3033</v>
      </c>
      <c r="QW44" s="23"/>
      <c r="QX44" s="23"/>
      <c r="QY44" s="23"/>
      <c r="QZ44" s="23">
        <v>1.3023</v>
      </c>
      <c r="RA44" s="23">
        <v>1.3215</v>
      </c>
      <c r="RB44" s="23">
        <v>1.3266</v>
      </c>
      <c r="RC44" s="23">
        <v>1.3289</v>
      </c>
      <c r="RD44" s="23"/>
      <c r="RE44" s="23"/>
      <c r="RF44" s="23">
        <v>1.3271</v>
      </c>
      <c r="RG44" s="23">
        <v>1.3204</v>
      </c>
      <c r="RH44" s="23">
        <v>1.3108</v>
      </c>
      <c r="RI44" s="23">
        <v>1.3084</v>
      </c>
      <c r="RJ44" s="23">
        <v>1.2936</v>
      </c>
      <c r="RK44" s="23"/>
      <c r="RL44" s="23"/>
      <c r="RM44" s="23">
        <v>1.2923</v>
      </c>
      <c r="RN44" s="23">
        <v>1.2812</v>
      </c>
      <c r="RO44" s="23">
        <v>1.2601</v>
      </c>
      <c r="RP44" s="23">
        <v>1.255</v>
      </c>
      <c r="RQ44" s="23">
        <v>1.2393</v>
      </c>
      <c r="RR44" s="23"/>
      <c r="RS44" s="23"/>
      <c r="RT44" s="23">
        <v>1.259</v>
      </c>
      <c r="RU44" s="23">
        <v>1.264</v>
      </c>
      <c r="RV44" s="23">
        <v>1.2565</v>
      </c>
      <c r="RW44" s="23">
        <v>1.2552</v>
      </c>
      <c r="RX44" s="23"/>
      <c r="RY44" s="23"/>
      <c r="RZ44" s="23"/>
      <c r="SA44" s="23"/>
      <c r="SB44" s="23"/>
      <c r="SC44" s="23">
        <v>1.2802</v>
      </c>
      <c r="SD44" s="23">
        <v>1.2721</v>
      </c>
      <c r="SE44" s="23">
        <v>1.2808</v>
      </c>
      <c r="SF44" s="23">
        <v>1.2777</v>
      </c>
      <c r="SG44" s="23"/>
      <c r="SH44" s="23">
        <v>1.2779</v>
      </c>
      <c r="SI44" s="23">
        <v>1.2776</v>
      </c>
      <c r="SJ44" s="23">
        <v>1.2717</v>
      </c>
      <c r="SK44" s="23">
        <v>1.2743</v>
      </c>
      <c r="SL44" s="23">
        <v>1.2733</v>
      </c>
      <c r="SM44" s="23"/>
      <c r="SN44" s="23"/>
      <c r="SO44" s="23">
        <v>1.2684</v>
      </c>
      <c r="SP44" s="23">
        <v>1.2617</v>
      </c>
      <c r="SQ44" s="23">
        <v>1.2552</v>
      </c>
      <c r="SR44" s="23">
        <v>1.2583</v>
      </c>
      <c r="SS44" s="23">
        <v>1.2623</v>
      </c>
      <c r="ST44" s="23"/>
      <c r="SU44" s="23"/>
      <c r="SV44" s="23">
        <v>1.2561</v>
      </c>
      <c r="SW44" s="23">
        <v>1.2513</v>
      </c>
      <c r="SX44" s="23">
        <v>1.2378</v>
      </c>
      <c r="SY44" s="23">
        <v>1.2264</v>
      </c>
      <c r="SZ44" s="23">
        <v>1.2256</v>
      </c>
      <c r="TA44" s="23"/>
      <c r="TB44" s="23"/>
      <c r="TC44" s="23">
        <v>1.2276</v>
      </c>
      <c r="TD44" s="23">
        <v>1.2285</v>
      </c>
      <c r="TE44" s="23">
        <v>1.2352</v>
      </c>
      <c r="TF44" s="23">
        <v>1.2369</v>
      </c>
      <c r="TG44" s="23">
        <v>1.2376</v>
      </c>
      <c r="TH44" s="23"/>
      <c r="TI44" s="23"/>
      <c r="TJ44" s="23">
        <v>1.2587</v>
      </c>
      <c r="TK44" s="23">
        <v>1.2706</v>
      </c>
      <c r="TL44" s="23">
        <v>1.28</v>
      </c>
      <c r="TM44" s="23">
        <v>1.2881</v>
      </c>
      <c r="TN44" s="23">
        <v>1.2937</v>
      </c>
      <c r="TO44" s="23"/>
      <c r="TP44" s="23"/>
      <c r="TQ44" s="23">
        <v>1.3012</v>
      </c>
      <c r="TR44" s="23">
        <v>1.2832</v>
      </c>
      <c r="TS44" s="23">
        <v>1.2662</v>
      </c>
      <c r="TT44" s="23">
        <v>1.2437</v>
      </c>
      <c r="TU44" s="23"/>
      <c r="TV44" s="23"/>
      <c r="TW44" s="23"/>
      <c r="TX44" s="23">
        <v>1.2462</v>
      </c>
      <c r="TY44" s="23">
        <v>1.2637</v>
      </c>
      <c r="TZ44" s="23">
        <v>1.2562</v>
      </c>
      <c r="UA44" s="23">
        <v>1.2527</v>
      </c>
      <c r="UB44" s="23">
        <v>1.2462</v>
      </c>
      <c r="UC44" s="23"/>
      <c r="UD44" s="23"/>
      <c r="UE44" s="23">
        <v>1.2362</v>
      </c>
      <c r="UF44" s="23">
        <v>1.2467</v>
      </c>
      <c r="UG44" s="23">
        <v>1.257</v>
      </c>
      <c r="UH44" s="23">
        <v>1.2471</v>
      </c>
      <c r="UI44" s="23">
        <v>1.2473</v>
      </c>
      <c r="UJ44" s="23"/>
      <c r="UK44" s="23"/>
      <c r="UL44" s="23"/>
      <c r="UM44" s="23"/>
      <c r="UN44" s="23"/>
      <c r="UO44" s="23"/>
      <c r="UP44" s="23"/>
      <c r="UQ44" s="23"/>
      <c r="UR44" s="23"/>
      <c r="US44" s="23"/>
      <c r="UT44" s="23"/>
    </row>
    <row r="45" ht="16.5" customHeight="1" spans="4:566">
      <c r="D45" s="19" t="s">
        <v>60</v>
      </c>
      <c r="E45" s="21" t="s">
        <v>61</v>
      </c>
      <c r="F45" s="23"/>
      <c r="G45" s="23"/>
      <c r="H45" s="23">
        <v>1.1694</v>
      </c>
      <c r="I45" s="23">
        <v>1.1122</v>
      </c>
      <c r="J45" s="23"/>
      <c r="K45" s="23"/>
      <c r="L45" s="23">
        <v>1.1196</v>
      </c>
      <c r="M45" s="23">
        <v>1.1558</v>
      </c>
      <c r="N45" s="23">
        <v>1.1833</v>
      </c>
      <c r="O45" s="23">
        <v>1.2412</v>
      </c>
      <c r="P45" s="23">
        <v>1.2577</v>
      </c>
      <c r="Q45" s="23"/>
      <c r="R45" s="23"/>
      <c r="S45" s="23">
        <v>1.3039</v>
      </c>
      <c r="T45" s="23">
        <v>1.2907</v>
      </c>
      <c r="U45" s="23">
        <v>1.2578</v>
      </c>
      <c r="V45" s="23">
        <v>1.2803</v>
      </c>
      <c r="W45" s="23">
        <v>1.2806</v>
      </c>
      <c r="X45" s="23"/>
      <c r="Y45" s="23"/>
      <c r="Z45" s="23">
        <v>1.3059</v>
      </c>
      <c r="AA45" s="23">
        <v>1.281</v>
      </c>
      <c r="AB45" s="23">
        <v>1.281</v>
      </c>
      <c r="AC45" s="23">
        <v>1.3028</v>
      </c>
      <c r="AD45" s="23">
        <v>1.3437</v>
      </c>
      <c r="AE45" s="23"/>
      <c r="AF45" s="23">
        <v>1.3337</v>
      </c>
      <c r="AG45" s="23">
        <v>1.3108</v>
      </c>
      <c r="AH45" s="23"/>
      <c r="AI45" s="23"/>
      <c r="AJ45" s="23"/>
      <c r="AK45" s="23"/>
      <c r="AL45" s="23"/>
      <c r="AM45" s="23"/>
      <c r="AN45" s="23"/>
      <c r="AO45" s="23"/>
      <c r="AP45" s="23">
        <v>1.309</v>
      </c>
      <c r="AQ45" s="23">
        <v>1.2871</v>
      </c>
      <c r="AR45" s="23">
        <v>1.2796</v>
      </c>
      <c r="AS45" s="23">
        <v>1.2758</v>
      </c>
      <c r="AT45" s="23"/>
      <c r="AU45" s="23">
        <v>1.3092</v>
      </c>
      <c r="AV45" s="23">
        <v>1.2967</v>
      </c>
      <c r="AW45" s="23">
        <v>1.3086</v>
      </c>
      <c r="AX45" s="23">
        <v>1.3272</v>
      </c>
      <c r="AY45" s="23">
        <v>1.3747</v>
      </c>
      <c r="AZ45" s="23"/>
      <c r="BA45" s="23"/>
      <c r="BB45" s="23">
        <v>1.3939</v>
      </c>
      <c r="BC45" s="23">
        <v>1.4289</v>
      </c>
      <c r="BD45" s="23">
        <v>1.4239</v>
      </c>
      <c r="BE45" s="23">
        <v>1.4639</v>
      </c>
      <c r="BF45" s="23">
        <v>1.4839</v>
      </c>
      <c r="BG45" s="23"/>
      <c r="BH45" s="23"/>
      <c r="BI45" s="23">
        <v>1.5239</v>
      </c>
      <c r="BJ45" s="23">
        <v>1.5175</v>
      </c>
      <c r="BK45" s="23">
        <v>1.4975</v>
      </c>
      <c r="BL45" s="23">
        <v>1.5354</v>
      </c>
      <c r="BM45" s="23">
        <v>1.5182</v>
      </c>
      <c r="BN45" s="23"/>
      <c r="BO45" s="23"/>
      <c r="BP45" s="23">
        <v>1.4814</v>
      </c>
      <c r="BQ45" s="23">
        <v>1.4965</v>
      </c>
      <c r="BR45" s="23">
        <v>1.5016</v>
      </c>
      <c r="BS45" s="23">
        <v>1.5468</v>
      </c>
      <c r="BT45" s="23">
        <v>1.5923</v>
      </c>
      <c r="BU45" s="23"/>
      <c r="BV45" s="23"/>
      <c r="BW45" s="23">
        <v>1.6123</v>
      </c>
      <c r="BX45" s="23">
        <v>1.6777</v>
      </c>
      <c r="BY45" s="23">
        <v>1.6415</v>
      </c>
      <c r="BZ45" s="23">
        <v>1.6222</v>
      </c>
      <c r="CA45" s="23">
        <v>1.6214</v>
      </c>
      <c r="CB45" s="23"/>
      <c r="CC45" s="23"/>
      <c r="CD45" s="23">
        <v>1.6871</v>
      </c>
      <c r="CE45" s="23">
        <v>1.6676</v>
      </c>
      <c r="CF45" s="23">
        <v>1.6607</v>
      </c>
      <c r="CG45" s="23">
        <v>1.6188</v>
      </c>
      <c r="CH45" s="23">
        <v>1.636</v>
      </c>
      <c r="CI45" s="23"/>
      <c r="CJ45" s="23"/>
      <c r="CK45" s="23">
        <v>1.6387</v>
      </c>
      <c r="CL45" s="23">
        <v>1.6339</v>
      </c>
      <c r="CM45" s="23">
        <v>1.614</v>
      </c>
      <c r="CN45" s="23">
        <v>1.5988</v>
      </c>
      <c r="CO45" s="23">
        <v>1.5876</v>
      </c>
      <c r="CP45" s="23"/>
      <c r="CQ45" s="23"/>
      <c r="CR45" s="23">
        <v>1.606</v>
      </c>
      <c r="CS45" s="23">
        <v>1.6268</v>
      </c>
      <c r="CT45" s="23">
        <v>1.5985</v>
      </c>
      <c r="CU45" s="23">
        <v>1.5263</v>
      </c>
      <c r="CV45" s="23"/>
      <c r="CW45" s="23"/>
      <c r="CX45" s="23"/>
      <c r="CY45" s="23">
        <v>1.4664</v>
      </c>
      <c r="CZ45" s="23">
        <v>1.5062</v>
      </c>
      <c r="DA45" s="23">
        <v>1.4689</v>
      </c>
      <c r="DB45" s="23">
        <v>1.4387</v>
      </c>
      <c r="DC45" s="23">
        <v>1.4315</v>
      </c>
      <c r="DD45" s="23"/>
      <c r="DE45" s="23"/>
      <c r="DF45" s="23">
        <v>1.4605</v>
      </c>
      <c r="DG45" s="23">
        <v>1.4621</v>
      </c>
      <c r="DH45" s="23">
        <v>1.4618</v>
      </c>
      <c r="DI45" s="23">
        <v>1.4741</v>
      </c>
      <c r="DJ45" s="23">
        <v>1.4822</v>
      </c>
      <c r="DK45" s="23"/>
      <c r="DL45" s="23"/>
      <c r="DM45" s="23">
        <v>1.4945</v>
      </c>
      <c r="DN45" s="23">
        <v>1.4866</v>
      </c>
      <c r="DO45" s="23">
        <v>1.5018</v>
      </c>
      <c r="DP45" s="23">
        <v>1.5208</v>
      </c>
      <c r="DQ45" s="23">
        <v>1.5192</v>
      </c>
      <c r="DR45" s="23"/>
      <c r="DS45" s="23">
        <v>1.523</v>
      </c>
      <c r="DT45" s="23">
        <v>1.5177</v>
      </c>
      <c r="DU45" s="23">
        <v>1.5009</v>
      </c>
      <c r="DV45" s="23">
        <v>1.4766</v>
      </c>
      <c r="DW45" s="23"/>
      <c r="DX45" s="23"/>
      <c r="DY45" s="23"/>
      <c r="DZ45" s="23"/>
      <c r="EA45" s="23"/>
      <c r="EB45" s="23">
        <v>1.4939</v>
      </c>
      <c r="EC45" s="23">
        <v>1.4815</v>
      </c>
      <c r="ED45" s="23">
        <v>1.4504</v>
      </c>
      <c r="EE45" s="23">
        <v>1.4633</v>
      </c>
      <c r="EF45" s="23"/>
      <c r="EG45" s="23"/>
      <c r="EH45" s="23">
        <v>1.4661</v>
      </c>
      <c r="EI45" s="23">
        <v>1.4533</v>
      </c>
      <c r="EJ45" s="23">
        <v>1.4727</v>
      </c>
      <c r="EK45" s="23">
        <v>1.5048</v>
      </c>
      <c r="EL45" s="23">
        <v>1.507</v>
      </c>
      <c r="EM45" s="23"/>
      <c r="EN45" s="23"/>
      <c r="EO45" s="23">
        <v>1.4973</v>
      </c>
      <c r="EP45" s="23">
        <v>1.5041</v>
      </c>
      <c r="EQ45" s="23">
        <v>1.4997</v>
      </c>
      <c r="ER45" s="23">
        <v>1.4958</v>
      </c>
      <c r="ES45" s="23">
        <v>1.4956</v>
      </c>
      <c r="ET45" s="23"/>
      <c r="EU45" s="23"/>
      <c r="EV45" s="23">
        <v>1.4944</v>
      </c>
      <c r="EW45" s="23">
        <v>1.499</v>
      </c>
      <c r="EX45" s="23">
        <v>1.5002</v>
      </c>
      <c r="EY45" s="23">
        <v>1.5153</v>
      </c>
      <c r="EZ45" s="23">
        <v>1.4777</v>
      </c>
      <c r="FA45" s="23"/>
      <c r="FB45" s="23"/>
      <c r="FC45" s="23"/>
      <c r="FD45" s="23">
        <v>1.4877</v>
      </c>
      <c r="FE45" s="23">
        <v>1.4703</v>
      </c>
      <c r="FF45" s="23">
        <v>1.4555</v>
      </c>
      <c r="FG45" s="23">
        <v>1.4354</v>
      </c>
      <c r="FH45" s="23"/>
      <c r="FI45" s="23"/>
      <c r="FJ45" s="23">
        <v>1.4354</v>
      </c>
      <c r="FK45" s="23">
        <v>1.4509</v>
      </c>
      <c r="FL45" s="23">
        <v>1.4385</v>
      </c>
      <c r="FM45" s="23">
        <v>1.4408</v>
      </c>
      <c r="FN45" s="23">
        <v>1.4258</v>
      </c>
      <c r="FO45" s="23"/>
      <c r="FP45" s="23"/>
      <c r="FQ45" s="23">
        <v>1.4054</v>
      </c>
      <c r="FR45" s="23">
        <v>1.3808</v>
      </c>
      <c r="FS45" s="23">
        <v>1.3889</v>
      </c>
      <c r="FT45" s="23">
        <v>1.397</v>
      </c>
      <c r="FU45" s="23">
        <v>1.4</v>
      </c>
      <c r="FV45" s="23"/>
      <c r="FW45" s="23"/>
      <c r="FX45" s="23">
        <v>1.4028</v>
      </c>
      <c r="FY45" s="23">
        <v>1.4133</v>
      </c>
      <c r="FZ45" s="23">
        <v>1.4108</v>
      </c>
      <c r="GA45" s="23">
        <v>1.4057</v>
      </c>
      <c r="GB45" s="23">
        <v>1.3931</v>
      </c>
      <c r="GC45" s="23"/>
      <c r="GD45" s="23"/>
      <c r="GE45" s="23">
        <v>1.3959</v>
      </c>
      <c r="GF45" s="23">
        <v>1.3985</v>
      </c>
      <c r="GG45" s="23">
        <v>1.391</v>
      </c>
      <c r="GH45" s="23">
        <v>1.3772</v>
      </c>
      <c r="GI45" s="23">
        <v>1.3791</v>
      </c>
      <c r="GJ45" s="23"/>
      <c r="GK45" s="23"/>
      <c r="GL45" s="23">
        <v>1.3813</v>
      </c>
      <c r="GM45" s="23">
        <v>1.3884</v>
      </c>
      <c r="GN45" s="23">
        <v>1.3942</v>
      </c>
      <c r="GO45" s="23">
        <v>1.4098</v>
      </c>
      <c r="GP45" s="23">
        <v>1.4158</v>
      </c>
      <c r="GQ45" s="23"/>
      <c r="GR45" s="23"/>
      <c r="GS45" s="23">
        <v>1.4267</v>
      </c>
      <c r="GT45" s="23">
        <v>1.4108</v>
      </c>
      <c r="GU45" s="23">
        <v>1.4116</v>
      </c>
      <c r="GV45" s="23">
        <v>1.4114</v>
      </c>
      <c r="GW45" s="23">
        <v>1.4043</v>
      </c>
      <c r="GX45" s="23"/>
      <c r="GY45" s="23"/>
      <c r="GZ45" s="23">
        <v>1.4202</v>
      </c>
      <c r="HA45" s="23">
        <v>1.4229</v>
      </c>
      <c r="HB45" s="23">
        <v>1.4467</v>
      </c>
      <c r="HC45" s="23">
        <v>1.4744</v>
      </c>
      <c r="HD45" s="23">
        <v>1.4777</v>
      </c>
      <c r="HE45" s="23"/>
      <c r="HF45" s="23"/>
      <c r="HG45" s="23">
        <v>1.455</v>
      </c>
      <c r="HH45" s="23">
        <v>1.4793</v>
      </c>
      <c r="HI45" s="23">
        <v>1.4558</v>
      </c>
      <c r="HJ45" s="23">
        <v>1.443</v>
      </c>
      <c r="HK45" s="23">
        <v>1.4451</v>
      </c>
      <c r="HL45" s="23"/>
      <c r="HM45" s="23"/>
      <c r="HN45" s="23">
        <v>1.4392</v>
      </c>
      <c r="HO45" s="23">
        <v>1.4392</v>
      </c>
      <c r="HP45" s="23">
        <v>1.4295</v>
      </c>
      <c r="HQ45" s="23">
        <v>1.4227</v>
      </c>
      <c r="HR45" s="23">
        <v>1.4159</v>
      </c>
      <c r="HS45" s="23"/>
      <c r="HT45" s="23"/>
      <c r="HU45" s="23">
        <v>1.4321</v>
      </c>
      <c r="HV45" s="23">
        <v>1.4257</v>
      </c>
      <c r="HW45" s="23">
        <v>1.4092</v>
      </c>
      <c r="HX45" s="23">
        <v>1.4154</v>
      </c>
      <c r="HY45" s="23">
        <v>1.4091</v>
      </c>
      <c r="HZ45" s="23"/>
      <c r="IA45" s="23"/>
      <c r="IB45" s="23">
        <v>1.4466</v>
      </c>
      <c r="IC45" s="23">
        <v>1.4907</v>
      </c>
      <c r="ID45" s="23">
        <v>1.5059</v>
      </c>
      <c r="IE45" s="23">
        <v>1.5112</v>
      </c>
      <c r="IF45" s="23">
        <v>1.5064</v>
      </c>
      <c r="IG45" s="23"/>
      <c r="IH45" s="23"/>
      <c r="II45" s="23">
        <v>1.5022</v>
      </c>
      <c r="IJ45" s="23">
        <v>1.4973</v>
      </c>
      <c r="IK45" s="23">
        <v>1.4925</v>
      </c>
      <c r="IL45" s="23">
        <v>1.4977</v>
      </c>
      <c r="IM45" s="23">
        <v>1.4776</v>
      </c>
      <c r="IN45" s="23"/>
      <c r="IO45" s="23"/>
      <c r="IP45" s="31">
        <v>1.4776</v>
      </c>
      <c r="IQ45" s="31">
        <v>1.4751</v>
      </c>
      <c r="IR45" s="31">
        <v>1.4701</v>
      </c>
      <c r="IS45" s="31">
        <v>1.4751</v>
      </c>
      <c r="IT45" s="31">
        <v>1.4876</v>
      </c>
      <c r="IU45" s="31"/>
      <c r="IV45" s="31"/>
      <c r="IW45" s="31">
        <v>1.495</v>
      </c>
      <c r="IX45" s="31">
        <v>1.495</v>
      </c>
      <c r="IY45" s="31">
        <v>1.5048</v>
      </c>
      <c r="IZ45" s="31">
        <v>1.4923</v>
      </c>
      <c r="JA45" s="31">
        <v>1.4973</v>
      </c>
      <c r="JB45" s="31"/>
      <c r="JC45" s="31"/>
      <c r="JD45" s="31">
        <v>1.4973</v>
      </c>
      <c r="JE45" s="31">
        <v>1.5083</v>
      </c>
      <c r="JF45" s="31">
        <v>1.4953</v>
      </c>
      <c r="JG45" s="31">
        <v>1.5053</v>
      </c>
      <c r="JH45" s="31">
        <v>1.5124</v>
      </c>
      <c r="JI45" s="31"/>
      <c r="JJ45" s="31"/>
      <c r="JK45" s="31">
        <v>1.5049</v>
      </c>
      <c r="JL45" s="31">
        <v>1.5245</v>
      </c>
      <c r="JM45" s="31">
        <v>1.5335</v>
      </c>
      <c r="JN45" s="31">
        <v>1.5336</v>
      </c>
      <c r="JO45" s="31">
        <v>1.5401</v>
      </c>
      <c r="JP45" s="31"/>
      <c r="JQ45" s="31">
        <v>1.5359</v>
      </c>
      <c r="JR45" s="31">
        <v>1.5349</v>
      </c>
      <c r="JS45" s="31">
        <v>1.5204</v>
      </c>
      <c r="JT45" s="31"/>
      <c r="JU45" s="31"/>
      <c r="JV45" s="31"/>
      <c r="JW45" s="31"/>
      <c r="JX45" s="31"/>
      <c r="JY45" s="31"/>
      <c r="JZ45" s="23"/>
      <c r="KA45" s="23"/>
      <c r="KB45" s="23">
        <v>1.5144</v>
      </c>
      <c r="KC45" s="23">
        <v>1.5198</v>
      </c>
      <c r="KD45" s="23">
        <v>1.5029</v>
      </c>
      <c r="KE45" s="23"/>
      <c r="KF45" s="23">
        <v>1.5114</v>
      </c>
      <c r="KG45" s="23">
        <v>1.5102</v>
      </c>
      <c r="KH45" s="23">
        <v>1.5183</v>
      </c>
      <c r="KI45" s="23">
        <v>1.5203</v>
      </c>
      <c r="KJ45" s="23">
        <v>1.514</v>
      </c>
      <c r="KK45" s="23"/>
      <c r="KL45" s="23"/>
      <c r="KM45" s="23">
        <v>1.536</v>
      </c>
      <c r="KN45" s="23">
        <v>1.5311</v>
      </c>
      <c r="KO45" s="23">
        <v>1.5332</v>
      </c>
      <c r="KP45" s="23">
        <v>1.5325</v>
      </c>
      <c r="KQ45" s="23">
        <v>1.5294</v>
      </c>
      <c r="KR45" s="23"/>
      <c r="KS45" s="23"/>
      <c r="KT45" s="23">
        <v>1.5169</v>
      </c>
      <c r="KU45" s="23">
        <v>1.4655</v>
      </c>
      <c r="KV45" s="23">
        <v>1.4254</v>
      </c>
      <c r="KW45" s="23">
        <v>1.4132</v>
      </c>
      <c r="KX45" s="23">
        <v>1.4146</v>
      </c>
      <c r="KY45" s="23"/>
      <c r="KZ45" s="23"/>
      <c r="LA45" s="23">
        <v>1.4211</v>
      </c>
      <c r="LB45" s="23">
        <v>1.4311</v>
      </c>
      <c r="LC45" s="23">
        <v>1.4452</v>
      </c>
      <c r="LD45" s="23">
        <v>1.4479</v>
      </c>
      <c r="LE45" s="23">
        <v>1.4449</v>
      </c>
      <c r="LF45" s="23"/>
      <c r="LG45" s="23"/>
      <c r="LH45" s="23">
        <v>1.4449</v>
      </c>
      <c r="LI45" s="23">
        <v>1.4384</v>
      </c>
      <c r="LJ45" s="23">
        <v>1.438</v>
      </c>
      <c r="LK45" s="23">
        <v>1.4405</v>
      </c>
      <c r="LL45" s="23">
        <v>1.4397</v>
      </c>
      <c r="LM45" s="23"/>
      <c r="LN45" s="23"/>
      <c r="LO45" s="23">
        <v>1.4381</v>
      </c>
      <c r="LP45" s="23">
        <v>1.4381</v>
      </c>
      <c r="LQ45" s="23">
        <v>1.4386</v>
      </c>
      <c r="LR45" s="23">
        <v>1.4356</v>
      </c>
      <c r="LS45" s="23">
        <v>1.4348</v>
      </c>
      <c r="LT45" s="23"/>
      <c r="LU45" s="23"/>
      <c r="LV45" s="23">
        <v>1.4348</v>
      </c>
      <c r="LW45" s="23">
        <v>1.4338</v>
      </c>
      <c r="LX45" s="23">
        <v>1.4368</v>
      </c>
      <c r="LY45" s="23">
        <v>1.4501</v>
      </c>
      <c r="LZ45" s="23">
        <v>1.4351</v>
      </c>
      <c r="MA45" s="23"/>
      <c r="MB45" s="23"/>
      <c r="MC45" s="23">
        <v>1.4353</v>
      </c>
      <c r="MD45" s="23">
        <v>1.4369</v>
      </c>
      <c r="ME45" s="23">
        <v>1.4329</v>
      </c>
      <c r="MF45" s="23">
        <v>1.4357</v>
      </c>
      <c r="MG45" s="23">
        <v>1.4205</v>
      </c>
      <c r="MH45" s="23"/>
      <c r="MI45" s="23"/>
      <c r="MJ45" s="23">
        <v>1.4155</v>
      </c>
      <c r="MK45" s="23">
        <v>1.4131</v>
      </c>
      <c r="ML45" s="23">
        <v>1.4109</v>
      </c>
      <c r="MM45" s="23">
        <v>1.4109</v>
      </c>
      <c r="MN45" s="23">
        <v>1.4161</v>
      </c>
      <c r="MO45" s="23"/>
      <c r="MP45" s="23"/>
      <c r="MQ45" s="23">
        <v>1.4214</v>
      </c>
      <c r="MR45" s="23">
        <v>1.4213</v>
      </c>
      <c r="MS45" s="23">
        <v>1.4136</v>
      </c>
      <c r="MT45" s="23">
        <v>1.3986</v>
      </c>
      <c r="MU45" s="23">
        <v>1.3941</v>
      </c>
      <c r="MV45" s="23"/>
      <c r="MW45" s="23"/>
      <c r="MX45" s="23">
        <v>1.3951</v>
      </c>
      <c r="MY45" s="23">
        <v>1.3856</v>
      </c>
      <c r="MZ45" s="23">
        <v>1.3784</v>
      </c>
      <c r="NA45" s="23">
        <v>1.3682</v>
      </c>
      <c r="NB45" s="23">
        <v>1.3627</v>
      </c>
      <c r="NC45" s="23"/>
      <c r="ND45" s="23"/>
      <c r="NE45" s="23">
        <v>1.3762</v>
      </c>
      <c r="NF45" s="23">
        <v>1.378</v>
      </c>
      <c r="NG45" s="23">
        <v>1.383</v>
      </c>
      <c r="NH45" s="23"/>
      <c r="NI45" s="23"/>
      <c r="NJ45" s="23"/>
      <c r="NK45" s="23">
        <v>1.3752</v>
      </c>
      <c r="NL45" s="23">
        <v>1.4063</v>
      </c>
      <c r="NM45" s="23">
        <v>1.4406</v>
      </c>
      <c r="NN45" s="23">
        <v>1.475</v>
      </c>
      <c r="NO45" s="23">
        <v>1.4576</v>
      </c>
      <c r="NP45" s="23">
        <v>1.4606</v>
      </c>
      <c r="NQ45" s="23"/>
      <c r="NR45" s="23"/>
      <c r="NS45" s="23">
        <v>1.4601</v>
      </c>
      <c r="NT45" s="23">
        <v>1.4603</v>
      </c>
      <c r="NU45" s="23">
        <v>1.4611</v>
      </c>
      <c r="NV45" s="23">
        <v>1.4485</v>
      </c>
      <c r="NW45" s="23">
        <v>1.4286</v>
      </c>
      <c r="NX45" s="23"/>
      <c r="NY45" s="23"/>
      <c r="NZ45" s="23">
        <v>1.432</v>
      </c>
      <c r="OA45" s="23">
        <v>1.4196</v>
      </c>
      <c r="OB45" s="23">
        <v>1.4218</v>
      </c>
      <c r="OC45" s="23">
        <v>1.4304</v>
      </c>
      <c r="OD45" s="23">
        <v>1.4223</v>
      </c>
      <c r="OE45" s="23"/>
      <c r="OF45" s="23"/>
      <c r="OG45" s="23">
        <v>1.42</v>
      </c>
      <c r="OH45" s="23">
        <v>1.4231</v>
      </c>
      <c r="OI45" s="23">
        <v>1.416</v>
      </c>
      <c r="OJ45" s="23">
        <v>1.4063</v>
      </c>
      <c r="OK45" s="23">
        <v>1.4014</v>
      </c>
      <c r="OL45" s="23"/>
      <c r="OM45" s="23"/>
      <c r="ON45" s="23">
        <v>1.3996</v>
      </c>
      <c r="OO45" s="23">
        <v>1.3893</v>
      </c>
      <c r="OP45" s="23">
        <v>1.3896</v>
      </c>
      <c r="OQ45" s="23">
        <v>1.3806</v>
      </c>
      <c r="OR45" s="23">
        <v>1.3809</v>
      </c>
      <c r="OS45" s="23"/>
      <c r="OT45" s="23"/>
      <c r="OU45" s="23">
        <v>1.3788</v>
      </c>
      <c r="OV45" s="23">
        <v>1.3788</v>
      </c>
      <c r="OW45" s="23">
        <v>1.3788</v>
      </c>
      <c r="OX45" s="23">
        <v>1.3759</v>
      </c>
      <c r="OY45" s="23">
        <v>1.3761</v>
      </c>
      <c r="OZ45" s="23">
        <v>1.3742</v>
      </c>
      <c r="PA45" s="23"/>
      <c r="PB45" s="23"/>
      <c r="PC45" s="23"/>
      <c r="PD45" s="23"/>
      <c r="PE45" s="23"/>
      <c r="PF45" s="23"/>
      <c r="PG45" s="23"/>
      <c r="PH45" s="23"/>
      <c r="PI45" s="23"/>
      <c r="PJ45" s="23">
        <v>1.3744</v>
      </c>
      <c r="PK45" s="23">
        <v>1.3806</v>
      </c>
      <c r="PL45" s="23">
        <v>1.3856</v>
      </c>
      <c r="PM45" s="23">
        <v>1.3826</v>
      </c>
      <c r="PN45" s="23">
        <v>1.3776</v>
      </c>
      <c r="PO45" s="23"/>
      <c r="PP45" s="23">
        <v>1.3727</v>
      </c>
      <c r="PQ45" s="23">
        <v>1.3628</v>
      </c>
      <c r="PR45" s="23">
        <v>1.358</v>
      </c>
      <c r="PS45" s="23">
        <v>1.3629</v>
      </c>
      <c r="PT45" s="23">
        <v>1.3629</v>
      </c>
      <c r="PU45" s="23"/>
      <c r="PV45" s="23"/>
      <c r="PW45" s="23">
        <v>1.3742</v>
      </c>
      <c r="PX45" s="23">
        <v>1.3782</v>
      </c>
      <c r="PY45" s="23">
        <v>1.3781</v>
      </c>
      <c r="PZ45" s="23">
        <v>1.3754</v>
      </c>
      <c r="QA45" s="23">
        <v>1.3704</v>
      </c>
      <c r="QB45" s="23"/>
      <c r="QC45" s="23"/>
      <c r="QD45" s="23">
        <v>1.3771</v>
      </c>
      <c r="QE45" s="23">
        <v>1.3641</v>
      </c>
      <c r="QF45" s="23">
        <v>1.3521</v>
      </c>
      <c r="QG45" s="23">
        <v>1.3471</v>
      </c>
      <c r="QH45" s="23">
        <v>1.3451</v>
      </c>
      <c r="QI45" s="23"/>
      <c r="QJ45" s="23"/>
      <c r="QK45" s="23">
        <v>1.3563</v>
      </c>
      <c r="QL45" s="23">
        <v>1.3481</v>
      </c>
      <c r="QM45" s="23">
        <v>1.3428</v>
      </c>
      <c r="QN45" s="23">
        <v>1.3356</v>
      </c>
      <c r="QO45" s="23">
        <v>1.3228</v>
      </c>
      <c r="QP45" s="23"/>
      <c r="QQ45" s="23"/>
      <c r="QR45" s="23">
        <v>1.2931</v>
      </c>
      <c r="QS45" s="23">
        <v>1.3088</v>
      </c>
      <c r="QT45" s="23">
        <v>1.3326</v>
      </c>
      <c r="QU45" s="23">
        <v>1.3296</v>
      </c>
      <c r="QV45" s="23">
        <v>1.3339</v>
      </c>
      <c r="QW45" s="23"/>
      <c r="QX45" s="23"/>
      <c r="QY45" s="23"/>
      <c r="QZ45" s="23">
        <v>1.343</v>
      </c>
      <c r="RA45" s="23">
        <v>1.3605</v>
      </c>
      <c r="RB45" s="23">
        <v>1.3597</v>
      </c>
      <c r="RC45" s="23">
        <v>1.3594</v>
      </c>
      <c r="RD45" s="23"/>
      <c r="RE45" s="23"/>
      <c r="RF45" s="23">
        <v>1.3569</v>
      </c>
      <c r="RG45" s="23">
        <v>1.3525</v>
      </c>
      <c r="RH45" s="23">
        <v>1.3427</v>
      </c>
      <c r="RI45" s="23">
        <v>1.3397</v>
      </c>
      <c r="RJ45" s="23">
        <v>1.325</v>
      </c>
      <c r="RK45" s="23"/>
      <c r="RL45" s="23"/>
      <c r="RM45" s="23">
        <v>1.3259</v>
      </c>
      <c r="RN45" s="23">
        <v>1.3199</v>
      </c>
      <c r="RO45" s="23">
        <v>1.3031</v>
      </c>
      <c r="RP45" s="23">
        <v>1.2926</v>
      </c>
      <c r="RQ45" s="23">
        <v>1.2779</v>
      </c>
      <c r="RR45" s="23"/>
      <c r="RS45" s="23"/>
      <c r="RT45" s="23">
        <v>1.2959</v>
      </c>
      <c r="RU45" s="23">
        <v>1.296</v>
      </c>
      <c r="RV45" s="23">
        <v>1.2745</v>
      </c>
      <c r="RW45" s="23">
        <v>1.2802</v>
      </c>
      <c r="RX45" s="23"/>
      <c r="RY45" s="23"/>
      <c r="RZ45" s="23"/>
      <c r="SA45" s="23"/>
      <c r="SB45" s="23"/>
      <c r="SC45" s="23">
        <v>1.2882</v>
      </c>
      <c r="SD45" s="23">
        <v>1.289</v>
      </c>
      <c r="SE45" s="23">
        <v>1.2942</v>
      </c>
      <c r="SF45" s="23">
        <v>1.2954</v>
      </c>
      <c r="SG45" s="23"/>
      <c r="SH45" s="23">
        <v>1.2922</v>
      </c>
      <c r="SI45" s="23">
        <v>1.289</v>
      </c>
      <c r="SJ45" s="23">
        <v>1.2897</v>
      </c>
      <c r="SK45" s="23">
        <v>1.2952</v>
      </c>
      <c r="SL45" s="23">
        <v>1.2917</v>
      </c>
      <c r="SM45" s="23"/>
      <c r="SN45" s="23"/>
      <c r="SO45" s="23">
        <v>1.2932</v>
      </c>
      <c r="SP45" s="23">
        <v>1.2889</v>
      </c>
      <c r="SQ45" s="23">
        <v>1.2882</v>
      </c>
      <c r="SR45" s="23">
        <v>1.2874</v>
      </c>
      <c r="SS45" s="23">
        <v>1.302</v>
      </c>
      <c r="ST45" s="23"/>
      <c r="SU45" s="23"/>
      <c r="SV45" s="23">
        <v>1.2976</v>
      </c>
      <c r="SW45" s="23">
        <v>1.2976</v>
      </c>
      <c r="SX45" s="23">
        <v>1.2803</v>
      </c>
      <c r="SY45" s="23">
        <v>1.2628</v>
      </c>
      <c r="SZ45" s="23">
        <v>1.2705</v>
      </c>
      <c r="TA45" s="23"/>
      <c r="TB45" s="23"/>
      <c r="TC45" s="23">
        <v>1.2709</v>
      </c>
      <c r="TD45" s="23">
        <v>1.2762</v>
      </c>
      <c r="TE45" s="23">
        <v>1.2838</v>
      </c>
      <c r="TF45" s="23">
        <v>1.2814</v>
      </c>
      <c r="TG45" s="23">
        <v>1.2839</v>
      </c>
      <c r="TH45" s="23"/>
      <c r="TI45" s="23"/>
      <c r="TJ45" s="23">
        <v>1.2942</v>
      </c>
      <c r="TK45" s="23">
        <v>1.3018</v>
      </c>
      <c r="TL45" s="23">
        <v>1.3066</v>
      </c>
      <c r="TM45" s="23">
        <v>1.3141</v>
      </c>
      <c r="TN45" s="23">
        <v>1.3141</v>
      </c>
      <c r="TO45" s="23"/>
      <c r="TP45" s="23"/>
      <c r="TQ45" s="23">
        <v>1.3156</v>
      </c>
      <c r="TR45" s="23">
        <v>1.3063</v>
      </c>
      <c r="TS45" s="23">
        <v>1.2971</v>
      </c>
      <c r="TT45" s="23">
        <v>1.2854</v>
      </c>
      <c r="TU45" s="23"/>
      <c r="TV45" s="23"/>
      <c r="TW45" s="23"/>
      <c r="TX45" s="23">
        <v>1.2938</v>
      </c>
      <c r="TY45" s="23">
        <v>1.2979</v>
      </c>
      <c r="TZ45" s="23">
        <v>1.3003</v>
      </c>
      <c r="UA45" s="23">
        <v>1.2926</v>
      </c>
      <c r="UB45" s="23">
        <v>1.289</v>
      </c>
      <c r="UC45" s="23"/>
      <c r="UD45" s="23"/>
      <c r="UE45" s="23">
        <v>1.2734</v>
      </c>
      <c r="UF45" s="23">
        <v>1.2923</v>
      </c>
      <c r="UG45" s="23">
        <v>1.3052</v>
      </c>
      <c r="UH45" s="23">
        <v>1.2927</v>
      </c>
      <c r="UI45" s="23">
        <v>1.2901</v>
      </c>
      <c r="UJ45" s="23"/>
      <c r="UK45" s="23"/>
      <c r="UL45" s="23"/>
      <c r="UM45" s="23"/>
      <c r="UN45" s="23"/>
      <c r="UO45" s="23"/>
      <c r="UP45" s="23"/>
      <c r="UQ45" s="23"/>
      <c r="UR45" s="23"/>
      <c r="US45" s="23"/>
      <c r="UT45" s="23"/>
    </row>
    <row r="46" ht="16.5" customHeight="1" spans="4:566">
      <c r="D46" s="19" t="s">
        <v>62</v>
      </c>
      <c r="E46" s="21" t="s">
        <v>63</v>
      </c>
      <c r="F46" s="23"/>
      <c r="G46" s="23"/>
      <c r="H46" s="23">
        <v>1.4075</v>
      </c>
      <c r="I46" s="23">
        <v>1.39</v>
      </c>
      <c r="J46" s="23"/>
      <c r="K46" s="23"/>
      <c r="L46" s="23">
        <v>1.415</v>
      </c>
      <c r="M46" s="23">
        <v>1.455</v>
      </c>
      <c r="N46" s="23">
        <v>1.4725</v>
      </c>
      <c r="O46" s="23">
        <v>1.508</v>
      </c>
      <c r="P46" s="23">
        <v>1.5055</v>
      </c>
      <c r="Q46" s="23"/>
      <c r="R46" s="23"/>
      <c r="S46" s="23">
        <v>1.545</v>
      </c>
      <c r="T46" s="23">
        <v>1.48</v>
      </c>
      <c r="U46" s="23">
        <v>1.485</v>
      </c>
      <c r="V46" s="23">
        <v>1.51</v>
      </c>
      <c r="W46" s="23">
        <v>1.515</v>
      </c>
      <c r="X46" s="23"/>
      <c r="Y46" s="23"/>
      <c r="Z46" s="23">
        <v>1.5175</v>
      </c>
      <c r="AA46" s="23">
        <v>1.4975</v>
      </c>
      <c r="AB46" s="23">
        <v>1.5</v>
      </c>
      <c r="AC46" s="23">
        <v>1.54</v>
      </c>
      <c r="AD46" s="23">
        <v>1.5425</v>
      </c>
      <c r="AE46" s="23"/>
      <c r="AF46" s="23">
        <v>1.5427</v>
      </c>
      <c r="AG46" s="23">
        <v>1.4877</v>
      </c>
      <c r="AH46" s="23"/>
      <c r="AI46" s="23"/>
      <c r="AJ46" s="23"/>
      <c r="AK46" s="23"/>
      <c r="AL46" s="23"/>
      <c r="AM46" s="23"/>
      <c r="AN46" s="23"/>
      <c r="AO46" s="23"/>
      <c r="AP46" s="23">
        <v>1.4827</v>
      </c>
      <c r="AQ46" s="23">
        <v>1.4627</v>
      </c>
      <c r="AR46" s="23">
        <v>1.4727</v>
      </c>
      <c r="AS46" s="23">
        <v>1.4747</v>
      </c>
      <c r="AT46" s="23"/>
      <c r="AU46" s="23">
        <v>1.5174</v>
      </c>
      <c r="AV46" s="23">
        <v>1.5251</v>
      </c>
      <c r="AW46" s="23">
        <v>1.5351</v>
      </c>
      <c r="AX46" s="23">
        <v>1.5551</v>
      </c>
      <c r="AY46" s="23">
        <v>1.5903</v>
      </c>
      <c r="AZ46" s="23"/>
      <c r="BA46" s="23"/>
      <c r="BB46" s="23">
        <v>1.6153</v>
      </c>
      <c r="BC46" s="23">
        <v>1.6303</v>
      </c>
      <c r="BD46" s="23">
        <v>1.6153</v>
      </c>
      <c r="BE46" s="23">
        <v>1.6518</v>
      </c>
      <c r="BF46" s="23">
        <v>1.6868</v>
      </c>
      <c r="BG46" s="23"/>
      <c r="BH46" s="23"/>
      <c r="BI46" s="23">
        <v>1.7343</v>
      </c>
      <c r="BJ46" s="23">
        <v>1.713</v>
      </c>
      <c r="BK46" s="23">
        <v>1.7055</v>
      </c>
      <c r="BL46" s="23">
        <v>1.7405</v>
      </c>
      <c r="BM46" s="23">
        <v>1.7249</v>
      </c>
      <c r="BN46" s="23"/>
      <c r="BO46" s="23"/>
      <c r="BP46" s="23">
        <v>1.6767</v>
      </c>
      <c r="BQ46" s="23">
        <v>1.6792</v>
      </c>
      <c r="BR46" s="23">
        <v>1.6792</v>
      </c>
      <c r="BS46" s="23">
        <v>1.7142</v>
      </c>
      <c r="BT46" s="23">
        <v>1.7598</v>
      </c>
      <c r="BU46" s="23"/>
      <c r="BV46" s="23"/>
      <c r="BW46" s="23">
        <v>1.7648</v>
      </c>
      <c r="BX46" s="23">
        <v>1.8148</v>
      </c>
      <c r="BY46" s="23">
        <v>1.7523</v>
      </c>
      <c r="BZ46" s="23">
        <v>1.7422</v>
      </c>
      <c r="CA46" s="23">
        <v>1.713</v>
      </c>
      <c r="CB46" s="23"/>
      <c r="CC46" s="23"/>
      <c r="CD46" s="23">
        <v>1.7568</v>
      </c>
      <c r="CE46" s="23">
        <v>1.7468</v>
      </c>
      <c r="CF46" s="23">
        <v>1.7368</v>
      </c>
      <c r="CG46" s="23">
        <v>1.7396</v>
      </c>
      <c r="CH46" s="23">
        <v>1.74</v>
      </c>
      <c r="CI46" s="23"/>
      <c r="CJ46" s="23"/>
      <c r="CK46" s="23">
        <v>1.7399</v>
      </c>
      <c r="CL46" s="23">
        <v>1.7397</v>
      </c>
      <c r="CM46" s="23">
        <v>1.7297</v>
      </c>
      <c r="CN46" s="23">
        <v>1.7442</v>
      </c>
      <c r="CO46" s="23">
        <v>1.7393</v>
      </c>
      <c r="CP46" s="23"/>
      <c r="CQ46" s="23"/>
      <c r="CR46" s="23">
        <v>1.7443</v>
      </c>
      <c r="CS46" s="23">
        <v>1.7568</v>
      </c>
      <c r="CT46" s="23">
        <v>1.7343</v>
      </c>
      <c r="CU46" s="23">
        <v>1.6688</v>
      </c>
      <c r="CV46" s="23"/>
      <c r="CW46" s="23"/>
      <c r="CX46" s="23"/>
      <c r="CY46" s="23">
        <v>1.6056</v>
      </c>
      <c r="CZ46" s="23">
        <v>1.6785</v>
      </c>
      <c r="DA46" s="23">
        <v>1.661</v>
      </c>
      <c r="DB46" s="23">
        <v>1.6479</v>
      </c>
      <c r="DC46" s="23">
        <v>1.6171</v>
      </c>
      <c r="DD46" s="23"/>
      <c r="DE46" s="23"/>
      <c r="DF46" s="23">
        <v>1.6171</v>
      </c>
      <c r="DG46" s="23">
        <v>1.6321</v>
      </c>
      <c r="DH46" s="23">
        <v>1.6246</v>
      </c>
      <c r="DI46" s="23">
        <v>1.6439</v>
      </c>
      <c r="DJ46" s="23">
        <v>1.6489</v>
      </c>
      <c r="DK46" s="23"/>
      <c r="DL46" s="23"/>
      <c r="DM46" s="23">
        <v>1.6539</v>
      </c>
      <c r="DN46" s="23">
        <v>1.6481</v>
      </c>
      <c r="DO46" s="23">
        <v>1.6593</v>
      </c>
      <c r="DP46" s="23">
        <v>1.6643</v>
      </c>
      <c r="DQ46" s="23">
        <v>1.6643</v>
      </c>
      <c r="DR46" s="23"/>
      <c r="DS46" s="23">
        <v>1.6635</v>
      </c>
      <c r="DT46" s="23">
        <v>1.6618</v>
      </c>
      <c r="DU46" s="23">
        <v>1.6412</v>
      </c>
      <c r="DV46" s="23">
        <v>1.6335</v>
      </c>
      <c r="DW46" s="23"/>
      <c r="DX46" s="23"/>
      <c r="DY46" s="23"/>
      <c r="DZ46" s="23"/>
      <c r="EA46" s="23"/>
      <c r="EB46" s="23">
        <v>1.6412</v>
      </c>
      <c r="EC46" s="23">
        <v>1.6336</v>
      </c>
      <c r="ED46" s="23">
        <v>1.5936</v>
      </c>
      <c r="EE46" s="23">
        <v>1.5841</v>
      </c>
      <c r="EF46" s="23"/>
      <c r="EG46" s="23"/>
      <c r="EH46" s="23">
        <v>1.6032</v>
      </c>
      <c r="EI46" s="23">
        <v>1.5809</v>
      </c>
      <c r="EJ46" s="23">
        <v>1.5922</v>
      </c>
      <c r="EK46" s="23">
        <v>1.6084</v>
      </c>
      <c r="EL46" s="23">
        <v>1.6144</v>
      </c>
      <c r="EM46" s="23"/>
      <c r="EN46" s="23"/>
      <c r="EO46" s="23">
        <v>1.6108</v>
      </c>
      <c r="EP46" s="23">
        <v>1.6073</v>
      </c>
      <c r="EQ46" s="23">
        <v>1.6149</v>
      </c>
      <c r="ER46" s="23">
        <v>1.6171</v>
      </c>
      <c r="ES46" s="23">
        <v>1.6154</v>
      </c>
      <c r="ET46" s="23"/>
      <c r="EU46" s="23"/>
      <c r="EV46" s="23">
        <v>1.6104</v>
      </c>
      <c r="EW46" s="23">
        <v>1.6204</v>
      </c>
      <c r="EX46" s="23">
        <v>1.6304</v>
      </c>
      <c r="EY46" s="23">
        <v>1.6404</v>
      </c>
      <c r="EZ46" s="23">
        <v>1.6304</v>
      </c>
      <c r="FA46" s="23"/>
      <c r="FB46" s="23"/>
      <c r="FC46" s="23"/>
      <c r="FD46" s="23">
        <v>1.6392</v>
      </c>
      <c r="FE46" s="23">
        <v>1.6292</v>
      </c>
      <c r="FF46" s="23">
        <v>1.6217</v>
      </c>
      <c r="FG46" s="23">
        <v>1.6042</v>
      </c>
      <c r="FH46" s="23"/>
      <c r="FI46" s="23"/>
      <c r="FJ46" s="23">
        <v>1.6017</v>
      </c>
      <c r="FK46" s="23">
        <v>1.6017</v>
      </c>
      <c r="FL46" s="23">
        <v>1.5942</v>
      </c>
      <c r="FM46" s="23">
        <v>1.6042</v>
      </c>
      <c r="FN46" s="23">
        <v>1.602</v>
      </c>
      <c r="FO46" s="23"/>
      <c r="FP46" s="23"/>
      <c r="FQ46" s="23">
        <v>1.6045</v>
      </c>
      <c r="FR46" s="23">
        <v>1.5857</v>
      </c>
      <c r="FS46" s="23">
        <v>1.5832</v>
      </c>
      <c r="FT46" s="23">
        <v>1.5782</v>
      </c>
      <c r="FU46" s="23">
        <v>1.5782</v>
      </c>
      <c r="FV46" s="23"/>
      <c r="FW46" s="23"/>
      <c r="FX46" s="23">
        <v>1.5782</v>
      </c>
      <c r="FY46" s="23">
        <v>1.5907</v>
      </c>
      <c r="FZ46" s="23">
        <v>1.5907</v>
      </c>
      <c r="GA46" s="23">
        <v>1.5807</v>
      </c>
      <c r="GB46" s="23">
        <v>1.5757</v>
      </c>
      <c r="GC46" s="23"/>
      <c r="GD46" s="23"/>
      <c r="GE46" s="23">
        <v>1.5807</v>
      </c>
      <c r="GF46" s="23">
        <v>1.5657</v>
      </c>
      <c r="GG46" s="23">
        <v>1.5557</v>
      </c>
      <c r="GH46" s="23">
        <v>1.5572</v>
      </c>
      <c r="GI46" s="23">
        <v>1.5557</v>
      </c>
      <c r="GJ46" s="23"/>
      <c r="GK46" s="23"/>
      <c r="GL46" s="23">
        <v>1.5582</v>
      </c>
      <c r="GM46" s="23">
        <v>1.5682</v>
      </c>
      <c r="GN46" s="23">
        <v>1.5732</v>
      </c>
      <c r="GO46" s="23">
        <v>1.5922</v>
      </c>
      <c r="GP46" s="23">
        <v>1.5972</v>
      </c>
      <c r="GQ46" s="23"/>
      <c r="GR46" s="23"/>
      <c r="GS46" s="23">
        <v>1.6072</v>
      </c>
      <c r="GT46" s="23">
        <v>1.6</v>
      </c>
      <c r="GU46" s="23">
        <v>1.6</v>
      </c>
      <c r="GV46" s="23">
        <v>1.6025</v>
      </c>
      <c r="GW46" s="23">
        <v>1.6</v>
      </c>
      <c r="GX46" s="23"/>
      <c r="GY46" s="23"/>
      <c r="GZ46" s="23">
        <v>1.6125</v>
      </c>
      <c r="HA46" s="23">
        <v>1.6225</v>
      </c>
      <c r="HB46" s="23">
        <v>1.64</v>
      </c>
      <c r="HC46" s="23">
        <v>1.68</v>
      </c>
      <c r="HD46" s="23">
        <v>1.675</v>
      </c>
      <c r="HE46" s="23"/>
      <c r="HF46" s="23"/>
      <c r="HG46" s="23">
        <v>1.66</v>
      </c>
      <c r="HH46" s="23">
        <v>1.675</v>
      </c>
      <c r="HI46" s="23">
        <v>1.6625</v>
      </c>
      <c r="HJ46" s="23">
        <v>1.64</v>
      </c>
      <c r="HK46" s="23">
        <v>1.64</v>
      </c>
      <c r="HL46" s="23"/>
      <c r="HM46" s="23"/>
      <c r="HN46" s="23">
        <v>1.645</v>
      </c>
      <c r="HO46" s="23">
        <v>1.65</v>
      </c>
      <c r="HP46" s="23">
        <v>1.6425</v>
      </c>
      <c r="HQ46" s="23">
        <v>1.64</v>
      </c>
      <c r="HR46" s="23">
        <v>1.63</v>
      </c>
      <c r="HS46" s="23"/>
      <c r="HT46" s="23"/>
      <c r="HU46" s="23">
        <v>1.645</v>
      </c>
      <c r="HV46" s="23">
        <v>1.66</v>
      </c>
      <c r="HW46" s="23">
        <v>1.6525</v>
      </c>
      <c r="HX46" s="23">
        <v>1.66</v>
      </c>
      <c r="HY46" s="23">
        <v>1.67</v>
      </c>
      <c r="HZ46" s="23"/>
      <c r="IA46" s="23"/>
      <c r="IB46" s="23">
        <v>1.72</v>
      </c>
      <c r="IC46" s="23">
        <v>1.705</v>
      </c>
      <c r="ID46" s="23">
        <v>1.7125</v>
      </c>
      <c r="IE46" s="23">
        <v>1.7006</v>
      </c>
      <c r="IF46" s="23">
        <v>1.6955</v>
      </c>
      <c r="IG46" s="23"/>
      <c r="IH46" s="23"/>
      <c r="II46" s="23">
        <v>1.683</v>
      </c>
      <c r="IJ46" s="23">
        <v>1.6769</v>
      </c>
      <c r="IK46" s="23">
        <v>1.6769</v>
      </c>
      <c r="IL46" s="23">
        <v>1.7019</v>
      </c>
      <c r="IM46" s="23">
        <v>1.6916</v>
      </c>
      <c r="IN46" s="23"/>
      <c r="IO46" s="23"/>
      <c r="IP46" s="31">
        <v>1.6846</v>
      </c>
      <c r="IQ46" s="31">
        <v>1.6744</v>
      </c>
      <c r="IR46" s="31">
        <v>1.6619</v>
      </c>
      <c r="IS46" s="31">
        <v>1.6644</v>
      </c>
      <c r="IT46" s="31">
        <v>1.6794</v>
      </c>
      <c r="IU46" s="31"/>
      <c r="IV46" s="31"/>
      <c r="IW46" s="31">
        <v>1.7019</v>
      </c>
      <c r="IX46" s="31">
        <v>1.7207</v>
      </c>
      <c r="IY46" s="31">
        <v>1.7504</v>
      </c>
      <c r="IZ46" s="31">
        <v>1.7461</v>
      </c>
      <c r="JA46" s="31">
        <v>1.7411</v>
      </c>
      <c r="JB46" s="31"/>
      <c r="JC46" s="31"/>
      <c r="JD46" s="31">
        <v>1.7656</v>
      </c>
      <c r="JE46" s="31">
        <v>1.78</v>
      </c>
      <c r="JF46" s="31">
        <v>1.76</v>
      </c>
      <c r="JG46" s="31">
        <v>1.7701</v>
      </c>
      <c r="JH46" s="31">
        <v>1.7807</v>
      </c>
      <c r="JI46" s="31"/>
      <c r="JJ46" s="31"/>
      <c r="JK46" s="31">
        <v>1.7708</v>
      </c>
      <c r="JL46" s="31">
        <v>1.7838</v>
      </c>
      <c r="JM46" s="31">
        <v>1.7923</v>
      </c>
      <c r="JN46" s="31">
        <v>1.802</v>
      </c>
      <c r="JO46" s="31">
        <v>1.8009</v>
      </c>
      <c r="JP46" s="31"/>
      <c r="JQ46" s="31">
        <v>1.7954</v>
      </c>
      <c r="JR46" s="31">
        <v>1.7996</v>
      </c>
      <c r="JS46" s="31">
        <v>1.7796</v>
      </c>
      <c r="JT46" s="31"/>
      <c r="JU46" s="31"/>
      <c r="JV46" s="31"/>
      <c r="JW46" s="31"/>
      <c r="JX46" s="31"/>
      <c r="JY46" s="31"/>
      <c r="JZ46" s="23"/>
      <c r="KA46" s="23"/>
      <c r="KB46" s="23">
        <v>1.7802</v>
      </c>
      <c r="KC46" s="23">
        <v>1.7827</v>
      </c>
      <c r="KD46" s="23">
        <v>1.7613</v>
      </c>
      <c r="KE46" s="23"/>
      <c r="KF46" s="23">
        <v>1.7813</v>
      </c>
      <c r="KG46" s="23">
        <v>1.7826</v>
      </c>
      <c r="KH46" s="23">
        <v>1.7888</v>
      </c>
      <c r="KI46" s="23">
        <v>1.7955</v>
      </c>
      <c r="KJ46" s="23">
        <v>1.7852</v>
      </c>
      <c r="KK46" s="23"/>
      <c r="KL46" s="23"/>
      <c r="KM46" s="23">
        <v>1.794</v>
      </c>
      <c r="KN46" s="23">
        <v>1.7925</v>
      </c>
      <c r="KO46" s="23">
        <v>1.7822</v>
      </c>
      <c r="KP46" s="23">
        <v>1.7816</v>
      </c>
      <c r="KQ46" s="23">
        <v>1.7813</v>
      </c>
      <c r="KR46" s="23"/>
      <c r="KS46" s="23"/>
      <c r="KT46" s="23">
        <v>1.7738</v>
      </c>
      <c r="KU46" s="23">
        <v>1.745</v>
      </c>
      <c r="KV46" s="23">
        <v>1.7275</v>
      </c>
      <c r="KW46" s="23">
        <v>1.7231</v>
      </c>
      <c r="KX46" s="23">
        <v>1.7206</v>
      </c>
      <c r="KY46" s="23"/>
      <c r="KZ46" s="23"/>
      <c r="LA46" s="23">
        <v>1.7256</v>
      </c>
      <c r="LB46" s="23">
        <v>1.7287</v>
      </c>
      <c r="LC46" s="23">
        <v>1.7248</v>
      </c>
      <c r="LD46" s="23">
        <v>1.7363</v>
      </c>
      <c r="LE46" s="23">
        <v>1.7516</v>
      </c>
      <c r="LF46" s="23"/>
      <c r="LG46" s="23"/>
      <c r="LH46" s="23">
        <v>1.7456</v>
      </c>
      <c r="LI46" s="23">
        <v>1.7399</v>
      </c>
      <c r="LJ46" s="23">
        <v>1.731</v>
      </c>
      <c r="LK46" s="23">
        <v>1.7303</v>
      </c>
      <c r="LL46" s="23">
        <v>1.724</v>
      </c>
      <c r="LM46" s="23"/>
      <c r="LN46" s="23"/>
      <c r="LO46" s="23">
        <v>1.7159</v>
      </c>
      <c r="LP46" s="23">
        <v>1.7158</v>
      </c>
      <c r="LQ46" s="23">
        <v>1.7185</v>
      </c>
      <c r="LR46" s="23">
        <v>1.7165</v>
      </c>
      <c r="LS46" s="23">
        <v>1.7159</v>
      </c>
      <c r="LT46" s="23"/>
      <c r="LU46" s="23"/>
      <c r="LV46" s="23">
        <v>1.7107</v>
      </c>
      <c r="LW46" s="23">
        <v>1.7136</v>
      </c>
      <c r="LX46" s="23">
        <v>1.7244</v>
      </c>
      <c r="LY46" s="23">
        <v>1.7266</v>
      </c>
      <c r="LZ46" s="23">
        <v>1.7189</v>
      </c>
      <c r="MA46" s="23"/>
      <c r="MB46" s="23"/>
      <c r="MC46" s="23">
        <v>1.7097</v>
      </c>
      <c r="MD46" s="23">
        <v>1.7099</v>
      </c>
      <c r="ME46" s="23">
        <v>1.7206</v>
      </c>
      <c r="MF46" s="23">
        <v>1.7641</v>
      </c>
      <c r="MG46" s="23">
        <v>1.7642</v>
      </c>
      <c r="MH46" s="23"/>
      <c r="MI46" s="23"/>
      <c r="MJ46" s="23">
        <v>1.7644</v>
      </c>
      <c r="MK46" s="23">
        <v>1.7433</v>
      </c>
      <c r="ML46" s="23">
        <v>1.735</v>
      </c>
      <c r="MM46" s="23">
        <v>1.7282</v>
      </c>
      <c r="MN46" s="23">
        <v>1.7348</v>
      </c>
      <c r="MO46" s="23"/>
      <c r="MP46" s="23"/>
      <c r="MQ46" s="23">
        <v>1.7373</v>
      </c>
      <c r="MR46" s="23">
        <v>1.732</v>
      </c>
      <c r="MS46" s="23">
        <v>1.7152</v>
      </c>
      <c r="MT46" s="23">
        <v>1.7002</v>
      </c>
      <c r="MU46" s="23">
        <v>1.6802</v>
      </c>
      <c r="MV46" s="23"/>
      <c r="MW46" s="23"/>
      <c r="MX46" s="23">
        <v>1.6827</v>
      </c>
      <c r="MY46" s="23">
        <v>1.6702</v>
      </c>
      <c r="MZ46" s="23">
        <v>1.671</v>
      </c>
      <c r="NA46" s="23">
        <v>1.676</v>
      </c>
      <c r="NB46" s="23">
        <v>1.6744</v>
      </c>
      <c r="NC46" s="23"/>
      <c r="ND46" s="23"/>
      <c r="NE46" s="23">
        <v>1.6894</v>
      </c>
      <c r="NF46" s="23">
        <v>1.6975</v>
      </c>
      <c r="NG46" s="23">
        <v>1.6969</v>
      </c>
      <c r="NH46" s="23"/>
      <c r="NI46" s="23"/>
      <c r="NJ46" s="23"/>
      <c r="NK46" s="23">
        <v>1.6911</v>
      </c>
      <c r="NL46" s="23">
        <v>1.7011</v>
      </c>
      <c r="NM46" s="23">
        <v>1.7211</v>
      </c>
      <c r="NN46" s="23">
        <v>1.7361</v>
      </c>
      <c r="NO46" s="23">
        <v>1.7261</v>
      </c>
      <c r="NP46" s="23">
        <v>1.7261</v>
      </c>
      <c r="NQ46" s="23"/>
      <c r="NR46" s="23"/>
      <c r="NS46" s="23">
        <v>1.7236</v>
      </c>
      <c r="NT46" s="23">
        <v>1.7236</v>
      </c>
      <c r="NU46" s="23">
        <v>1.721</v>
      </c>
      <c r="NV46" s="23">
        <v>1.718</v>
      </c>
      <c r="NW46" s="23">
        <v>1.7085</v>
      </c>
      <c r="NX46" s="23"/>
      <c r="NY46" s="23"/>
      <c r="NZ46" s="23">
        <v>1.711</v>
      </c>
      <c r="OA46" s="23">
        <v>1.706</v>
      </c>
      <c r="OB46" s="23">
        <v>1.7085</v>
      </c>
      <c r="OC46" s="23">
        <v>1.7135</v>
      </c>
      <c r="OD46" s="23">
        <v>1.701</v>
      </c>
      <c r="OE46" s="23"/>
      <c r="OF46" s="23"/>
      <c r="OG46" s="23">
        <v>1.701</v>
      </c>
      <c r="OH46" s="23">
        <v>1.7035</v>
      </c>
      <c r="OI46" s="23">
        <v>1.6972</v>
      </c>
      <c r="OJ46" s="23">
        <v>1.6922</v>
      </c>
      <c r="OK46" s="23">
        <v>1.6922</v>
      </c>
      <c r="OL46" s="23"/>
      <c r="OM46" s="23"/>
      <c r="ON46" s="23">
        <v>1.6931</v>
      </c>
      <c r="OO46" s="23">
        <v>1.6916</v>
      </c>
      <c r="OP46" s="23">
        <v>1.6916</v>
      </c>
      <c r="OQ46" s="23">
        <v>1.6802</v>
      </c>
      <c r="OR46" s="23">
        <v>1.6702</v>
      </c>
      <c r="OS46" s="23"/>
      <c r="OT46" s="23"/>
      <c r="OU46" s="23">
        <v>1.6602</v>
      </c>
      <c r="OV46" s="23">
        <v>1.6652</v>
      </c>
      <c r="OW46" s="23">
        <v>1.6677</v>
      </c>
      <c r="OX46" s="23">
        <v>1.6604</v>
      </c>
      <c r="OY46" s="23">
        <v>1.6604</v>
      </c>
      <c r="OZ46" s="23">
        <v>1.6585</v>
      </c>
      <c r="PA46" s="23"/>
      <c r="PB46" s="23"/>
      <c r="PC46" s="23"/>
      <c r="PD46" s="23"/>
      <c r="PE46" s="23"/>
      <c r="PF46" s="23"/>
      <c r="PG46" s="23"/>
      <c r="PH46" s="23"/>
      <c r="PI46" s="23"/>
      <c r="PJ46" s="23">
        <v>1.6576</v>
      </c>
      <c r="PK46" s="23">
        <v>1.6701</v>
      </c>
      <c r="PL46" s="23">
        <v>1.6801</v>
      </c>
      <c r="PM46" s="23">
        <v>1.6725</v>
      </c>
      <c r="PN46" s="23">
        <v>1.6695</v>
      </c>
      <c r="PO46" s="23"/>
      <c r="PP46" s="23">
        <v>1.6543</v>
      </c>
      <c r="PQ46" s="23">
        <v>1.6443</v>
      </c>
      <c r="PR46" s="23">
        <v>1.6268</v>
      </c>
      <c r="PS46" s="23">
        <v>1.6293</v>
      </c>
      <c r="PT46" s="23">
        <v>1.6293</v>
      </c>
      <c r="PU46" s="23"/>
      <c r="PV46" s="23"/>
      <c r="PW46" s="23">
        <v>1.6493</v>
      </c>
      <c r="PX46" s="23">
        <v>1.6418</v>
      </c>
      <c r="PY46" s="23">
        <v>1.6443</v>
      </c>
      <c r="PZ46" s="23">
        <v>1.6268</v>
      </c>
      <c r="QA46" s="23">
        <v>1.6143</v>
      </c>
      <c r="QB46" s="23"/>
      <c r="QC46" s="23"/>
      <c r="QD46" s="23">
        <v>1.6193</v>
      </c>
      <c r="QE46" s="23">
        <v>1.6118</v>
      </c>
      <c r="QF46" s="23">
        <v>1.5951</v>
      </c>
      <c r="QG46" s="23">
        <v>1.5939</v>
      </c>
      <c r="QH46" s="23">
        <v>1.5922</v>
      </c>
      <c r="QI46" s="23"/>
      <c r="QJ46" s="23"/>
      <c r="QK46" s="23">
        <v>1.6009</v>
      </c>
      <c r="QL46" s="23">
        <v>1.6078</v>
      </c>
      <c r="QM46" s="23">
        <v>1.6052</v>
      </c>
      <c r="QN46" s="23">
        <v>1.597</v>
      </c>
      <c r="QO46" s="23">
        <v>1.5861</v>
      </c>
      <c r="QP46" s="23"/>
      <c r="QQ46" s="23"/>
      <c r="QR46" s="23">
        <v>1.5646</v>
      </c>
      <c r="QS46" s="23">
        <v>1.5703</v>
      </c>
      <c r="QT46" s="23">
        <v>1.5803</v>
      </c>
      <c r="QU46" s="23">
        <v>1.5715</v>
      </c>
      <c r="QV46" s="23">
        <v>1.5595</v>
      </c>
      <c r="QW46" s="23"/>
      <c r="QX46" s="23"/>
      <c r="QY46" s="23"/>
      <c r="QZ46" s="23">
        <v>1.5645</v>
      </c>
      <c r="RA46" s="23">
        <v>1.577</v>
      </c>
      <c r="RB46" s="23">
        <v>1.5887</v>
      </c>
      <c r="RC46" s="23">
        <v>1.5895</v>
      </c>
      <c r="RD46" s="23"/>
      <c r="RE46" s="23"/>
      <c r="RF46" s="23">
        <v>1.5908</v>
      </c>
      <c r="RG46" s="23">
        <v>1.5903</v>
      </c>
      <c r="RH46" s="23">
        <v>1.5733</v>
      </c>
      <c r="RI46" s="23">
        <v>1.5633</v>
      </c>
      <c r="RJ46" s="23">
        <v>1.5482</v>
      </c>
      <c r="RK46" s="23"/>
      <c r="RL46" s="23"/>
      <c r="RM46" s="23">
        <v>1.5537</v>
      </c>
      <c r="RN46" s="23">
        <v>1.5484</v>
      </c>
      <c r="RO46" s="23">
        <v>1.5433</v>
      </c>
      <c r="RP46" s="23">
        <v>1.5446</v>
      </c>
      <c r="RQ46" s="23">
        <v>1.5458</v>
      </c>
      <c r="RR46" s="23"/>
      <c r="RS46" s="23"/>
      <c r="RT46" s="23">
        <v>1.5581</v>
      </c>
      <c r="RU46" s="23">
        <v>1.5506</v>
      </c>
      <c r="RV46" s="23">
        <v>1.5381</v>
      </c>
      <c r="RW46" s="23">
        <v>1.5406</v>
      </c>
      <c r="RX46" s="23"/>
      <c r="RY46" s="23"/>
      <c r="RZ46" s="23"/>
      <c r="SA46" s="23"/>
      <c r="SB46" s="23"/>
      <c r="SC46" s="23">
        <v>1.5481</v>
      </c>
      <c r="SD46" s="23">
        <v>1.5386</v>
      </c>
      <c r="SE46" s="23">
        <v>1.5354</v>
      </c>
      <c r="SF46" s="23">
        <v>1.5304</v>
      </c>
      <c r="SG46" s="23"/>
      <c r="SH46" s="23">
        <v>1.5221</v>
      </c>
      <c r="SI46" s="23">
        <v>1.5137</v>
      </c>
      <c r="SJ46" s="23">
        <v>1.5079</v>
      </c>
      <c r="SK46" s="23">
        <v>1.5069</v>
      </c>
      <c r="SL46" s="23">
        <v>1.5069</v>
      </c>
      <c r="SM46" s="23"/>
      <c r="SN46" s="23"/>
      <c r="SO46" s="23">
        <v>1.5032</v>
      </c>
      <c r="SP46" s="23">
        <v>1.5079</v>
      </c>
      <c r="SQ46" s="23">
        <v>1.5072</v>
      </c>
      <c r="SR46" s="23">
        <v>1.511</v>
      </c>
      <c r="SS46" s="23">
        <v>1.506</v>
      </c>
      <c r="ST46" s="23"/>
      <c r="SU46" s="23"/>
      <c r="SV46" s="23">
        <v>1.4983</v>
      </c>
      <c r="SW46" s="23">
        <v>1.4758</v>
      </c>
      <c r="SX46" s="23">
        <v>1.4608</v>
      </c>
      <c r="SY46" s="23">
        <v>1.4528</v>
      </c>
      <c r="SZ46" s="23">
        <v>1.4528</v>
      </c>
      <c r="TA46" s="23"/>
      <c r="TB46" s="23"/>
      <c r="TC46" s="23">
        <v>1.446</v>
      </c>
      <c r="TD46" s="23">
        <v>1.451</v>
      </c>
      <c r="TE46" s="23">
        <v>1.4527</v>
      </c>
      <c r="TF46" s="23">
        <v>1.4452</v>
      </c>
      <c r="TG46" s="23">
        <v>1.4502</v>
      </c>
      <c r="TH46" s="23"/>
      <c r="TI46" s="23"/>
      <c r="TJ46" s="23">
        <v>1.4502</v>
      </c>
      <c r="TK46" s="23">
        <v>1.4602</v>
      </c>
      <c r="TL46" s="23">
        <v>1.4667</v>
      </c>
      <c r="TM46" s="23">
        <v>1.4817</v>
      </c>
      <c r="TN46" s="23">
        <v>1.4817</v>
      </c>
      <c r="TO46" s="23"/>
      <c r="TP46" s="23"/>
      <c r="TQ46" s="23">
        <v>1.4867</v>
      </c>
      <c r="TR46" s="23">
        <v>1.4749</v>
      </c>
      <c r="TS46" s="23">
        <v>1.4697</v>
      </c>
      <c r="TT46" s="23">
        <v>1.4597</v>
      </c>
      <c r="TU46" s="23"/>
      <c r="TV46" s="23"/>
      <c r="TW46" s="23"/>
      <c r="TX46" s="23">
        <v>1.4656</v>
      </c>
      <c r="TY46" s="23">
        <v>1.4676</v>
      </c>
      <c r="TZ46" s="23">
        <v>1.4613</v>
      </c>
      <c r="UA46" s="23">
        <v>1.4567</v>
      </c>
      <c r="UB46" s="23">
        <v>1.4546</v>
      </c>
      <c r="UC46" s="23"/>
      <c r="UD46" s="23"/>
      <c r="UE46" s="23">
        <v>1.4438</v>
      </c>
      <c r="UF46" s="23">
        <v>1.4613</v>
      </c>
      <c r="UG46" s="23">
        <v>1.477</v>
      </c>
      <c r="UH46" s="23">
        <v>1.4731</v>
      </c>
      <c r="UI46" s="23">
        <v>1.4701</v>
      </c>
      <c r="UJ46" s="23"/>
      <c r="UK46" s="23"/>
      <c r="UL46" s="23"/>
      <c r="UM46" s="23"/>
      <c r="UN46" s="23"/>
      <c r="UO46" s="23"/>
      <c r="UP46" s="23"/>
      <c r="UQ46" s="23"/>
      <c r="UR46" s="23"/>
      <c r="US46" s="23"/>
      <c r="UT46" s="23"/>
    </row>
    <row r="47" ht="16.5" customHeight="1" spans="4:566">
      <c r="D47" s="19" t="s">
        <v>64</v>
      </c>
      <c r="E47" s="21" t="s">
        <v>65</v>
      </c>
      <c r="F47" s="23"/>
      <c r="G47" s="23"/>
      <c r="H47" s="23">
        <v>1.2618</v>
      </c>
      <c r="I47" s="23">
        <v>1.2818</v>
      </c>
      <c r="J47" s="23"/>
      <c r="K47" s="23"/>
      <c r="L47" s="23">
        <v>1.2918</v>
      </c>
      <c r="M47" s="23">
        <v>1.3418</v>
      </c>
      <c r="N47" s="23">
        <v>1.35</v>
      </c>
      <c r="O47" s="23">
        <v>1.36</v>
      </c>
      <c r="P47" s="23">
        <v>1.3805</v>
      </c>
      <c r="Q47" s="23"/>
      <c r="R47" s="23"/>
      <c r="S47" s="23">
        <v>1.4101</v>
      </c>
      <c r="T47" s="23">
        <v>1.3901</v>
      </c>
      <c r="U47" s="23">
        <v>1.3902</v>
      </c>
      <c r="V47" s="23">
        <v>1.4352</v>
      </c>
      <c r="W47" s="23">
        <v>1.4601</v>
      </c>
      <c r="X47" s="23"/>
      <c r="Y47" s="23"/>
      <c r="Z47" s="23">
        <v>1.4502</v>
      </c>
      <c r="AA47" s="23">
        <v>1.4502</v>
      </c>
      <c r="AB47" s="23">
        <v>1.4304</v>
      </c>
      <c r="AC47" s="23">
        <v>1.4804</v>
      </c>
      <c r="AD47" s="23">
        <v>1.4804</v>
      </c>
      <c r="AE47" s="23"/>
      <c r="AF47" s="23">
        <v>1.4951</v>
      </c>
      <c r="AG47" s="23">
        <v>1.4482</v>
      </c>
      <c r="AH47" s="23"/>
      <c r="AI47" s="23"/>
      <c r="AJ47" s="23"/>
      <c r="AK47" s="23"/>
      <c r="AL47" s="23"/>
      <c r="AM47" s="23"/>
      <c r="AN47" s="23"/>
      <c r="AO47" s="23"/>
      <c r="AP47" s="23">
        <v>1.4434</v>
      </c>
      <c r="AQ47" s="23">
        <v>1.4308</v>
      </c>
      <c r="AR47" s="23">
        <v>1.4309</v>
      </c>
      <c r="AS47" s="23">
        <v>1.4308</v>
      </c>
      <c r="AT47" s="23"/>
      <c r="AU47" s="23">
        <v>1.477</v>
      </c>
      <c r="AV47" s="23">
        <v>1.507</v>
      </c>
      <c r="AW47" s="23">
        <v>1.492</v>
      </c>
      <c r="AX47" s="23">
        <v>1.512</v>
      </c>
      <c r="AY47" s="23">
        <v>1.5217</v>
      </c>
      <c r="AZ47" s="23"/>
      <c r="BA47" s="23"/>
      <c r="BB47" s="23">
        <v>1.5426</v>
      </c>
      <c r="BC47" s="23">
        <v>1.5876</v>
      </c>
      <c r="BD47" s="23">
        <v>1.5776</v>
      </c>
      <c r="BE47" s="23">
        <v>1.6022</v>
      </c>
      <c r="BF47" s="23">
        <v>1.6322</v>
      </c>
      <c r="BG47" s="23"/>
      <c r="BH47" s="23"/>
      <c r="BI47" s="23">
        <v>1.6522</v>
      </c>
      <c r="BJ47" s="23">
        <v>1.6822</v>
      </c>
      <c r="BK47" s="23">
        <v>1.6622</v>
      </c>
      <c r="BL47" s="23">
        <v>1.6922</v>
      </c>
      <c r="BM47" s="23">
        <v>1.6822</v>
      </c>
      <c r="BN47" s="23"/>
      <c r="BO47" s="23"/>
      <c r="BP47" s="23">
        <v>1.6622</v>
      </c>
      <c r="BQ47" s="23">
        <v>1.6422</v>
      </c>
      <c r="BR47" s="23">
        <v>1.6422</v>
      </c>
      <c r="BS47" s="23">
        <v>1.6522</v>
      </c>
      <c r="BT47" s="23">
        <v>1.6822</v>
      </c>
      <c r="BU47" s="23"/>
      <c r="BV47" s="23"/>
      <c r="BW47" s="23">
        <v>1.693</v>
      </c>
      <c r="BX47" s="23">
        <v>1.713</v>
      </c>
      <c r="BY47" s="23">
        <v>1.688</v>
      </c>
      <c r="BZ47" s="23">
        <v>1.688</v>
      </c>
      <c r="CA47" s="23">
        <v>1.678</v>
      </c>
      <c r="CB47" s="23"/>
      <c r="CC47" s="23"/>
      <c r="CD47" s="23">
        <v>1.698</v>
      </c>
      <c r="CE47" s="23">
        <v>1.693</v>
      </c>
      <c r="CF47" s="23">
        <v>1.6968</v>
      </c>
      <c r="CG47" s="23">
        <v>1.6823</v>
      </c>
      <c r="CH47" s="23">
        <v>1.6523</v>
      </c>
      <c r="CI47" s="23"/>
      <c r="CJ47" s="23"/>
      <c r="CK47" s="23">
        <v>1.6523</v>
      </c>
      <c r="CL47" s="23">
        <v>1.6448</v>
      </c>
      <c r="CM47" s="23">
        <v>1.6423</v>
      </c>
      <c r="CN47" s="23">
        <v>1.6523</v>
      </c>
      <c r="CO47" s="23">
        <v>1.6473</v>
      </c>
      <c r="CP47" s="23"/>
      <c r="CQ47" s="23"/>
      <c r="CR47" s="23">
        <v>1.6373</v>
      </c>
      <c r="CS47" s="23">
        <v>1.6423</v>
      </c>
      <c r="CT47" s="23">
        <v>1.6423</v>
      </c>
      <c r="CU47" s="23">
        <v>1.5948</v>
      </c>
      <c r="CV47" s="23"/>
      <c r="CW47" s="23"/>
      <c r="CX47" s="23"/>
      <c r="CY47" s="23">
        <v>1.5573</v>
      </c>
      <c r="CZ47" s="23">
        <v>1.6148</v>
      </c>
      <c r="DA47" s="23">
        <v>1.5948</v>
      </c>
      <c r="DB47" s="23">
        <v>1.5806</v>
      </c>
      <c r="DC47" s="23">
        <v>1.5551</v>
      </c>
      <c r="DD47" s="23"/>
      <c r="DE47" s="23"/>
      <c r="DF47" s="23">
        <v>1.5602</v>
      </c>
      <c r="DG47" s="23">
        <v>1.5752</v>
      </c>
      <c r="DH47" s="23">
        <v>1.5702</v>
      </c>
      <c r="DI47" s="23">
        <v>1.5752</v>
      </c>
      <c r="DJ47" s="23">
        <v>1.5703</v>
      </c>
      <c r="DK47" s="23"/>
      <c r="DL47" s="23"/>
      <c r="DM47" s="23">
        <v>1.5756</v>
      </c>
      <c r="DN47" s="23">
        <v>1.5681</v>
      </c>
      <c r="DO47" s="23">
        <v>1.5683</v>
      </c>
      <c r="DP47" s="23">
        <v>1.5708</v>
      </c>
      <c r="DQ47" s="23">
        <v>1.5684</v>
      </c>
      <c r="DR47" s="23"/>
      <c r="DS47" s="23">
        <v>1.5698</v>
      </c>
      <c r="DT47" s="23">
        <v>1.571</v>
      </c>
      <c r="DU47" s="23">
        <v>1.5708</v>
      </c>
      <c r="DV47" s="23">
        <v>1.5656</v>
      </c>
      <c r="DW47" s="23"/>
      <c r="DX47" s="23"/>
      <c r="DY47" s="23"/>
      <c r="DZ47" s="23"/>
      <c r="EA47" s="23"/>
      <c r="EB47" s="23">
        <v>1.5659</v>
      </c>
      <c r="EC47" s="23">
        <v>1.5312</v>
      </c>
      <c r="ED47" s="23">
        <v>1.4821</v>
      </c>
      <c r="EE47" s="23">
        <v>1.4747</v>
      </c>
      <c r="EF47" s="23"/>
      <c r="EG47" s="23"/>
      <c r="EH47" s="23">
        <v>1.4773</v>
      </c>
      <c r="EI47" s="23">
        <v>1.4776</v>
      </c>
      <c r="EJ47" s="23">
        <v>1.4853</v>
      </c>
      <c r="EK47" s="23">
        <v>1.4877</v>
      </c>
      <c r="EL47" s="23">
        <v>1.5052</v>
      </c>
      <c r="EM47" s="23"/>
      <c r="EN47" s="23"/>
      <c r="EO47" s="23">
        <v>1.505</v>
      </c>
      <c r="EP47" s="23">
        <v>1.5</v>
      </c>
      <c r="EQ47" s="23">
        <v>1.51</v>
      </c>
      <c r="ER47" s="23">
        <v>1.5125</v>
      </c>
      <c r="ES47" s="23">
        <v>1.515</v>
      </c>
      <c r="ET47" s="23"/>
      <c r="EU47" s="23"/>
      <c r="EV47" s="23">
        <v>1.53</v>
      </c>
      <c r="EW47" s="23">
        <v>1.5325</v>
      </c>
      <c r="EX47" s="23">
        <v>1.55</v>
      </c>
      <c r="EY47" s="23">
        <v>1.5575</v>
      </c>
      <c r="EZ47" s="23">
        <v>1.53</v>
      </c>
      <c r="FA47" s="23"/>
      <c r="FB47" s="23"/>
      <c r="FC47" s="23"/>
      <c r="FD47" s="23">
        <v>1.54</v>
      </c>
      <c r="FE47" s="23">
        <v>1.5325</v>
      </c>
      <c r="FF47" s="23">
        <v>1.5299</v>
      </c>
      <c r="FG47" s="23">
        <v>1.505</v>
      </c>
      <c r="FH47" s="23"/>
      <c r="FI47" s="23"/>
      <c r="FJ47" s="23">
        <v>1.495</v>
      </c>
      <c r="FK47" s="23">
        <v>1.4975</v>
      </c>
      <c r="FL47" s="23">
        <v>1.495</v>
      </c>
      <c r="FM47" s="23">
        <v>1.5</v>
      </c>
      <c r="FN47" s="23">
        <v>1.5005</v>
      </c>
      <c r="FO47" s="23"/>
      <c r="FP47" s="23"/>
      <c r="FQ47" s="23">
        <v>1.505</v>
      </c>
      <c r="FR47" s="23">
        <v>1.4925</v>
      </c>
      <c r="FS47" s="23">
        <v>1.4925</v>
      </c>
      <c r="FT47" s="23">
        <v>1.49</v>
      </c>
      <c r="FU47" s="23">
        <v>1.485</v>
      </c>
      <c r="FV47" s="23"/>
      <c r="FW47" s="23"/>
      <c r="FX47" s="23">
        <v>1.48</v>
      </c>
      <c r="FY47" s="23">
        <v>1.4925</v>
      </c>
      <c r="FZ47" s="23">
        <v>1.4975</v>
      </c>
      <c r="GA47" s="23">
        <v>1.49</v>
      </c>
      <c r="GB47" s="23">
        <v>1.4775</v>
      </c>
      <c r="GC47" s="23"/>
      <c r="GD47" s="23"/>
      <c r="GE47" s="23">
        <v>1.475</v>
      </c>
      <c r="GF47" s="23">
        <v>1.47</v>
      </c>
      <c r="GG47" s="23">
        <v>1.4575</v>
      </c>
      <c r="GH47" s="23">
        <v>1.4474</v>
      </c>
      <c r="GI47" s="23">
        <v>1.446</v>
      </c>
      <c r="GJ47" s="23"/>
      <c r="GK47" s="23"/>
      <c r="GL47" s="23">
        <v>1.4495</v>
      </c>
      <c r="GM47" s="23">
        <v>1.465</v>
      </c>
      <c r="GN47" s="23">
        <v>1.48</v>
      </c>
      <c r="GO47" s="23">
        <v>1.4914</v>
      </c>
      <c r="GP47" s="23">
        <v>1.4946</v>
      </c>
      <c r="GQ47" s="23"/>
      <c r="GR47" s="23"/>
      <c r="GS47" s="23">
        <v>1.4974</v>
      </c>
      <c r="GT47" s="23">
        <v>1.4849</v>
      </c>
      <c r="GU47" s="23">
        <v>1.4842</v>
      </c>
      <c r="GV47" s="23">
        <v>1.4801</v>
      </c>
      <c r="GW47" s="23">
        <v>1.4789</v>
      </c>
      <c r="GX47" s="23"/>
      <c r="GY47" s="23"/>
      <c r="GZ47" s="23">
        <v>1.4851</v>
      </c>
      <c r="HA47" s="23">
        <v>1.4886</v>
      </c>
      <c r="HB47" s="23">
        <v>1.4943</v>
      </c>
      <c r="HC47" s="23">
        <v>1.5319</v>
      </c>
      <c r="HD47" s="23">
        <v>1.5219</v>
      </c>
      <c r="HE47" s="23"/>
      <c r="HF47" s="23"/>
      <c r="HG47" s="23">
        <v>1.5078</v>
      </c>
      <c r="HH47" s="23">
        <v>1.5192</v>
      </c>
      <c r="HI47" s="23">
        <v>1.5092</v>
      </c>
      <c r="HJ47" s="23">
        <v>1.4992</v>
      </c>
      <c r="HK47" s="23">
        <v>1.4967</v>
      </c>
      <c r="HL47" s="23"/>
      <c r="HM47" s="23"/>
      <c r="HN47" s="23">
        <v>1.4967</v>
      </c>
      <c r="HO47" s="23">
        <v>1.4992</v>
      </c>
      <c r="HP47" s="23">
        <v>1.4991</v>
      </c>
      <c r="HQ47" s="23">
        <v>1.4988</v>
      </c>
      <c r="HR47" s="23">
        <v>1.4951</v>
      </c>
      <c r="HS47" s="23"/>
      <c r="HT47" s="23"/>
      <c r="HU47" s="23">
        <v>1.5026</v>
      </c>
      <c r="HV47" s="23">
        <v>1.527</v>
      </c>
      <c r="HW47" s="23">
        <v>1.5223</v>
      </c>
      <c r="HX47" s="23">
        <v>1.5219</v>
      </c>
      <c r="HY47" s="23">
        <v>1.5258</v>
      </c>
      <c r="HZ47" s="23"/>
      <c r="IA47" s="23"/>
      <c r="IB47" s="23">
        <v>1.5577</v>
      </c>
      <c r="IC47" s="23">
        <v>1.5678</v>
      </c>
      <c r="ID47" s="23">
        <v>1.5663</v>
      </c>
      <c r="IE47" s="23">
        <v>1.5639</v>
      </c>
      <c r="IF47" s="23">
        <v>1.5655</v>
      </c>
      <c r="IG47" s="23"/>
      <c r="IH47" s="23"/>
      <c r="II47" s="23">
        <v>1.5564</v>
      </c>
      <c r="IJ47" s="23">
        <v>1.5376</v>
      </c>
      <c r="IK47" s="23">
        <v>1.5376</v>
      </c>
      <c r="IL47" s="23">
        <v>1.5391</v>
      </c>
      <c r="IM47" s="23">
        <v>1.5346</v>
      </c>
      <c r="IN47" s="23"/>
      <c r="IO47" s="23"/>
      <c r="IP47" s="31">
        <v>1.5334</v>
      </c>
      <c r="IQ47" s="31">
        <v>1.534</v>
      </c>
      <c r="IR47" s="31">
        <v>1.5338</v>
      </c>
      <c r="IS47" s="31">
        <v>1.5331</v>
      </c>
      <c r="IT47" s="31">
        <v>1.5415</v>
      </c>
      <c r="IU47" s="31"/>
      <c r="IV47" s="31"/>
      <c r="IW47" s="31">
        <v>1.5615</v>
      </c>
      <c r="IX47" s="31">
        <v>1.5733</v>
      </c>
      <c r="IY47" s="31">
        <v>1.584</v>
      </c>
      <c r="IZ47" s="31">
        <v>1.5755</v>
      </c>
      <c r="JA47" s="31">
        <v>1.578</v>
      </c>
      <c r="JB47" s="31"/>
      <c r="JC47" s="31"/>
      <c r="JD47" s="31">
        <v>1.5932</v>
      </c>
      <c r="JE47" s="31">
        <v>1.5929</v>
      </c>
      <c r="JF47" s="31">
        <v>1.5917</v>
      </c>
      <c r="JG47" s="31">
        <v>1.6017</v>
      </c>
      <c r="JH47" s="31">
        <v>1.6264</v>
      </c>
      <c r="JI47" s="31"/>
      <c r="JJ47" s="31"/>
      <c r="JK47" s="31">
        <v>1.6297</v>
      </c>
      <c r="JL47" s="31">
        <v>1.6433</v>
      </c>
      <c r="JM47" s="31">
        <v>1.6466</v>
      </c>
      <c r="JN47" s="31">
        <v>1.657</v>
      </c>
      <c r="JO47" s="31">
        <v>1.6219</v>
      </c>
      <c r="JP47" s="31"/>
      <c r="JQ47" s="31">
        <v>1.6232</v>
      </c>
      <c r="JR47" s="31">
        <v>1.6202</v>
      </c>
      <c r="JS47" s="31">
        <v>1.6002</v>
      </c>
      <c r="JT47" s="31"/>
      <c r="JU47" s="31"/>
      <c r="JV47" s="31"/>
      <c r="JW47" s="31"/>
      <c r="JX47" s="31"/>
      <c r="JY47" s="31"/>
      <c r="JZ47" s="23"/>
      <c r="KA47" s="23"/>
      <c r="KB47" s="23">
        <v>1.6162</v>
      </c>
      <c r="KC47" s="23">
        <v>1.6173</v>
      </c>
      <c r="KD47" s="23">
        <v>1.6108</v>
      </c>
      <c r="KE47" s="23"/>
      <c r="KF47" s="23">
        <v>1.6251</v>
      </c>
      <c r="KG47" s="23">
        <v>1.6356</v>
      </c>
      <c r="KH47" s="23">
        <v>1.6383</v>
      </c>
      <c r="KI47" s="23">
        <v>1.6354</v>
      </c>
      <c r="KJ47" s="23">
        <v>1.625</v>
      </c>
      <c r="KK47" s="23"/>
      <c r="KL47" s="23"/>
      <c r="KM47" s="23">
        <v>1.6308</v>
      </c>
      <c r="KN47" s="23">
        <v>1.6406</v>
      </c>
      <c r="KO47" s="23">
        <v>1.6423</v>
      </c>
      <c r="KP47" s="23">
        <v>1.644</v>
      </c>
      <c r="KQ47" s="23">
        <v>1.642</v>
      </c>
      <c r="KR47" s="23"/>
      <c r="KS47" s="23"/>
      <c r="KT47" s="23">
        <v>1.639</v>
      </c>
      <c r="KU47" s="23">
        <v>1.6245</v>
      </c>
      <c r="KV47" s="23">
        <v>1.6095</v>
      </c>
      <c r="KW47" s="23">
        <v>1.597</v>
      </c>
      <c r="KX47" s="23">
        <v>1.587</v>
      </c>
      <c r="KY47" s="23"/>
      <c r="KZ47" s="23"/>
      <c r="LA47" s="23">
        <v>1.597</v>
      </c>
      <c r="LB47" s="23">
        <v>1.605</v>
      </c>
      <c r="LC47" s="23">
        <v>1.607</v>
      </c>
      <c r="LD47" s="23">
        <v>1.6121</v>
      </c>
      <c r="LE47" s="23">
        <v>1.6121</v>
      </c>
      <c r="LF47" s="23"/>
      <c r="LG47" s="23"/>
      <c r="LH47" s="23">
        <v>1.6171</v>
      </c>
      <c r="LI47" s="23">
        <v>1.6121</v>
      </c>
      <c r="LJ47" s="23">
        <v>1.6101</v>
      </c>
      <c r="LK47" s="23">
        <v>1.6121</v>
      </c>
      <c r="LL47" s="23">
        <v>1.6121</v>
      </c>
      <c r="LM47" s="23"/>
      <c r="LN47" s="23"/>
      <c r="LO47" s="23">
        <v>1.6131</v>
      </c>
      <c r="LP47" s="23">
        <v>1.6171</v>
      </c>
      <c r="LQ47" s="23">
        <v>1.6196</v>
      </c>
      <c r="LR47" s="23">
        <v>1.6201</v>
      </c>
      <c r="LS47" s="23">
        <v>1.6191</v>
      </c>
      <c r="LT47" s="23"/>
      <c r="LU47" s="23"/>
      <c r="LV47" s="23">
        <v>1.6221</v>
      </c>
      <c r="LW47" s="23">
        <v>1.6231</v>
      </c>
      <c r="LX47" s="23">
        <v>1.6301</v>
      </c>
      <c r="LY47" s="23">
        <v>1.6321</v>
      </c>
      <c r="LZ47" s="23">
        <v>1.6246</v>
      </c>
      <c r="MA47" s="23"/>
      <c r="MB47" s="23"/>
      <c r="MC47" s="23">
        <v>1.6251</v>
      </c>
      <c r="MD47" s="23">
        <v>1.6251</v>
      </c>
      <c r="ME47" s="23">
        <v>1.6296</v>
      </c>
      <c r="MF47" s="23">
        <v>1.6421</v>
      </c>
      <c r="MG47" s="23">
        <v>1.6296</v>
      </c>
      <c r="MH47" s="23"/>
      <c r="MI47" s="23"/>
      <c r="MJ47" s="23">
        <v>1.6296</v>
      </c>
      <c r="MK47" s="23">
        <v>1.6171</v>
      </c>
      <c r="ML47" s="23">
        <v>1.6153</v>
      </c>
      <c r="MM47" s="23">
        <v>1.6081</v>
      </c>
      <c r="MN47" s="23">
        <v>1.6097</v>
      </c>
      <c r="MO47" s="23"/>
      <c r="MP47" s="23"/>
      <c r="MQ47" s="23">
        <v>1.609</v>
      </c>
      <c r="MR47" s="23">
        <v>1.604</v>
      </c>
      <c r="MS47" s="23">
        <v>1.6015</v>
      </c>
      <c r="MT47" s="23">
        <v>1.5925</v>
      </c>
      <c r="MU47" s="23">
        <v>1.5725</v>
      </c>
      <c r="MV47" s="23"/>
      <c r="MW47" s="23"/>
      <c r="MX47" s="23">
        <v>1.5725</v>
      </c>
      <c r="MY47" s="23">
        <v>1.56</v>
      </c>
      <c r="MZ47" s="23">
        <v>1.555</v>
      </c>
      <c r="NA47" s="23">
        <v>1.53</v>
      </c>
      <c r="NB47" s="23">
        <v>1.5275</v>
      </c>
      <c r="NC47" s="23"/>
      <c r="ND47" s="23"/>
      <c r="NE47" s="23">
        <v>1.545</v>
      </c>
      <c r="NF47" s="23">
        <v>1.55</v>
      </c>
      <c r="NG47" s="23">
        <v>1.55</v>
      </c>
      <c r="NH47" s="23"/>
      <c r="NI47" s="23"/>
      <c r="NJ47" s="23"/>
      <c r="NK47" s="23">
        <v>1.5525</v>
      </c>
      <c r="NL47" s="23">
        <v>1.5765</v>
      </c>
      <c r="NM47" s="23">
        <v>1.5765</v>
      </c>
      <c r="NN47" s="23">
        <v>1.579</v>
      </c>
      <c r="NO47" s="23">
        <v>1.5783</v>
      </c>
      <c r="NP47" s="23">
        <v>1.5779</v>
      </c>
      <c r="NQ47" s="23"/>
      <c r="NR47" s="23"/>
      <c r="NS47" s="23">
        <v>1.5853</v>
      </c>
      <c r="NT47" s="23">
        <v>1.5885</v>
      </c>
      <c r="NU47" s="23">
        <v>1.5985</v>
      </c>
      <c r="NV47" s="23">
        <v>1.5987</v>
      </c>
      <c r="NW47" s="23">
        <v>1.5942</v>
      </c>
      <c r="NX47" s="23"/>
      <c r="NY47" s="23"/>
      <c r="NZ47" s="23">
        <v>1.6004</v>
      </c>
      <c r="OA47" s="23">
        <v>1.5958</v>
      </c>
      <c r="OB47" s="23">
        <v>1.5987</v>
      </c>
      <c r="OC47" s="23">
        <v>1.5939</v>
      </c>
      <c r="OD47" s="23">
        <v>1.5759</v>
      </c>
      <c r="OE47" s="23"/>
      <c r="OF47" s="23"/>
      <c r="OG47" s="23">
        <v>1.577</v>
      </c>
      <c r="OH47" s="23">
        <v>1.5822</v>
      </c>
      <c r="OI47" s="23">
        <v>1.5827</v>
      </c>
      <c r="OJ47" s="23">
        <v>1.5801</v>
      </c>
      <c r="OK47" s="23">
        <v>1.5833</v>
      </c>
      <c r="OL47" s="23"/>
      <c r="OM47" s="23"/>
      <c r="ON47" s="23">
        <v>1.5856</v>
      </c>
      <c r="OO47" s="23">
        <v>1.5897</v>
      </c>
      <c r="OP47" s="23">
        <v>1.5876</v>
      </c>
      <c r="OQ47" s="23">
        <v>1.5783</v>
      </c>
      <c r="OR47" s="23">
        <v>1.5701</v>
      </c>
      <c r="OS47" s="23"/>
      <c r="OT47" s="23"/>
      <c r="OU47" s="23">
        <v>1.5709</v>
      </c>
      <c r="OV47" s="23">
        <v>1.5757</v>
      </c>
      <c r="OW47" s="23">
        <v>1.5795</v>
      </c>
      <c r="OX47" s="23">
        <v>1.5732</v>
      </c>
      <c r="OY47" s="23">
        <v>1.5638</v>
      </c>
      <c r="OZ47" s="23">
        <v>1.5647</v>
      </c>
      <c r="PA47" s="23"/>
      <c r="PB47" s="23"/>
      <c r="PC47" s="23"/>
      <c r="PD47" s="23"/>
      <c r="PE47" s="23"/>
      <c r="PF47" s="23"/>
      <c r="PG47" s="23"/>
      <c r="PH47" s="23"/>
      <c r="PI47" s="23"/>
      <c r="PJ47" s="23">
        <v>1.5703</v>
      </c>
      <c r="PK47" s="23">
        <v>1.5785</v>
      </c>
      <c r="PL47" s="23">
        <v>1.582</v>
      </c>
      <c r="PM47" s="23">
        <v>1.5744</v>
      </c>
      <c r="PN47" s="23">
        <v>1.5694</v>
      </c>
      <c r="PO47" s="23"/>
      <c r="PP47" s="23">
        <v>1.5589</v>
      </c>
      <c r="PQ47" s="23">
        <v>1.5439</v>
      </c>
      <c r="PR47" s="23">
        <v>1.5101</v>
      </c>
      <c r="PS47" s="23">
        <v>1.5104</v>
      </c>
      <c r="PT47" s="23">
        <v>1.5056</v>
      </c>
      <c r="PU47" s="23"/>
      <c r="PV47" s="23"/>
      <c r="PW47" s="23">
        <v>1.5161</v>
      </c>
      <c r="PX47" s="23">
        <v>1.5131</v>
      </c>
      <c r="PY47" s="23">
        <v>1.5117</v>
      </c>
      <c r="PZ47" s="23">
        <v>1.5017</v>
      </c>
      <c r="QA47" s="23">
        <v>1.4892</v>
      </c>
      <c r="QB47" s="23"/>
      <c r="QC47" s="23"/>
      <c r="QD47" s="23">
        <v>1.4947</v>
      </c>
      <c r="QE47" s="23">
        <v>1.4855</v>
      </c>
      <c r="QF47" s="23">
        <v>1.4851</v>
      </c>
      <c r="QG47" s="23">
        <v>1.4705</v>
      </c>
      <c r="QH47" s="23">
        <v>1.4709</v>
      </c>
      <c r="QI47" s="23"/>
      <c r="QJ47" s="23"/>
      <c r="QK47" s="23">
        <v>1.4633</v>
      </c>
      <c r="QL47" s="23">
        <v>1.4658</v>
      </c>
      <c r="QM47" s="23">
        <v>1.4743</v>
      </c>
      <c r="QN47" s="23">
        <v>1.4696</v>
      </c>
      <c r="QO47" s="23">
        <v>1.4602</v>
      </c>
      <c r="QP47" s="23"/>
      <c r="QQ47" s="23"/>
      <c r="QR47" s="23">
        <v>1.4456</v>
      </c>
      <c r="QS47" s="23">
        <v>1.4369</v>
      </c>
      <c r="QT47" s="23">
        <v>1.4394</v>
      </c>
      <c r="QU47" s="23">
        <v>1.4289</v>
      </c>
      <c r="QV47" s="23">
        <v>1.412</v>
      </c>
      <c r="QW47" s="23"/>
      <c r="QX47" s="23"/>
      <c r="QY47" s="23"/>
      <c r="QZ47" s="23">
        <v>1.4076</v>
      </c>
      <c r="RA47" s="23">
        <v>1.4235</v>
      </c>
      <c r="RB47" s="23">
        <v>1.431</v>
      </c>
      <c r="RC47" s="23">
        <v>1.4275</v>
      </c>
      <c r="RD47" s="23"/>
      <c r="RE47" s="23"/>
      <c r="RF47" s="23">
        <v>1.427</v>
      </c>
      <c r="RG47" s="23">
        <v>1.4291</v>
      </c>
      <c r="RH47" s="23">
        <v>1.4241</v>
      </c>
      <c r="RI47" s="23">
        <v>1.3991</v>
      </c>
      <c r="RJ47" s="23">
        <v>1.3991</v>
      </c>
      <c r="RK47" s="23"/>
      <c r="RL47" s="23"/>
      <c r="RM47" s="23">
        <v>1.4041</v>
      </c>
      <c r="RN47" s="23">
        <v>1.3991</v>
      </c>
      <c r="RO47" s="23">
        <v>1.3791</v>
      </c>
      <c r="RP47" s="23">
        <v>1.3791</v>
      </c>
      <c r="RQ47" s="23">
        <v>1.3691</v>
      </c>
      <c r="RR47" s="23"/>
      <c r="RS47" s="23"/>
      <c r="RT47" s="23">
        <v>1.4041</v>
      </c>
      <c r="RU47" s="23">
        <v>1.3865</v>
      </c>
      <c r="RV47" s="23">
        <v>1.3765</v>
      </c>
      <c r="RW47" s="23">
        <v>1.3691</v>
      </c>
      <c r="RX47" s="23"/>
      <c r="RY47" s="23"/>
      <c r="RZ47" s="23"/>
      <c r="SA47" s="23"/>
      <c r="SB47" s="23"/>
      <c r="SC47" s="23">
        <v>1.3841</v>
      </c>
      <c r="SD47" s="23">
        <v>1.3841</v>
      </c>
      <c r="SE47" s="23">
        <v>1.3741</v>
      </c>
      <c r="SF47" s="23">
        <v>1.3707</v>
      </c>
      <c r="SG47" s="23"/>
      <c r="SH47" s="23">
        <v>1.3688</v>
      </c>
      <c r="SI47" s="23">
        <v>1.3663</v>
      </c>
      <c r="SJ47" s="23">
        <v>1.3663</v>
      </c>
      <c r="SK47" s="23">
        <v>1.3663</v>
      </c>
      <c r="SL47" s="23">
        <v>1.3663</v>
      </c>
      <c r="SM47" s="23"/>
      <c r="SN47" s="23"/>
      <c r="SO47" s="23">
        <v>1.3638</v>
      </c>
      <c r="SP47" s="23">
        <v>1.3588</v>
      </c>
      <c r="SQ47" s="23">
        <v>1.3538</v>
      </c>
      <c r="SR47" s="23">
        <v>1.3588</v>
      </c>
      <c r="SS47" s="23">
        <v>1.3588</v>
      </c>
      <c r="ST47" s="23"/>
      <c r="SU47" s="23"/>
      <c r="SV47" s="23">
        <v>1.3581</v>
      </c>
      <c r="SW47" s="23">
        <v>1.3521</v>
      </c>
      <c r="SX47" s="23">
        <v>1.3471</v>
      </c>
      <c r="SY47" s="23">
        <v>1.3471</v>
      </c>
      <c r="SZ47" s="23">
        <v>1.3521</v>
      </c>
      <c r="TA47" s="23"/>
      <c r="TB47" s="23"/>
      <c r="TC47" s="23">
        <v>1.3521</v>
      </c>
      <c r="TD47" s="23">
        <v>1.3521</v>
      </c>
      <c r="TE47" s="23">
        <v>1.3542</v>
      </c>
      <c r="TF47" s="23">
        <v>1.3555</v>
      </c>
      <c r="TG47" s="23">
        <v>1.3576</v>
      </c>
      <c r="TH47" s="23"/>
      <c r="TI47" s="23"/>
      <c r="TJ47" s="23">
        <v>1.3683</v>
      </c>
      <c r="TK47" s="23">
        <v>1.3718</v>
      </c>
      <c r="TL47" s="23">
        <v>1.3744</v>
      </c>
      <c r="TM47" s="23">
        <v>1.3745</v>
      </c>
      <c r="TN47" s="23">
        <v>1.3814</v>
      </c>
      <c r="TO47" s="23"/>
      <c r="TP47" s="23"/>
      <c r="TQ47" s="23">
        <v>1.3796</v>
      </c>
      <c r="TR47" s="23">
        <v>1.3846</v>
      </c>
      <c r="TS47" s="23">
        <v>1.3774</v>
      </c>
      <c r="TT47" s="23">
        <v>1.375</v>
      </c>
      <c r="TU47" s="23"/>
      <c r="TV47" s="23"/>
      <c r="TW47" s="23"/>
      <c r="TX47" s="23">
        <v>1.3775</v>
      </c>
      <c r="TY47" s="23">
        <v>1.3909</v>
      </c>
      <c r="TZ47" s="23">
        <v>1.3864</v>
      </c>
      <c r="UA47" s="23">
        <v>1.3764</v>
      </c>
      <c r="UB47" s="23">
        <v>1.3761</v>
      </c>
      <c r="UC47" s="23"/>
      <c r="UD47" s="23"/>
      <c r="UE47" s="23">
        <v>1.3456</v>
      </c>
      <c r="UF47" s="23">
        <v>1.3484</v>
      </c>
      <c r="UG47" s="23">
        <v>1.3616</v>
      </c>
      <c r="UH47" s="23">
        <v>1.3616</v>
      </c>
      <c r="UI47" s="23">
        <v>1.3566</v>
      </c>
      <c r="UJ47" s="23"/>
      <c r="UK47" s="23"/>
      <c r="UL47" s="23"/>
      <c r="UM47" s="23"/>
      <c r="UN47" s="23"/>
      <c r="UO47" s="23"/>
      <c r="UP47" s="23"/>
      <c r="UQ47" s="23"/>
      <c r="UR47" s="23"/>
      <c r="US47" s="23"/>
      <c r="UT47" s="23"/>
    </row>
    <row r="48" ht="16.5" customHeight="1" spans="4:566">
      <c r="D48" s="19" t="s">
        <v>66</v>
      </c>
      <c r="E48" s="21" t="s">
        <v>67</v>
      </c>
      <c r="F48" s="23"/>
      <c r="G48" s="23"/>
      <c r="H48" s="23">
        <v>1.6435</v>
      </c>
      <c r="I48" s="23">
        <v>1.6322</v>
      </c>
      <c r="J48" s="23"/>
      <c r="K48" s="23"/>
      <c r="L48" s="23">
        <v>1.6172</v>
      </c>
      <c r="M48" s="23">
        <v>1.6276</v>
      </c>
      <c r="N48" s="23">
        <v>1.6343</v>
      </c>
      <c r="O48" s="23">
        <v>1.657</v>
      </c>
      <c r="P48" s="23">
        <v>1.678</v>
      </c>
      <c r="Q48" s="23"/>
      <c r="R48" s="23"/>
      <c r="S48" s="23">
        <v>1.7</v>
      </c>
      <c r="T48" s="23">
        <v>1.7338</v>
      </c>
      <c r="U48" s="23">
        <v>1.7438</v>
      </c>
      <c r="V48" s="23">
        <v>1.7764</v>
      </c>
      <c r="W48" s="23">
        <v>1.7893</v>
      </c>
      <c r="X48" s="23"/>
      <c r="Y48" s="23"/>
      <c r="Z48" s="23">
        <v>1.8059</v>
      </c>
      <c r="AA48" s="23">
        <v>1.8102</v>
      </c>
      <c r="AB48" s="23">
        <v>1.801</v>
      </c>
      <c r="AC48" s="23">
        <v>1.8237</v>
      </c>
      <c r="AD48" s="23">
        <v>1.8374</v>
      </c>
      <c r="AE48" s="23"/>
      <c r="AF48" s="23">
        <v>1.8423</v>
      </c>
      <c r="AG48" s="23">
        <v>1.8121</v>
      </c>
      <c r="AH48" s="23"/>
      <c r="AI48" s="23"/>
      <c r="AJ48" s="23"/>
      <c r="AK48" s="23"/>
      <c r="AL48" s="23"/>
      <c r="AM48" s="23"/>
      <c r="AN48" s="23"/>
      <c r="AO48" s="23"/>
      <c r="AP48" s="23">
        <v>1.8109</v>
      </c>
      <c r="AQ48" s="23">
        <v>1.795</v>
      </c>
      <c r="AR48" s="23">
        <v>1.7683</v>
      </c>
      <c r="AS48" s="23">
        <v>1.7668</v>
      </c>
      <c r="AT48" s="23"/>
      <c r="AU48" s="23">
        <v>1.7719</v>
      </c>
      <c r="AV48" s="23">
        <v>1.7865</v>
      </c>
      <c r="AW48" s="23">
        <v>1.7888</v>
      </c>
      <c r="AX48" s="23">
        <v>1.8038</v>
      </c>
      <c r="AY48" s="23">
        <v>1.8297</v>
      </c>
      <c r="AZ48" s="23"/>
      <c r="BA48" s="23"/>
      <c r="BB48" s="23">
        <v>1.855</v>
      </c>
      <c r="BC48" s="23">
        <v>1.8895</v>
      </c>
      <c r="BD48" s="23">
        <v>1.8929</v>
      </c>
      <c r="BE48" s="23">
        <v>1.9297</v>
      </c>
      <c r="BF48" s="23">
        <v>1.9705</v>
      </c>
      <c r="BG48" s="23"/>
      <c r="BH48" s="23"/>
      <c r="BI48" s="23">
        <v>2.017</v>
      </c>
      <c r="BJ48" s="23">
        <v>2.0395</v>
      </c>
      <c r="BK48" s="23">
        <v>2.0396</v>
      </c>
      <c r="BL48" s="23">
        <v>2.065</v>
      </c>
      <c r="BM48" s="23">
        <v>2.0808</v>
      </c>
      <c r="BN48" s="23"/>
      <c r="BO48" s="23"/>
      <c r="BP48" s="23">
        <v>2.0658</v>
      </c>
      <c r="BQ48" s="23">
        <v>2.0562</v>
      </c>
      <c r="BR48" s="23">
        <v>2.04</v>
      </c>
      <c r="BS48" s="23">
        <v>2.0507</v>
      </c>
      <c r="BT48" s="23">
        <v>2.0914</v>
      </c>
      <c r="BU48" s="23"/>
      <c r="BV48" s="23"/>
      <c r="BW48" s="23">
        <v>2.0907</v>
      </c>
      <c r="BX48" s="23">
        <v>2.1085</v>
      </c>
      <c r="BY48" s="23">
        <v>2.0995</v>
      </c>
      <c r="BZ48" s="23">
        <v>2.0615</v>
      </c>
      <c r="CA48" s="23">
        <v>2.039</v>
      </c>
      <c r="CB48" s="23"/>
      <c r="CC48" s="23"/>
      <c r="CD48" s="23">
        <v>2.0441</v>
      </c>
      <c r="CE48" s="23">
        <v>2.0248</v>
      </c>
      <c r="CF48" s="23">
        <v>2.013</v>
      </c>
      <c r="CG48" s="23">
        <v>1.9989</v>
      </c>
      <c r="CH48" s="23">
        <v>1.9827</v>
      </c>
      <c r="CI48" s="23"/>
      <c r="CJ48" s="23"/>
      <c r="CK48" s="23">
        <v>1.9717</v>
      </c>
      <c r="CL48" s="23">
        <v>1.943</v>
      </c>
      <c r="CM48" s="23">
        <v>1.9334</v>
      </c>
      <c r="CN48" s="23">
        <v>1.9334</v>
      </c>
      <c r="CO48" s="23">
        <v>1.9297</v>
      </c>
      <c r="CP48" s="23"/>
      <c r="CQ48" s="23"/>
      <c r="CR48" s="23">
        <v>1.9312</v>
      </c>
      <c r="CS48" s="23">
        <v>1.9287</v>
      </c>
      <c r="CT48" s="23">
        <v>1.9267</v>
      </c>
      <c r="CU48" s="23">
        <v>1.8751</v>
      </c>
      <c r="CV48" s="23"/>
      <c r="CW48" s="23"/>
      <c r="CX48" s="23"/>
      <c r="CY48" s="23">
        <v>1.7954</v>
      </c>
      <c r="CZ48" s="23">
        <v>1.8011</v>
      </c>
      <c r="DA48" s="23">
        <v>1.8011</v>
      </c>
      <c r="DB48" s="23">
        <v>1.7961</v>
      </c>
      <c r="DC48" s="23">
        <v>1.795</v>
      </c>
      <c r="DD48" s="23"/>
      <c r="DE48" s="23"/>
      <c r="DF48" s="23">
        <v>1.8051</v>
      </c>
      <c r="DG48" s="23">
        <v>1.8057</v>
      </c>
      <c r="DH48" s="23">
        <v>1.8064</v>
      </c>
      <c r="DI48" s="23">
        <v>1.8128</v>
      </c>
      <c r="DJ48" s="23">
        <v>1.8086</v>
      </c>
      <c r="DK48" s="23"/>
      <c r="DL48" s="23"/>
      <c r="DM48" s="23">
        <v>1.8116</v>
      </c>
      <c r="DN48" s="23">
        <v>1.812</v>
      </c>
      <c r="DO48" s="23">
        <v>1.8299</v>
      </c>
      <c r="DP48" s="23">
        <v>1.8361</v>
      </c>
      <c r="DQ48" s="23">
        <v>1.8367</v>
      </c>
      <c r="DR48" s="23"/>
      <c r="DS48" s="23">
        <v>1.8276</v>
      </c>
      <c r="DT48" s="23">
        <v>1.8234</v>
      </c>
      <c r="DU48" s="23">
        <v>1.8257</v>
      </c>
      <c r="DV48" s="23">
        <v>1.8088</v>
      </c>
      <c r="DW48" s="23"/>
      <c r="DX48" s="23"/>
      <c r="DY48" s="23"/>
      <c r="DZ48" s="23"/>
      <c r="EA48" s="23"/>
      <c r="EB48" s="23">
        <v>1.8122</v>
      </c>
      <c r="EC48" s="23">
        <v>1.7926</v>
      </c>
      <c r="ED48" s="23">
        <v>1.7676</v>
      </c>
      <c r="EE48" s="23">
        <v>1.746</v>
      </c>
      <c r="EF48" s="23"/>
      <c r="EG48" s="23"/>
      <c r="EH48" s="23">
        <v>1.7427</v>
      </c>
      <c r="EI48" s="23">
        <v>1.7305</v>
      </c>
      <c r="EJ48" s="23">
        <v>1.7118</v>
      </c>
      <c r="EK48" s="23">
        <v>1.6947</v>
      </c>
      <c r="EL48" s="23">
        <v>1.7062</v>
      </c>
      <c r="EM48" s="23"/>
      <c r="EN48" s="23"/>
      <c r="EO48" s="23">
        <v>1.7123</v>
      </c>
      <c r="EP48" s="23">
        <v>1.6923</v>
      </c>
      <c r="EQ48" s="23">
        <v>1.6864</v>
      </c>
      <c r="ER48" s="23">
        <v>1.6963</v>
      </c>
      <c r="ES48" s="23">
        <v>1.698</v>
      </c>
      <c r="ET48" s="23"/>
      <c r="EU48" s="23"/>
      <c r="EV48" s="23">
        <v>1.688</v>
      </c>
      <c r="EW48" s="23">
        <v>1.6873</v>
      </c>
      <c r="EX48" s="23">
        <v>1.7071</v>
      </c>
      <c r="EY48" s="23">
        <v>1.7193</v>
      </c>
      <c r="EZ48" s="23">
        <v>1.7223</v>
      </c>
      <c r="FA48" s="23"/>
      <c r="FB48" s="23"/>
      <c r="FC48" s="23"/>
      <c r="FD48" s="23">
        <v>1.7272</v>
      </c>
      <c r="FE48" s="23">
        <v>1.7318</v>
      </c>
      <c r="FF48" s="23">
        <v>1.7373</v>
      </c>
      <c r="FG48" s="23">
        <v>1.7268</v>
      </c>
      <c r="FH48" s="23"/>
      <c r="FI48" s="23"/>
      <c r="FJ48" s="23">
        <v>1.7141</v>
      </c>
      <c r="FK48" s="23">
        <v>1.71</v>
      </c>
      <c r="FL48" s="23">
        <v>1.7101</v>
      </c>
      <c r="FM48" s="23">
        <v>1.706</v>
      </c>
      <c r="FN48" s="23">
        <v>1.7001</v>
      </c>
      <c r="FO48" s="23"/>
      <c r="FP48" s="23"/>
      <c r="FQ48" s="23">
        <v>1.702</v>
      </c>
      <c r="FR48" s="23">
        <v>1.7009</v>
      </c>
      <c r="FS48" s="23">
        <v>1.6952</v>
      </c>
      <c r="FT48" s="23">
        <v>1.7002</v>
      </c>
      <c r="FU48" s="23">
        <v>1.6934</v>
      </c>
      <c r="FV48" s="23"/>
      <c r="FW48" s="23"/>
      <c r="FX48" s="23">
        <v>1.693</v>
      </c>
      <c r="FY48" s="23">
        <v>1.6843</v>
      </c>
      <c r="FZ48" s="23">
        <v>1.6777</v>
      </c>
      <c r="GA48" s="23">
        <v>1.685</v>
      </c>
      <c r="GB48" s="23">
        <v>1.695</v>
      </c>
      <c r="GC48" s="23"/>
      <c r="GD48" s="23"/>
      <c r="GE48" s="23">
        <v>1.695</v>
      </c>
      <c r="GF48" s="23">
        <v>1.67</v>
      </c>
      <c r="GG48" s="23">
        <v>1.6607</v>
      </c>
      <c r="GH48" s="23">
        <v>1.6522</v>
      </c>
      <c r="GI48" s="23">
        <v>1.6344</v>
      </c>
      <c r="GJ48" s="23"/>
      <c r="GK48" s="23"/>
      <c r="GL48" s="23">
        <v>1.6131</v>
      </c>
      <c r="GM48" s="23">
        <v>1.6202</v>
      </c>
      <c r="GN48" s="23">
        <v>1.62</v>
      </c>
      <c r="GO48" s="23">
        <v>1.62</v>
      </c>
      <c r="GP48" s="23">
        <v>1.6211</v>
      </c>
      <c r="GQ48" s="23"/>
      <c r="GR48" s="23"/>
      <c r="GS48" s="23">
        <v>1.62</v>
      </c>
      <c r="GT48" s="23">
        <v>1.6023</v>
      </c>
      <c r="GU48" s="23">
        <v>1.6</v>
      </c>
      <c r="GV48" s="23">
        <v>1.6</v>
      </c>
      <c r="GW48" s="23">
        <v>1.5954</v>
      </c>
      <c r="GX48" s="23"/>
      <c r="GY48" s="23"/>
      <c r="GZ48" s="23">
        <v>1.59</v>
      </c>
      <c r="HA48" s="23">
        <v>1.6016</v>
      </c>
      <c r="HB48" s="23">
        <v>1.6435</v>
      </c>
      <c r="HC48" s="23">
        <v>1.6816</v>
      </c>
      <c r="HD48" s="23">
        <v>1.69</v>
      </c>
      <c r="HE48" s="23"/>
      <c r="HF48" s="23"/>
      <c r="HG48" s="23">
        <v>1.6889</v>
      </c>
      <c r="HH48" s="23">
        <v>1.7097</v>
      </c>
      <c r="HI48" s="23">
        <v>1.7176</v>
      </c>
      <c r="HJ48" s="23">
        <v>1.6832</v>
      </c>
      <c r="HK48" s="23">
        <v>1.6856</v>
      </c>
      <c r="HL48" s="23"/>
      <c r="HM48" s="23"/>
      <c r="HN48" s="23">
        <v>1.6647</v>
      </c>
      <c r="HO48" s="23">
        <v>1.66</v>
      </c>
      <c r="HP48" s="23">
        <v>1.66</v>
      </c>
      <c r="HQ48" s="23">
        <v>1.65</v>
      </c>
      <c r="HR48" s="23">
        <v>1.6486</v>
      </c>
      <c r="HS48" s="23"/>
      <c r="HT48" s="23"/>
      <c r="HU48" s="23">
        <v>1.6572</v>
      </c>
      <c r="HV48" s="23">
        <v>1.6616</v>
      </c>
      <c r="HW48" s="23">
        <v>1.66</v>
      </c>
      <c r="HX48" s="23">
        <v>1.6738</v>
      </c>
      <c r="HY48" s="23">
        <v>1.6775</v>
      </c>
      <c r="HZ48" s="23"/>
      <c r="IA48" s="23"/>
      <c r="IB48" s="23">
        <v>1.71</v>
      </c>
      <c r="IC48" s="23">
        <v>1.71</v>
      </c>
      <c r="ID48" s="23">
        <v>1.7075</v>
      </c>
      <c r="IE48" s="23">
        <v>1.7104</v>
      </c>
      <c r="IF48" s="23">
        <v>1.7304</v>
      </c>
      <c r="IG48" s="23"/>
      <c r="IH48" s="23"/>
      <c r="II48" s="23">
        <v>1.7264</v>
      </c>
      <c r="IJ48" s="23">
        <v>1.7138</v>
      </c>
      <c r="IK48" s="23">
        <v>1.7044</v>
      </c>
      <c r="IL48" s="23">
        <v>1.705</v>
      </c>
      <c r="IM48" s="23">
        <v>1.6819</v>
      </c>
      <c r="IN48" s="23"/>
      <c r="IO48" s="23"/>
      <c r="IP48" s="31">
        <v>1.674</v>
      </c>
      <c r="IQ48" s="31">
        <v>1.6501</v>
      </c>
      <c r="IR48" s="31">
        <v>1.651</v>
      </c>
      <c r="IS48" s="31">
        <v>1.6329</v>
      </c>
      <c r="IT48" s="31">
        <v>1.6652</v>
      </c>
      <c r="IU48" s="31"/>
      <c r="IV48" s="31"/>
      <c r="IW48" s="31">
        <v>1.67</v>
      </c>
      <c r="IX48" s="31">
        <v>1.66</v>
      </c>
      <c r="IY48" s="31">
        <v>1.675</v>
      </c>
      <c r="IZ48" s="31">
        <v>1.7</v>
      </c>
      <c r="JA48" s="31">
        <v>1.7104</v>
      </c>
      <c r="JB48" s="31"/>
      <c r="JC48" s="31"/>
      <c r="JD48" s="31">
        <v>1.7074</v>
      </c>
      <c r="JE48" s="31">
        <v>1.6954</v>
      </c>
      <c r="JF48" s="31">
        <v>1.6906</v>
      </c>
      <c r="JG48" s="31">
        <v>1.6833</v>
      </c>
      <c r="JH48" s="31">
        <v>1.6936</v>
      </c>
      <c r="JI48" s="31"/>
      <c r="JJ48" s="31"/>
      <c r="JK48" s="31">
        <v>1.6918</v>
      </c>
      <c r="JL48" s="31">
        <v>1.6896</v>
      </c>
      <c r="JM48" s="31">
        <v>1.7282</v>
      </c>
      <c r="JN48" s="31">
        <v>1.7464</v>
      </c>
      <c r="JO48" s="31">
        <v>1.7395</v>
      </c>
      <c r="JP48" s="31"/>
      <c r="JQ48" s="31">
        <v>1.7233</v>
      </c>
      <c r="JR48" s="31">
        <v>1.7361</v>
      </c>
      <c r="JS48" s="31">
        <v>1.7189</v>
      </c>
      <c r="JT48" s="31"/>
      <c r="JU48" s="31"/>
      <c r="JV48" s="31"/>
      <c r="JW48" s="31"/>
      <c r="JX48" s="31"/>
      <c r="JY48" s="31"/>
      <c r="JZ48" s="23"/>
      <c r="KA48" s="23"/>
      <c r="KB48" s="23">
        <v>1.7123</v>
      </c>
      <c r="KC48" s="23">
        <v>1.7044</v>
      </c>
      <c r="KD48" s="23">
        <v>1.6998</v>
      </c>
      <c r="KE48" s="23"/>
      <c r="KF48" s="23">
        <v>1.7002</v>
      </c>
      <c r="KG48" s="23">
        <v>1.7158</v>
      </c>
      <c r="KH48" s="23">
        <v>1.7201</v>
      </c>
      <c r="KI48" s="23">
        <v>1.717</v>
      </c>
      <c r="KJ48" s="23">
        <v>1.7099</v>
      </c>
      <c r="KK48" s="23"/>
      <c r="KL48" s="23"/>
      <c r="KM48" s="23">
        <v>1.7152</v>
      </c>
      <c r="KN48" s="23">
        <v>1.7137</v>
      </c>
      <c r="KO48" s="23">
        <v>1.7052</v>
      </c>
      <c r="KP48" s="23">
        <v>1.6962</v>
      </c>
      <c r="KQ48" s="23">
        <v>1.6966</v>
      </c>
      <c r="KR48" s="23"/>
      <c r="KS48" s="23"/>
      <c r="KT48" s="23">
        <v>1.6993</v>
      </c>
      <c r="KU48" s="23">
        <v>1.6938</v>
      </c>
      <c r="KV48" s="23">
        <v>1.6741</v>
      </c>
      <c r="KW48" s="23">
        <v>1.6779</v>
      </c>
      <c r="KX48" s="23">
        <v>1.67</v>
      </c>
      <c r="KY48" s="23"/>
      <c r="KZ48" s="23"/>
      <c r="LA48" s="23">
        <v>1.6678</v>
      </c>
      <c r="LB48" s="23">
        <v>1.6805</v>
      </c>
      <c r="LC48" s="23">
        <v>1.6783</v>
      </c>
      <c r="LD48" s="23">
        <v>1.6841</v>
      </c>
      <c r="LE48" s="23">
        <v>1.6865</v>
      </c>
      <c r="LF48" s="23"/>
      <c r="LG48" s="23"/>
      <c r="LH48" s="23">
        <v>1.6869</v>
      </c>
      <c r="LI48" s="23">
        <v>1.6946</v>
      </c>
      <c r="LJ48" s="23">
        <v>1.6957</v>
      </c>
      <c r="LK48" s="23">
        <v>1.7053</v>
      </c>
      <c r="LL48" s="23">
        <v>1.7027</v>
      </c>
      <c r="LM48" s="23"/>
      <c r="LN48" s="23"/>
      <c r="LO48" s="23">
        <v>1.6942</v>
      </c>
      <c r="LP48" s="23">
        <v>1.6977</v>
      </c>
      <c r="LQ48" s="23">
        <v>1.6977</v>
      </c>
      <c r="LR48" s="23">
        <v>1.6927</v>
      </c>
      <c r="LS48" s="23">
        <v>1.6981</v>
      </c>
      <c r="LT48" s="23"/>
      <c r="LU48" s="23"/>
      <c r="LV48" s="23">
        <v>1.6963</v>
      </c>
      <c r="LW48" s="23">
        <v>1.6884</v>
      </c>
      <c r="LX48" s="23">
        <v>1.6995</v>
      </c>
      <c r="LY48" s="23">
        <v>1.7135</v>
      </c>
      <c r="LZ48" s="23">
        <v>1.7193</v>
      </c>
      <c r="MA48" s="23"/>
      <c r="MB48" s="23"/>
      <c r="MC48" s="23">
        <v>1.7105</v>
      </c>
      <c r="MD48" s="23">
        <v>1.7223</v>
      </c>
      <c r="ME48" s="23">
        <v>1.7196</v>
      </c>
      <c r="MF48" s="23">
        <v>1.7505</v>
      </c>
      <c r="MG48" s="23">
        <v>1.752</v>
      </c>
      <c r="MH48" s="23"/>
      <c r="MI48" s="23"/>
      <c r="MJ48" s="23">
        <v>1.7468</v>
      </c>
      <c r="MK48" s="23">
        <v>1.7435</v>
      </c>
      <c r="ML48" s="23">
        <v>1.7468</v>
      </c>
      <c r="MM48" s="23">
        <v>1.7396</v>
      </c>
      <c r="MN48" s="23">
        <v>1.737</v>
      </c>
      <c r="MO48" s="23"/>
      <c r="MP48" s="23"/>
      <c r="MQ48" s="23">
        <v>1.7534</v>
      </c>
      <c r="MR48" s="23">
        <v>1.7591</v>
      </c>
      <c r="MS48" s="23">
        <v>1.7555</v>
      </c>
      <c r="MT48" s="23">
        <v>1.7555</v>
      </c>
      <c r="MU48" s="23">
        <v>1.7446</v>
      </c>
      <c r="MV48" s="23"/>
      <c r="MW48" s="23"/>
      <c r="MX48" s="23">
        <v>1.7296</v>
      </c>
      <c r="MY48" s="23">
        <v>1.7195</v>
      </c>
      <c r="MZ48" s="23">
        <v>1.7198</v>
      </c>
      <c r="NA48" s="23">
        <v>1.6907</v>
      </c>
      <c r="NB48" s="23">
        <v>1.6861</v>
      </c>
      <c r="NC48" s="23"/>
      <c r="ND48" s="23"/>
      <c r="NE48" s="23">
        <v>1.6815</v>
      </c>
      <c r="NF48" s="23">
        <v>1.6895</v>
      </c>
      <c r="NG48" s="23">
        <v>1.6787</v>
      </c>
      <c r="NH48" s="23"/>
      <c r="NI48" s="23"/>
      <c r="NJ48" s="23"/>
      <c r="NK48" s="23">
        <v>1.6514</v>
      </c>
      <c r="NL48" s="23">
        <v>1.6508</v>
      </c>
      <c r="NM48" s="23">
        <v>1.6573</v>
      </c>
      <c r="NN48" s="23">
        <v>1.6706</v>
      </c>
      <c r="NO48" s="23">
        <v>1.6742</v>
      </c>
      <c r="NP48" s="23">
        <v>1.6821</v>
      </c>
      <c r="NQ48" s="23"/>
      <c r="NR48" s="23"/>
      <c r="NS48" s="23">
        <v>1.6818</v>
      </c>
      <c r="NT48" s="23">
        <v>1.7</v>
      </c>
      <c r="NU48" s="23">
        <v>1.7</v>
      </c>
      <c r="NV48" s="23">
        <v>1.6979</v>
      </c>
      <c r="NW48" s="23">
        <v>1.6968</v>
      </c>
      <c r="NX48" s="23"/>
      <c r="NY48" s="23"/>
      <c r="NZ48" s="23">
        <v>1.6974</v>
      </c>
      <c r="OA48" s="23">
        <v>1.6927</v>
      </c>
      <c r="OB48" s="23">
        <v>1.6853</v>
      </c>
      <c r="OC48" s="23">
        <v>1.6952</v>
      </c>
      <c r="OD48" s="23">
        <v>1.7056</v>
      </c>
      <c r="OE48" s="23"/>
      <c r="OF48" s="23"/>
      <c r="OG48" s="23">
        <v>1.7075</v>
      </c>
      <c r="OH48" s="23">
        <v>1.7157</v>
      </c>
      <c r="OI48" s="23">
        <v>1.6988</v>
      </c>
      <c r="OJ48" s="23">
        <v>1.7037</v>
      </c>
      <c r="OK48" s="23">
        <v>1.7008</v>
      </c>
      <c r="OL48" s="23"/>
      <c r="OM48" s="23"/>
      <c r="ON48" s="23">
        <v>1.696</v>
      </c>
      <c r="OO48" s="23">
        <v>1.7048</v>
      </c>
      <c r="OP48" s="23">
        <v>1.7043</v>
      </c>
      <c r="OQ48" s="23">
        <v>1.7038</v>
      </c>
      <c r="OR48" s="23">
        <v>1.7057</v>
      </c>
      <c r="OS48" s="23"/>
      <c r="OT48" s="23"/>
      <c r="OU48" s="23">
        <v>1.6957</v>
      </c>
      <c r="OV48" s="23">
        <v>1.6969</v>
      </c>
      <c r="OW48" s="23">
        <v>1.68</v>
      </c>
      <c r="OX48" s="23">
        <v>1.68</v>
      </c>
      <c r="OY48" s="23">
        <v>1.6784</v>
      </c>
      <c r="OZ48" s="23">
        <v>1.6784</v>
      </c>
      <c r="PA48" s="23"/>
      <c r="PB48" s="23"/>
      <c r="PC48" s="23"/>
      <c r="PD48" s="23"/>
      <c r="PE48" s="23"/>
      <c r="PF48" s="23"/>
      <c r="PG48" s="23"/>
      <c r="PH48" s="23"/>
      <c r="PI48" s="23"/>
      <c r="PJ48" s="23">
        <v>1.6777</v>
      </c>
      <c r="PK48" s="23">
        <v>1.6659</v>
      </c>
      <c r="PL48" s="23">
        <v>1.6787</v>
      </c>
      <c r="PM48" s="23">
        <v>1.68</v>
      </c>
      <c r="PN48" s="23">
        <v>1.6782</v>
      </c>
      <c r="PO48" s="23"/>
      <c r="PP48" s="23">
        <v>1.6796</v>
      </c>
      <c r="PQ48" s="23">
        <v>1.6711</v>
      </c>
      <c r="PR48" s="23">
        <v>1.6583</v>
      </c>
      <c r="PS48" s="23">
        <v>1.6543</v>
      </c>
      <c r="PT48" s="23">
        <v>1.6421</v>
      </c>
      <c r="PU48" s="23"/>
      <c r="PV48" s="23"/>
      <c r="PW48" s="23">
        <v>1.6444</v>
      </c>
      <c r="PX48" s="23">
        <v>1.6442</v>
      </c>
      <c r="PY48" s="23">
        <v>1.6386</v>
      </c>
      <c r="PZ48" s="23">
        <v>1.6352</v>
      </c>
      <c r="QA48" s="23">
        <v>1.6298</v>
      </c>
      <c r="QB48" s="23"/>
      <c r="QC48" s="23"/>
      <c r="QD48" s="23">
        <v>1.6304</v>
      </c>
      <c r="QE48" s="23">
        <v>1.6266</v>
      </c>
      <c r="QF48" s="23">
        <v>1.6181</v>
      </c>
      <c r="QG48" s="23">
        <v>1.615</v>
      </c>
      <c r="QH48" s="23">
        <v>1.6147</v>
      </c>
      <c r="QI48" s="23"/>
      <c r="QJ48" s="23"/>
      <c r="QK48" s="23">
        <v>1.6189</v>
      </c>
      <c r="QL48" s="23">
        <v>1.6037</v>
      </c>
      <c r="QM48" s="23">
        <v>1.6006</v>
      </c>
      <c r="QN48" s="23">
        <v>1.6006</v>
      </c>
      <c r="QO48" s="23">
        <v>1.5675</v>
      </c>
      <c r="QP48" s="23"/>
      <c r="QQ48" s="23"/>
      <c r="QR48" s="23">
        <v>1.56</v>
      </c>
      <c r="QS48" s="23">
        <v>1.58</v>
      </c>
      <c r="QT48" s="23">
        <v>1.5724</v>
      </c>
      <c r="QU48" s="23">
        <v>1.5727</v>
      </c>
      <c r="QV48" s="23">
        <v>1.5709</v>
      </c>
      <c r="QW48" s="23"/>
      <c r="QX48" s="23"/>
      <c r="QY48" s="23"/>
      <c r="QZ48" s="23">
        <v>1.5577</v>
      </c>
      <c r="RA48" s="23">
        <v>1.5541</v>
      </c>
      <c r="RB48" s="23">
        <v>1.5486</v>
      </c>
      <c r="RC48" s="23">
        <v>1.5417</v>
      </c>
      <c r="RD48" s="23"/>
      <c r="RE48" s="23"/>
      <c r="RF48" s="23">
        <v>1.5426</v>
      </c>
      <c r="RG48" s="23">
        <v>1.5368</v>
      </c>
      <c r="RH48" s="23">
        <v>1.5318</v>
      </c>
      <c r="RI48" s="23">
        <v>1.5326</v>
      </c>
      <c r="RJ48" s="23">
        <v>1.5221</v>
      </c>
      <c r="RK48" s="23"/>
      <c r="RL48" s="23"/>
      <c r="RM48" s="23">
        <v>1.5093</v>
      </c>
      <c r="RN48" s="23">
        <v>1.5143</v>
      </c>
      <c r="RO48" s="23">
        <v>1.521</v>
      </c>
      <c r="RP48" s="23">
        <v>1.5113</v>
      </c>
      <c r="RQ48" s="23">
        <v>1.5146</v>
      </c>
      <c r="RR48" s="23"/>
      <c r="RS48" s="23"/>
      <c r="RT48" s="23">
        <v>1.5133</v>
      </c>
      <c r="RU48" s="23">
        <v>1.5233</v>
      </c>
      <c r="RV48" s="23">
        <v>1.5185</v>
      </c>
      <c r="RW48" s="23">
        <v>1.5145</v>
      </c>
      <c r="RX48" s="23"/>
      <c r="RY48" s="23"/>
      <c r="RZ48" s="23"/>
      <c r="SA48" s="23"/>
      <c r="SB48" s="23"/>
      <c r="SC48" s="23">
        <v>1.5123</v>
      </c>
      <c r="SD48" s="23">
        <v>1.5142</v>
      </c>
      <c r="SE48" s="23">
        <v>1.5164</v>
      </c>
      <c r="SF48" s="23">
        <v>1.5271</v>
      </c>
      <c r="SG48" s="23"/>
      <c r="SH48" s="23">
        <v>1.5298</v>
      </c>
      <c r="SI48" s="23">
        <v>1.5261</v>
      </c>
      <c r="SJ48" s="23">
        <v>1.5142</v>
      </c>
      <c r="SK48" s="23">
        <v>1.508</v>
      </c>
      <c r="SL48" s="23">
        <v>1.5035</v>
      </c>
      <c r="SM48" s="23"/>
      <c r="SN48" s="23"/>
      <c r="SO48" s="23">
        <v>1.5013</v>
      </c>
      <c r="SP48" s="23">
        <v>1.5002</v>
      </c>
      <c r="SQ48" s="23">
        <v>1.4855</v>
      </c>
      <c r="SR48" s="23">
        <v>1.4843</v>
      </c>
      <c r="SS48" s="23">
        <v>1.4891</v>
      </c>
      <c r="ST48" s="23"/>
      <c r="SU48" s="23"/>
      <c r="SV48" s="23">
        <v>1.4823</v>
      </c>
      <c r="SW48" s="23">
        <v>1.4811</v>
      </c>
      <c r="SX48" s="23">
        <v>1.4727</v>
      </c>
      <c r="SY48" s="23">
        <v>1.4705</v>
      </c>
      <c r="SZ48" s="23">
        <v>1.4727</v>
      </c>
      <c r="TA48" s="23"/>
      <c r="TB48" s="23"/>
      <c r="TC48" s="23">
        <v>1.4689</v>
      </c>
      <c r="TD48" s="23">
        <v>1.4664</v>
      </c>
      <c r="TE48" s="23">
        <v>1.4669</v>
      </c>
      <c r="TF48" s="23">
        <v>1.4601</v>
      </c>
      <c r="TG48" s="23">
        <v>1.4606</v>
      </c>
      <c r="TH48" s="23"/>
      <c r="TI48" s="23"/>
      <c r="TJ48" s="23">
        <v>1.4593</v>
      </c>
      <c r="TK48" s="23">
        <v>1.4699</v>
      </c>
      <c r="TL48" s="23">
        <v>1.4822</v>
      </c>
      <c r="TM48" s="23">
        <v>1.5161</v>
      </c>
      <c r="TN48" s="23">
        <v>1.5298</v>
      </c>
      <c r="TO48" s="23"/>
      <c r="TP48" s="23"/>
      <c r="TQ48" s="23">
        <v>1.5286</v>
      </c>
      <c r="TR48" s="23">
        <v>1.5251</v>
      </c>
      <c r="TS48" s="23">
        <v>1.5366</v>
      </c>
      <c r="TT48" s="23">
        <v>1.5232</v>
      </c>
      <c r="TU48" s="23"/>
      <c r="TV48" s="23"/>
      <c r="TW48" s="23"/>
      <c r="TX48" s="23">
        <v>1.5242</v>
      </c>
      <c r="TY48" s="23">
        <v>1.5359</v>
      </c>
      <c r="TZ48" s="23">
        <v>1.5208</v>
      </c>
      <c r="UA48" s="23">
        <v>1.5045</v>
      </c>
      <c r="UB48" s="23">
        <v>1.5</v>
      </c>
      <c r="UC48" s="23"/>
      <c r="UD48" s="23"/>
      <c r="UE48" s="23">
        <v>1.5</v>
      </c>
      <c r="UF48" s="23">
        <v>1.5</v>
      </c>
      <c r="UG48" s="23">
        <v>1.5</v>
      </c>
      <c r="UH48" s="23">
        <v>1.505</v>
      </c>
      <c r="UI48" s="23">
        <v>1.505</v>
      </c>
      <c r="UJ48" s="23"/>
      <c r="UK48" s="23"/>
      <c r="UL48" s="23"/>
      <c r="UM48" s="23"/>
      <c r="UN48" s="23"/>
      <c r="UO48" s="23"/>
      <c r="UP48" s="23"/>
      <c r="UQ48" s="23"/>
      <c r="UR48" s="23"/>
      <c r="US48" s="23"/>
      <c r="UT48" s="23"/>
    </row>
    <row r="49" ht="16.5" customHeight="1" spans="4:566">
      <c r="D49" s="19" t="s">
        <v>68</v>
      </c>
      <c r="E49" s="21" t="s">
        <v>69</v>
      </c>
      <c r="F49" s="23"/>
      <c r="G49" s="23"/>
      <c r="H49" s="23">
        <v>1.68</v>
      </c>
      <c r="I49" s="23">
        <v>1.6695</v>
      </c>
      <c r="J49" s="23"/>
      <c r="K49" s="23"/>
      <c r="L49" s="23">
        <v>1.66</v>
      </c>
      <c r="M49" s="23">
        <v>1.6683</v>
      </c>
      <c r="N49" s="23">
        <v>1.6824</v>
      </c>
      <c r="O49" s="23">
        <v>1.686</v>
      </c>
      <c r="P49" s="23">
        <v>1.7078</v>
      </c>
      <c r="Q49" s="23"/>
      <c r="R49" s="23"/>
      <c r="S49" s="23">
        <v>1.7402</v>
      </c>
      <c r="T49" s="23">
        <v>1.7702</v>
      </c>
      <c r="U49" s="23">
        <v>1.785</v>
      </c>
      <c r="V49" s="23">
        <v>1.8226</v>
      </c>
      <c r="W49" s="23">
        <v>1.8251</v>
      </c>
      <c r="X49" s="23"/>
      <c r="Y49" s="23"/>
      <c r="Z49" s="23">
        <v>1.8388</v>
      </c>
      <c r="AA49" s="23">
        <v>1.8488</v>
      </c>
      <c r="AB49" s="23">
        <v>1.8353</v>
      </c>
      <c r="AC49" s="23">
        <v>1.849</v>
      </c>
      <c r="AD49" s="23">
        <v>1.8686</v>
      </c>
      <c r="AE49" s="23"/>
      <c r="AF49" s="23">
        <v>1.8588</v>
      </c>
      <c r="AG49" s="23">
        <v>1.8298</v>
      </c>
      <c r="AH49" s="23"/>
      <c r="AI49" s="23"/>
      <c r="AJ49" s="23"/>
      <c r="AK49" s="23"/>
      <c r="AL49" s="23"/>
      <c r="AM49" s="23"/>
      <c r="AN49" s="23"/>
      <c r="AO49" s="23"/>
      <c r="AP49" s="23">
        <v>1.8249</v>
      </c>
      <c r="AQ49" s="23">
        <v>1.8087</v>
      </c>
      <c r="AR49" s="23">
        <v>1.7952</v>
      </c>
      <c r="AS49" s="23">
        <v>1.7745</v>
      </c>
      <c r="AT49" s="23"/>
      <c r="AU49" s="23">
        <v>1.797</v>
      </c>
      <c r="AV49" s="23">
        <v>1.8114</v>
      </c>
      <c r="AW49" s="23">
        <v>1.8133</v>
      </c>
      <c r="AX49" s="23">
        <v>1.8233</v>
      </c>
      <c r="AY49" s="23">
        <v>1.8462</v>
      </c>
      <c r="AZ49" s="23"/>
      <c r="BA49" s="23"/>
      <c r="BB49" s="23">
        <v>1.8699</v>
      </c>
      <c r="BC49" s="23">
        <v>1.9001</v>
      </c>
      <c r="BD49" s="23">
        <v>1.9009</v>
      </c>
      <c r="BE49" s="23">
        <v>1.9237</v>
      </c>
      <c r="BF49" s="23">
        <v>1.9624</v>
      </c>
      <c r="BG49" s="23"/>
      <c r="BH49" s="23"/>
      <c r="BI49" s="23">
        <v>2.0024</v>
      </c>
      <c r="BJ49" s="23">
        <v>2.0224</v>
      </c>
      <c r="BK49" s="23">
        <v>2.0091</v>
      </c>
      <c r="BL49" s="23">
        <v>2.0333</v>
      </c>
      <c r="BM49" s="23">
        <v>2.036</v>
      </c>
      <c r="BN49" s="23"/>
      <c r="BO49" s="23"/>
      <c r="BP49" s="23">
        <v>2.0273</v>
      </c>
      <c r="BQ49" s="23">
        <v>2.0288</v>
      </c>
      <c r="BR49" s="23">
        <v>2.0204</v>
      </c>
      <c r="BS49" s="23">
        <v>2.0238</v>
      </c>
      <c r="BT49" s="23">
        <v>2.0669</v>
      </c>
      <c r="BU49" s="23"/>
      <c r="BV49" s="23"/>
      <c r="BW49" s="23">
        <v>2.0802</v>
      </c>
      <c r="BX49" s="23">
        <v>2.0931</v>
      </c>
      <c r="BY49" s="23">
        <v>2.089</v>
      </c>
      <c r="BZ49" s="23">
        <v>2.0606</v>
      </c>
      <c r="CA49" s="23">
        <v>2.05</v>
      </c>
      <c r="CB49" s="23"/>
      <c r="CC49" s="23"/>
      <c r="CD49" s="23">
        <v>2.0533</v>
      </c>
      <c r="CE49" s="23">
        <v>2.0408</v>
      </c>
      <c r="CF49" s="23">
        <v>2.0263</v>
      </c>
      <c r="CG49" s="23">
        <v>1.9911</v>
      </c>
      <c r="CH49" s="23">
        <v>1.981</v>
      </c>
      <c r="CI49" s="23"/>
      <c r="CJ49" s="23"/>
      <c r="CK49" s="23">
        <v>1.9748</v>
      </c>
      <c r="CL49" s="23">
        <v>1.966</v>
      </c>
      <c r="CM49" s="23">
        <v>1.9625</v>
      </c>
      <c r="CN49" s="23">
        <v>1.95</v>
      </c>
      <c r="CO49" s="23">
        <v>1.9515</v>
      </c>
      <c r="CP49" s="23"/>
      <c r="CQ49" s="23"/>
      <c r="CR49" s="23">
        <v>1.95</v>
      </c>
      <c r="CS49" s="23">
        <v>1.94</v>
      </c>
      <c r="CT49" s="23">
        <v>1.9442</v>
      </c>
      <c r="CU49" s="23">
        <v>1.8914</v>
      </c>
      <c r="CV49" s="23"/>
      <c r="CW49" s="23"/>
      <c r="CX49" s="23"/>
      <c r="CY49" s="23">
        <v>1.8293</v>
      </c>
      <c r="CZ49" s="23">
        <v>1.8264</v>
      </c>
      <c r="DA49" s="23">
        <v>1.8388</v>
      </c>
      <c r="DB49" s="23">
        <v>1.8357</v>
      </c>
      <c r="DC49" s="23">
        <v>1.8222</v>
      </c>
      <c r="DD49" s="23"/>
      <c r="DE49" s="23"/>
      <c r="DF49" s="23">
        <v>1.8198</v>
      </c>
      <c r="DG49" s="23">
        <v>1.8248</v>
      </c>
      <c r="DH49" s="23">
        <v>1.8275</v>
      </c>
      <c r="DI49" s="23">
        <v>1.8294</v>
      </c>
      <c r="DJ49" s="23">
        <v>1.8296</v>
      </c>
      <c r="DK49" s="23"/>
      <c r="DL49" s="23"/>
      <c r="DM49" s="23">
        <v>1.842</v>
      </c>
      <c r="DN49" s="23">
        <v>1.8436</v>
      </c>
      <c r="DO49" s="23">
        <v>1.8505</v>
      </c>
      <c r="DP49" s="23">
        <v>1.8516</v>
      </c>
      <c r="DQ49" s="23">
        <v>1.8489</v>
      </c>
      <c r="DR49" s="23"/>
      <c r="DS49" s="23">
        <v>1.8258</v>
      </c>
      <c r="DT49" s="23">
        <v>1.8307</v>
      </c>
      <c r="DU49" s="23">
        <v>1.8325</v>
      </c>
      <c r="DV49" s="23">
        <v>1.8306</v>
      </c>
      <c r="DW49" s="23"/>
      <c r="DX49" s="23"/>
      <c r="DY49" s="23"/>
      <c r="DZ49" s="23"/>
      <c r="EA49" s="23"/>
      <c r="EB49" s="23">
        <v>1.8207</v>
      </c>
      <c r="EC49" s="23">
        <v>1.8083</v>
      </c>
      <c r="ED49" s="23">
        <v>1.784</v>
      </c>
      <c r="EE49" s="23">
        <v>1.7673</v>
      </c>
      <c r="EF49" s="23"/>
      <c r="EG49" s="23"/>
      <c r="EH49" s="23">
        <v>1.7515</v>
      </c>
      <c r="EI49" s="23">
        <v>1.7325</v>
      </c>
      <c r="EJ49" s="23">
        <v>1.7227</v>
      </c>
      <c r="EK49" s="23">
        <v>1.7101</v>
      </c>
      <c r="EL49" s="23">
        <v>1.7191</v>
      </c>
      <c r="EM49" s="23"/>
      <c r="EN49" s="23"/>
      <c r="EO49" s="23">
        <v>1.72</v>
      </c>
      <c r="EP49" s="23">
        <v>1.7046</v>
      </c>
      <c r="EQ49" s="23">
        <v>1.707</v>
      </c>
      <c r="ER49" s="23">
        <v>1.7034</v>
      </c>
      <c r="ES49" s="23">
        <v>1.7072</v>
      </c>
      <c r="ET49" s="23"/>
      <c r="EU49" s="23"/>
      <c r="EV49" s="23">
        <v>1.7074</v>
      </c>
      <c r="EW49" s="23">
        <v>1.71</v>
      </c>
      <c r="EX49" s="23">
        <v>1.7269</v>
      </c>
      <c r="EY49" s="23">
        <v>1.7352</v>
      </c>
      <c r="EZ49" s="23">
        <v>1.7398</v>
      </c>
      <c r="FA49" s="23"/>
      <c r="FB49" s="23"/>
      <c r="FC49" s="23"/>
      <c r="FD49" s="23">
        <v>1.7208</v>
      </c>
      <c r="FE49" s="23">
        <v>1.7471</v>
      </c>
      <c r="FF49" s="23">
        <v>1.7455</v>
      </c>
      <c r="FG49" s="23">
        <v>1.7448</v>
      </c>
      <c r="FH49" s="23"/>
      <c r="FI49" s="23"/>
      <c r="FJ49" s="23">
        <v>1.7302</v>
      </c>
      <c r="FK49" s="23">
        <v>1.7301</v>
      </c>
      <c r="FL49" s="23">
        <v>1.7324</v>
      </c>
      <c r="FM49" s="23">
        <v>1.7316</v>
      </c>
      <c r="FN49" s="23">
        <v>1.7294</v>
      </c>
      <c r="FO49" s="23"/>
      <c r="FP49" s="23"/>
      <c r="FQ49" s="23">
        <v>1.7288</v>
      </c>
      <c r="FR49" s="23">
        <v>1.7308</v>
      </c>
      <c r="FS49" s="23">
        <v>1.7224</v>
      </c>
      <c r="FT49" s="23">
        <v>1.7154</v>
      </c>
      <c r="FU49" s="23">
        <v>1.7131</v>
      </c>
      <c r="FV49" s="23"/>
      <c r="FW49" s="23"/>
      <c r="FX49" s="23">
        <v>1.7061</v>
      </c>
      <c r="FY49" s="23">
        <v>1.7163</v>
      </c>
      <c r="FZ49" s="23">
        <v>1.7204</v>
      </c>
      <c r="GA49" s="23">
        <v>1.7283</v>
      </c>
      <c r="GB49" s="23">
        <v>1.733</v>
      </c>
      <c r="GC49" s="23"/>
      <c r="GD49" s="23"/>
      <c r="GE49" s="23">
        <v>1.7249</v>
      </c>
      <c r="GF49" s="23">
        <v>1.7257</v>
      </c>
      <c r="GG49" s="23">
        <v>1.7193</v>
      </c>
      <c r="GH49" s="23">
        <v>1.7068</v>
      </c>
      <c r="GI49" s="23">
        <v>1.6871</v>
      </c>
      <c r="GJ49" s="23"/>
      <c r="GK49" s="23"/>
      <c r="GL49" s="23">
        <v>1.674</v>
      </c>
      <c r="GM49" s="23">
        <v>1.6786</v>
      </c>
      <c r="GN49" s="23">
        <v>1.6762</v>
      </c>
      <c r="GO49" s="23">
        <v>1.6744</v>
      </c>
      <c r="GP49" s="23">
        <v>1.6871</v>
      </c>
      <c r="GQ49" s="23"/>
      <c r="GR49" s="23"/>
      <c r="GS49" s="23">
        <v>1.7003</v>
      </c>
      <c r="GT49" s="23">
        <v>1.6878</v>
      </c>
      <c r="GU49" s="23">
        <v>1.681</v>
      </c>
      <c r="GV49" s="23">
        <v>1.6694</v>
      </c>
      <c r="GW49" s="23">
        <v>1.6637</v>
      </c>
      <c r="GX49" s="23"/>
      <c r="GY49" s="23"/>
      <c r="GZ49" s="23">
        <v>1.684</v>
      </c>
      <c r="HA49" s="23">
        <v>1.6827</v>
      </c>
      <c r="HB49" s="23">
        <v>1.695</v>
      </c>
      <c r="HC49" s="23">
        <v>1.7283</v>
      </c>
      <c r="HD49" s="23">
        <v>1.7407</v>
      </c>
      <c r="HE49" s="23"/>
      <c r="HF49" s="23"/>
      <c r="HG49" s="23">
        <v>1.7156</v>
      </c>
      <c r="HH49" s="23">
        <v>1.7256</v>
      </c>
      <c r="HI49" s="23">
        <v>1.7323</v>
      </c>
      <c r="HJ49" s="23">
        <v>1.716</v>
      </c>
      <c r="HK49" s="23">
        <v>1.7013</v>
      </c>
      <c r="HL49" s="23"/>
      <c r="HM49" s="23"/>
      <c r="HN49" s="23">
        <v>1.6913</v>
      </c>
      <c r="HO49" s="23">
        <v>1.6912</v>
      </c>
      <c r="HP49" s="23">
        <v>1.68</v>
      </c>
      <c r="HQ49" s="23">
        <v>1.6728</v>
      </c>
      <c r="HR49" s="23">
        <v>1.6731</v>
      </c>
      <c r="HS49" s="23"/>
      <c r="HT49" s="23"/>
      <c r="HU49" s="23">
        <v>1.6719</v>
      </c>
      <c r="HV49" s="23">
        <v>1.6721</v>
      </c>
      <c r="HW49" s="23">
        <v>1.6721</v>
      </c>
      <c r="HX49" s="23">
        <v>1.6824</v>
      </c>
      <c r="HY49" s="23">
        <v>1.7017</v>
      </c>
      <c r="HZ49" s="23"/>
      <c r="IA49" s="23"/>
      <c r="IB49" s="23">
        <v>1.7317</v>
      </c>
      <c r="IC49" s="23">
        <v>1.7476</v>
      </c>
      <c r="ID49" s="23">
        <v>1.7305</v>
      </c>
      <c r="IE49" s="23">
        <v>1.7373</v>
      </c>
      <c r="IF49" s="23">
        <v>1.7343</v>
      </c>
      <c r="IG49" s="23"/>
      <c r="IH49" s="23"/>
      <c r="II49" s="23">
        <v>1.7368</v>
      </c>
      <c r="IJ49" s="23">
        <v>1.733</v>
      </c>
      <c r="IK49" s="23">
        <v>1.725</v>
      </c>
      <c r="IL49" s="23">
        <v>1.7222</v>
      </c>
      <c r="IM49" s="23">
        <v>1.7183</v>
      </c>
      <c r="IN49" s="23"/>
      <c r="IO49" s="23"/>
      <c r="IP49" s="31">
        <v>1.7092</v>
      </c>
      <c r="IQ49" s="31">
        <v>1.7138</v>
      </c>
      <c r="IR49" s="31">
        <v>1.7102</v>
      </c>
      <c r="IS49" s="31">
        <v>1.7002</v>
      </c>
      <c r="IT49" s="31">
        <v>1.7025</v>
      </c>
      <c r="IU49" s="31"/>
      <c r="IV49" s="31"/>
      <c r="IW49" s="31">
        <v>1.7017</v>
      </c>
      <c r="IX49" s="31">
        <v>1.7017</v>
      </c>
      <c r="IY49" s="31">
        <v>1.7141</v>
      </c>
      <c r="IZ49" s="31">
        <v>1.7133</v>
      </c>
      <c r="JA49" s="31">
        <v>1.7219</v>
      </c>
      <c r="JB49" s="31"/>
      <c r="JC49" s="31"/>
      <c r="JD49" s="31">
        <v>1.7135</v>
      </c>
      <c r="JE49" s="31">
        <v>1.7164</v>
      </c>
      <c r="JF49" s="31">
        <v>1.7205</v>
      </c>
      <c r="JG49" s="31">
        <v>1.7307</v>
      </c>
      <c r="JH49" s="31">
        <v>1.7309</v>
      </c>
      <c r="JI49" s="31"/>
      <c r="JJ49" s="31"/>
      <c r="JK49" s="31">
        <v>1.742</v>
      </c>
      <c r="JL49" s="31">
        <v>1.7523</v>
      </c>
      <c r="JM49" s="31">
        <v>1.7662</v>
      </c>
      <c r="JN49" s="31">
        <v>1.7667</v>
      </c>
      <c r="JO49" s="31">
        <v>1.7655</v>
      </c>
      <c r="JP49" s="31"/>
      <c r="JQ49" s="31">
        <v>1.7581</v>
      </c>
      <c r="JR49" s="31">
        <v>1.7761</v>
      </c>
      <c r="JS49" s="31">
        <v>1.7665</v>
      </c>
      <c r="JT49" s="31"/>
      <c r="JU49" s="31"/>
      <c r="JV49" s="31"/>
      <c r="JW49" s="31"/>
      <c r="JX49" s="31"/>
      <c r="JY49" s="31"/>
      <c r="JZ49" s="23"/>
      <c r="KA49" s="23"/>
      <c r="KB49" s="23">
        <v>1.7565</v>
      </c>
      <c r="KC49" s="23">
        <v>1.7604</v>
      </c>
      <c r="KD49" s="23">
        <v>1.7405</v>
      </c>
      <c r="KE49" s="23"/>
      <c r="KF49" s="23">
        <v>1.7508</v>
      </c>
      <c r="KG49" s="23">
        <v>1.7537</v>
      </c>
      <c r="KH49" s="23">
        <v>1.7559</v>
      </c>
      <c r="KI49" s="23">
        <v>1.7514</v>
      </c>
      <c r="KJ49" s="23">
        <v>1.7487</v>
      </c>
      <c r="KK49" s="23"/>
      <c r="KL49" s="23"/>
      <c r="KM49" s="23">
        <v>1.7382</v>
      </c>
      <c r="KN49" s="23">
        <v>1.7332</v>
      </c>
      <c r="KO49" s="23">
        <v>1.7232</v>
      </c>
      <c r="KP49" s="23">
        <v>1.7268</v>
      </c>
      <c r="KQ49" s="23">
        <v>1.7149</v>
      </c>
      <c r="KR49" s="23"/>
      <c r="KS49" s="23"/>
      <c r="KT49" s="23">
        <v>1.7157</v>
      </c>
      <c r="KU49" s="23">
        <v>1.713</v>
      </c>
      <c r="KV49" s="23">
        <v>1.6992</v>
      </c>
      <c r="KW49" s="23">
        <v>1.6887</v>
      </c>
      <c r="KX49" s="23">
        <v>1.6799</v>
      </c>
      <c r="KY49" s="23"/>
      <c r="KZ49" s="23"/>
      <c r="LA49" s="23">
        <v>1.6748</v>
      </c>
      <c r="LB49" s="23">
        <v>1.6832</v>
      </c>
      <c r="LC49" s="23">
        <v>1.686</v>
      </c>
      <c r="LD49" s="23">
        <v>1.6894</v>
      </c>
      <c r="LE49" s="23">
        <v>1.703</v>
      </c>
      <c r="LF49" s="23"/>
      <c r="LG49" s="23"/>
      <c r="LH49" s="23">
        <v>1.7059</v>
      </c>
      <c r="LI49" s="23">
        <v>1.7037</v>
      </c>
      <c r="LJ49" s="23">
        <v>1.6995</v>
      </c>
      <c r="LK49" s="23">
        <v>1.7036</v>
      </c>
      <c r="LL49" s="23">
        <v>1.7031</v>
      </c>
      <c r="LM49" s="23"/>
      <c r="LN49" s="23"/>
      <c r="LO49" s="23">
        <v>1.708</v>
      </c>
      <c r="LP49" s="23">
        <v>1.7045</v>
      </c>
      <c r="LQ49" s="23">
        <v>1.7005</v>
      </c>
      <c r="LR49" s="23">
        <v>1.6948</v>
      </c>
      <c r="LS49" s="23">
        <v>1.6921</v>
      </c>
      <c r="LT49" s="23"/>
      <c r="LU49" s="23"/>
      <c r="LV49" s="23">
        <v>1.6946</v>
      </c>
      <c r="LW49" s="23">
        <v>1.6964</v>
      </c>
      <c r="LX49" s="23">
        <v>1.7092</v>
      </c>
      <c r="LY49" s="23">
        <v>1.7185</v>
      </c>
      <c r="LZ49" s="23">
        <v>1.7175</v>
      </c>
      <c r="MA49" s="23"/>
      <c r="MB49" s="23"/>
      <c r="MC49" s="23">
        <v>1.7175</v>
      </c>
      <c r="MD49" s="23">
        <v>1.7155</v>
      </c>
      <c r="ME49" s="23">
        <v>1.714</v>
      </c>
      <c r="MF49" s="23">
        <v>1.734</v>
      </c>
      <c r="MG49" s="23">
        <v>1.7478</v>
      </c>
      <c r="MH49" s="23"/>
      <c r="MI49" s="23"/>
      <c r="MJ49" s="23">
        <v>1.7585</v>
      </c>
      <c r="MK49" s="23">
        <v>1.7669</v>
      </c>
      <c r="ML49" s="23">
        <v>1.7655</v>
      </c>
      <c r="MM49" s="23">
        <v>1.7595</v>
      </c>
      <c r="MN49" s="23">
        <v>1.7577</v>
      </c>
      <c r="MO49" s="23"/>
      <c r="MP49" s="23"/>
      <c r="MQ49" s="23">
        <v>1.7716</v>
      </c>
      <c r="MR49" s="23">
        <v>1.7712</v>
      </c>
      <c r="MS49" s="23">
        <v>1.7546</v>
      </c>
      <c r="MT49" s="23">
        <v>1.7558</v>
      </c>
      <c r="MU49" s="23">
        <v>1.7485</v>
      </c>
      <c r="MV49" s="23"/>
      <c r="MW49" s="23"/>
      <c r="MX49" s="23">
        <v>1.7328</v>
      </c>
      <c r="MY49" s="23">
        <v>1.7345</v>
      </c>
      <c r="MZ49" s="23">
        <v>1.7348</v>
      </c>
      <c r="NA49" s="23">
        <v>1.7328</v>
      </c>
      <c r="NB49" s="23">
        <v>1.717</v>
      </c>
      <c r="NC49" s="23"/>
      <c r="ND49" s="23"/>
      <c r="NE49" s="23">
        <v>1.7183</v>
      </c>
      <c r="NF49" s="23">
        <v>1.7144</v>
      </c>
      <c r="NG49" s="23">
        <v>1.7021</v>
      </c>
      <c r="NH49" s="23"/>
      <c r="NI49" s="23"/>
      <c r="NJ49" s="23"/>
      <c r="NK49" s="23">
        <v>1.6909</v>
      </c>
      <c r="NL49" s="23">
        <v>1.6807</v>
      </c>
      <c r="NM49" s="23">
        <v>1.6913</v>
      </c>
      <c r="NN49" s="23">
        <v>1.6934</v>
      </c>
      <c r="NO49" s="23">
        <v>1.6991</v>
      </c>
      <c r="NP49" s="23">
        <v>1.7024</v>
      </c>
      <c r="NQ49" s="23"/>
      <c r="NR49" s="23"/>
      <c r="NS49" s="23">
        <v>1.702</v>
      </c>
      <c r="NT49" s="23">
        <v>1.7002</v>
      </c>
      <c r="NU49" s="23">
        <v>1.6991</v>
      </c>
      <c r="NV49" s="23">
        <v>1.707</v>
      </c>
      <c r="NW49" s="23">
        <v>1.7091</v>
      </c>
      <c r="NX49" s="23"/>
      <c r="NY49" s="23"/>
      <c r="NZ49" s="23">
        <v>1.7109</v>
      </c>
      <c r="OA49" s="23">
        <v>1.709</v>
      </c>
      <c r="OB49" s="23">
        <v>1.6967</v>
      </c>
      <c r="OC49" s="23">
        <v>1.6964</v>
      </c>
      <c r="OD49" s="23">
        <v>1.6988</v>
      </c>
      <c r="OE49" s="23"/>
      <c r="OF49" s="23"/>
      <c r="OG49" s="23">
        <v>1.7035</v>
      </c>
      <c r="OH49" s="23">
        <v>1.7025</v>
      </c>
      <c r="OI49" s="23">
        <v>1.7034</v>
      </c>
      <c r="OJ49" s="23">
        <v>1.7032</v>
      </c>
      <c r="OK49" s="23">
        <v>1.6935</v>
      </c>
      <c r="OL49" s="23"/>
      <c r="OM49" s="23"/>
      <c r="ON49" s="23">
        <v>1.7003</v>
      </c>
      <c r="OO49" s="23">
        <v>1.7013</v>
      </c>
      <c r="OP49" s="23">
        <v>1.7025</v>
      </c>
      <c r="OQ49" s="23">
        <v>1.702</v>
      </c>
      <c r="OR49" s="23">
        <v>1.7009</v>
      </c>
      <c r="OS49" s="23"/>
      <c r="OT49" s="23"/>
      <c r="OU49" s="23">
        <v>1.6984</v>
      </c>
      <c r="OV49" s="23">
        <v>1.6959</v>
      </c>
      <c r="OW49" s="23">
        <v>1.7007</v>
      </c>
      <c r="OX49" s="23">
        <v>1.6933</v>
      </c>
      <c r="OY49" s="23">
        <v>1.685</v>
      </c>
      <c r="OZ49" s="23">
        <v>1.685</v>
      </c>
      <c r="PA49" s="23"/>
      <c r="PB49" s="23"/>
      <c r="PC49" s="23"/>
      <c r="PD49" s="23"/>
      <c r="PE49" s="23"/>
      <c r="PF49" s="23"/>
      <c r="PG49" s="23"/>
      <c r="PH49" s="23"/>
      <c r="PI49" s="23"/>
      <c r="PJ49" s="23">
        <v>1.6874</v>
      </c>
      <c r="PK49" s="23">
        <v>1.6812</v>
      </c>
      <c r="PL49" s="23">
        <v>1.6955</v>
      </c>
      <c r="PM49" s="23">
        <v>1.6972</v>
      </c>
      <c r="PN49" s="23">
        <v>1.6893</v>
      </c>
      <c r="PO49" s="23"/>
      <c r="PP49" s="23">
        <v>1.6835</v>
      </c>
      <c r="PQ49" s="23">
        <v>1.6775</v>
      </c>
      <c r="PR49" s="23">
        <v>1.6754</v>
      </c>
      <c r="PS49" s="23">
        <v>1.6706</v>
      </c>
      <c r="PT49" s="23">
        <v>1.6477</v>
      </c>
      <c r="PU49" s="23"/>
      <c r="PV49" s="23"/>
      <c r="PW49" s="23">
        <v>1.6591</v>
      </c>
      <c r="PX49" s="23">
        <v>1.6459</v>
      </c>
      <c r="PY49" s="23">
        <v>1.6434</v>
      </c>
      <c r="PZ49" s="23">
        <v>1.6427</v>
      </c>
      <c r="QA49" s="23">
        <v>1.6318</v>
      </c>
      <c r="QB49" s="23"/>
      <c r="QC49" s="23"/>
      <c r="QD49" s="23">
        <v>1.636</v>
      </c>
      <c r="QE49" s="23">
        <v>1.6321</v>
      </c>
      <c r="QF49" s="23">
        <v>1.6279</v>
      </c>
      <c r="QG49" s="23">
        <v>1.6229</v>
      </c>
      <c r="QH49" s="23">
        <v>1.619</v>
      </c>
      <c r="QI49" s="23"/>
      <c r="QJ49" s="23"/>
      <c r="QK49" s="23">
        <v>1.6082</v>
      </c>
      <c r="QL49" s="23">
        <v>1.6011</v>
      </c>
      <c r="QM49" s="23">
        <v>1.6026</v>
      </c>
      <c r="QN49" s="23">
        <v>1.6055</v>
      </c>
      <c r="QO49" s="23">
        <v>1.6093</v>
      </c>
      <c r="QP49" s="23"/>
      <c r="QQ49" s="23"/>
      <c r="QR49" s="23">
        <v>1.6059</v>
      </c>
      <c r="QS49" s="23">
        <v>1.5926</v>
      </c>
      <c r="QT49" s="23">
        <v>1.5957</v>
      </c>
      <c r="QU49" s="23">
        <v>1.5832</v>
      </c>
      <c r="QV49" s="23">
        <v>1.5672</v>
      </c>
      <c r="QW49" s="23"/>
      <c r="QX49" s="23"/>
      <c r="QY49" s="23"/>
      <c r="QZ49" s="23">
        <v>1.5537</v>
      </c>
      <c r="RA49" s="23">
        <v>1.5541</v>
      </c>
      <c r="RB49" s="23">
        <v>1.5538</v>
      </c>
      <c r="RC49" s="23">
        <v>1.5431</v>
      </c>
      <c r="RD49" s="23"/>
      <c r="RE49" s="23"/>
      <c r="RF49" s="23">
        <v>1.549</v>
      </c>
      <c r="RG49" s="23">
        <v>1.5447</v>
      </c>
      <c r="RH49" s="23">
        <v>1.5474</v>
      </c>
      <c r="RI49" s="23">
        <v>1.5515</v>
      </c>
      <c r="RJ49" s="23">
        <v>1.5547</v>
      </c>
      <c r="RK49" s="23"/>
      <c r="RL49" s="23"/>
      <c r="RM49" s="23">
        <v>1.5454</v>
      </c>
      <c r="RN49" s="23">
        <v>1.5455</v>
      </c>
      <c r="RO49" s="23">
        <v>1.5326</v>
      </c>
      <c r="RP49" s="23">
        <v>1.5293</v>
      </c>
      <c r="RQ49" s="23">
        <v>1.5218</v>
      </c>
      <c r="RR49" s="23"/>
      <c r="RS49" s="23"/>
      <c r="RT49" s="23">
        <v>1.5186</v>
      </c>
      <c r="RU49" s="23">
        <v>1.5211</v>
      </c>
      <c r="RV49" s="23">
        <v>1.5126</v>
      </c>
      <c r="RW49" s="23">
        <v>1.5138</v>
      </c>
      <c r="RX49" s="23"/>
      <c r="RY49" s="23"/>
      <c r="RZ49" s="23"/>
      <c r="SA49" s="23"/>
      <c r="SB49" s="23"/>
      <c r="SC49" s="23">
        <v>1.5188</v>
      </c>
      <c r="SD49" s="23">
        <v>1.5181</v>
      </c>
      <c r="SE49" s="23">
        <v>1.5211</v>
      </c>
      <c r="SF49" s="23">
        <v>1.5319</v>
      </c>
      <c r="SG49" s="23"/>
      <c r="SH49" s="23">
        <v>1.5258</v>
      </c>
      <c r="SI49" s="23">
        <v>1.5103</v>
      </c>
      <c r="SJ49" s="23">
        <v>1.5001</v>
      </c>
      <c r="SK49" s="23">
        <v>1.5079</v>
      </c>
      <c r="SL49" s="23">
        <v>1.5037</v>
      </c>
      <c r="SM49" s="23"/>
      <c r="SN49" s="23"/>
      <c r="SO49" s="23">
        <v>1.5003</v>
      </c>
      <c r="SP49" s="23">
        <v>1.4901</v>
      </c>
      <c r="SQ49" s="23">
        <v>1.4815</v>
      </c>
      <c r="SR49" s="23">
        <v>1.4727</v>
      </c>
      <c r="SS49" s="23">
        <v>1.4793</v>
      </c>
      <c r="ST49" s="23"/>
      <c r="SU49" s="23"/>
      <c r="SV49" s="23">
        <v>1.4753</v>
      </c>
      <c r="SW49" s="23">
        <v>1.4698</v>
      </c>
      <c r="SX49" s="23">
        <v>1.4677</v>
      </c>
      <c r="SY49" s="23">
        <v>1.4596</v>
      </c>
      <c r="SZ49" s="23">
        <v>1.4613</v>
      </c>
      <c r="TA49" s="23"/>
      <c r="TB49" s="23"/>
      <c r="TC49" s="23">
        <v>1.4565</v>
      </c>
      <c r="TD49" s="23">
        <v>1.4475</v>
      </c>
      <c r="TE49" s="23">
        <v>1.4587</v>
      </c>
      <c r="TF49" s="23">
        <v>1.4579</v>
      </c>
      <c r="TG49" s="23">
        <v>1.4715</v>
      </c>
      <c r="TH49" s="23"/>
      <c r="TI49" s="23"/>
      <c r="TJ49" s="23">
        <v>1.469</v>
      </c>
      <c r="TK49" s="23">
        <v>1.4835</v>
      </c>
      <c r="TL49" s="23">
        <v>1.4919</v>
      </c>
      <c r="TM49" s="23">
        <v>1.5219</v>
      </c>
      <c r="TN49" s="23">
        <v>1.5321</v>
      </c>
      <c r="TO49" s="23"/>
      <c r="TP49" s="23"/>
      <c r="TQ49" s="23">
        <v>1.53</v>
      </c>
      <c r="TR49" s="23">
        <v>1.5301</v>
      </c>
      <c r="TS49" s="23">
        <v>1.5373</v>
      </c>
      <c r="TT49" s="23">
        <v>1.5208</v>
      </c>
      <c r="TU49" s="23"/>
      <c r="TV49" s="23"/>
      <c r="TW49" s="23"/>
      <c r="TX49" s="23">
        <v>1.5208</v>
      </c>
      <c r="TY49" s="23">
        <v>1.5243</v>
      </c>
      <c r="TZ49" s="23">
        <v>1.5226</v>
      </c>
      <c r="UA49" s="23">
        <v>1.5167</v>
      </c>
      <c r="UB49" s="23">
        <v>1.5103</v>
      </c>
      <c r="UC49" s="23"/>
      <c r="UD49" s="23"/>
      <c r="UE49" s="23">
        <v>1.5036</v>
      </c>
      <c r="UF49" s="23">
        <v>1.5004</v>
      </c>
      <c r="UG49" s="23">
        <v>1.5122</v>
      </c>
      <c r="UH49" s="23">
        <v>1.5316</v>
      </c>
      <c r="UI49" s="23">
        <v>1.5297</v>
      </c>
      <c r="UJ49" s="23"/>
      <c r="UK49" s="23"/>
      <c r="UL49" s="23"/>
      <c r="UM49" s="23"/>
      <c r="UN49" s="23"/>
      <c r="UO49" s="23"/>
      <c r="UP49" s="23"/>
      <c r="UQ49" s="23"/>
      <c r="UR49" s="23"/>
      <c r="US49" s="23"/>
      <c r="UT49" s="23"/>
    </row>
    <row r="50" ht="16.5" customHeight="1" spans="4:566">
      <c r="D50" s="19" t="s">
        <v>70</v>
      </c>
      <c r="E50" s="21" t="s">
        <v>71</v>
      </c>
      <c r="F50" s="23"/>
      <c r="G50" s="23"/>
      <c r="H50" s="23">
        <v>1.7791</v>
      </c>
      <c r="I50" s="23">
        <v>1.7414</v>
      </c>
      <c r="J50" s="23"/>
      <c r="K50" s="23"/>
      <c r="L50" s="23">
        <v>1.7294</v>
      </c>
      <c r="M50" s="23">
        <v>1.7464</v>
      </c>
      <c r="N50" s="23">
        <v>1.7441</v>
      </c>
      <c r="O50" s="23">
        <v>1.773</v>
      </c>
      <c r="P50" s="23">
        <v>1.7842</v>
      </c>
      <c r="Q50" s="23"/>
      <c r="R50" s="23"/>
      <c r="S50" s="23">
        <v>1.8036</v>
      </c>
      <c r="T50" s="23">
        <v>1.8031</v>
      </c>
      <c r="U50" s="23">
        <v>1.8025</v>
      </c>
      <c r="V50" s="23">
        <v>1.8323</v>
      </c>
      <c r="W50" s="23">
        <v>1.8523</v>
      </c>
      <c r="X50" s="23"/>
      <c r="Y50" s="23"/>
      <c r="Z50" s="23">
        <v>1.8625</v>
      </c>
      <c r="AA50" s="23">
        <v>1.8713</v>
      </c>
      <c r="AB50" s="23">
        <v>1.873</v>
      </c>
      <c r="AC50" s="23">
        <v>1.8797</v>
      </c>
      <c r="AD50" s="23">
        <v>1.8797</v>
      </c>
      <c r="AE50" s="23"/>
      <c r="AF50" s="23">
        <v>1.8797</v>
      </c>
      <c r="AG50" s="23">
        <v>1.8569</v>
      </c>
      <c r="AH50" s="23"/>
      <c r="AI50" s="23"/>
      <c r="AJ50" s="23"/>
      <c r="AK50" s="23"/>
      <c r="AL50" s="23"/>
      <c r="AM50" s="23"/>
      <c r="AN50" s="23"/>
      <c r="AO50" s="23"/>
      <c r="AP50" s="23">
        <v>1.8566</v>
      </c>
      <c r="AQ50" s="23">
        <v>1.8358</v>
      </c>
      <c r="AR50" s="23">
        <v>1.8229</v>
      </c>
      <c r="AS50" s="23">
        <v>1.8183</v>
      </c>
      <c r="AT50" s="23"/>
      <c r="AU50" s="23">
        <v>1.831</v>
      </c>
      <c r="AV50" s="23">
        <v>1.8515</v>
      </c>
      <c r="AW50" s="23">
        <v>1.8515</v>
      </c>
      <c r="AX50" s="23">
        <v>1.8612</v>
      </c>
      <c r="AY50" s="23">
        <v>1.8861</v>
      </c>
      <c r="AZ50" s="23"/>
      <c r="BA50" s="23"/>
      <c r="BB50" s="23">
        <v>1.902</v>
      </c>
      <c r="BC50" s="23">
        <v>1.9265</v>
      </c>
      <c r="BD50" s="23">
        <v>1.9277</v>
      </c>
      <c r="BE50" s="23">
        <v>1.9588</v>
      </c>
      <c r="BF50" s="23">
        <v>1.9959</v>
      </c>
      <c r="BG50" s="23"/>
      <c r="BH50" s="23"/>
      <c r="BI50" s="23">
        <v>2.0325</v>
      </c>
      <c r="BJ50" s="23">
        <v>2.0576</v>
      </c>
      <c r="BK50" s="23">
        <v>2.0599</v>
      </c>
      <c r="BL50" s="23">
        <v>2.081</v>
      </c>
      <c r="BM50" s="23">
        <v>2.0884</v>
      </c>
      <c r="BN50" s="23"/>
      <c r="BO50" s="23"/>
      <c r="BP50" s="23">
        <v>2.0886</v>
      </c>
      <c r="BQ50" s="23">
        <v>2.0755</v>
      </c>
      <c r="BR50" s="23">
        <v>2.0776</v>
      </c>
      <c r="BS50" s="23">
        <v>2.0824</v>
      </c>
      <c r="BT50" s="23">
        <v>2.1335</v>
      </c>
      <c r="BU50" s="23"/>
      <c r="BV50" s="23"/>
      <c r="BW50" s="23">
        <v>2.1561</v>
      </c>
      <c r="BX50" s="23">
        <v>2.1982</v>
      </c>
      <c r="BY50" s="23">
        <v>2.1989</v>
      </c>
      <c r="BZ50" s="23">
        <v>2.1669</v>
      </c>
      <c r="CA50" s="23">
        <v>2.1402</v>
      </c>
      <c r="CB50" s="23"/>
      <c r="CC50" s="23"/>
      <c r="CD50" s="23">
        <v>2.1609</v>
      </c>
      <c r="CE50" s="23">
        <v>2.1433</v>
      </c>
      <c r="CF50" s="23">
        <v>2.1231</v>
      </c>
      <c r="CG50" s="23">
        <v>2.0992</v>
      </c>
      <c r="CH50" s="23">
        <v>2.0753</v>
      </c>
      <c r="CI50" s="23"/>
      <c r="CJ50" s="23"/>
      <c r="CK50" s="23">
        <v>2.0564</v>
      </c>
      <c r="CL50" s="23">
        <v>2.0363</v>
      </c>
      <c r="CM50" s="23">
        <v>2.0378</v>
      </c>
      <c r="CN50" s="23">
        <v>2.024</v>
      </c>
      <c r="CO50" s="23">
        <v>2.0225</v>
      </c>
      <c r="CP50" s="23"/>
      <c r="CQ50" s="23"/>
      <c r="CR50" s="23">
        <v>2.0155</v>
      </c>
      <c r="CS50" s="23">
        <v>2.0172</v>
      </c>
      <c r="CT50" s="23">
        <v>2.0132</v>
      </c>
      <c r="CU50" s="23">
        <v>1.97</v>
      </c>
      <c r="CV50" s="23"/>
      <c r="CW50" s="23"/>
      <c r="CX50" s="23"/>
      <c r="CY50" s="23">
        <v>1.8907</v>
      </c>
      <c r="CZ50" s="23">
        <v>1.9016</v>
      </c>
      <c r="DA50" s="23">
        <v>1.9078</v>
      </c>
      <c r="DB50" s="23">
        <v>1.913</v>
      </c>
      <c r="DC50" s="23">
        <v>1.8993</v>
      </c>
      <c r="DD50" s="23"/>
      <c r="DE50" s="23"/>
      <c r="DF50" s="23">
        <v>1.9068</v>
      </c>
      <c r="DG50" s="23">
        <v>1.9114</v>
      </c>
      <c r="DH50" s="23">
        <v>1.9219</v>
      </c>
      <c r="DI50" s="23">
        <v>1.9161</v>
      </c>
      <c r="DJ50" s="23">
        <v>1.9124</v>
      </c>
      <c r="DK50" s="23"/>
      <c r="DL50" s="23"/>
      <c r="DM50" s="23">
        <v>1.9299</v>
      </c>
      <c r="DN50" s="23">
        <v>1.927</v>
      </c>
      <c r="DO50" s="23">
        <v>1.9532</v>
      </c>
      <c r="DP50" s="23">
        <v>1.963</v>
      </c>
      <c r="DQ50" s="23">
        <v>1.9752</v>
      </c>
      <c r="DR50" s="23"/>
      <c r="DS50" s="23">
        <v>1.9754</v>
      </c>
      <c r="DT50" s="23">
        <v>1.9685</v>
      </c>
      <c r="DU50" s="23">
        <v>1.9512</v>
      </c>
      <c r="DV50" s="23">
        <v>1.9306</v>
      </c>
      <c r="DW50" s="23"/>
      <c r="DX50" s="23"/>
      <c r="DY50" s="23"/>
      <c r="DZ50" s="23"/>
      <c r="EA50" s="23"/>
      <c r="EB50" s="23">
        <v>1.923</v>
      </c>
      <c r="EC50" s="23">
        <v>1.9225</v>
      </c>
      <c r="ED50" s="23">
        <v>1.8911</v>
      </c>
      <c r="EE50" s="23">
        <v>1.863</v>
      </c>
      <c r="EF50" s="23"/>
      <c r="EG50" s="23"/>
      <c r="EH50" s="23">
        <v>1.8572</v>
      </c>
      <c r="EI50" s="23">
        <v>1.8549</v>
      </c>
      <c r="EJ50" s="23">
        <v>1.8511</v>
      </c>
      <c r="EK50" s="23">
        <v>1.8448</v>
      </c>
      <c r="EL50" s="23">
        <v>1.8595</v>
      </c>
      <c r="EM50" s="23"/>
      <c r="EN50" s="23"/>
      <c r="EO50" s="23">
        <v>1.8516</v>
      </c>
      <c r="EP50" s="23">
        <v>1.8351</v>
      </c>
      <c r="EQ50" s="23">
        <v>1.8341</v>
      </c>
      <c r="ER50" s="23">
        <v>1.8317</v>
      </c>
      <c r="ES50" s="23">
        <v>1.8267</v>
      </c>
      <c r="ET50" s="23"/>
      <c r="EU50" s="23"/>
      <c r="EV50" s="23">
        <v>1.8202</v>
      </c>
      <c r="EW50" s="23">
        <v>1.8195</v>
      </c>
      <c r="EX50" s="23">
        <v>1.8369</v>
      </c>
      <c r="EY50" s="23">
        <v>1.8519</v>
      </c>
      <c r="EZ50" s="23">
        <v>1.8405</v>
      </c>
      <c r="FA50" s="23"/>
      <c r="FB50" s="23"/>
      <c r="FC50" s="23"/>
      <c r="FD50" s="23">
        <v>1.8431</v>
      </c>
      <c r="FE50" s="23">
        <v>1.8466</v>
      </c>
      <c r="FF50" s="23">
        <v>1.8563</v>
      </c>
      <c r="FG50" s="23">
        <v>1.8486</v>
      </c>
      <c r="FH50" s="23"/>
      <c r="FI50" s="23"/>
      <c r="FJ50" s="23">
        <v>1.8342</v>
      </c>
      <c r="FK50" s="23">
        <v>1.8361</v>
      </c>
      <c r="FL50" s="23">
        <v>1.8327</v>
      </c>
      <c r="FM50" s="23">
        <v>1.8335</v>
      </c>
      <c r="FN50" s="23">
        <v>1.837</v>
      </c>
      <c r="FO50" s="23"/>
      <c r="FP50" s="23"/>
      <c r="FQ50" s="23">
        <v>1.8356</v>
      </c>
      <c r="FR50" s="23">
        <v>1.8372</v>
      </c>
      <c r="FS50" s="23">
        <v>1.842</v>
      </c>
      <c r="FT50" s="23">
        <v>1.8213</v>
      </c>
      <c r="FU50" s="23">
        <v>1.8122</v>
      </c>
      <c r="FV50" s="23"/>
      <c r="FW50" s="23"/>
      <c r="FX50" s="23">
        <v>1.8119</v>
      </c>
      <c r="FY50" s="23">
        <v>1.8102</v>
      </c>
      <c r="FZ50" s="23">
        <v>1.8324</v>
      </c>
      <c r="GA50" s="23">
        <v>1.8522</v>
      </c>
      <c r="GB50" s="23">
        <v>1.8496</v>
      </c>
      <c r="GC50" s="23"/>
      <c r="GD50" s="23"/>
      <c r="GE50" s="23">
        <v>1.845</v>
      </c>
      <c r="GF50" s="23">
        <v>1.8355</v>
      </c>
      <c r="GG50" s="23">
        <v>1.8105</v>
      </c>
      <c r="GH50" s="23">
        <v>1.8019</v>
      </c>
      <c r="GI50" s="23">
        <v>1.7774</v>
      </c>
      <c r="GJ50" s="23"/>
      <c r="GK50" s="23"/>
      <c r="GL50" s="23">
        <v>1.7706</v>
      </c>
      <c r="GM50" s="23">
        <v>1.7835</v>
      </c>
      <c r="GN50" s="23">
        <v>1.7916</v>
      </c>
      <c r="GO50" s="23">
        <v>1.8039</v>
      </c>
      <c r="GP50" s="23">
        <v>1.8171</v>
      </c>
      <c r="GQ50" s="23"/>
      <c r="GR50" s="23"/>
      <c r="GS50" s="23">
        <v>1.8298</v>
      </c>
      <c r="GT50" s="23">
        <v>1.8113</v>
      </c>
      <c r="GU50" s="23">
        <v>1.7972</v>
      </c>
      <c r="GV50" s="23">
        <v>1.7872</v>
      </c>
      <c r="GW50" s="23">
        <v>1.7791</v>
      </c>
      <c r="GX50" s="23"/>
      <c r="GY50" s="23"/>
      <c r="GZ50" s="23">
        <v>1.7967</v>
      </c>
      <c r="HA50" s="23">
        <v>1.8108</v>
      </c>
      <c r="HB50" s="23">
        <v>1.8374</v>
      </c>
      <c r="HC50" s="23">
        <v>1.8632</v>
      </c>
      <c r="HD50" s="23">
        <v>1.8818</v>
      </c>
      <c r="HE50" s="23"/>
      <c r="HF50" s="23"/>
      <c r="HG50" s="23">
        <v>1.8706</v>
      </c>
      <c r="HH50" s="23">
        <v>1.8982</v>
      </c>
      <c r="HI50" s="23">
        <v>1.9101</v>
      </c>
      <c r="HJ50" s="23">
        <v>1.881</v>
      </c>
      <c r="HK50" s="23">
        <v>1.8617</v>
      </c>
      <c r="HL50" s="23"/>
      <c r="HM50" s="23"/>
      <c r="HN50" s="23">
        <v>1.8525</v>
      </c>
      <c r="HO50" s="23">
        <v>1.8329</v>
      </c>
      <c r="HP50" s="23">
        <v>1.8267</v>
      </c>
      <c r="HQ50" s="23">
        <v>1.8197</v>
      </c>
      <c r="HR50" s="23">
        <v>1.8301</v>
      </c>
      <c r="HS50" s="23"/>
      <c r="HT50" s="23"/>
      <c r="HU50" s="23">
        <v>1.8305</v>
      </c>
      <c r="HV50" s="23">
        <v>1.8486</v>
      </c>
      <c r="HW50" s="23">
        <v>1.8475</v>
      </c>
      <c r="HX50" s="23">
        <v>1.8526</v>
      </c>
      <c r="HY50" s="23">
        <v>1.8705</v>
      </c>
      <c r="HZ50" s="23"/>
      <c r="IA50" s="23"/>
      <c r="IB50" s="23">
        <v>1.9321</v>
      </c>
      <c r="IC50" s="23">
        <v>1.9418</v>
      </c>
      <c r="ID50" s="23">
        <v>1.9458</v>
      </c>
      <c r="IE50" s="23">
        <v>1.9461</v>
      </c>
      <c r="IF50" s="23">
        <v>1.9467</v>
      </c>
      <c r="IG50" s="23"/>
      <c r="IH50" s="23"/>
      <c r="II50" s="23">
        <v>1.9523</v>
      </c>
      <c r="IJ50" s="23">
        <v>1.9505</v>
      </c>
      <c r="IK50" s="23">
        <v>1.9307</v>
      </c>
      <c r="IL50" s="23">
        <v>1.9227</v>
      </c>
      <c r="IM50" s="23">
        <v>1.9364</v>
      </c>
      <c r="IN50" s="23"/>
      <c r="IO50" s="23"/>
      <c r="IP50" s="31">
        <v>1.9346</v>
      </c>
      <c r="IQ50" s="31">
        <v>1.9381</v>
      </c>
      <c r="IR50" s="31">
        <v>1.9296</v>
      </c>
      <c r="IS50" s="31">
        <v>1.9139</v>
      </c>
      <c r="IT50" s="31">
        <v>1.9342</v>
      </c>
      <c r="IU50" s="31"/>
      <c r="IV50" s="31"/>
      <c r="IW50" s="31">
        <v>1.9522</v>
      </c>
      <c r="IX50" s="31">
        <v>1.959</v>
      </c>
      <c r="IY50" s="31">
        <v>1.9783</v>
      </c>
      <c r="IZ50" s="31">
        <v>1.9865</v>
      </c>
      <c r="JA50" s="31">
        <v>1.9866</v>
      </c>
      <c r="JB50" s="31"/>
      <c r="JC50" s="31"/>
      <c r="JD50" s="31">
        <v>1.9679</v>
      </c>
      <c r="JE50" s="31">
        <v>1.9772</v>
      </c>
      <c r="JF50" s="31">
        <v>1.9684</v>
      </c>
      <c r="JG50" s="31">
        <v>1.9656</v>
      </c>
      <c r="JH50" s="31">
        <v>1.9889</v>
      </c>
      <c r="JI50" s="31"/>
      <c r="JJ50" s="31"/>
      <c r="JK50" s="31">
        <v>1.9887</v>
      </c>
      <c r="JL50" s="31">
        <v>2.0089</v>
      </c>
      <c r="JM50" s="31">
        <v>2.0386</v>
      </c>
      <c r="JN50" s="31">
        <v>2.0682</v>
      </c>
      <c r="JO50" s="31">
        <v>2.0665</v>
      </c>
      <c r="JP50" s="31"/>
      <c r="JQ50" s="31">
        <v>2.064</v>
      </c>
      <c r="JR50" s="31">
        <v>2.0627</v>
      </c>
      <c r="JS50" s="31">
        <v>2.0419</v>
      </c>
      <c r="JT50" s="31"/>
      <c r="JU50" s="31"/>
      <c r="JV50" s="31"/>
      <c r="JW50" s="31"/>
      <c r="JX50" s="31"/>
      <c r="JY50" s="31"/>
      <c r="JZ50" s="23"/>
      <c r="KA50" s="23"/>
      <c r="KB50" s="23">
        <v>2.0319</v>
      </c>
      <c r="KC50" s="23">
        <v>2.0358</v>
      </c>
      <c r="KD50" s="23">
        <v>1.9967</v>
      </c>
      <c r="KE50" s="23"/>
      <c r="KF50" s="23">
        <v>1.9922</v>
      </c>
      <c r="KG50" s="23">
        <v>1.9919</v>
      </c>
      <c r="KH50" s="23">
        <v>1.9865</v>
      </c>
      <c r="KI50" s="23">
        <v>1.9774</v>
      </c>
      <c r="KJ50" s="23">
        <v>1.9655</v>
      </c>
      <c r="KK50" s="23"/>
      <c r="KL50" s="23"/>
      <c r="KM50" s="23">
        <v>1.9595</v>
      </c>
      <c r="KN50" s="23">
        <v>1.9567</v>
      </c>
      <c r="KO50" s="23">
        <v>1.9598</v>
      </c>
      <c r="KP50" s="23">
        <v>1.9523</v>
      </c>
      <c r="KQ50" s="23">
        <v>1.9524</v>
      </c>
      <c r="KR50" s="23"/>
      <c r="KS50" s="23"/>
      <c r="KT50" s="23">
        <v>1.9509</v>
      </c>
      <c r="KU50" s="23">
        <v>1.9186</v>
      </c>
      <c r="KV50" s="23">
        <v>1.9039</v>
      </c>
      <c r="KW50" s="23">
        <v>1.8902</v>
      </c>
      <c r="KX50" s="23">
        <v>1.888</v>
      </c>
      <c r="KY50" s="23"/>
      <c r="KZ50" s="23"/>
      <c r="LA50" s="23">
        <v>1.8901</v>
      </c>
      <c r="LB50" s="23">
        <v>1.89</v>
      </c>
      <c r="LC50" s="23">
        <v>1.8869</v>
      </c>
      <c r="LD50" s="23">
        <v>1.8867</v>
      </c>
      <c r="LE50" s="23">
        <v>1.9066</v>
      </c>
      <c r="LF50" s="23"/>
      <c r="LG50" s="23"/>
      <c r="LH50" s="23">
        <v>1.9164</v>
      </c>
      <c r="LI50" s="23">
        <v>1.9133</v>
      </c>
      <c r="LJ50" s="23">
        <v>1.9005</v>
      </c>
      <c r="LK50" s="23">
        <v>1.9001</v>
      </c>
      <c r="LL50" s="23">
        <v>1.8959</v>
      </c>
      <c r="LM50" s="23"/>
      <c r="LN50" s="23"/>
      <c r="LO50" s="23">
        <v>1.8904</v>
      </c>
      <c r="LP50" s="23">
        <v>1.8868</v>
      </c>
      <c r="LQ50" s="23">
        <v>1.8844</v>
      </c>
      <c r="LR50" s="23">
        <v>1.8851</v>
      </c>
      <c r="LS50" s="23">
        <v>1.8873</v>
      </c>
      <c r="LT50" s="23"/>
      <c r="LU50" s="23"/>
      <c r="LV50" s="23">
        <v>1.8989</v>
      </c>
      <c r="LW50" s="23">
        <v>1.8972</v>
      </c>
      <c r="LX50" s="23">
        <v>1.9269</v>
      </c>
      <c r="LY50" s="23">
        <v>1.9475</v>
      </c>
      <c r="LZ50" s="23">
        <v>1.9441</v>
      </c>
      <c r="MA50" s="23"/>
      <c r="MB50" s="23"/>
      <c r="MC50" s="23">
        <v>1.9437</v>
      </c>
      <c r="MD50" s="23">
        <v>1.9462</v>
      </c>
      <c r="ME50" s="23">
        <v>1.9439</v>
      </c>
      <c r="MF50" s="23">
        <v>1.978</v>
      </c>
      <c r="MG50" s="23">
        <v>1.9746</v>
      </c>
      <c r="MH50" s="23"/>
      <c r="MI50" s="23"/>
      <c r="MJ50" s="23">
        <v>1.9839</v>
      </c>
      <c r="MK50" s="23">
        <v>1.9697</v>
      </c>
      <c r="ML50" s="23">
        <v>1.9651</v>
      </c>
      <c r="MM50" s="23">
        <v>1.9491</v>
      </c>
      <c r="MN50" s="23">
        <v>1.9307</v>
      </c>
      <c r="MO50" s="23"/>
      <c r="MP50" s="23"/>
      <c r="MQ50" s="23">
        <v>1.934</v>
      </c>
      <c r="MR50" s="23">
        <v>1.9313</v>
      </c>
      <c r="MS50" s="23">
        <v>1.9188</v>
      </c>
      <c r="MT50" s="23">
        <v>1.9055</v>
      </c>
      <c r="MU50" s="23">
        <v>1.8911</v>
      </c>
      <c r="MV50" s="23"/>
      <c r="MW50" s="23"/>
      <c r="MX50" s="23">
        <v>1.882</v>
      </c>
      <c r="MY50" s="23">
        <v>1.8718</v>
      </c>
      <c r="MZ50" s="23">
        <v>1.8703</v>
      </c>
      <c r="NA50" s="23">
        <v>1.8694</v>
      </c>
      <c r="NB50" s="23">
        <v>1.8625</v>
      </c>
      <c r="NC50" s="23"/>
      <c r="ND50" s="23"/>
      <c r="NE50" s="23">
        <v>1.8702</v>
      </c>
      <c r="NF50" s="23">
        <v>1.8761</v>
      </c>
      <c r="NG50" s="23">
        <v>1.8784</v>
      </c>
      <c r="NH50" s="23"/>
      <c r="NI50" s="23"/>
      <c r="NJ50" s="23"/>
      <c r="NK50" s="23">
        <v>1.8739</v>
      </c>
      <c r="NL50" s="23">
        <v>1.8756</v>
      </c>
      <c r="NM50" s="23">
        <v>1.8857</v>
      </c>
      <c r="NN50" s="23">
        <v>1.9003</v>
      </c>
      <c r="NO50" s="23">
        <v>1.8972</v>
      </c>
      <c r="NP50" s="23">
        <v>1.9002</v>
      </c>
      <c r="NQ50" s="23"/>
      <c r="NR50" s="23"/>
      <c r="NS50" s="23">
        <v>1.8987</v>
      </c>
      <c r="NT50" s="23">
        <v>1.8955</v>
      </c>
      <c r="NU50" s="23">
        <v>1.8968</v>
      </c>
      <c r="NV50" s="23">
        <v>1.8964</v>
      </c>
      <c r="NW50" s="23">
        <v>1.8857</v>
      </c>
      <c r="NX50" s="23"/>
      <c r="NY50" s="23"/>
      <c r="NZ50" s="23">
        <v>1.8762</v>
      </c>
      <c r="OA50" s="23">
        <v>1.8752</v>
      </c>
      <c r="OB50" s="23">
        <v>1.8634</v>
      </c>
      <c r="OC50" s="23">
        <v>1.8549</v>
      </c>
      <c r="OD50" s="23">
        <v>1.8465</v>
      </c>
      <c r="OE50" s="23"/>
      <c r="OF50" s="23"/>
      <c r="OG50" s="23">
        <v>1.8441</v>
      </c>
      <c r="OH50" s="23">
        <v>1.8425</v>
      </c>
      <c r="OI50" s="23">
        <v>1.8446</v>
      </c>
      <c r="OJ50" s="23">
        <v>1.8467</v>
      </c>
      <c r="OK50" s="23">
        <v>1.8543</v>
      </c>
      <c r="OL50" s="23"/>
      <c r="OM50" s="23"/>
      <c r="ON50" s="23">
        <v>1.8533</v>
      </c>
      <c r="OO50" s="23">
        <v>1.8618</v>
      </c>
      <c r="OP50" s="23">
        <v>1.8635</v>
      </c>
      <c r="OQ50" s="23">
        <v>1.8635</v>
      </c>
      <c r="OR50" s="23">
        <v>1.8585</v>
      </c>
      <c r="OS50" s="23"/>
      <c r="OT50" s="23"/>
      <c r="OU50" s="23">
        <v>1.8501</v>
      </c>
      <c r="OV50" s="23">
        <v>1.8502</v>
      </c>
      <c r="OW50" s="23">
        <v>1.8403</v>
      </c>
      <c r="OX50" s="23">
        <v>1.8334</v>
      </c>
      <c r="OY50" s="23">
        <v>1.8306</v>
      </c>
      <c r="OZ50" s="23">
        <v>1.8306</v>
      </c>
      <c r="PA50" s="23"/>
      <c r="PB50" s="23"/>
      <c r="PC50" s="23"/>
      <c r="PD50" s="23"/>
      <c r="PE50" s="23"/>
      <c r="PF50" s="23"/>
      <c r="PG50" s="23"/>
      <c r="PH50" s="23"/>
      <c r="PI50" s="23"/>
      <c r="PJ50" s="23">
        <v>1.823</v>
      </c>
      <c r="PK50" s="23">
        <v>1.8272</v>
      </c>
      <c r="PL50" s="23">
        <v>1.8385</v>
      </c>
      <c r="PM50" s="23">
        <v>1.8431</v>
      </c>
      <c r="PN50" s="23">
        <v>1.8437</v>
      </c>
      <c r="PO50" s="23"/>
      <c r="PP50" s="23">
        <v>1.8369</v>
      </c>
      <c r="PQ50" s="23">
        <v>1.8307</v>
      </c>
      <c r="PR50" s="23">
        <v>1.8254</v>
      </c>
      <c r="PS50" s="23">
        <v>1.8239</v>
      </c>
      <c r="PT50" s="23">
        <v>1.8154</v>
      </c>
      <c r="PU50" s="23"/>
      <c r="PV50" s="23"/>
      <c r="PW50" s="23">
        <v>1.8279</v>
      </c>
      <c r="PX50" s="23">
        <v>1.8223</v>
      </c>
      <c r="PY50" s="23">
        <v>1.8263</v>
      </c>
      <c r="PZ50" s="23">
        <v>1.8226</v>
      </c>
      <c r="QA50" s="23">
        <v>1.8111</v>
      </c>
      <c r="QB50" s="23"/>
      <c r="QC50" s="23"/>
      <c r="QD50" s="23">
        <v>1.8319</v>
      </c>
      <c r="QE50" s="23">
        <v>1.8275</v>
      </c>
      <c r="QF50" s="23">
        <v>1.8168</v>
      </c>
      <c r="QG50" s="23">
        <v>1.8036</v>
      </c>
      <c r="QH50" s="23">
        <v>1.8022</v>
      </c>
      <c r="QI50" s="23"/>
      <c r="QJ50" s="23"/>
      <c r="QK50" s="23">
        <v>1.8098</v>
      </c>
      <c r="QL50" s="23">
        <v>1.8077</v>
      </c>
      <c r="QM50" s="23">
        <v>1.8104</v>
      </c>
      <c r="QN50" s="23">
        <v>1.8067</v>
      </c>
      <c r="QO50" s="23">
        <v>1.7919</v>
      </c>
      <c r="QP50" s="23"/>
      <c r="QQ50" s="23"/>
      <c r="QR50" s="23">
        <v>1.7858</v>
      </c>
      <c r="QS50" s="23">
        <v>1.7771</v>
      </c>
      <c r="QT50" s="23">
        <v>1.7658</v>
      </c>
      <c r="QU50" s="23">
        <v>1.762</v>
      </c>
      <c r="QV50" s="23">
        <v>1.7426</v>
      </c>
      <c r="QW50" s="23"/>
      <c r="QX50" s="23"/>
      <c r="QY50" s="23"/>
      <c r="QZ50" s="23">
        <v>1.7358</v>
      </c>
      <c r="RA50" s="23">
        <v>1.7234</v>
      </c>
      <c r="RB50" s="23">
        <v>1.7219</v>
      </c>
      <c r="RC50" s="23">
        <v>1.7254</v>
      </c>
      <c r="RD50" s="23"/>
      <c r="RE50" s="23"/>
      <c r="RF50" s="23">
        <v>1.7261</v>
      </c>
      <c r="RG50" s="23">
        <v>1.7307</v>
      </c>
      <c r="RH50" s="23">
        <v>1.7339</v>
      </c>
      <c r="RI50" s="23">
        <v>1.7249</v>
      </c>
      <c r="RJ50" s="23">
        <v>1.7311</v>
      </c>
      <c r="RK50" s="23"/>
      <c r="RL50" s="23"/>
      <c r="RM50" s="23">
        <v>1.7295</v>
      </c>
      <c r="RN50" s="23">
        <v>1.7253</v>
      </c>
      <c r="RO50" s="23">
        <v>1.725</v>
      </c>
      <c r="RP50" s="23">
        <v>1.7369</v>
      </c>
      <c r="RQ50" s="23">
        <v>1.7365</v>
      </c>
      <c r="RR50" s="23"/>
      <c r="RS50" s="23"/>
      <c r="RT50" s="23">
        <v>1.7451</v>
      </c>
      <c r="RU50" s="23">
        <v>1.742</v>
      </c>
      <c r="RV50" s="23">
        <v>1.7388</v>
      </c>
      <c r="RW50" s="23">
        <v>1.7341</v>
      </c>
      <c r="RX50" s="23"/>
      <c r="RY50" s="23"/>
      <c r="RZ50" s="23"/>
      <c r="SA50" s="23"/>
      <c r="SB50" s="23"/>
      <c r="SC50" s="23">
        <v>1.7393</v>
      </c>
      <c r="SD50" s="23">
        <v>1.7399</v>
      </c>
      <c r="SE50" s="23">
        <v>1.7418</v>
      </c>
      <c r="SF50" s="23">
        <v>1.7339</v>
      </c>
      <c r="SG50" s="23"/>
      <c r="SH50" s="23">
        <v>1.7369</v>
      </c>
      <c r="SI50" s="23">
        <v>1.7297</v>
      </c>
      <c r="SJ50" s="23">
        <v>1.7222</v>
      </c>
      <c r="SK50" s="23">
        <v>1.7146</v>
      </c>
      <c r="SL50" s="23">
        <v>1.7032</v>
      </c>
      <c r="SM50" s="23"/>
      <c r="SN50" s="23"/>
      <c r="SO50" s="23">
        <v>1.7105</v>
      </c>
      <c r="SP50" s="23">
        <v>1.701</v>
      </c>
      <c r="SQ50" s="23">
        <v>1.6908</v>
      </c>
      <c r="SR50" s="23">
        <v>1.6885</v>
      </c>
      <c r="SS50" s="23">
        <v>1.6917</v>
      </c>
      <c r="ST50" s="23"/>
      <c r="SU50" s="23"/>
      <c r="SV50" s="23">
        <v>1.6875</v>
      </c>
      <c r="SW50" s="23">
        <v>1.6747</v>
      </c>
      <c r="SX50" s="23">
        <v>1.6646</v>
      </c>
      <c r="SY50" s="23">
        <v>1.6555</v>
      </c>
      <c r="SZ50" s="23">
        <v>1.651</v>
      </c>
      <c r="TA50" s="23"/>
      <c r="TB50" s="23"/>
      <c r="TC50" s="23">
        <v>1.6454</v>
      </c>
      <c r="TD50" s="23">
        <v>1.6461</v>
      </c>
      <c r="TE50" s="23">
        <v>1.6476</v>
      </c>
      <c r="TF50" s="23">
        <v>1.6412</v>
      </c>
      <c r="TG50" s="23">
        <v>1.6421</v>
      </c>
      <c r="TH50" s="23"/>
      <c r="TI50" s="23"/>
      <c r="TJ50" s="23">
        <v>1.6559</v>
      </c>
      <c r="TK50" s="23">
        <v>1.6684</v>
      </c>
      <c r="TL50" s="23">
        <v>1.6667</v>
      </c>
      <c r="TM50" s="23">
        <v>1.6997</v>
      </c>
      <c r="TN50" s="23">
        <v>1.7114</v>
      </c>
      <c r="TO50" s="23"/>
      <c r="TP50" s="23"/>
      <c r="TQ50" s="23">
        <v>1.7097</v>
      </c>
      <c r="TR50" s="23">
        <v>1.7056</v>
      </c>
      <c r="TS50" s="23">
        <v>1.6894</v>
      </c>
      <c r="TT50" s="23">
        <v>1.6692</v>
      </c>
      <c r="TU50" s="23"/>
      <c r="TV50" s="23"/>
      <c r="TW50" s="23"/>
      <c r="TX50" s="23">
        <v>1.6668</v>
      </c>
      <c r="TY50" s="23">
        <v>1.6736</v>
      </c>
      <c r="TZ50" s="23">
        <v>1.6706</v>
      </c>
      <c r="UA50" s="23">
        <v>1.6587</v>
      </c>
      <c r="UB50" s="23">
        <v>1.6537</v>
      </c>
      <c r="UC50" s="23"/>
      <c r="UD50" s="23"/>
      <c r="UE50" s="23">
        <v>1.6402</v>
      </c>
      <c r="UF50" s="23">
        <v>1.6327</v>
      </c>
      <c r="UG50" s="23">
        <v>1.6528</v>
      </c>
      <c r="UH50" s="23">
        <v>1.6632</v>
      </c>
      <c r="UI50" s="23">
        <v>1.6675</v>
      </c>
      <c r="UJ50" s="23"/>
      <c r="UK50" s="23"/>
      <c r="UL50" s="23"/>
      <c r="UM50" s="23"/>
      <c r="UN50" s="23"/>
      <c r="UO50" s="23"/>
      <c r="UP50" s="23"/>
      <c r="UQ50" s="23"/>
      <c r="UR50" s="23"/>
      <c r="US50" s="23"/>
      <c r="UT50" s="23"/>
    </row>
    <row r="51" ht="16.5" customHeight="1" spans="4:566">
      <c r="D51" s="19" t="s">
        <v>72</v>
      </c>
      <c r="E51" s="21" t="s">
        <v>73</v>
      </c>
      <c r="F51" s="23"/>
      <c r="G51" s="23"/>
      <c r="H51" s="23">
        <v>1.7019</v>
      </c>
      <c r="I51" s="23">
        <v>1.6958</v>
      </c>
      <c r="J51" s="23"/>
      <c r="K51" s="23"/>
      <c r="L51" s="23">
        <v>1.6708</v>
      </c>
      <c r="M51" s="23">
        <v>1.6998</v>
      </c>
      <c r="N51" s="23">
        <v>1.7015</v>
      </c>
      <c r="O51" s="23">
        <v>1.742</v>
      </c>
      <c r="P51" s="23">
        <v>1.7706</v>
      </c>
      <c r="Q51" s="23"/>
      <c r="R51" s="23"/>
      <c r="S51" s="23">
        <v>1.8046</v>
      </c>
      <c r="T51" s="23">
        <v>1.81</v>
      </c>
      <c r="U51" s="23">
        <v>1.802</v>
      </c>
      <c r="V51" s="23">
        <v>1.8329</v>
      </c>
      <c r="W51" s="23">
        <v>1.8449</v>
      </c>
      <c r="X51" s="23"/>
      <c r="Y51" s="23"/>
      <c r="Z51" s="23">
        <v>1.863</v>
      </c>
      <c r="AA51" s="23">
        <v>1.8565</v>
      </c>
      <c r="AB51" s="23">
        <v>1.8432</v>
      </c>
      <c r="AC51" s="23">
        <v>1.8497</v>
      </c>
      <c r="AD51" s="23">
        <v>1.8541</v>
      </c>
      <c r="AE51" s="23"/>
      <c r="AF51" s="23">
        <v>1.8558</v>
      </c>
      <c r="AG51" s="23">
        <v>1.8365</v>
      </c>
      <c r="AH51" s="23"/>
      <c r="AI51" s="23"/>
      <c r="AJ51" s="23"/>
      <c r="AK51" s="23"/>
      <c r="AL51" s="23"/>
      <c r="AM51" s="23"/>
      <c r="AN51" s="23"/>
      <c r="AO51" s="23"/>
      <c r="AP51" s="23">
        <v>1.83</v>
      </c>
      <c r="AQ51" s="23">
        <v>1.8052</v>
      </c>
      <c r="AR51" s="23">
        <v>1.7851</v>
      </c>
      <c r="AS51" s="23">
        <v>1.7939</v>
      </c>
      <c r="AT51" s="23"/>
      <c r="AU51" s="23">
        <v>1.8172</v>
      </c>
      <c r="AV51" s="23">
        <v>1.8401</v>
      </c>
      <c r="AW51" s="23">
        <v>1.8377</v>
      </c>
      <c r="AX51" s="23">
        <v>1.8387</v>
      </c>
      <c r="AY51" s="23">
        <v>1.8607</v>
      </c>
      <c r="AZ51" s="23"/>
      <c r="BA51" s="23"/>
      <c r="BB51" s="23">
        <v>1.8906</v>
      </c>
      <c r="BC51" s="23">
        <v>1.9106</v>
      </c>
      <c r="BD51" s="23">
        <v>1.9091</v>
      </c>
      <c r="BE51" s="23">
        <v>1.9376</v>
      </c>
      <c r="BF51" s="23">
        <v>1.9776</v>
      </c>
      <c r="BG51" s="23"/>
      <c r="BH51" s="23"/>
      <c r="BI51" s="23">
        <v>2.0283</v>
      </c>
      <c r="BJ51" s="23">
        <v>2.054</v>
      </c>
      <c r="BK51" s="23">
        <v>2.054</v>
      </c>
      <c r="BL51" s="23">
        <v>2.0713</v>
      </c>
      <c r="BM51" s="23">
        <v>2.0789</v>
      </c>
      <c r="BN51" s="23"/>
      <c r="BO51" s="23"/>
      <c r="BP51" s="23">
        <v>2.0638</v>
      </c>
      <c r="BQ51" s="23">
        <v>2.0581</v>
      </c>
      <c r="BR51" s="23">
        <v>2.04</v>
      </c>
      <c r="BS51" s="23">
        <v>2.06</v>
      </c>
      <c r="BT51" s="23">
        <v>2.11</v>
      </c>
      <c r="BU51" s="23"/>
      <c r="BV51" s="23"/>
      <c r="BW51" s="23">
        <v>2.135</v>
      </c>
      <c r="BX51" s="23">
        <v>2.1838</v>
      </c>
      <c r="BY51" s="23">
        <v>2.161</v>
      </c>
      <c r="BZ51" s="23">
        <v>2.1168</v>
      </c>
      <c r="CA51" s="23">
        <v>2.0978</v>
      </c>
      <c r="CB51" s="23"/>
      <c r="CC51" s="23"/>
      <c r="CD51" s="23">
        <v>2.1206</v>
      </c>
      <c r="CE51" s="23">
        <v>2.1013</v>
      </c>
      <c r="CF51" s="23">
        <v>2.0767</v>
      </c>
      <c r="CG51" s="23">
        <v>2.0413</v>
      </c>
      <c r="CH51" s="23">
        <v>2.0262</v>
      </c>
      <c r="CI51" s="23"/>
      <c r="CJ51" s="23"/>
      <c r="CK51" s="23">
        <v>2.0298</v>
      </c>
      <c r="CL51" s="23">
        <v>2.0153</v>
      </c>
      <c r="CM51" s="23">
        <v>2.0156</v>
      </c>
      <c r="CN51" s="23">
        <v>2.0157</v>
      </c>
      <c r="CO51" s="23">
        <v>2.0131</v>
      </c>
      <c r="CP51" s="23"/>
      <c r="CQ51" s="23"/>
      <c r="CR51" s="23">
        <v>2.0111</v>
      </c>
      <c r="CS51" s="23">
        <v>2.0187</v>
      </c>
      <c r="CT51" s="23">
        <v>2.0043</v>
      </c>
      <c r="CU51" s="23">
        <v>1.9532</v>
      </c>
      <c r="CV51" s="23"/>
      <c r="CW51" s="23"/>
      <c r="CX51" s="23"/>
      <c r="CY51" s="23">
        <v>1.8719</v>
      </c>
      <c r="CZ51" s="23">
        <v>1.8892</v>
      </c>
      <c r="DA51" s="23">
        <v>1.8964</v>
      </c>
      <c r="DB51" s="23">
        <v>1.9022</v>
      </c>
      <c r="DC51" s="23">
        <v>1.8911</v>
      </c>
      <c r="DD51" s="23"/>
      <c r="DE51" s="23"/>
      <c r="DF51" s="23">
        <v>1.8969</v>
      </c>
      <c r="DG51" s="23">
        <v>1.887</v>
      </c>
      <c r="DH51" s="23">
        <v>1.884</v>
      </c>
      <c r="DI51" s="23">
        <v>1.8836</v>
      </c>
      <c r="DJ51" s="23">
        <v>1.8863</v>
      </c>
      <c r="DK51" s="23"/>
      <c r="DL51" s="23"/>
      <c r="DM51" s="23">
        <v>1.9044</v>
      </c>
      <c r="DN51" s="23">
        <v>1.9047</v>
      </c>
      <c r="DO51" s="23">
        <v>1.9157</v>
      </c>
      <c r="DP51" s="23">
        <v>1.923</v>
      </c>
      <c r="DQ51" s="23">
        <v>1.9337</v>
      </c>
      <c r="DR51" s="23"/>
      <c r="DS51" s="23">
        <v>1.9339</v>
      </c>
      <c r="DT51" s="23">
        <v>1.9413</v>
      </c>
      <c r="DU51" s="23">
        <v>1.9254</v>
      </c>
      <c r="DV51" s="23">
        <v>1.9117</v>
      </c>
      <c r="DW51" s="23"/>
      <c r="DX51" s="23"/>
      <c r="DY51" s="23"/>
      <c r="DZ51" s="23"/>
      <c r="EA51" s="23"/>
      <c r="EB51" s="23">
        <v>1.9127</v>
      </c>
      <c r="EC51" s="23">
        <v>1.9019</v>
      </c>
      <c r="ED51" s="23">
        <v>1.8718</v>
      </c>
      <c r="EE51" s="23">
        <v>1.8477</v>
      </c>
      <c r="EF51" s="23"/>
      <c r="EG51" s="23"/>
      <c r="EH51" s="23">
        <v>1.8529</v>
      </c>
      <c r="EI51" s="23">
        <v>1.8435</v>
      </c>
      <c r="EJ51" s="23">
        <v>1.8387</v>
      </c>
      <c r="EK51" s="23">
        <v>1.8332</v>
      </c>
      <c r="EL51" s="23">
        <v>1.8446</v>
      </c>
      <c r="EM51" s="23"/>
      <c r="EN51" s="23"/>
      <c r="EO51" s="23">
        <v>1.8547</v>
      </c>
      <c r="EP51" s="23">
        <v>1.8422</v>
      </c>
      <c r="EQ51" s="23">
        <v>1.8385</v>
      </c>
      <c r="ER51" s="23">
        <v>1.828</v>
      </c>
      <c r="ES51" s="23">
        <v>1.8171</v>
      </c>
      <c r="ET51" s="23"/>
      <c r="EU51" s="23"/>
      <c r="EV51" s="23">
        <v>1.8114</v>
      </c>
      <c r="EW51" s="23">
        <v>1.8127</v>
      </c>
      <c r="EX51" s="23">
        <v>1.8275</v>
      </c>
      <c r="EY51" s="23">
        <v>1.8524</v>
      </c>
      <c r="EZ51" s="23">
        <v>1.8444</v>
      </c>
      <c r="FA51" s="23"/>
      <c r="FB51" s="23"/>
      <c r="FC51" s="23"/>
      <c r="FD51" s="23">
        <v>1.8465</v>
      </c>
      <c r="FE51" s="23">
        <v>1.8457</v>
      </c>
      <c r="FF51" s="23">
        <v>1.8459</v>
      </c>
      <c r="FG51" s="23">
        <v>1.8357</v>
      </c>
      <c r="FH51" s="23"/>
      <c r="FI51" s="23"/>
      <c r="FJ51" s="23">
        <v>1.8207</v>
      </c>
      <c r="FK51" s="23">
        <v>1.8159</v>
      </c>
      <c r="FL51" s="23">
        <v>1.8149</v>
      </c>
      <c r="FM51" s="23">
        <v>1.806</v>
      </c>
      <c r="FN51" s="23">
        <v>1.8024</v>
      </c>
      <c r="FO51" s="23"/>
      <c r="FP51" s="23"/>
      <c r="FQ51" s="23">
        <v>1.8035</v>
      </c>
      <c r="FR51" s="23">
        <v>1.8031</v>
      </c>
      <c r="FS51" s="23">
        <v>1.7949</v>
      </c>
      <c r="FT51" s="23">
        <v>1.7846</v>
      </c>
      <c r="FU51" s="23">
        <v>1.772</v>
      </c>
      <c r="FV51" s="23"/>
      <c r="FW51" s="23"/>
      <c r="FX51" s="23">
        <v>1.7717</v>
      </c>
      <c r="FY51" s="23">
        <v>1.791</v>
      </c>
      <c r="FZ51" s="23">
        <v>1.8137</v>
      </c>
      <c r="GA51" s="23">
        <v>1.8233</v>
      </c>
      <c r="GB51" s="23">
        <v>1.8228</v>
      </c>
      <c r="GC51" s="23"/>
      <c r="GD51" s="23"/>
      <c r="GE51" s="23">
        <v>1.8223</v>
      </c>
      <c r="GF51" s="23">
        <v>1.8073</v>
      </c>
      <c r="GG51" s="23">
        <v>1.773</v>
      </c>
      <c r="GH51" s="23">
        <v>1.7584</v>
      </c>
      <c r="GI51" s="23">
        <v>1.7548</v>
      </c>
      <c r="GJ51" s="23"/>
      <c r="GK51" s="23"/>
      <c r="GL51" s="23">
        <v>1.7482</v>
      </c>
      <c r="GM51" s="23">
        <v>1.7453</v>
      </c>
      <c r="GN51" s="23">
        <v>1.7451</v>
      </c>
      <c r="GO51" s="23">
        <v>1.7538</v>
      </c>
      <c r="GP51" s="23">
        <v>1.7565</v>
      </c>
      <c r="GQ51" s="23"/>
      <c r="GR51" s="23"/>
      <c r="GS51" s="23">
        <v>1.7677</v>
      </c>
      <c r="GT51" s="23">
        <v>1.7602</v>
      </c>
      <c r="GU51" s="23">
        <v>1.7617</v>
      </c>
      <c r="GV51" s="23">
        <v>1.7272</v>
      </c>
      <c r="GW51" s="23">
        <v>1.7189</v>
      </c>
      <c r="GX51" s="23"/>
      <c r="GY51" s="23"/>
      <c r="GZ51" s="23">
        <v>1.7497</v>
      </c>
      <c r="HA51" s="23">
        <v>1.7495</v>
      </c>
      <c r="HB51" s="23">
        <v>1.781</v>
      </c>
      <c r="HC51" s="23">
        <v>1.8312</v>
      </c>
      <c r="HD51" s="23">
        <v>1.8313</v>
      </c>
      <c r="HE51" s="23"/>
      <c r="HF51" s="23"/>
      <c r="HG51" s="23">
        <v>1.8178</v>
      </c>
      <c r="HH51" s="23">
        <v>1.8273</v>
      </c>
      <c r="HI51" s="23">
        <v>1.8192</v>
      </c>
      <c r="HJ51" s="23">
        <v>1.8018</v>
      </c>
      <c r="HK51" s="23">
        <v>1.7903</v>
      </c>
      <c r="HL51" s="23"/>
      <c r="HM51" s="23"/>
      <c r="HN51" s="23">
        <v>1.789</v>
      </c>
      <c r="HO51" s="23">
        <v>1.7907</v>
      </c>
      <c r="HP51" s="23">
        <v>1.7746</v>
      </c>
      <c r="HQ51" s="23">
        <v>1.7635</v>
      </c>
      <c r="HR51" s="23">
        <v>1.7683</v>
      </c>
      <c r="HS51" s="23"/>
      <c r="HT51" s="23"/>
      <c r="HU51" s="23">
        <v>1.7855</v>
      </c>
      <c r="HV51" s="23">
        <v>1.7964</v>
      </c>
      <c r="HW51" s="23">
        <v>1.7899</v>
      </c>
      <c r="HX51" s="23">
        <v>1.7923</v>
      </c>
      <c r="HY51" s="23">
        <v>1.7983</v>
      </c>
      <c r="HZ51" s="23"/>
      <c r="IA51" s="23"/>
      <c r="IB51" s="23">
        <v>1.8577</v>
      </c>
      <c r="IC51" s="23">
        <v>1.8527</v>
      </c>
      <c r="ID51" s="23">
        <v>1.8761</v>
      </c>
      <c r="IE51" s="23">
        <v>1.8896</v>
      </c>
      <c r="IF51" s="23">
        <v>1.8889</v>
      </c>
      <c r="IG51" s="23"/>
      <c r="IH51" s="23"/>
      <c r="II51" s="23">
        <v>1.8833</v>
      </c>
      <c r="IJ51" s="23">
        <v>1.8708</v>
      </c>
      <c r="IK51" s="23">
        <v>1.8611</v>
      </c>
      <c r="IL51" s="23">
        <v>1.8626</v>
      </c>
      <c r="IM51" s="23">
        <v>1.8618</v>
      </c>
      <c r="IN51" s="23"/>
      <c r="IO51" s="23"/>
      <c r="IP51" s="31">
        <v>1.8648</v>
      </c>
      <c r="IQ51" s="31">
        <v>1.8653</v>
      </c>
      <c r="IR51" s="31">
        <v>1.8552</v>
      </c>
      <c r="IS51" s="31">
        <v>1.845</v>
      </c>
      <c r="IT51" s="31">
        <v>1.8564</v>
      </c>
      <c r="IU51" s="31"/>
      <c r="IV51" s="31"/>
      <c r="IW51" s="31">
        <v>1.8624</v>
      </c>
      <c r="IX51" s="31">
        <v>1.8666</v>
      </c>
      <c r="IY51" s="31">
        <v>1.8843</v>
      </c>
      <c r="IZ51" s="31">
        <v>1.8729</v>
      </c>
      <c r="JA51" s="31">
        <v>1.8869</v>
      </c>
      <c r="JB51" s="31"/>
      <c r="JC51" s="31"/>
      <c r="JD51" s="31">
        <v>1.8869</v>
      </c>
      <c r="JE51" s="31">
        <v>1.8698</v>
      </c>
      <c r="JF51" s="31">
        <v>1.8769</v>
      </c>
      <c r="JG51" s="31">
        <v>1.8741</v>
      </c>
      <c r="JH51" s="31">
        <v>1.882</v>
      </c>
      <c r="JI51" s="31"/>
      <c r="JJ51" s="31"/>
      <c r="JK51" s="31">
        <v>1.8768</v>
      </c>
      <c r="JL51" s="31">
        <v>1.9082</v>
      </c>
      <c r="JM51" s="31">
        <v>1.947</v>
      </c>
      <c r="JN51" s="31">
        <v>1.9858</v>
      </c>
      <c r="JO51" s="31">
        <v>1.9872</v>
      </c>
      <c r="JP51" s="31"/>
      <c r="JQ51" s="31">
        <v>1.9891</v>
      </c>
      <c r="JR51" s="31">
        <v>1.9689</v>
      </c>
      <c r="JS51" s="31">
        <v>1.9365</v>
      </c>
      <c r="JT51" s="31"/>
      <c r="JU51" s="31"/>
      <c r="JV51" s="31"/>
      <c r="JW51" s="31"/>
      <c r="JX51" s="31"/>
      <c r="JY51" s="31"/>
      <c r="JZ51" s="23"/>
      <c r="KA51" s="23"/>
      <c r="KB51" s="23">
        <v>1.9239</v>
      </c>
      <c r="KC51" s="23">
        <v>1.9139</v>
      </c>
      <c r="KD51" s="23">
        <v>1.901</v>
      </c>
      <c r="KE51" s="23"/>
      <c r="KF51" s="23">
        <v>1.9045</v>
      </c>
      <c r="KG51" s="23">
        <v>1.904</v>
      </c>
      <c r="KH51" s="23">
        <v>1.8925</v>
      </c>
      <c r="KI51" s="23">
        <v>1.8827</v>
      </c>
      <c r="KJ51" s="23">
        <v>1.8753</v>
      </c>
      <c r="KK51" s="23"/>
      <c r="KL51" s="23"/>
      <c r="KM51" s="23">
        <v>1.8764</v>
      </c>
      <c r="KN51" s="23">
        <v>1.8494</v>
      </c>
      <c r="KO51" s="23">
        <v>1.8428</v>
      </c>
      <c r="KP51" s="23">
        <v>1.8275</v>
      </c>
      <c r="KQ51" s="23">
        <v>1.8199</v>
      </c>
      <c r="KR51" s="23"/>
      <c r="KS51" s="23"/>
      <c r="KT51" s="23">
        <v>1.8375</v>
      </c>
      <c r="KU51" s="23">
        <v>1.8294</v>
      </c>
      <c r="KV51" s="23">
        <v>1.8164</v>
      </c>
      <c r="KW51" s="23">
        <v>1.8259</v>
      </c>
      <c r="KX51" s="23">
        <v>1.8214</v>
      </c>
      <c r="KY51" s="23"/>
      <c r="KZ51" s="23"/>
      <c r="LA51" s="23">
        <v>1.83</v>
      </c>
      <c r="LB51" s="23">
        <v>1.8323</v>
      </c>
      <c r="LC51" s="23">
        <v>1.8276</v>
      </c>
      <c r="LD51" s="23">
        <v>1.8292</v>
      </c>
      <c r="LE51" s="23">
        <v>1.8575</v>
      </c>
      <c r="LF51" s="23"/>
      <c r="LG51" s="23"/>
      <c r="LH51" s="23">
        <v>1.8439</v>
      </c>
      <c r="LI51" s="23">
        <v>1.8481</v>
      </c>
      <c r="LJ51" s="23">
        <v>1.8482</v>
      </c>
      <c r="LK51" s="23">
        <v>1.84</v>
      </c>
      <c r="LL51" s="23">
        <v>1.82</v>
      </c>
      <c r="LM51" s="23"/>
      <c r="LN51" s="23"/>
      <c r="LO51" s="23">
        <v>1.8081</v>
      </c>
      <c r="LP51" s="23">
        <v>1.8305</v>
      </c>
      <c r="LQ51" s="23">
        <v>1.8318</v>
      </c>
      <c r="LR51" s="23">
        <v>1.8419</v>
      </c>
      <c r="LS51" s="23">
        <v>1.8444</v>
      </c>
      <c r="LT51" s="23"/>
      <c r="LU51" s="23"/>
      <c r="LV51" s="23">
        <v>1.8498</v>
      </c>
      <c r="LW51" s="23">
        <v>1.8612</v>
      </c>
      <c r="LX51" s="23">
        <v>1.8893</v>
      </c>
      <c r="LY51" s="23">
        <v>1.9078</v>
      </c>
      <c r="LZ51" s="23">
        <v>1.8968</v>
      </c>
      <c r="MA51" s="23"/>
      <c r="MB51" s="23"/>
      <c r="MC51" s="23">
        <v>1.8977</v>
      </c>
      <c r="MD51" s="23">
        <v>1.8963</v>
      </c>
      <c r="ME51" s="23">
        <v>1.9113</v>
      </c>
      <c r="MF51" s="23">
        <v>1.93</v>
      </c>
      <c r="MG51" s="23">
        <v>1.9287</v>
      </c>
      <c r="MH51" s="23"/>
      <c r="MI51" s="23"/>
      <c r="MJ51" s="23">
        <v>1.9385</v>
      </c>
      <c r="MK51" s="23">
        <v>1.9207</v>
      </c>
      <c r="ML51" s="23">
        <v>1.9157</v>
      </c>
      <c r="MM51" s="23">
        <v>1.8917</v>
      </c>
      <c r="MN51" s="23">
        <v>1.8845</v>
      </c>
      <c r="MO51" s="23"/>
      <c r="MP51" s="23"/>
      <c r="MQ51" s="23">
        <v>1.8914</v>
      </c>
      <c r="MR51" s="23">
        <v>1.8821</v>
      </c>
      <c r="MS51" s="23">
        <v>1.8734</v>
      </c>
      <c r="MT51" s="23">
        <v>1.8602</v>
      </c>
      <c r="MU51" s="23">
        <v>1.8455</v>
      </c>
      <c r="MV51" s="23"/>
      <c r="MW51" s="23"/>
      <c r="MX51" s="23">
        <v>1.8288</v>
      </c>
      <c r="MY51" s="23">
        <v>1.8211</v>
      </c>
      <c r="MZ51" s="23">
        <v>1.7945</v>
      </c>
      <c r="NA51" s="23">
        <v>1.7912</v>
      </c>
      <c r="NB51" s="23">
        <v>1.7801</v>
      </c>
      <c r="NC51" s="23"/>
      <c r="ND51" s="23"/>
      <c r="NE51" s="23">
        <v>1.7833</v>
      </c>
      <c r="NF51" s="23">
        <v>1.7957</v>
      </c>
      <c r="NG51" s="23">
        <v>1.803</v>
      </c>
      <c r="NH51" s="23"/>
      <c r="NI51" s="23"/>
      <c r="NJ51" s="23"/>
      <c r="NK51" s="23">
        <v>1.8053</v>
      </c>
      <c r="NL51" s="23">
        <v>1.8112</v>
      </c>
      <c r="NM51" s="23">
        <v>1.818</v>
      </c>
      <c r="NN51" s="23">
        <v>1.8275</v>
      </c>
      <c r="NO51" s="23">
        <v>1.8378</v>
      </c>
      <c r="NP51" s="23">
        <v>1.8374</v>
      </c>
      <c r="NQ51" s="23"/>
      <c r="NR51" s="23"/>
      <c r="NS51" s="23">
        <v>1.8376</v>
      </c>
      <c r="NT51" s="23">
        <v>1.8385</v>
      </c>
      <c r="NU51" s="23">
        <v>1.8384</v>
      </c>
      <c r="NV51" s="23">
        <v>1.8386</v>
      </c>
      <c r="NW51" s="23">
        <v>1.8362</v>
      </c>
      <c r="NX51" s="23"/>
      <c r="NY51" s="23"/>
      <c r="NZ51" s="23">
        <v>1.8306</v>
      </c>
      <c r="OA51" s="23">
        <v>1.823</v>
      </c>
      <c r="OB51" s="23">
        <v>1.8232</v>
      </c>
      <c r="OC51" s="23">
        <v>1.8115</v>
      </c>
      <c r="OD51" s="23">
        <v>1.8213</v>
      </c>
      <c r="OE51" s="23"/>
      <c r="OF51" s="23"/>
      <c r="OG51" s="23">
        <v>1.8318</v>
      </c>
      <c r="OH51" s="23">
        <v>1.8296</v>
      </c>
      <c r="OI51" s="23">
        <v>1.8286</v>
      </c>
      <c r="OJ51" s="23">
        <v>1.8277</v>
      </c>
      <c r="OK51" s="23">
        <v>1.8246</v>
      </c>
      <c r="OL51" s="23"/>
      <c r="OM51" s="23"/>
      <c r="ON51" s="23">
        <v>1.8342</v>
      </c>
      <c r="OO51" s="23">
        <v>1.8324</v>
      </c>
      <c r="OP51" s="23">
        <v>1.8352</v>
      </c>
      <c r="OQ51" s="23">
        <v>1.8268</v>
      </c>
      <c r="OR51" s="23">
        <v>1.8279</v>
      </c>
      <c r="OS51" s="23"/>
      <c r="OT51" s="23"/>
      <c r="OU51" s="23">
        <v>1.8197</v>
      </c>
      <c r="OV51" s="23">
        <v>1.8206</v>
      </c>
      <c r="OW51" s="23">
        <v>1.8024</v>
      </c>
      <c r="OX51" s="23">
        <v>1.7982</v>
      </c>
      <c r="OY51" s="23">
        <v>1.7977</v>
      </c>
      <c r="OZ51" s="23">
        <v>1.7977</v>
      </c>
      <c r="PA51" s="23"/>
      <c r="PB51" s="23"/>
      <c r="PC51" s="23"/>
      <c r="PD51" s="23"/>
      <c r="PE51" s="23"/>
      <c r="PF51" s="23"/>
      <c r="PG51" s="23"/>
      <c r="PH51" s="23"/>
      <c r="PI51" s="23"/>
      <c r="PJ51" s="23">
        <v>1.7949</v>
      </c>
      <c r="PK51" s="23">
        <v>1.8032</v>
      </c>
      <c r="PL51" s="23">
        <v>1.8152</v>
      </c>
      <c r="PM51" s="23">
        <v>1.8124</v>
      </c>
      <c r="PN51" s="23">
        <v>1.8131</v>
      </c>
      <c r="PO51" s="23"/>
      <c r="PP51" s="23">
        <v>1.807</v>
      </c>
      <c r="PQ51" s="23">
        <v>1.7995</v>
      </c>
      <c r="PR51" s="23">
        <v>1.7978</v>
      </c>
      <c r="PS51" s="23">
        <v>1.7907</v>
      </c>
      <c r="PT51" s="23">
        <v>1.7887</v>
      </c>
      <c r="PU51" s="23"/>
      <c r="PV51" s="23"/>
      <c r="PW51" s="23">
        <v>1.7899</v>
      </c>
      <c r="PX51" s="23">
        <v>1.7983</v>
      </c>
      <c r="PY51" s="23">
        <v>1.784</v>
      </c>
      <c r="PZ51" s="23">
        <v>1.7819</v>
      </c>
      <c r="QA51" s="23">
        <v>1.7819</v>
      </c>
      <c r="QB51" s="23"/>
      <c r="QC51" s="23"/>
      <c r="QD51" s="23">
        <v>1.7913</v>
      </c>
      <c r="QE51" s="23">
        <v>1.7894</v>
      </c>
      <c r="QF51" s="23">
        <v>1.7851</v>
      </c>
      <c r="QG51" s="23">
        <v>1.7687</v>
      </c>
      <c r="QH51" s="23">
        <v>1.7709</v>
      </c>
      <c r="QI51" s="23"/>
      <c r="QJ51" s="23"/>
      <c r="QK51" s="23">
        <v>1.7733</v>
      </c>
      <c r="QL51" s="23">
        <v>1.7742</v>
      </c>
      <c r="QM51" s="23">
        <v>1.7745</v>
      </c>
      <c r="QN51" s="23">
        <v>1.768</v>
      </c>
      <c r="QO51" s="23">
        <v>1.7611</v>
      </c>
      <c r="QP51" s="23"/>
      <c r="QQ51" s="23"/>
      <c r="QR51" s="23">
        <v>1.7616</v>
      </c>
      <c r="QS51" s="23">
        <v>1.7629</v>
      </c>
      <c r="QT51" s="23">
        <v>1.7536</v>
      </c>
      <c r="QU51" s="23">
        <v>1.7493</v>
      </c>
      <c r="QV51" s="23">
        <v>1.7345</v>
      </c>
      <c r="QW51" s="23"/>
      <c r="QX51" s="23"/>
      <c r="QY51" s="23"/>
      <c r="QZ51" s="23">
        <v>1.7268</v>
      </c>
      <c r="RA51" s="23">
        <v>1.7218</v>
      </c>
      <c r="RB51" s="23">
        <v>1.7017</v>
      </c>
      <c r="RC51" s="23">
        <v>1.7068</v>
      </c>
      <c r="RD51" s="23"/>
      <c r="RE51" s="23"/>
      <c r="RF51" s="23">
        <v>1.7145</v>
      </c>
      <c r="RG51" s="23">
        <v>1.7179</v>
      </c>
      <c r="RH51" s="23">
        <v>1.7196</v>
      </c>
      <c r="RI51" s="23">
        <v>1.7232</v>
      </c>
      <c r="RJ51" s="23">
        <v>1.7182</v>
      </c>
      <c r="RK51" s="23"/>
      <c r="RL51" s="23"/>
      <c r="RM51" s="23">
        <v>1.7151</v>
      </c>
      <c r="RN51" s="23">
        <v>1.7097</v>
      </c>
      <c r="RO51" s="23">
        <v>1.7057</v>
      </c>
      <c r="RP51" s="23">
        <v>1.7053</v>
      </c>
      <c r="RQ51" s="23">
        <v>1.7041</v>
      </c>
      <c r="RR51" s="23"/>
      <c r="RS51" s="23"/>
      <c r="RT51" s="23">
        <v>1.7083</v>
      </c>
      <c r="RU51" s="23">
        <v>1.7243</v>
      </c>
      <c r="RV51" s="23">
        <v>1.7146</v>
      </c>
      <c r="RW51" s="23">
        <v>1.7179</v>
      </c>
      <c r="RX51" s="23"/>
      <c r="RY51" s="23"/>
      <c r="RZ51" s="23"/>
      <c r="SA51" s="23"/>
      <c r="SB51" s="23"/>
      <c r="SC51" s="23">
        <v>1.724</v>
      </c>
      <c r="SD51" s="23">
        <v>1.7234</v>
      </c>
      <c r="SE51" s="23">
        <v>1.7271</v>
      </c>
      <c r="SF51" s="23">
        <v>1.7274</v>
      </c>
      <c r="SG51" s="23"/>
      <c r="SH51" s="23">
        <v>1.7287</v>
      </c>
      <c r="SI51" s="23">
        <v>1.7146</v>
      </c>
      <c r="SJ51" s="23">
        <v>1.7047</v>
      </c>
      <c r="SK51" s="23">
        <v>1.7027</v>
      </c>
      <c r="SL51" s="23">
        <v>1.6973</v>
      </c>
      <c r="SM51" s="23"/>
      <c r="SN51" s="23"/>
      <c r="SO51" s="23">
        <v>1.6943</v>
      </c>
      <c r="SP51" s="23">
        <v>1.6959</v>
      </c>
      <c r="SQ51" s="23">
        <v>1.6697</v>
      </c>
      <c r="SR51" s="23">
        <v>1.6665</v>
      </c>
      <c r="SS51" s="23">
        <v>1.6734</v>
      </c>
      <c r="ST51" s="23"/>
      <c r="SU51" s="23"/>
      <c r="SV51" s="23">
        <v>1.6688</v>
      </c>
      <c r="SW51" s="23">
        <v>1.6658</v>
      </c>
      <c r="SX51" s="23">
        <v>1.6592</v>
      </c>
      <c r="SY51" s="23">
        <v>1.6502</v>
      </c>
      <c r="SZ51" s="23">
        <v>1.6365</v>
      </c>
      <c r="TA51" s="23"/>
      <c r="TB51" s="23"/>
      <c r="TC51" s="23">
        <v>1.6219</v>
      </c>
      <c r="TD51" s="23">
        <v>1.6132</v>
      </c>
      <c r="TE51" s="23">
        <v>1.6219</v>
      </c>
      <c r="TF51" s="23">
        <v>1.6106</v>
      </c>
      <c r="TG51" s="23">
        <v>1.6147</v>
      </c>
      <c r="TH51" s="23"/>
      <c r="TI51" s="23"/>
      <c r="TJ51" s="23">
        <v>1.6083</v>
      </c>
      <c r="TK51" s="23">
        <v>1.6182</v>
      </c>
      <c r="TL51" s="23">
        <v>1.6179</v>
      </c>
      <c r="TM51" s="23">
        <v>1.6585</v>
      </c>
      <c r="TN51" s="23">
        <v>1.6585</v>
      </c>
      <c r="TO51" s="23"/>
      <c r="TP51" s="23"/>
      <c r="TQ51" s="23">
        <v>1.6577</v>
      </c>
      <c r="TR51" s="23">
        <v>1.6511</v>
      </c>
      <c r="TS51" s="23">
        <v>1.6444</v>
      </c>
      <c r="TT51" s="23">
        <v>1.6417</v>
      </c>
      <c r="TU51" s="23"/>
      <c r="TV51" s="23"/>
      <c r="TW51" s="23"/>
      <c r="TX51" s="23">
        <v>1.6341</v>
      </c>
      <c r="TY51" s="23">
        <v>1.6295</v>
      </c>
      <c r="TZ51" s="23">
        <v>1.6437</v>
      </c>
      <c r="UA51" s="23">
        <v>1.6374</v>
      </c>
      <c r="UB51" s="23">
        <v>1.633</v>
      </c>
      <c r="UC51" s="23"/>
      <c r="UD51" s="23"/>
      <c r="UE51" s="23">
        <v>1.6053</v>
      </c>
      <c r="UF51" s="23">
        <v>1.6086</v>
      </c>
      <c r="UG51" s="23">
        <v>1.6313</v>
      </c>
      <c r="UH51" s="23">
        <v>1.643</v>
      </c>
      <c r="UI51" s="23">
        <v>1.643</v>
      </c>
      <c r="UJ51" s="23"/>
      <c r="UK51" s="23"/>
      <c r="UL51" s="23"/>
      <c r="UM51" s="23"/>
      <c r="UN51" s="23"/>
      <c r="UO51" s="23"/>
      <c r="UP51" s="23"/>
      <c r="UQ51" s="23"/>
      <c r="UR51" s="23"/>
      <c r="US51" s="23"/>
      <c r="UT51" s="23"/>
    </row>
    <row r="52" ht="16.5" customHeight="1" spans="4:566">
      <c r="D52" s="19" t="s">
        <v>418</v>
      </c>
      <c r="E52" s="21" t="s">
        <v>52</v>
      </c>
      <c r="F52" s="23"/>
      <c r="G52" s="23"/>
      <c r="H52" s="23">
        <v>1.6077</v>
      </c>
      <c r="I52" s="23">
        <v>1.6041</v>
      </c>
      <c r="J52" s="23"/>
      <c r="K52" s="23"/>
      <c r="L52" s="23">
        <v>1.5966</v>
      </c>
      <c r="M52" s="23">
        <v>1.6093</v>
      </c>
      <c r="N52" s="23">
        <v>1.6069</v>
      </c>
      <c r="O52" s="23">
        <v>1.6368</v>
      </c>
      <c r="P52" s="23">
        <v>1.6338</v>
      </c>
      <c r="Q52" s="23"/>
      <c r="R52" s="23"/>
      <c r="S52" s="23">
        <v>1.6592</v>
      </c>
      <c r="T52" s="23">
        <v>1.6446</v>
      </c>
      <c r="U52" s="23">
        <v>1.633</v>
      </c>
      <c r="V52" s="23">
        <v>1.6394</v>
      </c>
      <c r="W52" s="23">
        <v>1.6593</v>
      </c>
      <c r="X52" s="23"/>
      <c r="Y52" s="23"/>
      <c r="Z52" s="23">
        <v>1.6747</v>
      </c>
      <c r="AA52" s="23">
        <v>1.6496</v>
      </c>
      <c r="AB52" s="23">
        <v>1.6602</v>
      </c>
      <c r="AC52" s="23">
        <v>1.6645</v>
      </c>
      <c r="AD52" s="23">
        <v>1.6565</v>
      </c>
      <c r="AE52" s="23"/>
      <c r="AF52" s="23">
        <v>1.6537</v>
      </c>
      <c r="AG52" s="23">
        <v>1.6299</v>
      </c>
      <c r="AH52" s="23"/>
      <c r="AI52" s="23"/>
      <c r="AJ52" s="23"/>
      <c r="AK52" s="23"/>
      <c r="AL52" s="23"/>
      <c r="AM52" s="23"/>
      <c r="AN52" s="23"/>
      <c r="AO52" s="23"/>
      <c r="AP52" s="23">
        <v>1.6207</v>
      </c>
      <c r="AQ52" s="23">
        <v>1.5958</v>
      </c>
      <c r="AR52" s="23">
        <v>1.6032</v>
      </c>
      <c r="AS52" s="23">
        <v>1.6057</v>
      </c>
      <c r="AT52" s="23"/>
      <c r="AU52" s="23">
        <v>1.6342</v>
      </c>
      <c r="AV52" s="23">
        <v>1.6274</v>
      </c>
      <c r="AW52" s="23">
        <v>1.6336</v>
      </c>
      <c r="AX52" s="23">
        <v>1.6346</v>
      </c>
      <c r="AY52" s="23">
        <v>1.6546</v>
      </c>
      <c r="AZ52" s="23"/>
      <c r="BA52" s="23"/>
      <c r="BB52" s="23">
        <v>1.6934</v>
      </c>
      <c r="BC52" s="23">
        <v>1.7006</v>
      </c>
      <c r="BD52" s="23">
        <v>1.6626</v>
      </c>
      <c r="BE52" s="23">
        <v>1.685</v>
      </c>
      <c r="BF52" s="23">
        <v>1.72</v>
      </c>
      <c r="BG52" s="23"/>
      <c r="BH52" s="23"/>
      <c r="BI52" s="23">
        <v>1.7625</v>
      </c>
      <c r="BJ52" s="23">
        <v>1.7275</v>
      </c>
      <c r="BK52" s="23">
        <v>1.7251</v>
      </c>
      <c r="BL52" s="23">
        <v>1.7576</v>
      </c>
      <c r="BM52" s="23">
        <v>1.7152</v>
      </c>
      <c r="BN52" s="23"/>
      <c r="BO52" s="23"/>
      <c r="BP52" s="23">
        <v>1.6955</v>
      </c>
      <c r="BQ52" s="23">
        <v>1.7079</v>
      </c>
      <c r="BR52" s="23">
        <v>1.7083</v>
      </c>
      <c r="BS52" s="23">
        <v>1.7455</v>
      </c>
      <c r="BT52" s="23">
        <v>1.8002</v>
      </c>
      <c r="BU52" s="23"/>
      <c r="BV52" s="23"/>
      <c r="BW52" s="23">
        <v>1.8128</v>
      </c>
      <c r="BX52" s="23">
        <v>1.8853</v>
      </c>
      <c r="BY52" s="23">
        <v>1.8334</v>
      </c>
      <c r="BZ52" s="23">
        <v>1.8565</v>
      </c>
      <c r="CA52" s="23">
        <v>1.8317</v>
      </c>
      <c r="CB52" s="23"/>
      <c r="CC52" s="23"/>
      <c r="CD52" s="23">
        <v>1.8957</v>
      </c>
      <c r="CE52" s="23">
        <v>1.8885</v>
      </c>
      <c r="CF52" s="23">
        <v>1.8708</v>
      </c>
      <c r="CG52" s="23">
        <v>1.8309</v>
      </c>
      <c r="CH52" s="23">
        <v>1.8458</v>
      </c>
      <c r="CI52" s="23"/>
      <c r="CJ52" s="23"/>
      <c r="CK52" s="23">
        <v>1.8413</v>
      </c>
      <c r="CL52" s="23">
        <v>1.8183</v>
      </c>
      <c r="CM52" s="23">
        <v>1.7943</v>
      </c>
      <c r="CN52" s="23">
        <v>1.8062</v>
      </c>
      <c r="CO52" s="23">
        <v>1.8126</v>
      </c>
      <c r="CP52" s="23"/>
      <c r="CQ52" s="23"/>
      <c r="CR52" s="23">
        <v>1.8129</v>
      </c>
      <c r="CS52" s="23">
        <v>1.8104</v>
      </c>
      <c r="CT52" s="23">
        <v>1.7887</v>
      </c>
      <c r="CU52" s="23">
        <v>1.718</v>
      </c>
      <c r="CV52" s="23"/>
      <c r="CW52" s="23"/>
      <c r="CX52" s="23"/>
      <c r="CY52" s="23">
        <v>1.6318</v>
      </c>
      <c r="CZ52" s="23">
        <v>1.6633</v>
      </c>
      <c r="DA52" s="23">
        <v>1.6508</v>
      </c>
      <c r="DB52" s="23">
        <v>1.6444</v>
      </c>
      <c r="DC52" s="23">
        <v>1.6568</v>
      </c>
      <c r="DD52" s="23"/>
      <c r="DE52" s="23"/>
      <c r="DF52" s="23">
        <v>1.6584</v>
      </c>
      <c r="DG52" s="23">
        <v>1.6583</v>
      </c>
      <c r="DH52" s="23">
        <v>1.643</v>
      </c>
      <c r="DI52" s="23">
        <v>1.6522</v>
      </c>
      <c r="DJ52" s="23">
        <v>1.6493</v>
      </c>
      <c r="DK52" s="23"/>
      <c r="DL52" s="23"/>
      <c r="DM52" s="23">
        <v>1.6664</v>
      </c>
      <c r="DN52" s="23">
        <v>1.6509</v>
      </c>
      <c r="DO52" s="23">
        <v>1.6611</v>
      </c>
      <c r="DP52" s="23">
        <v>1.664</v>
      </c>
      <c r="DQ52" s="23">
        <v>1.6606</v>
      </c>
      <c r="DR52" s="23"/>
      <c r="DS52" s="23">
        <v>1.6607</v>
      </c>
      <c r="DT52" s="23">
        <v>1.6483</v>
      </c>
      <c r="DU52" s="23">
        <v>1.6241</v>
      </c>
      <c r="DV52" s="23">
        <v>1.6243</v>
      </c>
      <c r="DW52" s="23"/>
      <c r="DX52" s="23"/>
      <c r="DY52" s="23"/>
      <c r="DZ52" s="23"/>
      <c r="EA52" s="23"/>
      <c r="EB52" s="23">
        <v>1.6298</v>
      </c>
      <c r="EC52" s="23">
        <v>1.6418</v>
      </c>
      <c r="ED52" s="23">
        <v>1.6331</v>
      </c>
      <c r="EE52" s="23">
        <v>1.6351</v>
      </c>
      <c r="EF52" s="23"/>
      <c r="EG52" s="23"/>
      <c r="EH52" s="23">
        <v>1.688</v>
      </c>
      <c r="EI52" s="23">
        <v>1.6704</v>
      </c>
      <c r="EJ52" s="23">
        <v>1.6736</v>
      </c>
      <c r="EK52" s="23">
        <v>1.6798</v>
      </c>
      <c r="EL52" s="23">
        <v>1.6793</v>
      </c>
      <c r="EM52" s="23"/>
      <c r="EN52" s="23"/>
      <c r="EO52" s="23">
        <v>1.6893</v>
      </c>
      <c r="EP52" s="23">
        <v>1.7004</v>
      </c>
      <c r="EQ52" s="23">
        <v>1.71</v>
      </c>
      <c r="ER52" s="23">
        <v>1.7186</v>
      </c>
      <c r="ES52" s="23">
        <v>1.7208</v>
      </c>
      <c r="ET52" s="23"/>
      <c r="EU52" s="23"/>
      <c r="EV52" s="23">
        <v>1.7201</v>
      </c>
      <c r="EW52" s="23">
        <v>1.7261</v>
      </c>
      <c r="EX52" s="23">
        <v>1.6832</v>
      </c>
      <c r="EY52" s="23">
        <v>1.6877</v>
      </c>
      <c r="EZ52" s="23">
        <v>1.6712</v>
      </c>
      <c r="FA52" s="23"/>
      <c r="FB52" s="23"/>
      <c r="FC52" s="23"/>
      <c r="FD52" s="23">
        <v>1.6764</v>
      </c>
      <c r="FE52" s="23">
        <v>1.6704</v>
      </c>
      <c r="FF52" s="23">
        <v>1.6741</v>
      </c>
      <c r="FG52" s="23">
        <v>1.6547</v>
      </c>
      <c r="FH52" s="23"/>
      <c r="FI52" s="23"/>
      <c r="FJ52" s="23">
        <v>1.6559</v>
      </c>
      <c r="FK52" s="23">
        <v>1.6569</v>
      </c>
      <c r="FL52" s="23">
        <v>1.642</v>
      </c>
      <c r="FM52" s="23">
        <v>1.6475</v>
      </c>
      <c r="FN52" s="23">
        <v>1.644</v>
      </c>
      <c r="FO52" s="23"/>
      <c r="FP52" s="23"/>
      <c r="FQ52" s="23">
        <v>1.6432</v>
      </c>
      <c r="FR52" s="23">
        <v>1.6364</v>
      </c>
      <c r="FS52" s="23">
        <v>1.6384</v>
      </c>
      <c r="FT52" s="23">
        <v>1.6425</v>
      </c>
      <c r="FU52" s="23">
        <v>1.6396</v>
      </c>
      <c r="FV52" s="23"/>
      <c r="FW52" s="23"/>
      <c r="FX52" s="23">
        <v>1.6418</v>
      </c>
      <c r="FY52" s="23">
        <v>1.648</v>
      </c>
      <c r="FZ52" s="23">
        <v>1.6544</v>
      </c>
      <c r="GA52" s="23">
        <v>1.6462</v>
      </c>
      <c r="GB52" s="23">
        <v>1.6462</v>
      </c>
      <c r="GC52" s="23"/>
      <c r="GD52" s="23"/>
      <c r="GE52" s="23">
        <v>1.6469</v>
      </c>
      <c r="GF52" s="23">
        <v>1.6433</v>
      </c>
      <c r="GG52" s="23">
        <v>1.6396</v>
      </c>
      <c r="GH52" s="23">
        <v>1.6407</v>
      </c>
      <c r="GI52" s="23">
        <v>1.6433</v>
      </c>
      <c r="GJ52" s="23"/>
      <c r="GK52" s="23"/>
      <c r="GL52" s="23">
        <v>1.6406</v>
      </c>
      <c r="GM52" s="23">
        <v>1.6444</v>
      </c>
      <c r="GN52" s="23">
        <v>1.6446</v>
      </c>
      <c r="GO52" s="23">
        <v>1.6616</v>
      </c>
      <c r="GP52" s="23">
        <v>1.6653</v>
      </c>
      <c r="GQ52" s="23"/>
      <c r="GR52" s="23"/>
      <c r="GS52" s="23">
        <v>1.6726</v>
      </c>
      <c r="GT52" s="23">
        <v>1.6557</v>
      </c>
      <c r="GU52" s="23">
        <v>1.6617</v>
      </c>
      <c r="GV52" s="23">
        <v>1.663</v>
      </c>
      <c r="GW52" s="23">
        <v>1.6652</v>
      </c>
      <c r="GX52" s="23"/>
      <c r="GY52" s="23"/>
      <c r="GZ52" s="23">
        <v>1.6774</v>
      </c>
      <c r="HA52" s="23">
        <v>1.6907</v>
      </c>
      <c r="HB52" s="23">
        <v>1.7041</v>
      </c>
      <c r="HC52" s="23">
        <v>1.7376</v>
      </c>
      <c r="HD52" s="23">
        <v>1.7324</v>
      </c>
      <c r="HE52" s="23"/>
      <c r="HF52" s="23"/>
      <c r="HG52" s="23">
        <v>1.7146</v>
      </c>
      <c r="HH52" s="23">
        <v>1.7466</v>
      </c>
      <c r="HI52" s="23">
        <v>1.718</v>
      </c>
      <c r="HJ52" s="23">
        <v>1.7044</v>
      </c>
      <c r="HK52" s="23">
        <v>1.7059</v>
      </c>
      <c r="HL52" s="23"/>
      <c r="HM52" s="23"/>
      <c r="HN52" s="23">
        <v>1.7083</v>
      </c>
      <c r="HO52" s="23">
        <v>1.7061</v>
      </c>
      <c r="HP52" s="23">
        <v>1.6999</v>
      </c>
      <c r="HQ52" s="23">
        <v>1.6894</v>
      </c>
      <c r="HR52" s="23">
        <v>1.6891</v>
      </c>
      <c r="HS52" s="23"/>
      <c r="HT52" s="23"/>
      <c r="HU52" s="23">
        <v>1.7203</v>
      </c>
      <c r="HV52" s="23">
        <v>1.7271</v>
      </c>
      <c r="HW52" s="23">
        <v>1.7262</v>
      </c>
      <c r="HX52" s="23">
        <v>1.7341</v>
      </c>
      <c r="HY52" s="23">
        <v>1.7465</v>
      </c>
      <c r="HZ52" s="23"/>
      <c r="IA52" s="23"/>
      <c r="IB52" s="23">
        <v>1.7872</v>
      </c>
      <c r="IC52" s="23">
        <v>1.7725</v>
      </c>
      <c r="ID52" s="23">
        <v>1.782</v>
      </c>
      <c r="IE52" s="23">
        <v>1.7667</v>
      </c>
      <c r="IF52" s="23">
        <v>1.7818</v>
      </c>
      <c r="IG52" s="23"/>
      <c r="IH52" s="23"/>
      <c r="II52" s="23">
        <v>1.7643</v>
      </c>
      <c r="IJ52" s="23">
        <v>1.7598</v>
      </c>
      <c r="IK52" s="23">
        <v>1.7988</v>
      </c>
      <c r="IL52" s="23">
        <v>1.8478</v>
      </c>
      <c r="IM52" s="23">
        <v>1.8379</v>
      </c>
      <c r="IN52" s="23"/>
      <c r="IO52" s="23"/>
      <c r="IP52" s="31">
        <v>1.8257</v>
      </c>
      <c r="IQ52" s="31">
        <v>1.8167</v>
      </c>
      <c r="IR52" s="31">
        <v>1.7984</v>
      </c>
      <c r="IS52" s="31">
        <v>1.806</v>
      </c>
      <c r="IT52" s="31">
        <v>1.826</v>
      </c>
      <c r="IU52" s="31"/>
      <c r="IV52" s="31"/>
      <c r="IW52" s="31">
        <v>1.8514</v>
      </c>
      <c r="IX52" s="31">
        <v>1.8641</v>
      </c>
      <c r="IY52" s="31">
        <v>1.8992</v>
      </c>
      <c r="IZ52" s="31">
        <v>1.8743</v>
      </c>
      <c r="JA52" s="31">
        <v>1.867</v>
      </c>
      <c r="JB52" s="31"/>
      <c r="JC52" s="31"/>
      <c r="JD52" s="31">
        <v>1.8724</v>
      </c>
      <c r="JE52" s="31">
        <v>1.8527</v>
      </c>
      <c r="JF52" s="31">
        <v>1.8349</v>
      </c>
      <c r="JG52" s="31">
        <v>1.8546</v>
      </c>
      <c r="JH52" s="31">
        <v>1.8789</v>
      </c>
      <c r="JI52" s="31"/>
      <c r="JJ52" s="31"/>
      <c r="JK52" s="31">
        <v>1.8647</v>
      </c>
      <c r="JL52" s="31">
        <v>1.877</v>
      </c>
      <c r="JM52" s="31">
        <v>1.9022</v>
      </c>
      <c r="JN52" s="31">
        <v>1.884</v>
      </c>
      <c r="JO52" s="31">
        <v>1.8768</v>
      </c>
      <c r="JP52" s="31"/>
      <c r="JQ52" s="31">
        <v>1.8781</v>
      </c>
      <c r="JR52" s="31">
        <v>1.887</v>
      </c>
      <c r="JS52" s="31">
        <v>1.8605</v>
      </c>
      <c r="JT52" s="31"/>
      <c r="JU52" s="31"/>
      <c r="JV52" s="31"/>
      <c r="JW52" s="31"/>
      <c r="JX52" s="31"/>
      <c r="JY52" s="31"/>
      <c r="JZ52" s="23"/>
      <c r="KA52" s="23"/>
      <c r="KB52" s="23">
        <v>1.8466</v>
      </c>
      <c r="KC52" s="23">
        <v>1.846</v>
      </c>
      <c r="KD52" s="23">
        <v>1.8206</v>
      </c>
      <c r="KE52" s="23"/>
      <c r="KF52" s="23">
        <v>1.8383</v>
      </c>
      <c r="KG52" s="23">
        <v>1.8368</v>
      </c>
      <c r="KH52" s="23">
        <v>1.8449</v>
      </c>
      <c r="KI52" s="23">
        <v>1.8407</v>
      </c>
      <c r="KJ52" s="23">
        <v>1.8246</v>
      </c>
      <c r="KK52" s="23"/>
      <c r="KL52" s="23"/>
      <c r="KM52" s="23">
        <v>1.8498</v>
      </c>
      <c r="KN52" s="23">
        <v>1.8357</v>
      </c>
      <c r="KO52" s="23">
        <v>1.8293</v>
      </c>
      <c r="KP52" s="23">
        <v>1.8391</v>
      </c>
      <c r="KQ52" s="23">
        <v>1.8486</v>
      </c>
      <c r="KR52" s="23"/>
      <c r="KS52" s="23"/>
      <c r="KT52" s="23">
        <v>1.8423</v>
      </c>
      <c r="KU52" s="23">
        <v>1.8179</v>
      </c>
      <c r="KV52" s="23">
        <v>1.8208</v>
      </c>
      <c r="KW52" s="23">
        <v>1.8098</v>
      </c>
      <c r="KX52" s="23">
        <v>1.7954</v>
      </c>
      <c r="KY52" s="23"/>
      <c r="KZ52" s="23"/>
      <c r="LA52" s="23">
        <v>1.7944</v>
      </c>
      <c r="LB52" s="23">
        <v>1.7984</v>
      </c>
      <c r="LC52" s="23">
        <v>1.7964</v>
      </c>
      <c r="LD52" s="23">
        <v>1.81</v>
      </c>
      <c r="LE52" s="23">
        <v>1.8142</v>
      </c>
      <c r="LF52" s="23"/>
      <c r="LG52" s="23"/>
      <c r="LH52" s="23">
        <v>1.8139</v>
      </c>
      <c r="LI52" s="23">
        <v>1.8119</v>
      </c>
      <c r="LJ52" s="23">
        <v>1.8071</v>
      </c>
      <c r="LK52" s="23">
        <v>1.8126</v>
      </c>
      <c r="LL52" s="23">
        <v>1.814</v>
      </c>
      <c r="LM52" s="23"/>
      <c r="LN52" s="23"/>
      <c r="LO52" s="23">
        <v>1.8109</v>
      </c>
      <c r="LP52" s="23">
        <v>1.8121</v>
      </c>
      <c r="LQ52" s="23">
        <v>1.8179</v>
      </c>
      <c r="LR52" s="23">
        <v>1.8135</v>
      </c>
      <c r="LS52" s="23">
        <v>1.8166</v>
      </c>
      <c r="LT52" s="23"/>
      <c r="LU52" s="23"/>
      <c r="LV52" s="23">
        <v>1.821</v>
      </c>
      <c r="LW52" s="23">
        <v>1.8301</v>
      </c>
      <c r="LX52" s="23">
        <v>1.8462</v>
      </c>
      <c r="LY52" s="23">
        <v>1.8537</v>
      </c>
      <c r="LZ52" s="23">
        <v>1.8412</v>
      </c>
      <c r="MA52" s="23"/>
      <c r="MB52" s="23"/>
      <c r="MC52" s="23">
        <v>1.8366</v>
      </c>
      <c r="MD52" s="23">
        <v>1.8442</v>
      </c>
      <c r="ME52" s="23">
        <v>1.8519</v>
      </c>
      <c r="MF52" s="23">
        <v>1.8718</v>
      </c>
      <c r="MG52" s="23">
        <v>1.848</v>
      </c>
      <c r="MH52" s="23"/>
      <c r="MI52" s="23"/>
      <c r="MJ52" s="23">
        <v>1.8499</v>
      </c>
      <c r="MK52" s="23">
        <v>1.8425</v>
      </c>
      <c r="ML52" s="23">
        <v>1.8447</v>
      </c>
      <c r="MM52" s="23">
        <v>1.8404</v>
      </c>
      <c r="MN52" s="23">
        <v>1.8396</v>
      </c>
      <c r="MO52" s="23"/>
      <c r="MP52" s="23"/>
      <c r="MQ52" s="23">
        <v>1.8488</v>
      </c>
      <c r="MR52" s="23">
        <v>1.8458</v>
      </c>
      <c r="MS52" s="23">
        <v>1.834</v>
      </c>
      <c r="MT52" s="23">
        <v>1.8356</v>
      </c>
      <c r="MU52" s="23">
        <v>1.8308</v>
      </c>
      <c r="MV52" s="23"/>
      <c r="MW52" s="23"/>
      <c r="MX52" s="23">
        <v>1.8415</v>
      </c>
      <c r="MY52" s="23">
        <v>1.8352</v>
      </c>
      <c r="MZ52" s="23">
        <v>1.8356</v>
      </c>
      <c r="NA52" s="23">
        <v>1.8386</v>
      </c>
      <c r="NB52" s="23">
        <v>1.8376</v>
      </c>
      <c r="NC52" s="23"/>
      <c r="ND52" s="23"/>
      <c r="NE52" s="23">
        <v>1.8584</v>
      </c>
      <c r="NF52" s="23">
        <v>1.8582</v>
      </c>
      <c r="NG52" s="23">
        <v>1.8473</v>
      </c>
      <c r="NH52" s="23"/>
      <c r="NI52" s="23"/>
      <c r="NJ52" s="23"/>
      <c r="NK52" s="23">
        <v>1.8427</v>
      </c>
      <c r="NL52" s="23">
        <v>1.8584</v>
      </c>
      <c r="NM52" s="23">
        <v>1.8829</v>
      </c>
      <c r="NN52" s="23">
        <v>1.9019</v>
      </c>
      <c r="NO52" s="23">
        <v>1.8905</v>
      </c>
      <c r="NP52" s="23">
        <v>1.8782</v>
      </c>
      <c r="NQ52" s="23"/>
      <c r="NR52" s="23"/>
      <c r="NS52" s="23">
        <v>1.8585</v>
      </c>
      <c r="NT52" s="23">
        <v>1.8519</v>
      </c>
      <c r="NU52" s="23">
        <v>1.8494</v>
      </c>
      <c r="NV52" s="23">
        <v>1.8544</v>
      </c>
      <c r="NW52" s="23">
        <v>1.8424</v>
      </c>
      <c r="NX52" s="23"/>
      <c r="NY52" s="23"/>
      <c r="NZ52" s="23">
        <v>1.8393</v>
      </c>
      <c r="OA52" s="23">
        <v>1.8326</v>
      </c>
      <c r="OB52" s="23">
        <v>1.8312</v>
      </c>
      <c r="OC52" s="23">
        <v>1.8425</v>
      </c>
      <c r="OD52" s="23">
        <v>1.8298</v>
      </c>
      <c r="OE52" s="23"/>
      <c r="OF52" s="23"/>
      <c r="OG52" s="23">
        <v>1.8242</v>
      </c>
      <c r="OH52" s="23">
        <v>1.8311</v>
      </c>
      <c r="OI52" s="23">
        <v>1.8164</v>
      </c>
      <c r="OJ52" s="23">
        <v>1.8174</v>
      </c>
      <c r="OK52" s="23">
        <v>1.8112</v>
      </c>
      <c r="OL52" s="23"/>
      <c r="OM52" s="23"/>
      <c r="ON52" s="23">
        <v>1.82</v>
      </c>
      <c r="OO52" s="23">
        <v>1.8172</v>
      </c>
      <c r="OP52" s="23">
        <v>1.8193</v>
      </c>
      <c r="OQ52" s="23">
        <v>1.8169</v>
      </c>
      <c r="OR52" s="23">
        <v>1.8102</v>
      </c>
      <c r="OS52" s="23"/>
      <c r="OT52" s="23"/>
      <c r="OU52" s="23">
        <v>1.8114</v>
      </c>
      <c r="OV52" s="23">
        <v>1.8094</v>
      </c>
      <c r="OW52" s="23">
        <v>1.7994</v>
      </c>
      <c r="OX52" s="23">
        <v>1.7893</v>
      </c>
      <c r="OY52" s="23">
        <v>1.7928</v>
      </c>
      <c r="OZ52" s="23">
        <v>1.7899</v>
      </c>
      <c r="PA52" s="23"/>
      <c r="PB52" s="23"/>
      <c r="PC52" s="23"/>
      <c r="PD52" s="23"/>
      <c r="PE52" s="23"/>
      <c r="PF52" s="23"/>
      <c r="PG52" s="23"/>
      <c r="PH52" s="23"/>
      <c r="PI52" s="23"/>
      <c r="PJ52" s="23">
        <v>1.8023</v>
      </c>
      <c r="PK52" s="23">
        <v>1.8158</v>
      </c>
      <c r="PL52" s="23">
        <v>1.8288</v>
      </c>
      <c r="PM52" s="23">
        <v>1.7877</v>
      </c>
      <c r="PN52" s="23">
        <v>1.7753</v>
      </c>
      <c r="PO52" s="23"/>
      <c r="PP52" s="23">
        <v>1.7761</v>
      </c>
      <c r="PQ52" s="23">
        <v>1.7807</v>
      </c>
      <c r="PR52" s="23">
        <v>1.7768</v>
      </c>
      <c r="PS52" s="23">
        <v>1.7779</v>
      </c>
      <c r="PT52" s="23">
        <v>1.781</v>
      </c>
      <c r="PU52" s="23"/>
      <c r="PV52" s="23"/>
      <c r="PW52" s="23">
        <v>1.8054</v>
      </c>
      <c r="PX52" s="23">
        <v>1.8055</v>
      </c>
      <c r="PY52" s="23">
        <v>1.8075</v>
      </c>
      <c r="PZ52" s="23">
        <v>1.8052</v>
      </c>
      <c r="QA52" s="23">
        <v>1.8143</v>
      </c>
      <c r="QB52" s="23"/>
      <c r="QC52" s="23"/>
      <c r="QD52" s="23">
        <v>1.8312</v>
      </c>
      <c r="QE52" s="23">
        <v>1.8314</v>
      </c>
      <c r="QF52" s="23">
        <v>1.8175</v>
      </c>
      <c r="QG52" s="23">
        <v>1.8252</v>
      </c>
      <c r="QH52" s="23">
        <v>1.8299</v>
      </c>
      <c r="QI52" s="23"/>
      <c r="QJ52" s="23"/>
      <c r="QK52" s="23">
        <v>1.8316</v>
      </c>
      <c r="QL52" s="23">
        <v>1.8272</v>
      </c>
      <c r="QM52" s="23">
        <v>1.8233</v>
      </c>
      <c r="QN52" s="23">
        <v>1.8194</v>
      </c>
      <c r="QO52" s="23">
        <v>1.8172</v>
      </c>
      <c r="QP52" s="23"/>
      <c r="QQ52" s="23"/>
      <c r="QR52" s="23">
        <v>1.8063</v>
      </c>
      <c r="QS52" s="23">
        <v>1.8171</v>
      </c>
      <c r="QT52" s="23">
        <v>1.8244</v>
      </c>
      <c r="QU52" s="23">
        <v>1.8209</v>
      </c>
      <c r="QV52" s="23">
        <v>1.8199</v>
      </c>
      <c r="QW52" s="23"/>
      <c r="QX52" s="23"/>
      <c r="QY52" s="23"/>
      <c r="QZ52" s="23">
        <v>1.8171</v>
      </c>
      <c r="RA52" s="23">
        <v>1.8136</v>
      </c>
      <c r="RB52" s="23">
        <v>1.8192</v>
      </c>
      <c r="RC52" s="23">
        <v>1.8128</v>
      </c>
      <c r="RD52" s="23"/>
      <c r="RE52" s="23"/>
      <c r="RF52" s="23">
        <v>1.7933</v>
      </c>
      <c r="RG52" s="23">
        <v>1.7829</v>
      </c>
      <c r="RH52" s="23">
        <v>1.7809</v>
      </c>
      <c r="RI52" s="23">
        <v>1.7812</v>
      </c>
      <c r="RJ52" s="23">
        <v>1.7623</v>
      </c>
      <c r="RK52" s="23"/>
      <c r="RL52" s="23"/>
      <c r="RM52" s="23">
        <v>1.7627</v>
      </c>
      <c r="RN52" s="23">
        <v>1.751</v>
      </c>
      <c r="RO52" s="23">
        <v>1.7389</v>
      </c>
      <c r="RP52" s="23">
        <v>1.7548</v>
      </c>
      <c r="RQ52" s="23">
        <v>1.7601</v>
      </c>
      <c r="RR52" s="23"/>
      <c r="RS52" s="23"/>
      <c r="RT52" s="23">
        <v>1.7697</v>
      </c>
      <c r="RU52" s="23">
        <v>1.7654</v>
      </c>
      <c r="RV52" s="23">
        <v>1.7444</v>
      </c>
      <c r="RW52" s="23">
        <v>1.7473</v>
      </c>
      <c r="RX52" s="23"/>
      <c r="RY52" s="23"/>
      <c r="RZ52" s="23"/>
      <c r="SA52" s="23"/>
      <c r="SB52" s="23"/>
      <c r="SC52" s="23">
        <v>1.7654</v>
      </c>
      <c r="SD52" s="23">
        <v>1.7631</v>
      </c>
      <c r="SE52" s="23">
        <v>1.7648</v>
      </c>
      <c r="SF52" s="23">
        <v>1.767</v>
      </c>
      <c r="SG52" s="23"/>
      <c r="SH52" s="23">
        <v>1.7622</v>
      </c>
      <c r="SI52" s="23">
        <v>1.7592</v>
      </c>
      <c r="SJ52" s="23">
        <v>1.7514</v>
      </c>
      <c r="SK52" s="23">
        <v>1.7588</v>
      </c>
      <c r="SL52" s="23">
        <v>1.7658</v>
      </c>
      <c r="SM52" s="23"/>
      <c r="SN52" s="23"/>
      <c r="SO52" s="23">
        <v>1.7585</v>
      </c>
      <c r="SP52" s="23">
        <v>1.7345</v>
      </c>
      <c r="SQ52" s="23">
        <v>1.7382</v>
      </c>
      <c r="SR52" s="23">
        <v>1.7448</v>
      </c>
      <c r="SS52" s="23">
        <v>1.7519</v>
      </c>
      <c r="ST52" s="23"/>
      <c r="SU52" s="23"/>
      <c r="SV52" s="23">
        <v>1.7484</v>
      </c>
      <c r="SW52" s="23">
        <v>1.7405</v>
      </c>
      <c r="SX52" s="23">
        <v>1.7216</v>
      </c>
      <c r="SY52" s="23">
        <v>1.7193</v>
      </c>
      <c r="SZ52" s="23">
        <v>1.709</v>
      </c>
      <c r="TA52" s="23"/>
      <c r="TB52" s="23"/>
      <c r="TC52" s="23">
        <v>1.7009</v>
      </c>
      <c r="TD52" s="23">
        <v>1.7036</v>
      </c>
      <c r="TE52" s="23">
        <v>1.7128</v>
      </c>
      <c r="TF52" s="23">
        <v>1.7081</v>
      </c>
      <c r="TG52" s="23">
        <v>1.7207</v>
      </c>
      <c r="TH52" s="23"/>
      <c r="TI52" s="23"/>
      <c r="TJ52" s="23">
        <v>1.7275</v>
      </c>
      <c r="TK52" s="23">
        <v>1.7376</v>
      </c>
      <c r="TL52" s="23">
        <v>1.7476</v>
      </c>
      <c r="TM52" s="23">
        <v>1.7475</v>
      </c>
      <c r="TN52" s="23">
        <v>1.7427</v>
      </c>
      <c r="TO52" s="23"/>
      <c r="TP52" s="23"/>
      <c r="TQ52" s="23">
        <v>1.7446</v>
      </c>
      <c r="TR52" s="23">
        <v>1.7324</v>
      </c>
      <c r="TS52" s="23">
        <v>1.727</v>
      </c>
      <c r="TT52" s="23">
        <v>1.7299</v>
      </c>
      <c r="TU52" s="23"/>
      <c r="TV52" s="23"/>
      <c r="TW52" s="23"/>
      <c r="TX52" s="23">
        <v>1.7375</v>
      </c>
      <c r="TY52" s="23">
        <v>1.7437</v>
      </c>
      <c r="TZ52" s="23">
        <v>1.7454</v>
      </c>
      <c r="UA52" s="23">
        <v>1.7351</v>
      </c>
      <c r="UB52" s="23">
        <v>1.7314</v>
      </c>
      <c r="UC52" s="23"/>
      <c r="UD52" s="23"/>
      <c r="UE52" s="23">
        <v>1.717</v>
      </c>
      <c r="UF52" s="23">
        <v>1.733</v>
      </c>
      <c r="UG52" s="23">
        <v>1.7448</v>
      </c>
      <c r="UH52" s="23">
        <v>1.741</v>
      </c>
      <c r="UI52" s="23">
        <v>1.7463</v>
      </c>
      <c r="UJ52" s="23"/>
      <c r="UK52" s="23"/>
      <c r="UL52" s="23"/>
      <c r="UM52" s="23"/>
      <c r="UN52" s="23"/>
      <c r="UO52" s="23"/>
      <c r="UP52" s="23"/>
      <c r="UQ52" s="23"/>
      <c r="UR52" s="23"/>
      <c r="US52" s="23"/>
      <c r="UT52" s="23"/>
    </row>
    <row r="53" ht="16.5" customHeight="1" spans="4:566">
      <c r="D53" s="19" t="s">
        <v>74</v>
      </c>
      <c r="E53" s="21" t="s">
        <v>75</v>
      </c>
      <c r="F53" s="23"/>
      <c r="G53" s="23"/>
      <c r="H53" s="23">
        <v>1.8397</v>
      </c>
      <c r="I53" s="23">
        <v>1.8501</v>
      </c>
      <c r="J53" s="23"/>
      <c r="K53" s="23"/>
      <c r="L53" s="23">
        <v>1.8327</v>
      </c>
      <c r="M53" s="23">
        <v>1.8602</v>
      </c>
      <c r="N53" s="23">
        <v>1.8702</v>
      </c>
      <c r="O53" s="23">
        <v>1.8932</v>
      </c>
      <c r="P53" s="23">
        <v>1.8752</v>
      </c>
      <c r="Q53" s="23"/>
      <c r="R53" s="23"/>
      <c r="S53" s="23">
        <v>1.9051</v>
      </c>
      <c r="T53" s="23">
        <v>1.8652</v>
      </c>
      <c r="U53" s="23">
        <v>1.8602</v>
      </c>
      <c r="V53" s="23">
        <v>1.8677</v>
      </c>
      <c r="W53" s="23">
        <v>1.915</v>
      </c>
      <c r="X53" s="23"/>
      <c r="Y53" s="23"/>
      <c r="Z53" s="23">
        <v>1.9225</v>
      </c>
      <c r="AA53" s="23">
        <v>1.89</v>
      </c>
      <c r="AB53" s="23">
        <v>1.9</v>
      </c>
      <c r="AC53" s="23">
        <v>1.9</v>
      </c>
      <c r="AD53" s="23">
        <v>1.89</v>
      </c>
      <c r="AE53" s="23"/>
      <c r="AF53" s="23">
        <v>1.891</v>
      </c>
      <c r="AG53" s="23">
        <v>1.8675</v>
      </c>
      <c r="AH53" s="23"/>
      <c r="AI53" s="23"/>
      <c r="AJ53" s="23"/>
      <c r="AK53" s="23"/>
      <c r="AL53" s="23"/>
      <c r="AM53" s="23"/>
      <c r="AN53" s="23"/>
      <c r="AO53" s="23"/>
      <c r="AP53" s="23">
        <v>1.8375</v>
      </c>
      <c r="AQ53" s="23">
        <v>1.805</v>
      </c>
      <c r="AR53" s="23">
        <v>1.8025</v>
      </c>
      <c r="AS53" s="23">
        <v>1.805</v>
      </c>
      <c r="AT53" s="23"/>
      <c r="AU53" s="23">
        <v>1.825</v>
      </c>
      <c r="AV53" s="23">
        <v>1.8075</v>
      </c>
      <c r="AW53" s="23">
        <v>1.809</v>
      </c>
      <c r="AX53" s="23">
        <v>1.799</v>
      </c>
      <c r="AY53" s="23">
        <v>1.82</v>
      </c>
      <c r="AZ53" s="23"/>
      <c r="BA53" s="23"/>
      <c r="BB53" s="23">
        <v>1.86</v>
      </c>
      <c r="BC53" s="23">
        <v>1.86</v>
      </c>
      <c r="BD53" s="23">
        <v>1.84</v>
      </c>
      <c r="BE53" s="23">
        <v>1.87</v>
      </c>
      <c r="BF53" s="23">
        <v>1.905</v>
      </c>
      <c r="BG53" s="23"/>
      <c r="BH53" s="23"/>
      <c r="BI53" s="23">
        <v>1.945</v>
      </c>
      <c r="BJ53" s="23">
        <v>1.915</v>
      </c>
      <c r="BK53" s="23">
        <v>1.91</v>
      </c>
      <c r="BL53" s="23">
        <v>1.935</v>
      </c>
      <c r="BM53" s="23">
        <v>1.905</v>
      </c>
      <c r="BN53" s="23"/>
      <c r="BO53" s="23"/>
      <c r="BP53" s="23">
        <v>1.89</v>
      </c>
      <c r="BQ53" s="23">
        <v>1.9</v>
      </c>
      <c r="BR53" s="23">
        <v>1.8925</v>
      </c>
      <c r="BS53" s="23">
        <v>1.9325</v>
      </c>
      <c r="BT53" s="23">
        <v>1.975</v>
      </c>
      <c r="BU53" s="23"/>
      <c r="BV53" s="23"/>
      <c r="BW53" s="23">
        <v>1.985</v>
      </c>
      <c r="BX53" s="23">
        <v>2.035</v>
      </c>
      <c r="BY53" s="23">
        <v>2.0125</v>
      </c>
      <c r="BZ53" s="23">
        <v>2.04</v>
      </c>
      <c r="CA53" s="23">
        <v>2.04</v>
      </c>
      <c r="CB53" s="23"/>
      <c r="CC53" s="23"/>
      <c r="CD53" s="23">
        <v>2.115</v>
      </c>
      <c r="CE53" s="23">
        <v>2.1151</v>
      </c>
      <c r="CF53" s="23">
        <v>2.1051</v>
      </c>
      <c r="CG53" s="23">
        <v>2.0526</v>
      </c>
      <c r="CH53" s="23">
        <v>2.0676</v>
      </c>
      <c r="CI53" s="23"/>
      <c r="CJ53" s="23"/>
      <c r="CK53" s="23">
        <v>2.0501</v>
      </c>
      <c r="CL53" s="23">
        <v>2.0276</v>
      </c>
      <c r="CM53" s="23">
        <v>2.0001</v>
      </c>
      <c r="CN53" s="23">
        <v>2.0101</v>
      </c>
      <c r="CO53" s="23">
        <v>2.0251</v>
      </c>
      <c r="CP53" s="23"/>
      <c r="CQ53" s="23"/>
      <c r="CR53" s="23">
        <v>2.0226</v>
      </c>
      <c r="CS53" s="23">
        <v>2.0201</v>
      </c>
      <c r="CT53" s="23">
        <v>1.9801</v>
      </c>
      <c r="CU53" s="23">
        <v>1.9052</v>
      </c>
      <c r="CV53" s="23"/>
      <c r="CW53" s="23"/>
      <c r="CX53" s="23"/>
      <c r="CY53" s="23">
        <v>1.8252</v>
      </c>
      <c r="CZ53" s="23">
        <v>1.8551</v>
      </c>
      <c r="DA53" s="23">
        <v>1.8552</v>
      </c>
      <c r="DB53" s="23">
        <v>1.8602</v>
      </c>
      <c r="DC53" s="23">
        <v>1.8627</v>
      </c>
      <c r="DD53" s="23"/>
      <c r="DE53" s="23"/>
      <c r="DF53" s="23">
        <v>1.8602</v>
      </c>
      <c r="DG53" s="23">
        <v>1.8602</v>
      </c>
      <c r="DH53" s="23">
        <v>1.8652</v>
      </c>
      <c r="DI53" s="23">
        <v>1.8982</v>
      </c>
      <c r="DJ53" s="23">
        <v>1.9042</v>
      </c>
      <c r="DK53" s="23"/>
      <c r="DL53" s="23"/>
      <c r="DM53" s="23">
        <v>1.9227</v>
      </c>
      <c r="DN53" s="23">
        <v>1.9052</v>
      </c>
      <c r="DO53" s="23">
        <v>1.9279</v>
      </c>
      <c r="DP53" s="23">
        <v>1.9327</v>
      </c>
      <c r="DQ53" s="23">
        <v>1.9276</v>
      </c>
      <c r="DR53" s="23"/>
      <c r="DS53" s="23">
        <v>1.9252</v>
      </c>
      <c r="DT53" s="23">
        <v>1.9005</v>
      </c>
      <c r="DU53" s="23">
        <v>1.8225</v>
      </c>
      <c r="DV53" s="23">
        <v>1.824</v>
      </c>
      <c r="DW53" s="23"/>
      <c r="DX53" s="23"/>
      <c r="DY53" s="23"/>
      <c r="DZ53" s="23"/>
      <c r="EA53" s="23"/>
      <c r="EB53" s="23">
        <v>1.827</v>
      </c>
      <c r="EC53" s="23">
        <v>1.8475</v>
      </c>
      <c r="ED53" s="23">
        <v>1.8375</v>
      </c>
      <c r="EE53" s="23">
        <v>1.8425</v>
      </c>
      <c r="EF53" s="23"/>
      <c r="EG53" s="23"/>
      <c r="EH53" s="23">
        <v>1.905</v>
      </c>
      <c r="EI53" s="23">
        <v>1.879</v>
      </c>
      <c r="EJ53" s="23">
        <v>1.8775</v>
      </c>
      <c r="EK53" s="23">
        <v>1.8825</v>
      </c>
      <c r="EL53" s="23">
        <v>1.878</v>
      </c>
      <c r="EM53" s="23"/>
      <c r="EN53" s="23"/>
      <c r="EO53" s="23">
        <v>1.861</v>
      </c>
      <c r="EP53" s="23">
        <v>1.872</v>
      </c>
      <c r="EQ53" s="23">
        <v>1.885</v>
      </c>
      <c r="ER53" s="23">
        <v>1.887</v>
      </c>
      <c r="ES53" s="23">
        <v>1.889</v>
      </c>
      <c r="ET53" s="23"/>
      <c r="EU53" s="23"/>
      <c r="EV53" s="23">
        <v>1.8875</v>
      </c>
      <c r="EW53" s="23">
        <v>1.901</v>
      </c>
      <c r="EX53" s="23">
        <v>1.906</v>
      </c>
      <c r="EY53" s="23">
        <v>1.916</v>
      </c>
      <c r="EZ53" s="23">
        <v>1.896</v>
      </c>
      <c r="FA53" s="23"/>
      <c r="FB53" s="23"/>
      <c r="FC53" s="23"/>
      <c r="FD53" s="23">
        <v>1.895</v>
      </c>
      <c r="FE53" s="23">
        <v>1.891</v>
      </c>
      <c r="FF53" s="23">
        <v>1.896</v>
      </c>
      <c r="FG53" s="23">
        <v>1.876</v>
      </c>
      <c r="FH53" s="23"/>
      <c r="FI53" s="23"/>
      <c r="FJ53" s="23">
        <v>1.87</v>
      </c>
      <c r="FK53" s="23">
        <v>1.8695</v>
      </c>
      <c r="FL53" s="23">
        <v>1.849</v>
      </c>
      <c r="FM53" s="23">
        <v>1.8485</v>
      </c>
      <c r="FN53" s="23">
        <v>1.8495</v>
      </c>
      <c r="FO53" s="23"/>
      <c r="FP53" s="23"/>
      <c r="FQ53" s="23">
        <v>1.851</v>
      </c>
      <c r="FR53" s="23">
        <v>1.8425</v>
      </c>
      <c r="FS53" s="23">
        <v>1.8455</v>
      </c>
      <c r="FT53" s="23">
        <v>1.8431</v>
      </c>
      <c r="FU53" s="23">
        <v>1.8376</v>
      </c>
      <c r="FV53" s="23"/>
      <c r="FW53" s="23"/>
      <c r="FX53" s="23">
        <v>1.8381</v>
      </c>
      <c r="FY53" s="23">
        <v>1.8506</v>
      </c>
      <c r="FZ53" s="23">
        <v>1.8621</v>
      </c>
      <c r="GA53" s="23">
        <v>1.8491</v>
      </c>
      <c r="GB53" s="23">
        <v>1.8496</v>
      </c>
      <c r="GC53" s="23"/>
      <c r="GD53" s="23"/>
      <c r="GE53" s="23">
        <v>1.8611</v>
      </c>
      <c r="GF53" s="23">
        <v>1.8516</v>
      </c>
      <c r="GG53" s="23">
        <v>1.8451</v>
      </c>
      <c r="GH53" s="23">
        <v>1.8486</v>
      </c>
      <c r="GI53" s="23">
        <v>1.8516</v>
      </c>
      <c r="GJ53" s="23"/>
      <c r="GK53" s="23"/>
      <c r="GL53" s="23">
        <v>1.8536</v>
      </c>
      <c r="GM53" s="23">
        <v>1.8596</v>
      </c>
      <c r="GN53" s="23">
        <v>1.8566</v>
      </c>
      <c r="GO53" s="23">
        <v>1.8746</v>
      </c>
      <c r="GP53" s="23">
        <v>1.8741</v>
      </c>
      <c r="GQ53" s="23"/>
      <c r="GR53" s="23"/>
      <c r="GS53" s="23">
        <v>1.8821</v>
      </c>
      <c r="GT53" s="23">
        <v>1.8601</v>
      </c>
      <c r="GU53" s="23">
        <v>1.8661</v>
      </c>
      <c r="GV53" s="23">
        <v>1.883</v>
      </c>
      <c r="GW53" s="23">
        <v>1.8885</v>
      </c>
      <c r="GX53" s="23"/>
      <c r="GY53" s="23"/>
      <c r="GZ53" s="23">
        <v>1.9115</v>
      </c>
      <c r="HA53" s="23">
        <v>1.9335</v>
      </c>
      <c r="HB53" s="23">
        <v>1.938</v>
      </c>
      <c r="HC53" s="23">
        <v>1.979</v>
      </c>
      <c r="HD53" s="23">
        <v>1.9725</v>
      </c>
      <c r="HE53" s="23"/>
      <c r="HF53" s="23"/>
      <c r="HG53" s="23">
        <v>1.9525</v>
      </c>
      <c r="HH53" s="23">
        <v>1.998</v>
      </c>
      <c r="HI53" s="23">
        <v>1.96</v>
      </c>
      <c r="HJ53" s="23">
        <v>1.945</v>
      </c>
      <c r="HK53" s="23">
        <v>1.949</v>
      </c>
      <c r="HL53" s="23"/>
      <c r="HM53" s="23"/>
      <c r="HN53" s="23">
        <v>1.95</v>
      </c>
      <c r="HO53" s="23">
        <v>1.9585</v>
      </c>
      <c r="HP53" s="23">
        <v>1.958</v>
      </c>
      <c r="HQ53" s="23">
        <v>1.951</v>
      </c>
      <c r="HR53" s="23">
        <v>1.96</v>
      </c>
      <c r="HS53" s="23"/>
      <c r="HT53" s="23"/>
      <c r="HU53" s="23">
        <v>1.995</v>
      </c>
      <c r="HV53" s="23">
        <v>2.017</v>
      </c>
      <c r="HW53" s="23">
        <v>2.02</v>
      </c>
      <c r="HX53" s="23">
        <v>2.0275</v>
      </c>
      <c r="HY53" s="23">
        <v>2.0475</v>
      </c>
      <c r="HZ53" s="23"/>
      <c r="IA53" s="23"/>
      <c r="IB53" s="23">
        <v>2.1145</v>
      </c>
      <c r="IC53" s="23">
        <v>2.0975</v>
      </c>
      <c r="ID53" s="23">
        <v>2.105</v>
      </c>
      <c r="IE53" s="23">
        <v>2.075</v>
      </c>
      <c r="IF53" s="23">
        <v>2.0775</v>
      </c>
      <c r="IG53" s="23"/>
      <c r="IH53" s="23"/>
      <c r="II53" s="23">
        <v>2.05</v>
      </c>
      <c r="IJ53" s="23">
        <v>2.035</v>
      </c>
      <c r="IK53" s="23">
        <v>2.07</v>
      </c>
      <c r="IL53" s="23">
        <v>2.1108</v>
      </c>
      <c r="IM53" s="23">
        <v>2.1375</v>
      </c>
      <c r="IN53" s="23"/>
      <c r="IO53" s="23"/>
      <c r="IP53" s="31">
        <v>2.1165</v>
      </c>
      <c r="IQ53" s="31">
        <v>2.1</v>
      </c>
      <c r="IR53" s="31">
        <v>2.075</v>
      </c>
      <c r="IS53" s="31">
        <v>2.085</v>
      </c>
      <c r="IT53" s="31">
        <v>2.1125</v>
      </c>
      <c r="IU53" s="31"/>
      <c r="IV53" s="31"/>
      <c r="IW53" s="31">
        <v>2.1475</v>
      </c>
      <c r="IX53" s="31">
        <v>2.171</v>
      </c>
      <c r="IY53" s="31">
        <v>2.204</v>
      </c>
      <c r="IZ53" s="31">
        <v>2.208</v>
      </c>
      <c r="JA53" s="31">
        <v>2.184</v>
      </c>
      <c r="JB53" s="31"/>
      <c r="JC53" s="31"/>
      <c r="JD53" s="31">
        <v>2.1875</v>
      </c>
      <c r="JE53" s="31">
        <v>2.1675</v>
      </c>
      <c r="JF53" s="31">
        <v>2.15</v>
      </c>
      <c r="JG53" s="31">
        <v>2.1701</v>
      </c>
      <c r="JH53" s="31">
        <v>2.1996</v>
      </c>
      <c r="JI53" s="31"/>
      <c r="JJ53" s="31"/>
      <c r="JK53" s="31">
        <v>2.189</v>
      </c>
      <c r="JL53" s="31">
        <v>2.215</v>
      </c>
      <c r="JM53" s="31">
        <v>2.2501</v>
      </c>
      <c r="JN53" s="31">
        <v>2.23</v>
      </c>
      <c r="JO53" s="31">
        <v>2.217</v>
      </c>
      <c r="JP53" s="31"/>
      <c r="JQ53" s="31">
        <v>2.218</v>
      </c>
      <c r="JR53" s="31">
        <v>2.242</v>
      </c>
      <c r="JS53" s="31">
        <v>2.2461</v>
      </c>
      <c r="JT53" s="31"/>
      <c r="JU53" s="31"/>
      <c r="JV53" s="31"/>
      <c r="JW53" s="31"/>
      <c r="JX53" s="31"/>
      <c r="JY53" s="31"/>
      <c r="JZ53" s="23"/>
      <c r="KA53" s="23"/>
      <c r="KB53" s="23">
        <v>2.2629</v>
      </c>
      <c r="KC53" s="23">
        <v>2.2829</v>
      </c>
      <c r="KD53" s="23">
        <v>2.2328</v>
      </c>
      <c r="KE53" s="23"/>
      <c r="KF53" s="23">
        <v>2.2729</v>
      </c>
      <c r="KG53" s="23">
        <v>2.2678</v>
      </c>
      <c r="KH53" s="23">
        <v>2.2603</v>
      </c>
      <c r="KI53" s="23">
        <v>2.2414</v>
      </c>
      <c r="KJ53" s="23">
        <v>2.2002</v>
      </c>
      <c r="KK53" s="23"/>
      <c r="KL53" s="23"/>
      <c r="KM53" s="23">
        <v>2.2162</v>
      </c>
      <c r="KN53" s="23">
        <v>2.1871</v>
      </c>
      <c r="KO53" s="23">
        <v>2.1821</v>
      </c>
      <c r="KP53" s="23">
        <v>2.1946</v>
      </c>
      <c r="KQ53" s="23">
        <v>2.2126</v>
      </c>
      <c r="KR53" s="23"/>
      <c r="KS53" s="23"/>
      <c r="KT53" s="23">
        <v>2.2031</v>
      </c>
      <c r="KU53" s="23">
        <v>2.17</v>
      </c>
      <c r="KV53" s="23">
        <v>2.177</v>
      </c>
      <c r="KW53" s="23">
        <v>2.1625</v>
      </c>
      <c r="KX53" s="23">
        <v>2.1431</v>
      </c>
      <c r="KY53" s="23"/>
      <c r="KZ53" s="23"/>
      <c r="LA53" s="23">
        <v>2.1376</v>
      </c>
      <c r="LB53" s="23">
        <v>2.1421</v>
      </c>
      <c r="LC53" s="23">
        <v>2.1391</v>
      </c>
      <c r="LD53" s="23">
        <v>2.1596</v>
      </c>
      <c r="LE53" s="23">
        <v>2.1581</v>
      </c>
      <c r="LF53" s="23"/>
      <c r="LG53" s="23"/>
      <c r="LH53" s="23">
        <v>2.1476</v>
      </c>
      <c r="LI53" s="23">
        <v>2.1537</v>
      </c>
      <c r="LJ53" s="23">
        <v>2.1431</v>
      </c>
      <c r="LK53" s="23">
        <v>2.1491</v>
      </c>
      <c r="LL53" s="23">
        <v>2.1481</v>
      </c>
      <c r="LM53" s="23"/>
      <c r="LN53" s="23"/>
      <c r="LO53" s="23">
        <v>2.1391</v>
      </c>
      <c r="LP53" s="23">
        <v>2.1381</v>
      </c>
      <c r="LQ53" s="23">
        <v>2.1506</v>
      </c>
      <c r="LR53" s="23">
        <v>2.1531</v>
      </c>
      <c r="LS53" s="23">
        <v>2.1576</v>
      </c>
      <c r="LT53" s="23"/>
      <c r="LU53" s="23"/>
      <c r="LV53" s="23">
        <v>2.1586</v>
      </c>
      <c r="LW53" s="23">
        <v>2.1751</v>
      </c>
      <c r="LX53" s="23">
        <v>2.1926</v>
      </c>
      <c r="LY53" s="23">
        <v>2.2001</v>
      </c>
      <c r="LZ53" s="23">
        <v>2.1851</v>
      </c>
      <c r="MA53" s="23"/>
      <c r="MB53" s="23"/>
      <c r="MC53" s="23">
        <v>2.1901</v>
      </c>
      <c r="MD53" s="23">
        <v>2.2051</v>
      </c>
      <c r="ME53" s="23">
        <v>2.2351</v>
      </c>
      <c r="MF53" s="23">
        <v>2.2761</v>
      </c>
      <c r="MG53" s="23">
        <v>2.2571</v>
      </c>
      <c r="MH53" s="23"/>
      <c r="MI53" s="23"/>
      <c r="MJ53" s="23">
        <v>2.2577</v>
      </c>
      <c r="MK53" s="23">
        <v>2.2527</v>
      </c>
      <c r="ML53" s="23">
        <v>2.2412</v>
      </c>
      <c r="MM53" s="23">
        <v>2.2252</v>
      </c>
      <c r="MN53" s="23">
        <v>2.2487</v>
      </c>
      <c r="MO53" s="23"/>
      <c r="MP53" s="23"/>
      <c r="MQ53" s="23">
        <v>2.2792</v>
      </c>
      <c r="MR53" s="23">
        <v>2.2802</v>
      </c>
      <c r="MS53" s="23">
        <v>2.2422</v>
      </c>
      <c r="MT53" s="23">
        <v>2.2512</v>
      </c>
      <c r="MU53" s="23">
        <v>2.2252</v>
      </c>
      <c r="MV53" s="23"/>
      <c r="MW53" s="23"/>
      <c r="MX53" s="23">
        <v>2.2412</v>
      </c>
      <c r="MY53" s="23">
        <v>2.2232</v>
      </c>
      <c r="MZ53" s="23">
        <v>2.2202</v>
      </c>
      <c r="NA53" s="23">
        <v>2.2252</v>
      </c>
      <c r="NB53" s="23">
        <v>2.2233</v>
      </c>
      <c r="NC53" s="23"/>
      <c r="ND53" s="23"/>
      <c r="NE53" s="23">
        <v>2.2583</v>
      </c>
      <c r="NF53" s="23">
        <v>2.2628</v>
      </c>
      <c r="NG53" s="23">
        <v>2.2674</v>
      </c>
      <c r="NH53" s="23"/>
      <c r="NI53" s="23"/>
      <c r="NJ53" s="23"/>
      <c r="NK53" s="23">
        <v>2.2529</v>
      </c>
      <c r="NL53" s="23">
        <v>2.2822</v>
      </c>
      <c r="NM53" s="23">
        <v>2.3104</v>
      </c>
      <c r="NN53" s="23">
        <v>2.3345</v>
      </c>
      <c r="NO53" s="23">
        <v>2.319</v>
      </c>
      <c r="NP53" s="23">
        <v>2.3024</v>
      </c>
      <c r="NQ53" s="23"/>
      <c r="NR53" s="23"/>
      <c r="NS53" s="23">
        <v>2.292</v>
      </c>
      <c r="NT53" s="23">
        <v>2.2926</v>
      </c>
      <c r="NU53" s="23">
        <v>2.3028</v>
      </c>
      <c r="NV53" s="23">
        <v>2.3058</v>
      </c>
      <c r="NW53" s="23">
        <v>2.3036</v>
      </c>
      <c r="NX53" s="23"/>
      <c r="NY53" s="23"/>
      <c r="NZ53" s="23">
        <v>2.3417</v>
      </c>
      <c r="OA53" s="23">
        <v>2.3351</v>
      </c>
      <c r="OB53" s="23">
        <v>2.3026</v>
      </c>
      <c r="OC53" s="23">
        <v>2.3101</v>
      </c>
      <c r="OD53" s="23">
        <v>2.2871</v>
      </c>
      <c r="OE53" s="23"/>
      <c r="OF53" s="23"/>
      <c r="OG53" s="23">
        <v>2.27</v>
      </c>
      <c r="OH53" s="23">
        <v>2.285</v>
      </c>
      <c r="OI53" s="23">
        <v>2.277</v>
      </c>
      <c r="OJ53" s="23">
        <v>2.28</v>
      </c>
      <c r="OK53" s="23">
        <v>2.289</v>
      </c>
      <c r="OL53" s="23"/>
      <c r="OM53" s="23"/>
      <c r="ON53" s="23">
        <v>2.281</v>
      </c>
      <c r="OO53" s="23">
        <v>2.28</v>
      </c>
      <c r="OP53" s="23">
        <v>2.283</v>
      </c>
      <c r="OQ53" s="23">
        <v>2.271</v>
      </c>
      <c r="OR53" s="23">
        <v>2.251</v>
      </c>
      <c r="OS53" s="23"/>
      <c r="OT53" s="23"/>
      <c r="OU53" s="23">
        <v>2.248</v>
      </c>
      <c r="OV53" s="23">
        <v>2.247</v>
      </c>
      <c r="OW53" s="23">
        <v>2.2455</v>
      </c>
      <c r="OX53" s="23">
        <v>2.246</v>
      </c>
      <c r="OY53" s="23">
        <v>2.244</v>
      </c>
      <c r="OZ53" s="23">
        <v>2.246</v>
      </c>
      <c r="PA53" s="23"/>
      <c r="PB53" s="23"/>
      <c r="PC53" s="23"/>
      <c r="PD53" s="23"/>
      <c r="PE53" s="23"/>
      <c r="PF53" s="23"/>
      <c r="PG53" s="23"/>
      <c r="PH53" s="23"/>
      <c r="PI53" s="23"/>
      <c r="PJ53" s="23">
        <v>2.2426</v>
      </c>
      <c r="PK53" s="23">
        <v>2.255</v>
      </c>
      <c r="PL53" s="23">
        <v>2.2951</v>
      </c>
      <c r="PM53" s="23">
        <v>2.2896</v>
      </c>
      <c r="PN53" s="23">
        <v>2.2726</v>
      </c>
      <c r="PO53" s="23"/>
      <c r="PP53" s="23">
        <v>2.2696</v>
      </c>
      <c r="PQ53" s="23">
        <v>2.2827</v>
      </c>
      <c r="PR53" s="23">
        <v>2.2752</v>
      </c>
      <c r="PS53" s="23">
        <v>2.2717</v>
      </c>
      <c r="PT53" s="23">
        <v>2.2812</v>
      </c>
      <c r="PU53" s="23"/>
      <c r="PV53" s="23"/>
      <c r="PW53" s="23">
        <v>2.3292</v>
      </c>
      <c r="PX53" s="23">
        <v>2.3328</v>
      </c>
      <c r="PY53" s="23">
        <v>2.3503</v>
      </c>
      <c r="PZ53" s="23">
        <v>2.3404</v>
      </c>
      <c r="QA53" s="23">
        <v>2.3665</v>
      </c>
      <c r="QB53" s="23"/>
      <c r="QC53" s="23"/>
      <c r="QD53" s="23">
        <v>2.3917</v>
      </c>
      <c r="QE53" s="23">
        <v>2.3806</v>
      </c>
      <c r="QF53" s="23">
        <v>2.3607</v>
      </c>
      <c r="QG53" s="23">
        <v>2.391</v>
      </c>
      <c r="QH53" s="23">
        <v>2.3881</v>
      </c>
      <c r="QI53" s="23"/>
      <c r="QJ53" s="23"/>
      <c r="QK53" s="23">
        <v>2.373</v>
      </c>
      <c r="QL53" s="23">
        <v>2.3457</v>
      </c>
      <c r="QM53" s="23">
        <v>2.3457</v>
      </c>
      <c r="QN53" s="23">
        <v>2.3498</v>
      </c>
      <c r="QO53" s="23">
        <v>2.3497</v>
      </c>
      <c r="QP53" s="23"/>
      <c r="QQ53" s="23"/>
      <c r="QR53" s="23">
        <v>2.3286</v>
      </c>
      <c r="QS53" s="23">
        <v>2.3521</v>
      </c>
      <c r="QT53" s="23">
        <v>2.3667</v>
      </c>
      <c r="QU53" s="23">
        <v>2.3733</v>
      </c>
      <c r="QV53" s="23">
        <v>2.3725</v>
      </c>
      <c r="QW53" s="23"/>
      <c r="QX53" s="23"/>
      <c r="QY53" s="23"/>
      <c r="QZ53" s="23">
        <v>2.3597</v>
      </c>
      <c r="RA53" s="23">
        <v>2.3377</v>
      </c>
      <c r="RB53" s="23">
        <v>2.3393</v>
      </c>
      <c r="RC53" s="23">
        <v>2.3055</v>
      </c>
      <c r="RD53" s="23"/>
      <c r="RE53" s="23"/>
      <c r="RF53" s="23">
        <v>2.2816</v>
      </c>
      <c r="RG53" s="23">
        <v>2.2805</v>
      </c>
      <c r="RH53" s="23">
        <v>2.2784</v>
      </c>
      <c r="RI53" s="23">
        <v>2.281</v>
      </c>
      <c r="RJ53" s="23">
        <v>2.25</v>
      </c>
      <c r="RK53" s="23"/>
      <c r="RL53" s="23"/>
      <c r="RM53" s="23">
        <v>2.2556</v>
      </c>
      <c r="RN53" s="23">
        <v>2.2375</v>
      </c>
      <c r="RO53" s="23">
        <v>2.2137</v>
      </c>
      <c r="RP53" s="23">
        <v>2.2353</v>
      </c>
      <c r="RQ53" s="23">
        <v>2.2472</v>
      </c>
      <c r="RR53" s="23"/>
      <c r="RS53" s="23"/>
      <c r="RT53" s="23">
        <v>2.2557</v>
      </c>
      <c r="RU53" s="23">
        <v>2.242</v>
      </c>
      <c r="RV53" s="23">
        <v>2.219</v>
      </c>
      <c r="RW53" s="23">
        <v>2.218</v>
      </c>
      <c r="RX53" s="23"/>
      <c r="RY53" s="23"/>
      <c r="RZ53" s="23"/>
      <c r="SA53" s="23"/>
      <c r="SB53" s="23"/>
      <c r="SC53" s="23">
        <v>2.239</v>
      </c>
      <c r="SD53" s="23">
        <v>2.238</v>
      </c>
      <c r="SE53" s="23">
        <v>2.2455</v>
      </c>
      <c r="SF53" s="23">
        <v>2.248</v>
      </c>
      <c r="SG53" s="23"/>
      <c r="SH53" s="23">
        <v>2.2361</v>
      </c>
      <c r="SI53" s="23">
        <v>2.232</v>
      </c>
      <c r="SJ53" s="23">
        <v>2.234</v>
      </c>
      <c r="SK53" s="23">
        <v>2.241</v>
      </c>
      <c r="SL53" s="23">
        <v>2.253</v>
      </c>
      <c r="SM53" s="23"/>
      <c r="SN53" s="23"/>
      <c r="SO53" s="23">
        <v>2.244</v>
      </c>
      <c r="SP53" s="23">
        <v>2.221</v>
      </c>
      <c r="SQ53" s="23">
        <v>2.2311</v>
      </c>
      <c r="SR53" s="23">
        <v>2.231</v>
      </c>
      <c r="SS53" s="23">
        <v>2.2345</v>
      </c>
      <c r="ST53" s="23"/>
      <c r="SU53" s="23"/>
      <c r="SV53" s="23">
        <v>2.226</v>
      </c>
      <c r="SW53" s="23">
        <v>2.2205</v>
      </c>
      <c r="SX53" s="23">
        <v>2.208</v>
      </c>
      <c r="SY53" s="23">
        <v>2.2095</v>
      </c>
      <c r="SZ53" s="23">
        <v>2.205</v>
      </c>
      <c r="TA53" s="23"/>
      <c r="TB53" s="23"/>
      <c r="TC53" s="23">
        <v>2.191</v>
      </c>
      <c r="TD53" s="23">
        <v>2.191</v>
      </c>
      <c r="TE53" s="23">
        <v>2.205</v>
      </c>
      <c r="TF53" s="23">
        <v>2.191</v>
      </c>
      <c r="TG53" s="23">
        <v>2.204</v>
      </c>
      <c r="TH53" s="23"/>
      <c r="TI53" s="23"/>
      <c r="TJ53" s="23">
        <v>2.213</v>
      </c>
      <c r="TK53" s="23">
        <v>2.22</v>
      </c>
      <c r="TL53" s="23">
        <v>2.235</v>
      </c>
      <c r="TM53" s="23">
        <v>2.238</v>
      </c>
      <c r="TN53" s="23">
        <v>2.2215</v>
      </c>
      <c r="TO53" s="23"/>
      <c r="TP53" s="23"/>
      <c r="TQ53" s="23">
        <v>2.2215</v>
      </c>
      <c r="TR53" s="23">
        <v>2.2175</v>
      </c>
      <c r="TS53" s="23">
        <v>2.2181</v>
      </c>
      <c r="TT53" s="23">
        <v>2.2201</v>
      </c>
      <c r="TU53" s="23"/>
      <c r="TV53" s="23"/>
      <c r="TW53" s="23"/>
      <c r="TX53" s="23">
        <v>2.2216</v>
      </c>
      <c r="TY53" s="23">
        <v>2.2291</v>
      </c>
      <c r="TZ53" s="23">
        <v>2.2311</v>
      </c>
      <c r="UA53" s="23">
        <v>2.2201</v>
      </c>
      <c r="UB53" s="23">
        <v>2.2176</v>
      </c>
      <c r="UC53" s="23"/>
      <c r="UD53" s="23"/>
      <c r="UE53" s="23">
        <v>2.209</v>
      </c>
      <c r="UF53" s="23">
        <v>2.236</v>
      </c>
      <c r="UG53" s="23">
        <v>2.2525</v>
      </c>
      <c r="UH53" s="23">
        <v>2.258</v>
      </c>
      <c r="UI53" s="23">
        <v>2.2685</v>
      </c>
      <c r="UJ53" s="23"/>
      <c r="UK53" s="23"/>
      <c r="UL53" s="23"/>
      <c r="UM53" s="23"/>
      <c r="UN53" s="23"/>
      <c r="UO53" s="23"/>
      <c r="UP53" s="23"/>
      <c r="UQ53" s="23"/>
      <c r="UR53" s="23"/>
      <c r="US53" s="23"/>
      <c r="UT53" s="23"/>
    </row>
    <row r="54" ht="16.5" customHeight="1" spans="4:566">
      <c r="D54" s="19" t="s">
        <v>76</v>
      </c>
      <c r="E54" s="21" t="s">
        <v>77</v>
      </c>
      <c r="F54" s="23"/>
      <c r="G54" s="23"/>
      <c r="H54" s="23">
        <v>1.6563</v>
      </c>
      <c r="I54" s="23">
        <v>1.6463</v>
      </c>
      <c r="J54" s="23"/>
      <c r="K54" s="23"/>
      <c r="L54" s="23">
        <v>1.6313</v>
      </c>
      <c r="M54" s="23">
        <v>1.625</v>
      </c>
      <c r="N54" s="23">
        <v>1.6225</v>
      </c>
      <c r="O54" s="23">
        <v>1.65</v>
      </c>
      <c r="P54" s="23">
        <v>1.645</v>
      </c>
      <c r="Q54" s="23"/>
      <c r="R54" s="23"/>
      <c r="S54" s="23">
        <v>1.6725</v>
      </c>
      <c r="T54" s="23">
        <v>1.65</v>
      </c>
      <c r="U54" s="23">
        <v>1.65</v>
      </c>
      <c r="V54" s="23">
        <v>1.6625</v>
      </c>
      <c r="W54" s="23">
        <v>1.67</v>
      </c>
      <c r="X54" s="23"/>
      <c r="Y54" s="23"/>
      <c r="Z54" s="23">
        <v>1.685</v>
      </c>
      <c r="AA54" s="23">
        <v>1.6676</v>
      </c>
      <c r="AB54" s="23">
        <v>1.6751</v>
      </c>
      <c r="AC54" s="23">
        <v>1.6901</v>
      </c>
      <c r="AD54" s="23">
        <v>1.6851</v>
      </c>
      <c r="AE54" s="23"/>
      <c r="AF54" s="23">
        <v>1.6801</v>
      </c>
      <c r="AG54" s="23">
        <v>1.6526</v>
      </c>
      <c r="AH54" s="23"/>
      <c r="AI54" s="23"/>
      <c r="AJ54" s="23"/>
      <c r="AK54" s="23"/>
      <c r="AL54" s="23"/>
      <c r="AM54" s="23"/>
      <c r="AN54" s="23"/>
      <c r="AO54" s="23"/>
      <c r="AP54" s="23">
        <v>1.6351</v>
      </c>
      <c r="AQ54" s="23">
        <v>1.6012</v>
      </c>
      <c r="AR54" s="23">
        <v>1.6042</v>
      </c>
      <c r="AS54" s="23">
        <v>1.6067</v>
      </c>
      <c r="AT54" s="23"/>
      <c r="AU54" s="23">
        <v>1.6342</v>
      </c>
      <c r="AV54" s="23">
        <v>1.6275</v>
      </c>
      <c r="AW54" s="23">
        <v>1.6336</v>
      </c>
      <c r="AX54" s="23">
        <v>1.6346</v>
      </c>
      <c r="AY54" s="23">
        <v>1.6546</v>
      </c>
      <c r="AZ54" s="23"/>
      <c r="BA54" s="23"/>
      <c r="BB54" s="23">
        <v>1.6934</v>
      </c>
      <c r="BC54" s="23">
        <v>1.7007</v>
      </c>
      <c r="BD54" s="23">
        <v>1.6626</v>
      </c>
      <c r="BE54" s="23">
        <v>1.6953</v>
      </c>
      <c r="BF54" s="23">
        <v>1.7303</v>
      </c>
      <c r="BG54" s="23"/>
      <c r="BH54" s="23"/>
      <c r="BI54" s="23">
        <v>1.7728</v>
      </c>
      <c r="BJ54" s="23">
        <v>1.748</v>
      </c>
      <c r="BK54" s="23">
        <v>1.7454</v>
      </c>
      <c r="BL54" s="23">
        <v>1.7779</v>
      </c>
      <c r="BM54" s="23">
        <v>1.743</v>
      </c>
      <c r="BN54" s="23"/>
      <c r="BO54" s="23"/>
      <c r="BP54" s="23">
        <v>1.7105</v>
      </c>
      <c r="BQ54" s="23">
        <v>1.7205</v>
      </c>
      <c r="BR54" s="23">
        <v>1.7165</v>
      </c>
      <c r="BS54" s="23">
        <v>1.7555</v>
      </c>
      <c r="BT54" s="23">
        <v>1.8035</v>
      </c>
      <c r="BU54" s="23"/>
      <c r="BV54" s="23"/>
      <c r="BW54" s="23">
        <v>1.823</v>
      </c>
      <c r="BX54" s="23">
        <v>1.9004</v>
      </c>
      <c r="BY54" s="23">
        <v>1.8531</v>
      </c>
      <c r="BZ54" s="23">
        <v>1.873</v>
      </c>
      <c r="CA54" s="23">
        <v>1.8506</v>
      </c>
      <c r="CB54" s="23"/>
      <c r="CC54" s="23"/>
      <c r="CD54" s="23">
        <v>1.9406</v>
      </c>
      <c r="CE54" s="23">
        <v>1.9331</v>
      </c>
      <c r="CF54" s="23">
        <v>1.9132</v>
      </c>
      <c r="CG54" s="23">
        <v>1.8598</v>
      </c>
      <c r="CH54" s="23">
        <v>1.8783</v>
      </c>
      <c r="CI54" s="23"/>
      <c r="CJ54" s="23"/>
      <c r="CK54" s="23">
        <v>1.8609</v>
      </c>
      <c r="CL54" s="23">
        <v>1.8533</v>
      </c>
      <c r="CM54" s="23">
        <v>1.8233</v>
      </c>
      <c r="CN54" s="23">
        <v>1.8448</v>
      </c>
      <c r="CO54" s="23">
        <v>1.8583</v>
      </c>
      <c r="CP54" s="23"/>
      <c r="CQ54" s="23"/>
      <c r="CR54" s="23">
        <v>1.8409</v>
      </c>
      <c r="CS54" s="23">
        <v>1.8459</v>
      </c>
      <c r="CT54" s="23">
        <v>1.818</v>
      </c>
      <c r="CU54" s="23">
        <v>1.7385</v>
      </c>
      <c r="CV54" s="23"/>
      <c r="CW54" s="23"/>
      <c r="CX54" s="23"/>
      <c r="CY54" s="23">
        <v>1.6675</v>
      </c>
      <c r="CZ54" s="23">
        <v>1.7075</v>
      </c>
      <c r="DA54" s="23">
        <v>1.705</v>
      </c>
      <c r="DB54" s="23">
        <v>1.7</v>
      </c>
      <c r="DC54" s="23">
        <v>1.7</v>
      </c>
      <c r="DD54" s="23"/>
      <c r="DE54" s="23"/>
      <c r="DF54" s="23">
        <v>1.7025</v>
      </c>
      <c r="DG54" s="23">
        <v>1.69</v>
      </c>
      <c r="DH54" s="23">
        <v>1.67</v>
      </c>
      <c r="DI54" s="23">
        <v>1.6875</v>
      </c>
      <c r="DJ54" s="23">
        <v>1.681</v>
      </c>
      <c r="DK54" s="23"/>
      <c r="DL54" s="23"/>
      <c r="DM54" s="23">
        <v>1.6951</v>
      </c>
      <c r="DN54" s="23">
        <v>1.6801</v>
      </c>
      <c r="DO54" s="23">
        <v>1.6971</v>
      </c>
      <c r="DP54" s="23">
        <v>1.6991</v>
      </c>
      <c r="DQ54" s="23">
        <v>1.6961</v>
      </c>
      <c r="DR54" s="23"/>
      <c r="DS54" s="23">
        <v>1.6951</v>
      </c>
      <c r="DT54" s="23">
        <v>1.6876</v>
      </c>
      <c r="DU54" s="23">
        <v>1.6551</v>
      </c>
      <c r="DV54" s="23">
        <v>1.6591</v>
      </c>
      <c r="DW54" s="23"/>
      <c r="DX54" s="23"/>
      <c r="DY54" s="23"/>
      <c r="DZ54" s="23"/>
      <c r="EA54" s="23"/>
      <c r="EB54" s="23">
        <v>1.6592</v>
      </c>
      <c r="EC54" s="23">
        <v>1.6732</v>
      </c>
      <c r="ED54" s="23">
        <v>1.6612</v>
      </c>
      <c r="EE54" s="23">
        <v>1.6642</v>
      </c>
      <c r="EF54" s="23"/>
      <c r="EG54" s="23"/>
      <c r="EH54" s="23">
        <v>1.7227</v>
      </c>
      <c r="EI54" s="23">
        <v>1.6993</v>
      </c>
      <c r="EJ54" s="23">
        <v>1.7003</v>
      </c>
      <c r="EK54" s="23">
        <v>1.7123</v>
      </c>
      <c r="EL54" s="23">
        <v>1.7133</v>
      </c>
      <c r="EM54" s="23"/>
      <c r="EN54" s="23"/>
      <c r="EO54" s="23">
        <v>1.6928</v>
      </c>
      <c r="EP54" s="23">
        <v>1.7028</v>
      </c>
      <c r="EQ54" s="23">
        <v>1.71</v>
      </c>
      <c r="ER54" s="23">
        <v>1.7186</v>
      </c>
      <c r="ES54" s="23">
        <v>1.7034</v>
      </c>
      <c r="ET54" s="23"/>
      <c r="EU54" s="23"/>
      <c r="EV54" s="23">
        <v>1.694</v>
      </c>
      <c r="EW54" s="23">
        <v>1.71</v>
      </c>
      <c r="EX54" s="23">
        <v>1.7155</v>
      </c>
      <c r="EY54" s="23">
        <v>1.7265</v>
      </c>
      <c r="EZ54" s="23">
        <v>1.709</v>
      </c>
      <c r="FA54" s="23"/>
      <c r="FB54" s="23"/>
      <c r="FC54" s="23"/>
      <c r="FD54" s="23">
        <v>1.7171</v>
      </c>
      <c r="FE54" s="23">
        <v>1.7107</v>
      </c>
      <c r="FF54" s="23">
        <v>1.7146</v>
      </c>
      <c r="FG54" s="23">
        <v>1.6967</v>
      </c>
      <c r="FH54" s="23"/>
      <c r="FI54" s="23"/>
      <c r="FJ54" s="23">
        <v>1.6992</v>
      </c>
      <c r="FK54" s="23">
        <v>1.7047</v>
      </c>
      <c r="FL54" s="23">
        <v>1.6977</v>
      </c>
      <c r="FM54" s="23">
        <v>1.7066</v>
      </c>
      <c r="FN54" s="23">
        <v>1.7032</v>
      </c>
      <c r="FO54" s="23"/>
      <c r="FP54" s="23"/>
      <c r="FQ54" s="23">
        <v>1.7156</v>
      </c>
      <c r="FR54" s="23">
        <v>1.7046</v>
      </c>
      <c r="FS54" s="23">
        <v>1.7091</v>
      </c>
      <c r="FT54" s="23">
        <v>1.7091</v>
      </c>
      <c r="FU54" s="23">
        <v>1.677</v>
      </c>
      <c r="FV54" s="23"/>
      <c r="FW54" s="23"/>
      <c r="FX54" s="23">
        <v>1.6775</v>
      </c>
      <c r="FY54" s="23">
        <v>1.6875</v>
      </c>
      <c r="FZ54" s="23">
        <v>1.695</v>
      </c>
      <c r="GA54" s="23">
        <v>1.685</v>
      </c>
      <c r="GB54" s="23">
        <v>1.6825</v>
      </c>
      <c r="GC54" s="23"/>
      <c r="GD54" s="23"/>
      <c r="GE54" s="23">
        <v>1.69</v>
      </c>
      <c r="GF54" s="23">
        <v>1.681</v>
      </c>
      <c r="GG54" s="23">
        <v>1.677</v>
      </c>
      <c r="GH54" s="23">
        <v>1.6825</v>
      </c>
      <c r="GI54" s="23">
        <v>1.685</v>
      </c>
      <c r="GJ54" s="23"/>
      <c r="GK54" s="23"/>
      <c r="GL54" s="23">
        <v>1.685</v>
      </c>
      <c r="GM54" s="23">
        <v>1.694</v>
      </c>
      <c r="GN54" s="23">
        <v>1.695</v>
      </c>
      <c r="GO54" s="23">
        <v>1.7165</v>
      </c>
      <c r="GP54" s="23">
        <v>1.7176</v>
      </c>
      <c r="GQ54" s="23"/>
      <c r="GR54" s="23"/>
      <c r="GS54" s="23">
        <v>1.7261</v>
      </c>
      <c r="GT54" s="23">
        <v>1.7081</v>
      </c>
      <c r="GU54" s="23">
        <v>1.7151</v>
      </c>
      <c r="GV54" s="23">
        <v>1.7171</v>
      </c>
      <c r="GW54" s="23">
        <v>1.7171</v>
      </c>
      <c r="GX54" s="23"/>
      <c r="GY54" s="23"/>
      <c r="GZ54" s="23">
        <v>1.7336</v>
      </c>
      <c r="HA54" s="23">
        <v>1.7581</v>
      </c>
      <c r="HB54" s="23">
        <v>1.7676</v>
      </c>
      <c r="HC54" s="23">
        <v>1.8126</v>
      </c>
      <c r="HD54" s="23">
        <v>1.8076</v>
      </c>
      <c r="HE54" s="23"/>
      <c r="HF54" s="23"/>
      <c r="HG54" s="23">
        <v>1.7782</v>
      </c>
      <c r="HH54" s="23">
        <v>1.8177</v>
      </c>
      <c r="HI54" s="23">
        <v>1.7852</v>
      </c>
      <c r="HJ54" s="23">
        <v>1.7627</v>
      </c>
      <c r="HK54" s="23">
        <v>1.7612</v>
      </c>
      <c r="HL54" s="23"/>
      <c r="HM54" s="23"/>
      <c r="HN54" s="23">
        <v>1.7827</v>
      </c>
      <c r="HO54" s="23">
        <v>1.7852</v>
      </c>
      <c r="HP54" s="23">
        <v>1.7842</v>
      </c>
      <c r="HQ54" s="23">
        <v>1.7777</v>
      </c>
      <c r="HR54" s="23">
        <v>1.7783</v>
      </c>
      <c r="HS54" s="23"/>
      <c r="HT54" s="23"/>
      <c r="HU54" s="23">
        <v>1.8103</v>
      </c>
      <c r="HV54" s="23">
        <v>1.8293</v>
      </c>
      <c r="HW54" s="23">
        <v>1.8278</v>
      </c>
      <c r="HX54" s="23">
        <v>1.8403</v>
      </c>
      <c r="HY54" s="23">
        <v>1.8558</v>
      </c>
      <c r="HZ54" s="23"/>
      <c r="IA54" s="23"/>
      <c r="IB54" s="23">
        <v>1.9079</v>
      </c>
      <c r="IC54" s="23">
        <v>1.8904</v>
      </c>
      <c r="ID54" s="23">
        <v>1.8975</v>
      </c>
      <c r="IE54" s="23">
        <v>1.8655</v>
      </c>
      <c r="IF54" s="23">
        <v>1.8781</v>
      </c>
      <c r="IG54" s="23"/>
      <c r="IH54" s="23"/>
      <c r="II54" s="23">
        <v>1.8532</v>
      </c>
      <c r="IJ54" s="23">
        <v>1.8456</v>
      </c>
      <c r="IK54" s="23">
        <v>1.8531</v>
      </c>
      <c r="IL54" s="23">
        <v>1.8826</v>
      </c>
      <c r="IM54" s="23">
        <v>1.8756</v>
      </c>
      <c r="IN54" s="23"/>
      <c r="IO54" s="23"/>
      <c r="IP54" s="31">
        <v>1.8657</v>
      </c>
      <c r="IQ54" s="31">
        <v>1.8706</v>
      </c>
      <c r="IR54" s="31">
        <v>1.8466</v>
      </c>
      <c r="IS54" s="31">
        <v>1.8591</v>
      </c>
      <c r="IT54" s="31">
        <v>1.8731</v>
      </c>
      <c r="IU54" s="31"/>
      <c r="IV54" s="31"/>
      <c r="IW54" s="31">
        <v>1.8987</v>
      </c>
      <c r="IX54" s="31">
        <v>1.9564</v>
      </c>
      <c r="IY54" s="31">
        <v>2.0101</v>
      </c>
      <c r="IZ54" s="31">
        <v>2.0432</v>
      </c>
      <c r="JA54" s="31">
        <v>2.0284</v>
      </c>
      <c r="JB54" s="31"/>
      <c r="JC54" s="31"/>
      <c r="JD54" s="31">
        <v>2.0288</v>
      </c>
      <c r="JE54" s="31">
        <v>2.0116</v>
      </c>
      <c r="JF54" s="31">
        <v>1.9866</v>
      </c>
      <c r="JG54" s="31">
        <v>1.9989</v>
      </c>
      <c r="JH54" s="31">
        <v>2.0268</v>
      </c>
      <c r="JI54" s="31"/>
      <c r="JJ54" s="31"/>
      <c r="JK54" s="31">
        <v>2.0079</v>
      </c>
      <c r="JL54" s="31">
        <v>2.0221</v>
      </c>
      <c r="JM54" s="31">
        <v>2.0454</v>
      </c>
      <c r="JN54" s="31">
        <v>2.0397</v>
      </c>
      <c r="JO54" s="31">
        <v>2.038</v>
      </c>
      <c r="JP54" s="31"/>
      <c r="JQ54" s="31">
        <v>2.042</v>
      </c>
      <c r="JR54" s="31">
        <v>2.0571</v>
      </c>
      <c r="JS54" s="31">
        <v>2.0372</v>
      </c>
      <c r="JT54" s="31"/>
      <c r="JU54" s="31"/>
      <c r="JV54" s="31"/>
      <c r="JW54" s="31"/>
      <c r="JX54" s="31"/>
      <c r="JY54" s="31"/>
      <c r="JZ54" s="23"/>
      <c r="KA54" s="23"/>
      <c r="KB54" s="23">
        <v>2.0332</v>
      </c>
      <c r="KC54" s="23">
        <v>2.0359</v>
      </c>
      <c r="KD54" s="23">
        <v>1.9994</v>
      </c>
      <c r="KE54" s="23"/>
      <c r="KF54" s="23">
        <v>2.0216</v>
      </c>
      <c r="KG54" s="23">
        <v>2.0173</v>
      </c>
      <c r="KH54" s="23">
        <v>2.0227</v>
      </c>
      <c r="KI54" s="23">
        <v>2.0203</v>
      </c>
      <c r="KJ54" s="23">
        <v>1.9904</v>
      </c>
      <c r="KK54" s="23"/>
      <c r="KL54" s="23"/>
      <c r="KM54" s="23">
        <v>2.0122</v>
      </c>
      <c r="KN54" s="23">
        <v>1.9916</v>
      </c>
      <c r="KO54" s="23">
        <v>1.9943</v>
      </c>
      <c r="KP54" s="23">
        <v>1.9985</v>
      </c>
      <c r="KQ54" s="23">
        <v>2.0013</v>
      </c>
      <c r="KR54" s="23"/>
      <c r="KS54" s="23"/>
      <c r="KT54" s="23">
        <v>1.9964</v>
      </c>
      <c r="KU54" s="23">
        <v>1.9694</v>
      </c>
      <c r="KV54" s="23">
        <v>1.9705</v>
      </c>
      <c r="KW54" s="23">
        <v>1.9579</v>
      </c>
      <c r="KX54" s="23">
        <v>1.9254</v>
      </c>
      <c r="KY54" s="23"/>
      <c r="KZ54" s="23"/>
      <c r="LA54" s="23">
        <v>1.918</v>
      </c>
      <c r="LB54" s="23">
        <v>1.9232</v>
      </c>
      <c r="LC54" s="23">
        <v>1.9181</v>
      </c>
      <c r="LD54" s="23">
        <v>1.9331</v>
      </c>
      <c r="LE54" s="23">
        <v>1.9489</v>
      </c>
      <c r="LF54" s="23"/>
      <c r="LG54" s="23"/>
      <c r="LH54" s="23">
        <v>1.9416</v>
      </c>
      <c r="LI54" s="23">
        <v>1.9391</v>
      </c>
      <c r="LJ54" s="23">
        <v>1.9329</v>
      </c>
      <c r="LK54" s="23">
        <v>1.9373</v>
      </c>
      <c r="LL54" s="23">
        <v>1.9371</v>
      </c>
      <c r="LM54" s="23"/>
      <c r="LN54" s="23"/>
      <c r="LO54" s="23">
        <v>1.933</v>
      </c>
      <c r="LP54" s="23">
        <v>1.934</v>
      </c>
      <c r="LQ54" s="23">
        <v>1.9397</v>
      </c>
      <c r="LR54" s="23">
        <v>1.9404</v>
      </c>
      <c r="LS54" s="23">
        <v>1.9415</v>
      </c>
      <c r="LT54" s="23"/>
      <c r="LU54" s="23"/>
      <c r="LV54" s="23">
        <v>1.9444</v>
      </c>
      <c r="LW54" s="23">
        <v>1.9556</v>
      </c>
      <c r="LX54" s="23">
        <v>1.9766</v>
      </c>
      <c r="LY54" s="23">
        <v>1.9952</v>
      </c>
      <c r="LZ54" s="23">
        <v>1.974</v>
      </c>
      <c r="MA54" s="23"/>
      <c r="MB54" s="23"/>
      <c r="MC54" s="23">
        <v>1.9717</v>
      </c>
      <c r="MD54" s="23">
        <v>1.9851</v>
      </c>
      <c r="ME54" s="23">
        <v>1.9979</v>
      </c>
      <c r="MF54" s="23">
        <v>2.0312</v>
      </c>
      <c r="MG54" s="23">
        <v>2.0062</v>
      </c>
      <c r="MH54" s="23"/>
      <c r="MI54" s="23"/>
      <c r="MJ54" s="23">
        <v>2.0087</v>
      </c>
      <c r="MK54" s="23">
        <v>1.9912</v>
      </c>
      <c r="ML54" s="23">
        <v>1.9812</v>
      </c>
      <c r="MM54" s="23">
        <v>1.9737</v>
      </c>
      <c r="MN54" s="23">
        <v>1.9887</v>
      </c>
      <c r="MO54" s="23"/>
      <c r="MP54" s="23"/>
      <c r="MQ54" s="23">
        <v>2.0102</v>
      </c>
      <c r="MR54" s="23">
        <v>2.0052</v>
      </c>
      <c r="MS54" s="23">
        <v>1.9762</v>
      </c>
      <c r="MT54" s="23">
        <v>1.9837</v>
      </c>
      <c r="MU54" s="23">
        <v>1.9662</v>
      </c>
      <c r="MV54" s="23"/>
      <c r="MW54" s="23"/>
      <c r="MX54" s="23">
        <v>1.9822</v>
      </c>
      <c r="MY54" s="23">
        <v>1.9737</v>
      </c>
      <c r="MZ54" s="23">
        <v>1.9762</v>
      </c>
      <c r="NA54" s="23">
        <v>1.9812</v>
      </c>
      <c r="NB54" s="23">
        <v>1.9817</v>
      </c>
      <c r="NC54" s="23"/>
      <c r="ND54" s="23"/>
      <c r="NE54" s="23">
        <v>2.0112</v>
      </c>
      <c r="NF54" s="23">
        <v>2.0142</v>
      </c>
      <c r="NG54" s="23">
        <v>2.0012</v>
      </c>
      <c r="NH54" s="23"/>
      <c r="NI54" s="23"/>
      <c r="NJ54" s="23"/>
      <c r="NK54" s="23">
        <v>1.9862</v>
      </c>
      <c r="NL54" s="23">
        <v>2.0027</v>
      </c>
      <c r="NM54" s="23">
        <v>2.0312</v>
      </c>
      <c r="NN54" s="23">
        <v>2.0467</v>
      </c>
      <c r="NO54" s="23">
        <v>2.0337</v>
      </c>
      <c r="NP54" s="23">
        <v>2.0287</v>
      </c>
      <c r="NQ54" s="23"/>
      <c r="NR54" s="23"/>
      <c r="NS54" s="23">
        <v>2.0187</v>
      </c>
      <c r="NT54" s="23">
        <v>2.0212</v>
      </c>
      <c r="NU54" s="23">
        <v>2.0207</v>
      </c>
      <c r="NV54" s="23">
        <v>2.0267</v>
      </c>
      <c r="NW54" s="23">
        <v>2.0152</v>
      </c>
      <c r="NX54" s="23"/>
      <c r="NY54" s="23"/>
      <c r="NZ54" s="23">
        <v>2.0187</v>
      </c>
      <c r="OA54" s="23">
        <v>2.0035</v>
      </c>
      <c r="OB54" s="23">
        <v>1.9845</v>
      </c>
      <c r="OC54" s="23">
        <v>1.9925</v>
      </c>
      <c r="OD54" s="23">
        <v>1.9735</v>
      </c>
      <c r="OE54" s="23"/>
      <c r="OF54" s="23"/>
      <c r="OG54" s="23">
        <v>1.9725</v>
      </c>
      <c r="OH54" s="23">
        <v>1.9825</v>
      </c>
      <c r="OI54" s="23">
        <v>1.9775</v>
      </c>
      <c r="OJ54" s="23">
        <v>1.9835</v>
      </c>
      <c r="OK54" s="23">
        <v>1.9865</v>
      </c>
      <c r="OL54" s="23"/>
      <c r="OM54" s="23"/>
      <c r="ON54" s="23">
        <v>1.9825</v>
      </c>
      <c r="OO54" s="23">
        <v>1.9875</v>
      </c>
      <c r="OP54" s="23">
        <v>1.991</v>
      </c>
      <c r="OQ54" s="23">
        <v>1.984</v>
      </c>
      <c r="OR54" s="23">
        <v>1.9645</v>
      </c>
      <c r="OS54" s="23"/>
      <c r="OT54" s="23"/>
      <c r="OU54" s="23">
        <v>1.9525</v>
      </c>
      <c r="OV54" s="23">
        <v>1.955</v>
      </c>
      <c r="OW54" s="23">
        <v>1.952</v>
      </c>
      <c r="OX54" s="23">
        <v>1.946</v>
      </c>
      <c r="OY54" s="23">
        <v>1.946</v>
      </c>
      <c r="OZ54" s="23">
        <v>1.9465</v>
      </c>
      <c r="PA54" s="23"/>
      <c r="PB54" s="23"/>
      <c r="PC54" s="23"/>
      <c r="PD54" s="23"/>
      <c r="PE54" s="23"/>
      <c r="PF54" s="23"/>
      <c r="PG54" s="23"/>
      <c r="PH54" s="23"/>
      <c r="PI54" s="23"/>
      <c r="PJ54" s="23">
        <v>1.9475</v>
      </c>
      <c r="PK54" s="23">
        <v>1.9615</v>
      </c>
      <c r="PL54" s="23">
        <v>1.9855</v>
      </c>
      <c r="PM54" s="23">
        <v>1.9755</v>
      </c>
      <c r="PN54" s="23">
        <v>1.9625</v>
      </c>
      <c r="PO54" s="23"/>
      <c r="PP54" s="23">
        <v>1.9635</v>
      </c>
      <c r="PQ54" s="23">
        <v>1.968</v>
      </c>
      <c r="PR54" s="23">
        <v>1.9585</v>
      </c>
      <c r="PS54" s="23">
        <v>1.954</v>
      </c>
      <c r="PT54" s="23">
        <v>1.9595</v>
      </c>
      <c r="PU54" s="23"/>
      <c r="PV54" s="23"/>
      <c r="PW54" s="23">
        <v>1.9815</v>
      </c>
      <c r="PX54" s="23">
        <v>1.9678</v>
      </c>
      <c r="PY54" s="23">
        <v>1.9653</v>
      </c>
      <c r="PZ54" s="23">
        <v>1.9615</v>
      </c>
      <c r="QA54" s="23">
        <v>1.9646</v>
      </c>
      <c r="QB54" s="23"/>
      <c r="QC54" s="23"/>
      <c r="QD54" s="23">
        <v>1.9769</v>
      </c>
      <c r="QE54" s="23">
        <v>1.9751</v>
      </c>
      <c r="QF54" s="23">
        <v>1.9632</v>
      </c>
      <c r="QG54" s="23">
        <v>1.9724</v>
      </c>
      <c r="QH54" s="23">
        <v>1.9705</v>
      </c>
      <c r="QI54" s="23"/>
      <c r="QJ54" s="23"/>
      <c r="QK54" s="23">
        <v>1.9729</v>
      </c>
      <c r="QL54" s="23">
        <v>1.9669</v>
      </c>
      <c r="QM54" s="23">
        <v>1.9618</v>
      </c>
      <c r="QN54" s="23">
        <v>1.9618</v>
      </c>
      <c r="QO54" s="23">
        <v>1.961</v>
      </c>
      <c r="QP54" s="23"/>
      <c r="QQ54" s="23"/>
      <c r="QR54" s="23">
        <v>1.9395</v>
      </c>
      <c r="QS54" s="23">
        <v>1.946</v>
      </c>
      <c r="QT54" s="23">
        <v>1.9551</v>
      </c>
      <c r="QU54" s="23">
        <v>1.9553</v>
      </c>
      <c r="QV54" s="23">
        <v>1.9451</v>
      </c>
      <c r="QW54" s="23"/>
      <c r="QX54" s="23"/>
      <c r="QY54" s="23"/>
      <c r="QZ54" s="23">
        <v>1.9326</v>
      </c>
      <c r="RA54" s="23">
        <v>1.9209</v>
      </c>
      <c r="RB54" s="23">
        <v>1.926</v>
      </c>
      <c r="RC54" s="23">
        <v>1.911</v>
      </c>
      <c r="RD54" s="23"/>
      <c r="RE54" s="23"/>
      <c r="RF54" s="23">
        <v>1.8868</v>
      </c>
      <c r="RG54" s="23">
        <v>1.8745</v>
      </c>
      <c r="RH54" s="23">
        <v>1.869</v>
      </c>
      <c r="RI54" s="23">
        <v>1.8681</v>
      </c>
      <c r="RJ54" s="23">
        <v>1.8408</v>
      </c>
      <c r="RK54" s="23"/>
      <c r="RL54" s="23"/>
      <c r="RM54" s="23">
        <v>1.8374</v>
      </c>
      <c r="RN54" s="23">
        <v>1.8348</v>
      </c>
      <c r="RO54" s="23">
        <v>1.8304</v>
      </c>
      <c r="RP54" s="23">
        <v>1.8464</v>
      </c>
      <c r="RQ54" s="23">
        <v>1.8639</v>
      </c>
      <c r="RR54" s="23"/>
      <c r="RS54" s="23"/>
      <c r="RT54" s="23">
        <v>1.8744</v>
      </c>
      <c r="RU54" s="23">
        <v>1.8505</v>
      </c>
      <c r="RV54" s="23">
        <v>1.8306</v>
      </c>
      <c r="RW54" s="23">
        <v>1.838</v>
      </c>
      <c r="RX54" s="23"/>
      <c r="RY54" s="23"/>
      <c r="RZ54" s="23"/>
      <c r="SA54" s="23"/>
      <c r="SB54" s="23"/>
      <c r="SC54" s="23">
        <v>1.8523</v>
      </c>
      <c r="SD54" s="23">
        <v>1.8407</v>
      </c>
      <c r="SE54" s="23">
        <v>1.8332</v>
      </c>
      <c r="SF54" s="23">
        <v>1.8327</v>
      </c>
      <c r="SG54" s="23"/>
      <c r="SH54" s="23">
        <v>1.8298</v>
      </c>
      <c r="SI54" s="23">
        <v>1.8238</v>
      </c>
      <c r="SJ54" s="23">
        <v>1.8153</v>
      </c>
      <c r="SK54" s="23">
        <v>1.8232</v>
      </c>
      <c r="SL54" s="23">
        <v>1.8274</v>
      </c>
      <c r="SM54" s="23"/>
      <c r="SN54" s="23"/>
      <c r="SO54" s="23">
        <v>1.8209</v>
      </c>
      <c r="SP54" s="23">
        <v>1.8059</v>
      </c>
      <c r="SQ54" s="23">
        <v>1.8116</v>
      </c>
      <c r="SR54" s="23">
        <v>1.8158</v>
      </c>
      <c r="SS54" s="23">
        <v>1.8233</v>
      </c>
      <c r="ST54" s="23"/>
      <c r="SU54" s="23"/>
      <c r="SV54" s="23">
        <v>1.8165</v>
      </c>
      <c r="SW54" s="23">
        <v>1.811</v>
      </c>
      <c r="SX54" s="23">
        <v>1.7776</v>
      </c>
      <c r="SY54" s="23">
        <v>1.7693</v>
      </c>
      <c r="SZ54" s="23">
        <v>1.7669</v>
      </c>
      <c r="TA54" s="23"/>
      <c r="TB54" s="23"/>
      <c r="TC54" s="23">
        <v>1.7592</v>
      </c>
      <c r="TD54" s="23">
        <v>1.7603</v>
      </c>
      <c r="TE54" s="23">
        <v>1.7678</v>
      </c>
      <c r="TF54" s="23">
        <v>1.7613</v>
      </c>
      <c r="TG54" s="23">
        <v>1.771</v>
      </c>
      <c r="TH54" s="23"/>
      <c r="TI54" s="23"/>
      <c r="TJ54" s="23">
        <v>1.781</v>
      </c>
      <c r="TK54" s="23">
        <v>1.791</v>
      </c>
      <c r="TL54" s="23">
        <v>1.807</v>
      </c>
      <c r="TM54" s="23">
        <v>1.816</v>
      </c>
      <c r="TN54" s="23">
        <v>1.802</v>
      </c>
      <c r="TO54" s="23"/>
      <c r="TP54" s="23"/>
      <c r="TQ54" s="23">
        <v>1.802</v>
      </c>
      <c r="TR54" s="23">
        <v>1.783</v>
      </c>
      <c r="TS54" s="23">
        <v>1.774</v>
      </c>
      <c r="TT54" s="23">
        <v>1.775</v>
      </c>
      <c r="TU54" s="23"/>
      <c r="TV54" s="23"/>
      <c r="TW54" s="23"/>
      <c r="TX54" s="23">
        <v>1.784</v>
      </c>
      <c r="TY54" s="23">
        <v>1.791</v>
      </c>
      <c r="TZ54" s="23">
        <v>1.789</v>
      </c>
      <c r="UA54" s="23">
        <v>1.777</v>
      </c>
      <c r="UB54" s="23">
        <v>1.777</v>
      </c>
      <c r="UC54" s="23"/>
      <c r="UD54" s="23"/>
      <c r="UE54" s="23">
        <v>1.765</v>
      </c>
      <c r="UF54" s="23">
        <v>1.7785</v>
      </c>
      <c r="UG54" s="23">
        <v>1.7935</v>
      </c>
      <c r="UH54" s="23">
        <v>1.793</v>
      </c>
      <c r="UI54" s="23">
        <v>1.797</v>
      </c>
      <c r="UJ54" s="23"/>
      <c r="UK54" s="23"/>
      <c r="UL54" s="23"/>
      <c r="UM54" s="23"/>
      <c r="UN54" s="23"/>
      <c r="UO54" s="23"/>
      <c r="UP54" s="23"/>
      <c r="UQ54" s="23"/>
      <c r="UR54" s="23"/>
      <c r="US54" s="23"/>
      <c r="UT54" s="23"/>
    </row>
    <row r="55" ht="16.5" customHeight="1" spans="4:566">
      <c r="D55" s="19" t="s">
        <v>78</v>
      </c>
      <c r="E55" s="21" t="s">
        <v>79</v>
      </c>
      <c r="F55" s="23"/>
      <c r="G55" s="23"/>
      <c r="H55" s="23">
        <v>2.0627</v>
      </c>
      <c r="I55" s="23">
        <v>2.029</v>
      </c>
      <c r="J55" s="23"/>
      <c r="K55" s="23"/>
      <c r="L55" s="23">
        <v>2.017</v>
      </c>
      <c r="M55" s="23">
        <v>2.0059</v>
      </c>
      <c r="N55" s="23">
        <v>2.0012</v>
      </c>
      <c r="O55" s="23">
        <v>2.0226</v>
      </c>
      <c r="P55" s="23">
        <v>2.0323</v>
      </c>
      <c r="Q55" s="23"/>
      <c r="R55" s="23"/>
      <c r="S55" s="23">
        <v>2.0508</v>
      </c>
      <c r="T55" s="23">
        <v>2.051</v>
      </c>
      <c r="U55" s="23">
        <v>2.031</v>
      </c>
      <c r="V55" s="23">
        <v>2.0308</v>
      </c>
      <c r="W55" s="23">
        <v>2.0302</v>
      </c>
      <c r="X55" s="23"/>
      <c r="Y55" s="23"/>
      <c r="Z55" s="23">
        <v>2.0311</v>
      </c>
      <c r="AA55" s="23">
        <v>2.0204</v>
      </c>
      <c r="AB55" s="23">
        <v>2.0156</v>
      </c>
      <c r="AC55" s="23">
        <v>2.0205</v>
      </c>
      <c r="AD55" s="23">
        <v>2.0205</v>
      </c>
      <c r="AE55" s="23"/>
      <c r="AF55" s="23">
        <v>2.0171</v>
      </c>
      <c r="AG55" s="23">
        <v>2.0106</v>
      </c>
      <c r="AH55" s="23"/>
      <c r="AI55" s="23"/>
      <c r="AJ55" s="23"/>
      <c r="AK55" s="23"/>
      <c r="AL55" s="23"/>
      <c r="AM55" s="23"/>
      <c r="AN55" s="23"/>
      <c r="AO55" s="23"/>
      <c r="AP55" s="23">
        <v>2.0118</v>
      </c>
      <c r="AQ55" s="23">
        <v>2.002</v>
      </c>
      <c r="AR55" s="23">
        <v>2.0016</v>
      </c>
      <c r="AS55" s="23">
        <v>2.0048</v>
      </c>
      <c r="AT55" s="23"/>
      <c r="AU55" s="23">
        <v>1.9959</v>
      </c>
      <c r="AV55" s="23">
        <v>2.0115</v>
      </c>
      <c r="AW55" s="23">
        <v>2.0111</v>
      </c>
      <c r="AX55" s="23">
        <v>2.0021</v>
      </c>
      <c r="AY55" s="23">
        <v>2.0033</v>
      </c>
      <c r="AZ55" s="23"/>
      <c r="BA55" s="23"/>
      <c r="BB55" s="23">
        <v>2.0204</v>
      </c>
      <c r="BC55" s="23">
        <v>2.04</v>
      </c>
      <c r="BD55" s="23">
        <v>2.0506</v>
      </c>
      <c r="BE55" s="23">
        <v>2.0677</v>
      </c>
      <c r="BF55" s="23">
        <v>2.1068</v>
      </c>
      <c r="BG55" s="23"/>
      <c r="BH55" s="23"/>
      <c r="BI55" s="23">
        <v>2.1515</v>
      </c>
      <c r="BJ55" s="23">
        <v>2.1612</v>
      </c>
      <c r="BK55" s="23">
        <v>2.1646</v>
      </c>
      <c r="BL55" s="23">
        <v>2.1865</v>
      </c>
      <c r="BM55" s="23">
        <v>2.212</v>
      </c>
      <c r="BN55" s="23"/>
      <c r="BO55" s="23"/>
      <c r="BP55" s="23">
        <v>2.2114</v>
      </c>
      <c r="BQ55" s="23">
        <v>2.2052</v>
      </c>
      <c r="BR55" s="23">
        <v>2.2114</v>
      </c>
      <c r="BS55" s="23">
        <v>2.2295</v>
      </c>
      <c r="BT55" s="23">
        <v>2.2785</v>
      </c>
      <c r="BU55" s="23"/>
      <c r="BV55" s="23"/>
      <c r="BW55" s="23">
        <v>2.2932</v>
      </c>
      <c r="BX55" s="23">
        <v>2.35</v>
      </c>
      <c r="BY55" s="23">
        <v>2.3575</v>
      </c>
      <c r="BZ55" s="23">
        <v>2.3555</v>
      </c>
      <c r="CA55" s="23">
        <v>2.35</v>
      </c>
      <c r="CB55" s="23"/>
      <c r="CC55" s="23"/>
      <c r="CD55" s="23">
        <v>2.39</v>
      </c>
      <c r="CE55" s="23">
        <v>2.395</v>
      </c>
      <c r="CF55" s="23">
        <v>2.3853</v>
      </c>
      <c r="CG55" s="23">
        <v>2.3523</v>
      </c>
      <c r="CH55" s="23">
        <v>2.3317</v>
      </c>
      <c r="CI55" s="23"/>
      <c r="CJ55" s="23"/>
      <c r="CK55" s="23">
        <v>2.326</v>
      </c>
      <c r="CL55" s="23">
        <v>2.2958</v>
      </c>
      <c r="CM55" s="23">
        <v>2.2762</v>
      </c>
      <c r="CN55" s="23">
        <v>2.2607</v>
      </c>
      <c r="CO55" s="23">
        <v>2.2479</v>
      </c>
      <c r="CP55" s="23"/>
      <c r="CQ55" s="23"/>
      <c r="CR55" s="23">
        <v>2.2434</v>
      </c>
      <c r="CS55" s="23">
        <v>2.2433</v>
      </c>
      <c r="CT55" s="23">
        <v>2.2307</v>
      </c>
      <c r="CU55" s="23">
        <v>2.1807</v>
      </c>
      <c r="CV55" s="23"/>
      <c r="CW55" s="23"/>
      <c r="CX55" s="23"/>
      <c r="CY55" s="23">
        <v>2.1007</v>
      </c>
      <c r="CZ55" s="23">
        <v>2.1207</v>
      </c>
      <c r="DA55" s="23">
        <v>2.12</v>
      </c>
      <c r="DB55" s="23">
        <v>2.123</v>
      </c>
      <c r="DC55" s="23">
        <v>2.1318</v>
      </c>
      <c r="DD55" s="23"/>
      <c r="DE55" s="23"/>
      <c r="DF55" s="23">
        <v>2.1378</v>
      </c>
      <c r="DG55" s="23">
        <v>2.135</v>
      </c>
      <c r="DH55" s="23">
        <v>2.1405</v>
      </c>
      <c r="DI55" s="23">
        <v>2.1619</v>
      </c>
      <c r="DJ55" s="23">
        <v>2.1704</v>
      </c>
      <c r="DK55" s="23"/>
      <c r="DL55" s="23"/>
      <c r="DM55" s="23">
        <v>2.18</v>
      </c>
      <c r="DN55" s="23">
        <v>2.1889</v>
      </c>
      <c r="DO55" s="23">
        <v>2.2089</v>
      </c>
      <c r="DP55" s="23">
        <v>2.2139</v>
      </c>
      <c r="DQ55" s="23">
        <v>2.2139</v>
      </c>
      <c r="DR55" s="23"/>
      <c r="DS55" s="23">
        <v>2.2141</v>
      </c>
      <c r="DT55" s="23">
        <v>2.2139</v>
      </c>
      <c r="DU55" s="23">
        <v>2.2001</v>
      </c>
      <c r="DV55" s="23">
        <v>2.1853</v>
      </c>
      <c r="DW55" s="23"/>
      <c r="DX55" s="23"/>
      <c r="DY55" s="23"/>
      <c r="DZ55" s="23"/>
      <c r="EA55" s="23"/>
      <c r="EB55" s="23">
        <v>2.1755</v>
      </c>
      <c r="EC55" s="23">
        <v>2.1757</v>
      </c>
      <c r="ED55" s="23">
        <v>2.1622</v>
      </c>
      <c r="EE55" s="23">
        <v>2.1497</v>
      </c>
      <c r="EF55" s="23"/>
      <c r="EG55" s="23"/>
      <c r="EH55" s="23">
        <v>2.1618</v>
      </c>
      <c r="EI55" s="23">
        <v>2.1685</v>
      </c>
      <c r="EJ55" s="23">
        <v>2.1704</v>
      </c>
      <c r="EK55" s="23">
        <v>2.1706</v>
      </c>
      <c r="EL55" s="23">
        <v>2.1806</v>
      </c>
      <c r="EM55" s="23"/>
      <c r="EN55" s="23"/>
      <c r="EO55" s="23">
        <v>2.1776</v>
      </c>
      <c r="EP55" s="23">
        <v>2.1556</v>
      </c>
      <c r="EQ55" s="23">
        <v>2.1533</v>
      </c>
      <c r="ER55" s="23">
        <v>2.1453</v>
      </c>
      <c r="ES55" s="23">
        <v>2.1303</v>
      </c>
      <c r="ET55" s="23"/>
      <c r="EU55" s="23"/>
      <c r="EV55" s="23">
        <v>2.1204</v>
      </c>
      <c r="EW55" s="23">
        <v>2.1229</v>
      </c>
      <c r="EX55" s="23">
        <v>2.1277</v>
      </c>
      <c r="EY55" s="23">
        <v>2.1527</v>
      </c>
      <c r="EZ55" s="23">
        <v>2.1377</v>
      </c>
      <c r="FA55" s="23"/>
      <c r="FB55" s="23"/>
      <c r="FC55" s="23"/>
      <c r="FD55" s="23">
        <v>2.1377</v>
      </c>
      <c r="FE55" s="23">
        <v>2.1366</v>
      </c>
      <c r="FF55" s="23">
        <v>2.1366</v>
      </c>
      <c r="FG55" s="23">
        <v>2.1216</v>
      </c>
      <c r="FH55" s="23"/>
      <c r="FI55" s="23"/>
      <c r="FJ55" s="23">
        <v>2.1173</v>
      </c>
      <c r="FK55" s="23">
        <v>2.1122</v>
      </c>
      <c r="FL55" s="23">
        <v>2.1005</v>
      </c>
      <c r="FM55" s="23">
        <v>2.1015</v>
      </c>
      <c r="FN55" s="23">
        <v>2.1017</v>
      </c>
      <c r="FO55" s="23"/>
      <c r="FP55" s="23"/>
      <c r="FQ55" s="23">
        <v>2.0915</v>
      </c>
      <c r="FR55" s="23">
        <v>2.0864</v>
      </c>
      <c r="FS55" s="23">
        <v>2.0863</v>
      </c>
      <c r="FT55" s="23">
        <v>2.0589</v>
      </c>
      <c r="FU55" s="23">
        <v>2.0538</v>
      </c>
      <c r="FV55" s="23"/>
      <c r="FW55" s="23"/>
      <c r="FX55" s="23">
        <v>2.0396</v>
      </c>
      <c r="FY55" s="23">
        <v>2.0471</v>
      </c>
      <c r="FZ55" s="23">
        <v>2.06</v>
      </c>
      <c r="GA55" s="23">
        <v>2.075</v>
      </c>
      <c r="GB55" s="23">
        <v>2.07</v>
      </c>
      <c r="GC55" s="23"/>
      <c r="GD55" s="23"/>
      <c r="GE55" s="23">
        <v>2.0754</v>
      </c>
      <c r="GF55" s="23">
        <v>2.0633</v>
      </c>
      <c r="GG55" s="23">
        <v>2.0368</v>
      </c>
      <c r="GH55" s="23">
        <v>2.0354</v>
      </c>
      <c r="GI55" s="23">
        <v>2.0285</v>
      </c>
      <c r="GJ55" s="23"/>
      <c r="GK55" s="23"/>
      <c r="GL55" s="23">
        <v>2.02</v>
      </c>
      <c r="GM55" s="23">
        <v>2.0215</v>
      </c>
      <c r="GN55" s="23">
        <v>2.0208</v>
      </c>
      <c r="GO55" s="23">
        <v>2.0308</v>
      </c>
      <c r="GP55" s="23">
        <v>2.0401</v>
      </c>
      <c r="GQ55" s="23"/>
      <c r="GR55" s="23"/>
      <c r="GS55" s="23">
        <v>2.0551</v>
      </c>
      <c r="GT55" s="23">
        <v>2.0501</v>
      </c>
      <c r="GU55" s="23">
        <v>2.0517</v>
      </c>
      <c r="GV55" s="23">
        <v>2.0445</v>
      </c>
      <c r="GW55" s="23">
        <v>2.031</v>
      </c>
      <c r="GX55" s="23"/>
      <c r="GY55" s="23"/>
      <c r="GZ55" s="23">
        <v>2.0494</v>
      </c>
      <c r="HA55" s="23">
        <v>2.0501</v>
      </c>
      <c r="HB55" s="23">
        <v>2.0849</v>
      </c>
      <c r="HC55" s="23">
        <v>2.1343</v>
      </c>
      <c r="HD55" s="23">
        <v>2.1493</v>
      </c>
      <c r="HE55" s="23"/>
      <c r="HF55" s="23"/>
      <c r="HG55" s="23">
        <v>2.1293</v>
      </c>
      <c r="HH55" s="23">
        <v>2.1695</v>
      </c>
      <c r="HI55" s="23">
        <v>2.1556</v>
      </c>
      <c r="HJ55" s="23">
        <v>2.1256</v>
      </c>
      <c r="HK55" s="23">
        <v>2.1202</v>
      </c>
      <c r="HL55" s="23"/>
      <c r="HM55" s="23"/>
      <c r="HN55" s="23">
        <v>2.1302</v>
      </c>
      <c r="HO55" s="23">
        <v>2.1303</v>
      </c>
      <c r="HP55" s="23">
        <v>2.1235</v>
      </c>
      <c r="HQ55" s="23">
        <v>2.1234</v>
      </c>
      <c r="HR55" s="23">
        <v>2.1234</v>
      </c>
      <c r="HS55" s="23"/>
      <c r="HT55" s="23"/>
      <c r="HU55" s="23">
        <v>2.1434</v>
      </c>
      <c r="HV55" s="23">
        <v>2.1631</v>
      </c>
      <c r="HW55" s="23">
        <v>2.1616</v>
      </c>
      <c r="HX55" s="23">
        <v>2.1641</v>
      </c>
      <c r="HY55" s="23">
        <v>2.1614</v>
      </c>
      <c r="HZ55" s="23"/>
      <c r="IA55" s="23"/>
      <c r="IB55" s="23">
        <v>2.2114</v>
      </c>
      <c r="IC55" s="23">
        <v>2.2214</v>
      </c>
      <c r="ID55" s="23">
        <v>2.2264</v>
      </c>
      <c r="IE55" s="23">
        <v>2.2214</v>
      </c>
      <c r="IF55" s="23">
        <v>2.2214</v>
      </c>
      <c r="IG55" s="23"/>
      <c r="IH55" s="23"/>
      <c r="II55" s="23">
        <v>2.2214</v>
      </c>
      <c r="IJ55" s="23">
        <v>2.2214</v>
      </c>
      <c r="IK55" s="23">
        <v>2.2215</v>
      </c>
      <c r="IL55" s="23">
        <v>2.2416</v>
      </c>
      <c r="IM55" s="23">
        <v>2.2607</v>
      </c>
      <c r="IN55" s="23"/>
      <c r="IO55" s="23"/>
      <c r="IP55" s="31">
        <v>2.2662</v>
      </c>
      <c r="IQ55" s="31">
        <v>2.2751</v>
      </c>
      <c r="IR55" s="31">
        <v>2.2774</v>
      </c>
      <c r="IS55" s="31">
        <v>2.2644</v>
      </c>
      <c r="IT55" s="31">
        <v>2.2894</v>
      </c>
      <c r="IU55" s="31"/>
      <c r="IV55" s="31"/>
      <c r="IW55" s="31">
        <v>2.3</v>
      </c>
      <c r="IX55" s="31">
        <v>2.302</v>
      </c>
      <c r="IY55" s="31">
        <v>2.326</v>
      </c>
      <c r="IZ55" s="31">
        <v>2.3459</v>
      </c>
      <c r="JA55" s="31">
        <v>2.346</v>
      </c>
      <c r="JB55" s="31"/>
      <c r="JC55" s="31"/>
      <c r="JD55" s="31">
        <v>2.3564</v>
      </c>
      <c r="JE55" s="31">
        <v>2.37</v>
      </c>
      <c r="JF55" s="31">
        <v>2.3429</v>
      </c>
      <c r="JG55" s="31">
        <v>2.3407</v>
      </c>
      <c r="JH55" s="31">
        <v>2.345</v>
      </c>
      <c r="JI55" s="31"/>
      <c r="JJ55" s="31"/>
      <c r="JK55" s="31">
        <v>2.3581</v>
      </c>
      <c r="JL55" s="31">
        <v>2.3729</v>
      </c>
      <c r="JM55" s="31">
        <v>2.4135</v>
      </c>
      <c r="JN55" s="31">
        <v>2.4515</v>
      </c>
      <c r="JO55" s="31">
        <v>2.4668</v>
      </c>
      <c r="JP55" s="31"/>
      <c r="JQ55" s="31">
        <v>2.472</v>
      </c>
      <c r="JR55" s="31">
        <v>2.4678</v>
      </c>
      <c r="JS55" s="31">
        <v>2.4548</v>
      </c>
      <c r="JT55" s="31"/>
      <c r="JU55" s="31"/>
      <c r="JV55" s="31"/>
      <c r="JW55" s="31"/>
      <c r="JX55" s="31"/>
      <c r="JY55" s="31"/>
      <c r="JZ55" s="23"/>
      <c r="KA55" s="23"/>
      <c r="KB55" s="23">
        <v>2.4372</v>
      </c>
      <c r="KC55" s="23">
        <v>2.4375</v>
      </c>
      <c r="KD55" s="23">
        <v>2.4309</v>
      </c>
      <c r="KE55" s="23"/>
      <c r="KF55" s="23">
        <v>2.4322</v>
      </c>
      <c r="KG55" s="23">
        <v>2.44</v>
      </c>
      <c r="KH55" s="23">
        <v>2.4495</v>
      </c>
      <c r="KI55" s="23">
        <v>2.43</v>
      </c>
      <c r="KJ55" s="23">
        <v>2.4</v>
      </c>
      <c r="KK55" s="23"/>
      <c r="KL55" s="23"/>
      <c r="KM55" s="23">
        <v>2.3966</v>
      </c>
      <c r="KN55" s="23">
        <v>2.3886</v>
      </c>
      <c r="KO55" s="23">
        <v>2.3737</v>
      </c>
      <c r="KP55" s="23">
        <v>2.3565</v>
      </c>
      <c r="KQ55" s="23">
        <v>2.352</v>
      </c>
      <c r="KR55" s="23"/>
      <c r="KS55" s="23"/>
      <c r="KT55" s="23">
        <v>2.3492</v>
      </c>
      <c r="KU55" s="23">
        <v>2.3218</v>
      </c>
      <c r="KV55" s="23">
        <v>2.317</v>
      </c>
      <c r="KW55" s="23">
        <v>2.305</v>
      </c>
      <c r="KX55" s="23">
        <v>2.287</v>
      </c>
      <c r="KY55" s="23"/>
      <c r="KZ55" s="23"/>
      <c r="LA55" s="23">
        <v>2.287</v>
      </c>
      <c r="LB55" s="23">
        <v>2.2825</v>
      </c>
      <c r="LC55" s="23">
        <v>2.2712</v>
      </c>
      <c r="LD55" s="23">
        <v>2.2948</v>
      </c>
      <c r="LE55" s="23">
        <v>2.2972</v>
      </c>
      <c r="LF55" s="23"/>
      <c r="LG55" s="23"/>
      <c r="LH55" s="23">
        <v>2.3107</v>
      </c>
      <c r="LI55" s="23">
        <v>2.3121</v>
      </c>
      <c r="LJ55" s="23">
        <v>2.3079</v>
      </c>
      <c r="LK55" s="23">
        <v>2.3075</v>
      </c>
      <c r="LL55" s="23">
        <v>2.3125</v>
      </c>
      <c r="LM55" s="23"/>
      <c r="LN55" s="23"/>
      <c r="LO55" s="23">
        <v>2.308</v>
      </c>
      <c r="LP55" s="23">
        <v>2.308</v>
      </c>
      <c r="LQ55" s="23">
        <v>2.3082</v>
      </c>
      <c r="LR55" s="23">
        <v>2.3131</v>
      </c>
      <c r="LS55" s="23">
        <v>2.3181</v>
      </c>
      <c r="LT55" s="23"/>
      <c r="LU55" s="23"/>
      <c r="LV55" s="23">
        <v>2.3214</v>
      </c>
      <c r="LW55" s="23">
        <v>2.3325</v>
      </c>
      <c r="LX55" s="23">
        <v>2.3425</v>
      </c>
      <c r="LY55" s="23">
        <v>2.3443</v>
      </c>
      <c r="LZ55" s="23">
        <v>2.3428</v>
      </c>
      <c r="MA55" s="23"/>
      <c r="MB55" s="23"/>
      <c r="MC55" s="23">
        <v>2.3428</v>
      </c>
      <c r="MD55" s="23">
        <v>2.3515</v>
      </c>
      <c r="ME55" s="23">
        <v>2.3525</v>
      </c>
      <c r="MF55" s="23">
        <v>2.3825</v>
      </c>
      <c r="MG55" s="23">
        <v>2.3903</v>
      </c>
      <c r="MH55" s="23"/>
      <c r="MI55" s="23"/>
      <c r="MJ55" s="23">
        <v>2.3997</v>
      </c>
      <c r="MK55" s="23">
        <v>2.4142</v>
      </c>
      <c r="ML55" s="23">
        <v>2.411</v>
      </c>
      <c r="MM55" s="23">
        <v>2.4105</v>
      </c>
      <c r="MN55" s="23">
        <v>2.4211</v>
      </c>
      <c r="MO55" s="23"/>
      <c r="MP55" s="23"/>
      <c r="MQ55" s="23">
        <v>2.4253</v>
      </c>
      <c r="MR55" s="23">
        <v>2.4295</v>
      </c>
      <c r="MS55" s="23">
        <v>2.4264</v>
      </c>
      <c r="MT55" s="23">
        <v>2.4155</v>
      </c>
      <c r="MU55" s="23">
        <v>2.4105</v>
      </c>
      <c r="MV55" s="23"/>
      <c r="MW55" s="23"/>
      <c r="MX55" s="23">
        <v>2.4256</v>
      </c>
      <c r="MY55" s="23">
        <v>2.4156</v>
      </c>
      <c r="MZ55" s="23">
        <v>2.4041</v>
      </c>
      <c r="NA55" s="23">
        <v>2.3987</v>
      </c>
      <c r="NB55" s="23">
        <v>2.3811</v>
      </c>
      <c r="NC55" s="23"/>
      <c r="ND55" s="23"/>
      <c r="NE55" s="23">
        <v>2.4027</v>
      </c>
      <c r="NF55" s="23">
        <v>2.4015</v>
      </c>
      <c r="NG55" s="23">
        <v>2.4013</v>
      </c>
      <c r="NH55" s="23"/>
      <c r="NI55" s="23"/>
      <c r="NJ55" s="23"/>
      <c r="NK55" s="23">
        <v>2.3997</v>
      </c>
      <c r="NL55" s="23">
        <v>2.4099</v>
      </c>
      <c r="NM55" s="23">
        <v>2.4152</v>
      </c>
      <c r="NN55" s="23">
        <v>2.4104</v>
      </c>
      <c r="NO55" s="23">
        <v>2.4017</v>
      </c>
      <c r="NP55" s="23">
        <v>2.3905</v>
      </c>
      <c r="NQ55" s="23"/>
      <c r="NR55" s="23"/>
      <c r="NS55" s="23">
        <v>2.383</v>
      </c>
      <c r="NT55" s="23">
        <v>2.3756</v>
      </c>
      <c r="NU55" s="23">
        <v>2.3674</v>
      </c>
      <c r="NV55" s="23">
        <v>2.3513</v>
      </c>
      <c r="NW55" s="23">
        <v>2.3513</v>
      </c>
      <c r="NX55" s="23"/>
      <c r="NY55" s="23"/>
      <c r="NZ55" s="23">
        <v>2.3514</v>
      </c>
      <c r="OA55" s="23">
        <v>2.3349</v>
      </c>
      <c r="OB55" s="23">
        <v>2.3194</v>
      </c>
      <c r="OC55" s="23">
        <v>2.3228</v>
      </c>
      <c r="OD55" s="23">
        <v>2.3211</v>
      </c>
      <c r="OE55" s="23"/>
      <c r="OF55" s="23"/>
      <c r="OG55" s="23">
        <v>2.3195</v>
      </c>
      <c r="OH55" s="23">
        <v>2.3223</v>
      </c>
      <c r="OI55" s="23">
        <v>2.3276</v>
      </c>
      <c r="OJ55" s="23">
        <v>2.3223</v>
      </c>
      <c r="OK55" s="23">
        <v>2.3273</v>
      </c>
      <c r="OL55" s="23"/>
      <c r="OM55" s="23"/>
      <c r="ON55" s="23">
        <v>2.3299</v>
      </c>
      <c r="OO55" s="23">
        <v>2.3346</v>
      </c>
      <c r="OP55" s="23">
        <v>2.3392</v>
      </c>
      <c r="OQ55" s="23">
        <v>2.3379</v>
      </c>
      <c r="OR55" s="23">
        <v>2.3275</v>
      </c>
      <c r="OS55" s="23"/>
      <c r="OT55" s="23"/>
      <c r="OU55" s="23">
        <v>2.3152</v>
      </c>
      <c r="OV55" s="23">
        <v>2.3034</v>
      </c>
      <c r="OW55" s="23">
        <v>2.2885</v>
      </c>
      <c r="OX55" s="23">
        <v>2.2765</v>
      </c>
      <c r="OY55" s="23">
        <v>2.266</v>
      </c>
      <c r="OZ55" s="23">
        <v>2.266</v>
      </c>
      <c r="PA55" s="23"/>
      <c r="PB55" s="23"/>
      <c r="PC55" s="23"/>
      <c r="PD55" s="23"/>
      <c r="PE55" s="23"/>
      <c r="PF55" s="23"/>
      <c r="PG55" s="23"/>
      <c r="PH55" s="23"/>
      <c r="PI55" s="23"/>
      <c r="PJ55" s="23">
        <v>2.2723</v>
      </c>
      <c r="PK55" s="23">
        <v>2.284</v>
      </c>
      <c r="PL55" s="23">
        <v>2.3089</v>
      </c>
      <c r="PM55" s="23">
        <v>2.3087</v>
      </c>
      <c r="PN55" s="23">
        <v>2.3095</v>
      </c>
      <c r="PO55" s="23"/>
      <c r="PP55" s="23">
        <v>2.2975</v>
      </c>
      <c r="PQ55" s="23">
        <v>2.2875</v>
      </c>
      <c r="PR55" s="23">
        <v>2.2688</v>
      </c>
      <c r="PS55" s="23">
        <v>2.2613</v>
      </c>
      <c r="PT55" s="23">
        <v>2.263</v>
      </c>
      <c r="PU55" s="23"/>
      <c r="PV55" s="23"/>
      <c r="PW55" s="23">
        <v>2.2737</v>
      </c>
      <c r="PX55" s="23">
        <v>2.281</v>
      </c>
      <c r="PY55" s="23">
        <v>2.2889</v>
      </c>
      <c r="PZ55" s="23">
        <v>2.2933</v>
      </c>
      <c r="QA55" s="23">
        <v>2.2925</v>
      </c>
      <c r="QB55" s="23"/>
      <c r="QC55" s="23"/>
      <c r="QD55" s="23">
        <v>2.2954</v>
      </c>
      <c r="QE55" s="23">
        <v>2.2971</v>
      </c>
      <c r="QF55" s="23">
        <v>2.3016</v>
      </c>
      <c r="QG55" s="23">
        <v>2.3047</v>
      </c>
      <c r="QH55" s="23">
        <v>2.3046</v>
      </c>
      <c r="QI55" s="23"/>
      <c r="QJ55" s="23"/>
      <c r="QK55" s="23">
        <v>2.3101</v>
      </c>
      <c r="QL55" s="23">
        <v>2.3118</v>
      </c>
      <c r="QM55" s="23">
        <v>2.2833</v>
      </c>
      <c r="QN55" s="23">
        <v>2.2734</v>
      </c>
      <c r="QO55" s="23">
        <v>2.261</v>
      </c>
      <c r="QP55" s="23"/>
      <c r="QQ55" s="23"/>
      <c r="QR55" s="23">
        <v>2.2434</v>
      </c>
      <c r="QS55" s="23">
        <v>2.2435</v>
      </c>
      <c r="QT55" s="23">
        <v>2.2436</v>
      </c>
      <c r="QU55" s="23">
        <v>2.2438</v>
      </c>
      <c r="QV55" s="23">
        <v>2.2391</v>
      </c>
      <c r="QW55" s="23"/>
      <c r="QX55" s="23"/>
      <c r="QY55" s="23"/>
      <c r="QZ55" s="23">
        <v>2.2291</v>
      </c>
      <c r="RA55" s="23">
        <v>2.222</v>
      </c>
      <c r="RB55" s="23">
        <v>2.212</v>
      </c>
      <c r="RC55" s="23">
        <v>2.2</v>
      </c>
      <c r="RD55" s="23"/>
      <c r="RE55" s="23"/>
      <c r="RF55" s="23">
        <v>2.1948</v>
      </c>
      <c r="RG55" s="23">
        <v>2.1739</v>
      </c>
      <c r="RH55" s="23">
        <v>2.1775</v>
      </c>
      <c r="RI55" s="23">
        <v>2.1746</v>
      </c>
      <c r="RJ55" s="23">
        <v>2.1693</v>
      </c>
      <c r="RK55" s="23"/>
      <c r="RL55" s="23"/>
      <c r="RM55" s="23">
        <v>2.1677</v>
      </c>
      <c r="RN55" s="23">
        <v>2.1605</v>
      </c>
      <c r="RO55" s="23">
        <v>2.1505</v>
      </c>
      <c r="RP55" s="23">
        <v>2.1544</v>
      </c>
      <c r="RQ55" s="23">
        <v>2.1754</v>
      </c>
      <c r="RR55" s="23"/>
      <c r="RS55" s="23"/>
      <c r="RT55" s="23">
        <v>2.1893</v>
      </c>
      <c r="RU55" s="23">
        <v>2.1917</v>
      </c>
      <c r="RV55" s="23">
        <v>2.1805</v>
      </c>
      <c r="RW55" s="23">
        <v>2.1805</v>
      </c>
      <c r="RX55" s="23"/>
      <c r="RY55" s="23"/>
      <c r="RZ55" s="23"/>
      <c r="SA55" s="23"/>
      <c r="SB55" s="23"/>
      <c r="SC55" s="23">
        <v>2.1997</v>
      </c>
      <c r="SD55" s="23">
        <v>2.1852</v>
      </c>
      <c r="SE55" s="23">
        <v>2.1805</v>
      </c>
      <c r="SF55" s="23">
        <v>2.1758</v>
      </c>
      <c r="SG55" s="23"/>
      <c r="SH55" s="23">
        <v>2.1757</v>
      </c>
      <c r="SI55" s="23">
        <v>2.1731</v>
      </c>
      <c r="SJ55" s="23">
        <v>2.1626</v>
      </c>
      <c r="SK55" s="23">
        <v>2.1629</v>
      </c>
      <c r="SL55" s="23">
        <v>2.1735</v>
      </c>
      <c r="SM55" s="23"/>
      <c r="SN55" s="23"/>
      <c r="SO55" s="23">
        <v>2.1815</v>
      </c>
      <c r="SP55" s="23">
        <v>2.1524</v>
      </c>
      <c r="SQ55" s="23">
        <v>2.1443</v>
      </c>
      <c r="SR55" s="23">
        <v>2.1535</v>
      </c>
      <c r="SS55" s="23">
        <v>2.1553</v>
      </c>
      <c r="ST55" s="23"/>
      <c r="SU55" s="23"/>
      <c r="SV55" s="23">
        <v>2.1532</v>
      </c>
      <c r="SW55" s="23">
        <v>2.1336</v>
      </c>
      <c r="SX55" s="23">
        <v>2.127</v>
      </c>
      <c r="SY55" s="23">
        <v>2.1157</v>
      </c>
      <c r="SZ55" s="23">
        <v>2.0995</v>
      </c>
      <c r="TA55" s="23"/>
      <c r="TB55" s="23"/>
      <c r="TC55" s="23">
        <v>2.0936</v>
      </c>
      <c r="TD55" s="23">
        <v>2.0901</v>
      </c>
      <c r="TE55" s="23">
        <v>2.0895</v>
      </c>
      <c r="TF55" s="23">
        <v>2.0854</v>
      </c>
      <c r="TG55" s="23">
        <v>2.0699</v>
      </c>
      <c r="TH55" s="23"/>
      <c r="TI55" s="23"/>
      <c r="TJ55" s="23">
        <v>2.0808</v>
      </c>
      <c r="TK55" s="23">
        <v>2.0985</v>
      </c>
      <c r="TL55" s="23">
        <v>2.1179</v>
      </c>
      <c r="TM55" s="23">
        <v>2.1475</v>
      </c>
      <c r="TN55" s="23">
        <v>2.1433</v>
      </c>
      <c r="TO55" s="23"/>
      <c r="TP55" s="23"/>
      <c r="TQ55" s="23">
        <v>2.1395</v>
      </c>
      <c r="TR55" s="23">
        <v>2.1234</v>
      </c>
      <c r="TS55" s="23">
        <v>2.1127</v>
      </c>
      <c r="TT55" s="23">
        <v>2.1121</v>
      </c>
      <c r="TU55" s="23"/>
      <c r="TV55" s="23"/>
      <c r="TW55" s="23"/>
      <c r="TX55" s="23">
        <v>2.1122</v>
      </c>
      <c r="TY55" s="23">
        <v>2.1235</v>
      </c>
      <c r="TZ55" s="23">
        <v>2.1122</v>
      </c>
      <c r="UA55" s="23">
        <v>2.1022</v>
      </c>
      <c r="UB55" s="23">
        <v>2.0861</v>
      </c>
      <c r="UC55" s="23"/>
      <c r="UD55" s="23"/>
      <c r="UE55" s="23">
        <v>2.0818</v>
      </c>
      <c r="UF55" s="23">
        <v>2.0803</v>
      </c>
      <c r="UG55" s="23">
        <v>2.0978</v>
      </c>
      <c r="UH55" s="23">
        <v>2.0978</v>
      </c>
      <c r="UI55" s="23">
        <v>2.0976</v>
      </c>
      <c r="UJ55" s="23"/>
      <c r="UK55" s="23"/>
      <c r="UL55" s="23"/>
      <c r="UM55" s="23"/>
      <c r="UN55" s="23"/>
      <c r="UO55" s="23"/>
      <c r="UP55" s="23"/>
      <c r="UQ55" s="23"/>
      <c r="UR55" s="23"/>
      <c r="US55" s="23"/>
      <c r="UT55" s="23"/>
    </row>
    <row r="56" ht="16.5" customHeight="1" spans="4:566">
      <c r="D56" s="19" t="s">
        <v>80</v>
      </c>
      <c r="E56" s="21" t="s">
        <v>81</v>
      </c>
      <c r="F56" s="23"/>
      <c r="G56" s="23"/>
      <c r="H56" s="23">
        <v>2.1433</v>
      </c>
      <c r="I56" s="23">
        <v>2.1169</v>
      </c>
      <c r="J56" s="23"/>
      <c r="K56" s="23"/>
      <c r="L56" s="23">
        <v>2.091</v>
      </c>
      <c r="M56" s="23">
        <v>2.0878</v>
      </c>
      <c r="N56" s="23">
        <v>2.0795</v>
      </c>
      <c r="O56" s="23">
        <v>2.0897</v>
      </c>
      <c r="P56" s="23">
        <v>2.0883</v>
      </c>
      <c r="Q56" s="23"/>
      <c r="R56" s="23"/>
      <c r="S56" s="23">
        <v>2.0968</v>
      </c>
      <c r="T56" s="23">
        <v>2.0968</v>
      </c>
      <c r="U56" s="23">
        <v>2.0868</v>
      </c>
      <c r="V56" s="23">
        <v>2.0809</v>
      </c>
      <c r="W56" s="23">
        <v>2.0921</v>
      </c>
      <c r="X56" s="23"/>
      <c r="Y56" s="23"/>
      <c r="Z56" s="23">
        <v>2.0956</v>
      </c>
      <c r="AA56" s="23">
        <v>2.0849</v>
      </c>
      <c r="AB56" s="23">
        <v>2.0802</v>
      </c>
      <c r="AC56" s="23">
        <v>2.0919</v>
      </c>
      <c r="AD56" s="23">
        <v>2.0919</v>
      </c>
      <c r="AE56" s="23"/>
      <c r="AF56" s="23">
        <v>2.0885</v>
      </c>
      <c r="AG56" s="23">
        <v>2.082</v>
      </c>
      <c r="AH56" s="23"/>
      <c r="AI56" s="23"/>
      <c r="AJ56" s="23"/>
      <c r="AK56" s="23"/>
      <c r="AL56" s="23"/>
      <c r="AM56" s="23"/>
      <c r="AN56" s="23"/>
      <c r="AO56" s="23"/>
      <c r="AP56" s="23">
        <v>2.07</v>
      </c>
      <c r="AQ56" s="23">
        <v>2.0502</v>
      </c>
      <c r="AR56" s="23">
        <v>2.0402</v>
      </c>
      <c r="AS56" s="23">
        <v>2.0433</v>
      </c>
      <c r="AT56" s="23"/>
      <c r="AU56" s="23">
        <v>2.0508</v>
      </c>
      <c r="AV56" s="23">
        <v>2.0452</v>
      </c>
      <c r="AW56" s="23">
        <v>2.0448</v>
      </c>
      <c r="AX56" s="23">
        <v>2.0378</v>
      </c>
      <c r="AY56" s="23">
        <v>2.0372</v>
      </c>
      <c r="AZ56" s="23"/>
      <c r="BA56" s="23"/>
      <c r="BB56" s="23">
        <v>2.0435</v>
      </c>
      <c r="BC56" s="23">
        <v>2.0725</v>
      </c>
      <c r="BD56" s="23">
        <v>2.0794</v>
      </c>
      <c r="BE56" s="23">
        <v>2.1056</v>
      </c>
      <c r="BF56" s="23">
        <v>2.1306</v>
      </c>
      <c r="BG56" s="23"/>
      <c r="BH56" s="23"/>
      <c r="BI56" s="23">
        <v>2.1623</v>
      </c>
      <c r="BJ56" s="23">
        <v>2.2006</v>
      </c>
      <c r="BK56" s="23">
        <v>2.1902</v>
      </c>
      <c r="BL56" s="23">
        <v>2.2102</v>
      </c>
      <c r="BM56" s="23">
        <v>2.2202</v>
      </c>
      <c r="BN56" s="23"/>
      <c r="BO56" s="23"/>
      <c r="BP56" s="23">
        <v>2.2302</v>
      </c>
      <c r="BQ56" s="23">
        <v>2.2407</v>
      </c>
      <c r="BR56" s="23">
        <v>2.2408</v>
      </c>
      <c r="BS56" s="23">
        <v>2.2554</v>
      </c>
      <c r="BT56" s="23">
        <v>2.3005</v>
      </c>
      <c r="BU56" s="23"/>
      <c r="BV56" s="23"/>
      <c r="BW56" s="23">
        <v>2.3205</v>
      </c>
      <c r="BX56" s="23">
        <v>2.3505</v>
      </c>
      <c r="BY56" s="23">
        <v>2.3568</v>
      </c>
      <c r="BZ56" s="23">
        <v>2.345</v>
      </c>
      <c r="CA56" s="23">
        <v>2.3494</v>
      </c>
      <c r="CB56" s="23"/>
      <c r="CC56" s="23"/>
      <c r="CD56" s="23">
        <v>2.3694</v>
      </c>
      <c r="CE56" s="23">
        <v>2.38</v>
      </c>
      <c r="CF56" s="23">
        <v>2.3852</v>
      </c>
      <c r="CG56" s="23">
        <v>2.3652</v>
      </c>
      <c r="CH56" s="23">
        <v>2.3352</v>
      </c>
      <c r="CI56" s="23"/>
      <c r="CJ56" s="23"/>
      <c r="CK56" s="23">
        <v>2.3256</v>
      </c>
      <c r="CL56" s="23">
        <v>2.2856</v>
      </c>
      <c r="CM56" s="23">
        <v>2.28</v>
      </c>
      <c r="CN56" s="23">
        <v>2.27</v>
      </c>
      <c r="CO56" s="23">
        <v>2.2703</v>
      </c>
      <c r="CP56" s="23"/>
      <c r="CQ56" s="23"/>
      <c r="CR56" s="23">
        <v>2.2605</v>
      </c>
      <c r="CS56" s="23">
        <v>2.259</v>
      </c>
      <c r="CT56" s="23">
        <v>2.2427</v>
      </c>
      <c r="CU56" s="23">
        <v>2.1827</v>
      </c>
      <c r="CV56" s="23"/>
      <c r="CW56" s="23"/>
      <c r="CX56" s="23"/>
      <c r="CY56" s="23">
        <v>2.1202</v>
      </c>
      <c r="CZ56" s="23">
        <v>2.1311</v>
      </c>
      <c r="DA56" s="23">
        <v>2.1411</v>
      </c>
      <c r="DB56" s="23">
        <v>2.1502</v>
      </c>
      <c r="DC56" s="23">
        <v>2.1505</v>
      </c>
      <c r="DD56" s="23"/>
      <c r="DE56" s="23"/>
      <c r="DF56" s="23">
        <v>2.1603</v>
      </c>
      <c r="DG56" s="23">
        <v>2.1646</v>
      </c>
      <c r="DH56" s="23">
        <v>2.1698</v>
      </c>
      <c r="DI56" s="23">
        <v>2.1705</v>
      </c>
      <c r="DJ56" s="23">
        <v>2.1805</v>
      </c>
      <c r="DK56" s="23"/>
      <c r="DL56" s="23"/>
      <c r="DM56" s="23">
        <v>2.1898</v>
      </c>
      <c r="DN56" s="23">
        <v>2.2009</v>
      </c>
      <c r="DO56" s="23">
        <v>2.2243</v>
      </c>
      <c r="DP56" s="23">
        <v>2.2421</v>
      </c>
      <c r="DQ56" s="23">
        <v>2.25</v>
      </c>
      <c r="DR56" s="23"/>
      <c r="DS56" s="23">
        <v>2.2502</v>
      </c>
      <c r="DT56" s="23">
        <v>2.25</v>
      </c>
      <c r="DU56" s="23">
        <v>2.2303</v>
      </c>
      <c r="DV56" s="23">
        <v>2.2203</v>
      </c>
      <c r="DW56" s="23"/>
      <c r="DX56" s="23"/>
      <c r="DY56" s="23"/>
      <c r="DZ56" s="23"/>
      <c r="EA56" s="23"/>
      <c r="EB56" s="23">
        <v>2.2218</v>
      </c>
      <c r="EC56" s="23">
        <v>2.2135</v>
      </c>
      <c r="ED56" s="23">
        <v>2.2</v>
      </c>
      <c r="EE56" s="23">
        <v>2.1904</v>
      </c>
      <c r="EF56" s="23"/>
      <c r="EG56" s="23"/>
      <c r="EH56" s="23">
        <v>2.1912</v>
      </c>
      <c r="EI56" s="23">
        <v>2.1889</v>
      </c>
      <c r="EJ56" s="23">
        <v>2.1892</v>
      </c>
      <c r="EK56" s="23">
        <v>2.19</v>
      </c>
      <c r="EL56" s="23">
        <v>2.1916</v>
      </c>
      <c r="EM56" s="23"/>
      <c r="EN56" s="23"/>
      <c r="EO56" s="23">
        <v>2.1936</v>
      </c>
      <c r="EP56" s="23">
        <v>2.1805</v>
      </c>
      <c r="EQ56" s="23">
        <v>2.1736</v>
      </c>
      <c r="ER56" s="23">
        <v>2.1765</v>
      </c>
      <c r="ES56" s="23">
        <v>2.1761</v>
      </c>
      <c r="ET56" s="23"/>
      <c r="EU56" s="23"/>
      <c r="EV56" s="23">
        <v>2.1717</v>
      </c>
      <c r="EW56" s="23">
        <v>2.1521</v>
      </c>
      <c r="EX56" s="23">
        <v>2.1613</v>
      </c>
      <c r="EY56" s="23">
        <v>2.1863</v>
      </c>
      <c r="EZ56" s="23">
        <v>2.1724</v>
      </c>
      <c r="FA56" s="23"/>
      <c r="FB56" s="23"/>
      <c r="FC56" s="23"/>
      <c r="FD56" s="23">
        <v>2.1724</v>
      </c>
      <c r="FE56" s="23">
        <v>2.1624</v>
      </c>
      <c r="FF56" s="23">
        <v>2.1599</v>
      </c>
      <c r="FG56" s="23">
        <v>2.151</v>
      </c>
      <c r="FH56" s="23"/>
      <c r="FI56" s="23"/>
      <c r="FJ56" s="23">
        <v>2.1505</v>
      </c>
      <c r="FK56" s="23">
        <v>2.1413</v>
      </c>
      <c r="FL56" s="23">
        <v>2.1203</v>
      </c>
      <c r="FM56" s="23">
        <v>2.1112</v>
      </c>
      <c r="FN56" s="23">
        <v>2.1001</v>
      </c>
      <c r="FO56" s="23"/>
      <c r="FP56" s="23"/>
      <c r="FQ56" s="23">
        <v>2.0799</v>
      </c>
      <c r="FR56" s="23">
        <v>2.0801</v>
      </c>
      <c r="FS56" s="23">
        <v>2.0602</v>
      </c>
      <c r="FT56" s="23">
        <v>2.0502</v>
      </c>
      <c r="FU56" s="23">
        <v>2.0403</v>
      </c>
      <c r="FV56" s="23"/>
      <c r="FW56" s="23"/>
      <c r="FX56" s="23">
        <v>2.0325</v>
      </c>
      <c r="FY56" s="23">
        <v>2.0408</v>
      </c>
      <c r="FZ56" s="23">
        <v>2.0593</v>
      </c>
      <c r="GA56" s="23">
        <v>2.0836</v>
      </c>
      <c r="GB56" s="23">
        <v>2.077</v>
      </c>
      <c r="GC56" s="23"/>
      <c r="GD56" s="23"/>
      <c r="GE56" s="23">
        <v>2.0824</v>
      </c>
      <c r="GF56" s="23">
        <v>2.0705</v>
      </c>
      <c r="GG56" s="23">
        <v>2.0637</v>
      </c>
      <c r="GH56" s="23">
        <v>2.0437</v>
      </c>
      <c r="GI56" s="23">
        <v>2.0401</v>
      </c>
      <c r="GJ56" s="23"/>
      <c r="GK56" s="23"/>
      <c r="GL56" s="23">
        <v>2.03</v>
      </c>
      <c r="GM56" s="23">
        <v>2.0452</v>
      </c>
      <c r="GN56" s="23">
        <v>2.054</v>
      </c>
      <c r="GO56" s="23">
        <v>2.0638</v>
      </c>
      <c r="GP56" s="23">
        <v>2.0737</v>
      </c>
      <c r="GQ56" s="23"/>
      <c r="GR56" s="23"/>
      <c r="GS56" s="23">
        <v>2.0808</v>
      </c>
      <c r="GT56" s="23">
        <v>2.0808</v>
      </c>
      <c r="GU56" s="23">
        <v>2.0708</v>
      </c>
      <c r="GV56" s="23">
        <v>2.0632</v>
      </c>
      <c r="GW56" s="23">
        <v>2.0643</v>
      </c>
      <c r="GX56" s="23"/>
      <c r="GY56" s="23"/>
      <c r="GZ56" s="23">
        <v>2.0736</v>
      </c>
      <c r="HA56" s="23">
        <v>2.0886</v>
      </c>
      <c r="HB56" s="23">
        <v>2.1186</v>
      </c>
      <c r="HC56" s="23">
        <v>2.1603</v>
      </c>
      <c r="HD56" s="23">
        <v>2.1757</v>
      </c>
      <c r="HE56" s="23"/>
      <c r="HF56" s="23"/>
      <c r="HG56" s="23">
        <v>2.17</v>
      </c>
      <c r="HH56" s="23">
        <v>2.18</v>
      </c>
      <c r="HI56" s="23">
        <v>2.1712</v>
      </c>
      <c r="HJ56" s="23">
        <v>2.1651</v>
      </c>
      <c r="HK56" s="23">
        <v>2.1551</v>
      </c>
      <c r="HL56" s="23"/>
      <c r="HM56" s="23"/>
      <c r="HN56" s="23">
        <v>2.1451</v>
      </c>
      <c r="HO56" s="23">
        <v>2.1451</v>
      </c>
      <c r="HP56" s="23">
        <v>2.1451</v>
      </c>
      <c r="HQ56" s="23">
        <v>2.1451</v>
      </c>
      <c r="HR56" s="23">
        <v>2.1475</v>
      </c>
      <c r="HS56" s="23"/>
      <c r="HT56" s="23"/>
      <c r="HU56" s="23">
        <v>2.1565</v>
      </c>
      <c r="HV56" s="23">
        <v>2.176</v>
      </c>
      <c r="HW56" s="23">
        <v>2.181</v>
      </c>
      <c r="HX56" s="23">
        <v>2.1834</v>
      </c>
      <c r="HY56" s="23">
        <v>2.2004</v>
      </c>
      <c r="HZ56" s="23"/>
      <c r="IA56" s="23"/>
      <c r="IB56" s="23">
        <v>2.2462</v>
      </c>
      <c r="IC56" s="23">
        <v>2.2664</v>
      </c>
      <c r="ID56" s="23">
        <v>2.2764</v>
      </c>
      <c r="IE56" s="23">
        <v>2.3207</v>
      </c>
      <c r="IF56" s="23">
        <v>2.3305</v>
      </c>
      <c r="IG56" s="23"/>
      <c r="IH56" s="23"/>
      <c r="II56" s="23">
        <v>2.3305</v>
      </c>
      <c r="IJ56" s="23">
        <v>2.3257</v>
      </c>
      <c r="IK56" s="23">
        <v>2.3306</v>
      </c>
      <c r="IL56" s="23">
        <v>2.3452</v>
      </c>
      <c r="IM56" s="23">
        <v>2.3604</v>
      </c>
      <c r="IN56" s="23"/>
      <c r="IO56" s="23"/>
      <c r="IP56" s="31">
        <v>2.3511</v>
      </c>
      <c r="IQ56" s="31">
        <v>2.3509</v>
      </c>
      <c r="IR56" s="31">
        <v>2.3532</v>
      </c>
      <c r="IS56" s="31">
        <v>2.3382</v>
      </c>
      <c r="IT56" s="31">
        <v>2.345</v>
      </c>
      <c r="IU56" s="31"/>
      <c r="IV56" s="31"/>
      <c r="IW56" s="31">
        <v>2.3653</v>
      </c>
      <c r="IX56" s="31">
        <v>2.3753</v>
      </c>
      <c r="IY56" s="31">
        <v>2.4003</v>
      </c>
      <c r="IZ56" s="31">
        <v>2.4168</v>
      </c>
      <c r="JA56" s="31">
        <v>2.4086</v>
      </c>
      <c r="JB56" s="31"/>
      <c r="JC56" s="31"/>
      <c r="JD56" s="31">
        <v>2.408</v>
      </c>
      <c r="JE56" s="31">
        <v>2.4181</v>
      </c>
      <c r="JF56" s="31">
        <v>2.4214</v>
      </c>
      <c r="JG56" s="31">
        <v>2.4334</v>
      </c>
      <c r="JH56" s="31">
        <v>2.4399</v>
      </c>
      <c r="JI56" s="31"/>
      <c r="JJ56" s="31"/>
      <c r="JK56" s="31">
        <v>2.4547</v>
      </c>
      <c r="JL56" s="31">
        <v>2.4674</v>
      </c>
      <c r="JM56" s="31">
        <v>2.5047</v>
      </c>
      <c r="JN56" s="31">
        <v>2.5329</v>
      </c>
      <c r="JO56" s="31">
        <v>2.5589</v>
      </c>
      <c r="JP56" s="31"/>
      <c r="JQ56" s="31">
        <v>2.564</v>
      </c>
      <c r="JR56" s="31">
        <v>2.5598</v>
      </c>
      <c r="JS56" s="31">
        <v>2.5398</v>
      </c>
      <c r="JT56" s="31"/>
      <c r="JU56" s="31"/>
      <c r="JV56" s="31"/>
      <c r="JW56" s="31"/>
      <c r="JX56" s="31"/>
      <c r="JY56" s="31"/>
      <c r="JZ56" s="23"/>
      <c r="KA56" s="23"/>
      <c r="KB56" s="23">
        <v>2.5168</v>
      </c>
      <c r="KC56" s="23">
        <v>2.52</v>
      </c>
      <c r="KD56" s="23">
        <v>2.52</v>
      </c>
      <c r="KE56" s="23"/>
      <c r="KF56" s="23">
        <v>2.53</v>
      </c>
      <c r="KG56" s="23">
        <v>2.5166</v>
      </c>
      <c r="KH56" s="23">
        <v>2.5254</v>
      </c>
      <c r="KI56" s="23">
        <v>2.5005</v>
      </c>
      <c r="KJ56" s="23">
        <v>2.5005</v>
      </c>
      <c r="KK56" s="23"/>
      <c r="KL56" s="23"/>
      <c r="KM56" s="23">
        <v>2.485</v>
      </c>
      <c r="KN56" s="23">
        <v>2.4751</v>
      </c>
      <c r="KO56" s="23">
        <v>2.4621</v>
      </c>
      <c r="KP56" s="23">
        <v>2.4525</v>
      </c>
      <c r="KQ56" s="23">
        <v>2.4419</v>
      </c>
      <c r="KR56" s="23"/>
      <c r="KS56" s="23"/>
      <c r="KT56" s="23">
        <v>2.4219</v>
      </c>
      <c r="KU56" s="23">
        <v>2.4052</v>
      </c>
      <c r="KV56" s="23">
        <v>2.3873</v>
      </c>
      <c r="KW56" s="23">
        <v>2.3701</v>
      </c>
      <c r="KX56" s="23">
        <v>2.3505</v>
      </c>
      <c r="KY56" s="23"/>
      <c r="KZ56" s="23"/>
      <c r="LA56" s="23">
        <v>2.3405</v>
      </c>
      <c r="LB56" s="23">
        <v>2.3251</v>
      </c>
      <c r="LC56" s="23">
        <v>2.3206</v>
      </c>
      <c r="LD56" s="23">
        <v>2.3466</v>
      </c>
      <c r="LE56" s="23">
        <v>2.3591</v>
      </c>
      <c r="LF56" s="23"/>
      <c r="LG56" s="23"/>
      <c r="LH56" s="23">
        <v>2.3725</v>
      </c>
      <c r="LI56" s="23">
        <v>2.3798</v>
      </c>
      <c r="LJ56" s="23">
        <v>2.3704</v>
      </c>
      <c r="LK56" s="23">
        <v>2.3745</v>
      </c>
      <c r="LL56" s="23">
        <v>2.372</v>
      </c>
      <c r="LM56" s="23"/>
      <c r="LN56" s="23"/>
      <c r="LO56" s="23">
        <v>2.372</v>
      </c>
      <c r="LP56" s="23">
        <v>2.362</v>
      </c>
      <c r="LQ56" s="23">
        <v>2.3537</v>
      </c>
      <c r="LR56" s="23">
        <v>2.3501</v>
      </c>
      <c r="LS56" s="23">
        <v>2.3504</v>
      </c>
      <c r="LT56" s="23"/>
      <c r="LU56" s="23"/>
      <c r="LV56" s="23">
        <v>2.3604</v>
      </c>
      <c r="LW56" s="23">
        <v>2.3654</v>
      </c>
      <c r="LX56" s="23">
        <v>2.3885</v>
      </c>
      <c r="LY56" s="23">
        <v>2.4108</v>
      </c>
      <c r="LZ56" s="23">
        <v>2.4116</v>
      </c>
      <c r="MA56" s="23"/>
      <c r="MB56" s="23"/>
      <c r="MC56" s="23">
        <v>2.4165</v>
      </c>
      <c r="MD56" s="23">
        <v>2.4314</v>
      </c>
      <c r="ME56" s="23">
        <v>2.4418</v>
      </c>
      <c r="MF56" s="23">
        <v>2.4619</v>
      </c>
      <c r="MG56" s="23">
        <v>2.4696</v>
      </c>
      <c r="MH56" s="23"/>
      <c r="MI56" s="23"/>
      <c r="MJ56" s="23">
        <v>2.4722</v>
      </c>
      <c r="MK56" s="23">
        <v>2.4766</v>
      </c>
      <c r="ML56" s="23">
        <v>2.4639</v>
      </c>
      <c r="MM56" s="23">
        <v>2.46</v>
      </c>
      <c r="MN56" s="23">
        <v>2.4569</v>
      </c>
      <c r="MO56" s="23"/>
      <c r="MP56" s="23"/>
      <c r="MQ56" s="23">
        <v>2.4652</v>
      </c>
      <c r="MR56" s="23">
        <v>2.4719</v>
      </c>
      <c r="MS56" s="23">
        <v>2.4753</v>
      </c>
      <c r="MT56" s="23">
        <v>2.4644</v>
      </c>
      <c r="MU56" s="23">
        <v>2.4444</v>
      </c>
      <c r="MV56" s="23"/>
      <c r="MW56" s="23"/>
      <c r="MX56" s="23">
        <v>2.4594</v>
      </c>
      <c r="MY56" s="23">
        <v>2.4535</v>
      </c>
      <c r="MZ56" s="23">
        <v>2.4493</v>
      </c>
      <c r="NA56" s="23">
        <v>2.4438</v>
      </c>
      <c r="NB56" s="23">
        <v>2.4263</v>
      </c>
      <c r="NC56" s="23"/>
      <c r="ND56" s="23"/>
      <c r="NE56" s="23">
        <v>2.4363</v>
      </c>
      <c r="NF56" s="23">
        <v>2.4461</v>
      </c>
      <c r="NG56" s="23">
        <v>2.4489</v>
      </c>
      <c r="NH56" s="23"/>
      <c r="NI56" s="23"/>
      <c r="NJ56" s="23"/>
      <c r="NK56" s="23">
        <v>2.4473</v>
      </c>
      <c r="NL56" s="23">
        <v>2.4575</v>
      </c>
      <c r="NM56" s="23">
        <v>2.4628</v>
      </c>
      <c r="NN56" s="23">
        <v>2.458</v>
      </c>
      <c r="NO56" s="23">
        <v>2.458</v>
      </c>
      <c r="NP56" s="23">
        <v>2.4468</v>
      </c>
      <c r="NQ56" s="23"/>
      <c r="NR56" s="23"/>
      <c r="NS56" s="23">
        <v>2.4449</v>
      </c>
      <c r="NT56" s="23">
        <v>2.4384</v>
      </c>
      <c r="NU56" s="23">
        <v>2.4395</v>
      </c>
      <c r="NV56" s="23">
        <v>2.4234</v>
      </c>
      <c r="NW56" s="23">
        <v>2.4196</v>
      </c>
      <c r="NX56" s="23"/>
      <c r="NY56" s="23"/>
      <c r="NZ56" s="23">
        <v>2.4187</v>
      </c>
      <c r="OA56" s="23">
        <v>2.4067</v>
      </c>
      <c r="OB56" s="23">
        <v>2.3911</v>
      </c>
      <c r="OC56" s="23">
        <v>2.3945</v>
      </c>
      <c r="OD56" s="23">
        <v>2.3928</v>
      </c>
      <c r="OE56" s="23"/>
      <c r="OF56" s="23"/>
      <c r="OG56" s="23">
        <v>2.3912</v>
      </c>
      <c r="OH56" s="23">
        <v>2.3941</v>
      </c>
      <c r="OI56" s="23">
        <v>2.3909</v>
      </c>
      <c r="OJ56" s="23">
        <v>2.3836</v>
      </c>
      <c r="OK56" s="23">
        <v>2.3886</v>
      </c>
      <c r="OL56" s="23"/>
      <c r="OM56" s="23"/>
      <c r="ON56" s="23">
        <v>2.3885</v>
      </c>
      <c r="OO56" s="23">
        <v>2.3932</v>
      </c>
      <c r="OP56" s="23">
        <v>2.3978</v>
      </c>
      <c r="OQ56" s="23">
        <v>2.394</v>
      </c>
      <c r="OR56" s="23">
        <v>2.3836</v>
      </c>
      <c r="OS56" s="23"/>
      <c r="OT56" s="23"/>
      <c r="OU56" s="23">
        <v>2.3785</v>
      </c>
      <c r="OV56" s="23">
        <v>2.3667</v>
      </c>
      <c r="OW56" s="23">
        <v>2.3254</v>
      </c>
      <c r="OX56" s="23">
        <v>2.2976</v>
      </c>
      <c r="OY56" s="23">
        <v>2.2776</v>
      </c>
      <c r="OZ56" s="23">
        <v>2.2776</v>
      </c>
      <c r="PA56" s="23"/>
      <c r="PB56" s="23"/>
      <c r="PC56" s="23"/>
      <c r="PD56" s="23"/>
      <c r="PE56" s="23"/>
      <c r="PF56" s="23"/>
      <c r="PG56" s="23"/>
      <c r="PH56" s="23"/>
      <c r="PI56" s="23"/>
      <c r="PJ56" s="23">
        <v>2.28</v>
      </c>
      <c r="PK56" s="23">
        <v>2.298</v>
      </c>
      <c r="PL56" s="23">
        <v>2.308</v>
      </c>
      <c r="PM56" s="23">
        <v>2.3078</v>
      </c>
      <c r="PN56" s="23">
        <v>2.3086</v>
      </c>
      <c r="PO56" s="23"/>
      <c r="PP56" s="23">
        <v>2.3102</v>
      </c>
      <c r="PQ56" s="23">
        <v>2.2995</v>
      </c>
      <c r="PR56" s="23">
        <v>2.2895</v>
      </c>
      <c r="PS56" s="23">
        <v>2.282</v>
      </c>
      <c r="PT56" s="23">
        <v>2.2837</v>
      </c>
      <c r="PU56" s="23"/>
      <c r="PV56" s="23"/>
      <c r="PW56" s="23">
        <v>2.3061</v>
      </c>
      <c r="PX56" s="23">
        <v>2.3134</v>
      </c>
      <c r="PY56" s="23">
        <v>2.3236</v>
      </c>
      <c r="PZ56" s="23">
        <v>2.3258</v>
      </c>
      <c r="QA56" s="23">
        <v>2.3215</v>
      </c>
      <c r="QB56" s="23"/>
      <c r="QC56" s="23"/>
      <c r="QD56" s="23">
        <v>2.3278</v>
      </c>
      <c r="QE56" s="23">
        <v>2.3294</v>
      </c>
      <c r="QF56" s="23">
        <v>2.3289</v>
      </c>
      <c r="QG56" s="23">
        <v>2.3225</v>
      </c>
      <c r="QH56" s="23">
        <v>2.323</v>
      </c>
      <c r="QI56" s="23"/>
      <c r="QJ56" s="23"/>
      <c r="QK56" s="23">
        <v>2.3285</v>
      </c>
      <c r="QL56" s="23">
        <v>2.3249</v>
      </c>
      <c r="QM56" s="23">
        <v>2.3222</v>
      </c>
      <c r="QN56" s="23">
        <v>2.3108</v>
      </c>
      <c r="QO56" s="23">
        <v>2.2992</v>
      </c>
      <c r="QP56" s="23"/>
      <c r="QQ56" s="23"/>
      <c r="QR56" s="23">
        <v>2.2958</v>
      </c>
      <c r="QS56" s="23">
        <v>2.2858</v>
      </c>
      <c r="QT56" s="23">
        <v>2.2811</v>
      </c>
      <c r="QU56" s="23">
        <v>2.2814</v>
      </c>
      <c r="QV56" s="23">
        <v>2.2717</v>
      </c>
      <c r="QW56" s="23"/>
      <c r="QX56" s="23"/>
      <c r="QY56" s="23"/>
      <c r="QZ56" s="23">
        <v>2.2605</v>
      </c>
      <c r="RA56" s="23">
        <v>2.2505</v>
      </c>
      <c r="RB56" s="23">
        <v>2.2455</v>
      </c>
      <c r="RC56" s="23">
        <v>2.2334</v>
      </c>
      <c r="RD56" s="23"/>
      <c r="RE56" s="23"/>
      <c r="RF56" s="23">
        <v>2.2282</v>
      </c>
      <c r="RG56" s="23">
        <v>2.2163</v>
      </c>
      <c r="RH56" s="23">
        <v>2.2199</v>
      </c>
      <c r="RI56" s="23">
        <v>2.217</v>
      </c>
      <c r="RJ56" s="23">
        <v>2.1964</v>
      </c>
      <c r="RK56" s="23"/>
      <c r="RL56" s="23"/>
      <c r="RM56" s="23">
        <v>2.1958</v>
      </c>
      <c r="RN56" s="23">
        <v>2.1953</v>
      </c>
      <c r="RO56" s="23">
        <v>2.1938</v>
      </c>
      <c r="RP56" s="23">
        <v>2.1934</v>
      </c>
      <c r="RQ56" s="23">
        <v>2.1931</v>
      </c>
      <c r="RR56" s="23"/>
      <c r="RS56" s="23"/>
      <c r="RT56" s="23">
        <v>2.217</v>
      </c>
      <c r="RU56" s="23">
        <v>2.2123</v>
      </c>
      <c r="RV56" s="23">
        <v>2.205</v>
      </c>
      <c r="RW56" s="23">
        <v>2.2065</v>
      </c>
      <c r="RX56" s="23"/>
      <c r="RY56" s="23"/>
      <c r="RZ56" s="23"/>
      <c r="SA56" s="23"/>
      <c r="SB56" s="23"/>
      <c r="SC56" s="23">
        <v>2.2257</v>
      </c>
      <c r="SD56" s="23">
        <v>2.2248</v>
      </c>
      <c r="SE56" s="23">
        <v>2.225</v>
      </c>
      <c r="SF56" s="23">
        <v>2.2203</v>
      </c>
      <c r="SG56" s="23"/>
      <c r="SH56" s="23">
        <v>2.2226</v>
      </c>
      <c r="SI56" s="23">
        <v>2.2262</v>
      </c>
      <c r="SJ56" s="23">
        <v>2.2228</v>
      </c>
      <c r="SK56" s="23">
        <v>2.2289</v>
      </c>
      <c r="SL56" s="23">
        <v>2.2395</v>
      </c>
      <c r="SM56" s="23"/>
      <c r="SN56" s="23"/>
      <c r="SO56" s="23">
        <v>2.2475</v>
      </c>
      <c r="SP56" s="23">
        <v>2.2393</v>
      </c>
      <c r="SQ56" s="23">
        <v>2.2247</v>
      </c>
      <c r="SR56" s="23">
        <v>2.2247</v>
      </c>
      <c r="SS56" s="23">
        <v>2.2266</v>
      </c>
      <c r="ST56" s="23"/>
      <c r="SU56" s="23"/>
      <c r="SV56" s="23">
        <v>2.1904</v>
      </c>
      <c r="SW56" s="23">
        <v>2.1704</v>
      </c>
      <c r="SX56" s="23">
        <v>2.1654</v>
      </c>
      <c r="SY56" s="23">
        <v>2.1501</v>
      </c>
      <c r="SZ56" s="23">
        <v>2.1439</v>
      </c>
      <c r="TA56" s="23"/>
      <c r="TB56" s="23"/>
      <c r="TC56" s="23">
        <v>2.13</v>
      </c>
      <c r="TD56" s="23">
        <v>2.115</v>
      </c>
      <c r="TE56" s="23">
        <v>2.1051</v>
      </c>
      <c r="TF56" s="23">
        <v>2.1039</v>
      </c>
      <c r="TG56" s="23">
        <v>2.1103</v>
      </c>
      <c r="TH56" s="23"/>
      <c r="TI56" s="23"/>
      <c r="TJ56" s="23">
        <v>2.1212</v>
      </c>
      <c r="TK56" s="23">
        <v>2.1302</v>
      </c>
      <c r="TL56" s="23">
        <v>2.1352</v>
      </c>
      <c r="TM56" s="23">
        <v>2.1703</v>
      </c>
      <c r="TN56" s="23">
        <v>2.1833</v>
      </c>
      <c r="TO56" s="23"/>
      <c r="TP56" s="23"/>
      <c r="TQ56" s="23">
        <v>2.1817</v>
      </c>
      <c r="TR56" s="23">
        <v>2.1666</v>
      </c>
      <c r="TS56" s="23">
        <v>2.1482</v>
      </c>
      <c r="TT56" s="23">
        <v>2.1301</v>
      </c>
      <c r="TU56" s="23"/>
      <c r="TV56" s="23"/>
      <c r="TW56" s="23"/>
      <c r="TX56" s="23">
        <v>2.1309</v>
      </c>
      <c r="TY56" s="23">
        <v>2.1363</v>
      </c>
      <c r="TZ56" s="23">
        <v>2.1407</v>
      </c>
      <c r="UA56" s="23">
        <v>2.1299</v>
      </c>
      <c r="UB56" s="23">
        <v>2.1331</v>
      </c>
      <c r="UC56" s="23"/>
      <c r="UD56" s="23"/>
      <c r="UE56" s="23">
        <v>2.1236</v>
      </c>
      <c r="UF56" s="23">
        <v>2.1321</v>
      </c>
      <c r="UG56" s="23">
        <v>2.138</v>
      </c>
      <c r="UH56" s="23">
        <v>2.1458</v>
      </c>
      <c r="UI56" s="23">
        <v>2.1476</v>
      </c>
      <c r="UJ56" s="23"/>
      <c r="UK56" s="23"/>
      <c r="UL56" s="23"/>
      <c r="UM56" s="23"/>
      <c r="UN56" s="23"/>
      <c r="UO56" s="23"/>
      <c r="UP56" s="23"/>
      <c r="UQ56" s="23"/>
      <c r="UR56" s="23"/>
      <c r="US56" s="23"/>
      <c r="UT56" s="23"/>
    </row>
    <row r="57" ht="16.5" customHeight="1" spans="4:566">
      <c r="D57" s="19" t="s">
        <v>275</v>
      </c>
      <c r="E57" s="21" t="s">
        <v>276</v>
      </c>
      <c r="F57" s="23"/>
      <c r="G57" s="23"/>
      <c r="H57" s="23">
        <v>4.25</v>
      </c>
      <c r="I57" s="23">
        <v>4.28</v>
      </c>
      <c r="J57" s="23"/>
      <c r="K57" s="23"/>
      <c r="L57" s="23">
        <v>4.28</v>
      </c>
      <c r="M57" s="23">
        <v>4.3</v>
      </c>
      <c r="N57" s="23">
        <v>4.28</v>
      </c>
      <c r="O57" s="23">
        <v>4.27</v>
      </c>
      <c r="P57" s="23">
        <v>4.4</v>
      </c>
      <c r="Q57" s="23"/>
      <c r="R57" s="23"/>
      <c r="S57" s="23">
        <v>4.4</v>
      </c>
      <c r="T57" s="23">
        <v>4.37</v>
      </c>
      <c r="U57" s="23">
        <v>4.27</v>
      </c>
      <c r="V57" s="23">
        <v>4.23</v>
      </c>
      <c r="W57" s="23">
        <v>4.27</v>
      </c>
      <c r="X57" s="23"/>
      <c r="Y57" s="23"/>
      <c r="Z57" s="23"/>
      <c r="AA57" s="23">
        <v>4.29</v>
      </c>
      <c r="AB57" s="23">
        <v>4.29</v>
      </c>
      <c r="AC57" s="23">
        <v>4.29</v>
      </c>
      <c r="AD57" s="23">
        <v>4.27</v>
      </c>
      <c r="AE57" s="23"/>
      <c r="AF57" s="23"/>
      <c r="AG57" s="23">
        <v>4.17</v>
      </c>
      <c r="AH57" s="23">
        <v>4.19</v>
      </c>
      <c r="AI57" s="23">
        <v>4.21</v>
      </c>
      <c r="AJ57" s="23">
        <v>4.18</v>
      </c>
      <c r="AK57" s="23">
        <v>4.22</v>
      </c>
      <c r="AL57" s="23"/>
      <c r="AM57" s="23"/>
      <c r="AN57" s="23">
        <v>4.26</v>
      </c>
      <c r="AO57" s="23">
        <v>4.21</v>
      </c>
      <c r="AP57" s="23">
        <v>4.17</v>
      </c>
      <c r="AQ57" s="23">
        <v>4.21</v>
      </c>
      <c r="AR57" s="23">
        <v>4.29</v>
      </c>
      <c r="AS57" s="23"/>
      <c r="AT57" s="23"/>
      <c r="AU57" s="23">
        <v>4.28</v>
      </c>
      <c r="AV57" s="23">
        <v>4.29</v>
      </c>
      <c r="AW57" s="23">
        <v>4.36</v>
      </c>
      <c r="AX57" s="23">
        <v>4.31</v>
      </c>
      <c r="AY57" s="23">
        <v>4.26</v>
      </c>
      <c r="AZ57" s="23"/>
      <c r="BA57" s="23"/>
      <c r="BB57" s="23"/>
      <c r="BC57" s="23">
        <v>4.29</v>
      </c>
      <c r="BD57" s="23">
        <v>4.28</v>
      </c>
      <c r="BE57" s="23">
        <v>4.28</v>
      </c>
      <c r="BF57" s="23">
        <v>4.19</v>
      </c>
      <c r="BG57" s="23"/>
      <c r="BH57" s="23"/>
      <c r="BI57" s="23">
        <v>4.13</v>
      </c>
      <c r="BJ57" s="23">
        <v>4.07</v>
      </c>
      <c r="BK57" s="23">
        <v>4.05</v>
      </c>
      <c r="BL57" s="23">
        <v>4.07</v>
      </c>
      <c r="BM57" s="23">
        <v>3.99</v>
      </c>
      <c r="BN57" s="23"/>
      <c r="BO57" s="23"/>
      <c r="BP57" s="23">
        <v>3.96</v>
      </c>
      <c r="BQ57" s="23">
        <v>3.96</v>
      </c>
      <c r="BR57" s="23">
        <v>3.99</v>
      </c>
      <c r="BS57" s="23">
        <v>3.96</v>
      </c>
      <c r="BT57" s="23">
        <v>3.99</v>
      </c>
      <c r="BU57" s="23"/>
      <c r="BV57" s="23"/>
      <c r="BW57" s="23">
        <v>3.89</v>
      </c>
      <c r="BX57" s="23">
        <v>3.94</v>
      </c>
      <c r="BY57" s="23">
        <v>4.01</v>
      </c>
      <c r="BZ57" s="23">
        <v>3.94</v>
      </c>
      <c r="CA57" s="23">
        <v>4.02</v>
      </c>
      <c r="CB57" s="23"/>
      <c r="CC57" s="23"/>
      <c r="CD57" s="23">
        <v>4.06</v>
      </c>
      <c r="CE57" s="23">
        <v>4.04</v>
      </c>
      <c r="CF57" s="23">
        <v>3.99</v>
      </c>
      <c r="CG57" s="23">
        <v>3.95</v>
      </c>
      <c r="CH57" s="23">
        <v>3.94</v>
      </c>
      <c r="CI57" s="23"/>
      <c r="CJ57" s="23"/>
      <c r="CK57" s="23">
        <v>4.04</v>
      </c>
      <c r="CL57" s="23">
        <v>3.96</v>
      </c>
      <c r="CM57" s="23">
        <v>3.98</v>
      </c>
      <c r="CN57" s="23">
        <v>3.97</v>
      </c>
      <c r="CO57" s="23">
        <v>3.89</v>
      </c>
      <c r="CP57" s="23"/>
      <c r="CQ57" s="23"/>
      <c r="CR57" s="23">
        <v>3.89</v>
      </c>
      <c r="CS57" s="23">
        <v>3.87</v>
      </c>
      <c r="CT57" s="23">
        <v>3.91</v>
      </c>
      <c r="CU57" s="23">
        <v>3.71</v>
      </c>
      <c r="CV57" s="23">
        <v>3.68</v>
      </c>
      <c r="CW57" s="23"/>
      <c r="CX57" s="23"/>
      <c r="CY57" s="23">
        <v>3.73</v>
      </c>
      <c r="CZ57" s="23">
        <v>3.71</v>
      </c>
      <c r="DA57" s="23">
        <v>3.91</v>
      </c>
      <c r="DB57" s="23">
        <v>3.84</v>
      </c>
      <c r="DC57" s="23">
        <v>3.96</v>
      </c>
      <c r="DD57" s="23"/>
      <c r="DE57" s="23"/>
      <c r="DF57" s="23">
        <v>3.84</v>
      </c>
      <c r="DG57" s="23">
        <v>3.84</v>
      </c>
      <c r="DH57" s="23">
        <v>3.77</v>
      </c>
      <c r="DI57" s="23">
        <v>3.81</v>
      </c>
      <c r="DJ57" s="23"/>
      <c r="DK57" s="23"/>
      <c r="DL57" s="23"/>
      <c r="DM57" s="23">
        <v>3.75</v>
      </c>
      <c r="DN57" s="23">
        <v>3.76</v>
      </c>
      <c r="DO57" s="23">
        <v>3.81</v>
      </c>
      <c r="DP57" s="23">
        <v>3.77</v>
      </c>
      <c r="DQ57" s="23">
        <v>3.74</v>
      </c>
      <c r="DR57" s="23"/>
      <c r="DS57" s="23"/>
      <c r="DT57" s="23">
        <v>3.67</v>
      </c>
      <c r="DU57" s="23">
        <v>3.65</v>
      </c>
      <c r="DV57" s="23">
        <v>3.6</v>
      </c>
      <c r="DW57" s="23">
        <v>3.7</v>
      </c>
      <c r="DX57" s="23">
        <v>3.83</v>
      </c>
      <c r="DY57" s="23"/>
      <c r="DZ57" s="23"/>
      <c r="EA57" s="23">
        <v>3.83</v>
      </c>
      <c r="EB57" s="23">
        <v>3.78</v>
      </c>
      <c r="EC57" s="23">
        <v>3.78</v>
      </c>
      <c r="ED57" s="23">
        <v>3.9</v>
      </c>
      <c r="EE57" s="23">
        <v>3.88</v>
      </c>
      <c r="EF57" s="23"/>
      <c r="EG57" s="23"/>
      <c r="EH57" s="23">
        <v>3.98</v>
      </c>
      <c r="EI57" s="23">
        <v>4.02</v>
      </c>
      <c r="EJ57" s="23">
        <v>4.05</v>
      </c>
      <c r="EK57" s="23">
        <v>3.96</v>
      </c>
      <c r="EL57" s="23">
        <v>3.98</v>
      </c>
      <c r="EM57" s="23"/>
      <c r="EN57" s="23"/>
      <c r="EO57" s="23">
        <v>3.97</v>
      </c>
      <c r="EP57" s="23">
        <v>3.97</v>
      </c>
      <c r="EQ57" s="23">
        <v>4</v>
      </c>
      <c r="ER57" s="23">
        <v>4</v>
      </c>
      <c r="ES57" s="23">
        <v>4</v>
      </c>
      <c r="ET57" s="23"/>
      <c r="EU57" s="23"/>
      <c r="EV57" s="23"/>
      <c r="EW57" s="23">
        <v>3.92</v>
      </c>
      <c r="EX57" s="23">
        <v>3.96</v>
      </c>
      <c r="EY57" s="23">
        <v>3.92</v>
      </c>
      <c r="EZ57" s="23">
        <v>3.89</v>
      </c>
      <c r="FA57" s="23"/>
      <c r="FB57" s="23"/>
      <c r="FC57" s="23">
        <v>3.94</v>
      </c>
      <c r="FD57" s="23">
        <v>3.96</v>
      </c>
      <c r="FE57" s="23">
        <v>3.87</v>
      </c>
      <c r="FF57" s="23">
        <v>3.92</v>
      </c>
      <c r="FG57" s="23">
        <v>4.04</v>
      </c>
      <c r="FH57" s="23"/>
      <c r="FI57" s="23"/>
      <c r="FJ57" s="23">
        <v>4.01</v>
      </c>
      <c r="FK57" s="23">
        <v>4.01</v>
      </c>
      <c r="FL57" s="23">
        <v>3.94</v>
      </c>
      <c r="FM57" s="23">
        <v>3.9</v>
      </c>
      <c r="FN57" s="23">
        <v>3.96</v>
      </c>
      <c r="FO57" s="23"/>
      <c r="FP57" s="23"/>
      <c r="FQ57" s="23">
        <v>3.97</v>
      </c>
      <c r="FR57" s="23">
        <v>3.94</v>
      </c>
      <c r="FS57" s="23">
        <v>3.94</v>
      </c>
      <c r="FT57" s="23"/>
      <c r="FU57" s="23">
        <v>3.9</v>
      </c>
      <c r="FV57" s="23"/>
      <c r="FW57" s="23"/>
      <c r="FX57" s="23">
        <v>3.84</v>
      </c>
      <c r="FY57" s="23">
        <v>3.75</v>
      </c>
      <c r="FZ57" s="23">
        <v>3.74</v>
      </c>
      <c r="GA57" s="23">
        <v>3.7</v>
      </c>
      <c r="GB57" s="23">
        <v>3.73</v>
      </c>
      <c r="GC57" s="23"/>
      <c r="GD57" s="23"/>
      <c r="GE57" s="23">
        <v>3.72</v>
      </c>
      <c r="GF57" s="23">
        <v>3.78</v>
      </c>
      <c r="GG57" s="23">
        <v>3.78</v>
      </c>
      <c r="GH57" s="23">
        <v>3.88</v>
      </c>
      <c r="GI57" s="23"/>
      <c r="GJ57" s="23"/>
      <c r="GK57" s="23"/>
      <c r="GL57" s="23">
        <v>3.9</v>
      </c>
      <c r="GM57" s="23">
        <v>3.9</v>
      </c>
      <c r="GN57" s="23">
        <v>3.86</v>
      </c>
      <c r="GO57" s="23">
        <v>3.86</v>
      </c>
      <c r="GP57" s="23">
        <v>3.9</v>
      </c>
      <c r="GQ57" s="23"/>
      <c r="GR57" s="23"/>
      <c r="GS57" s="23">
        <v>3.9</v>
      </c>
      <c r="GT57" s="23">
        <v>3.95</v>
      </c>
      <c r="GU57" s="23">
        <v>3.88</v>
      </c>
      <c r="GV57" s="23">
        <v>3.91</v>
      </c>
      <c r="GW57" s="23">
        <v>3.88</v>
      </c>
      <c r="GX57" s="23"/>
      <c r="GY57" s="23"/>
      <c r="GZ57" s="23">
        <v>3.85</v>
      </c>
      <c r="HA57" s="23">
        <v>3.83</v>
      </c>
      <c r="HB57" s="23">
        <v>3.88</v>
      </c>
      <c r="HC57" s="23">
        <v>3.91</v>
      </c>
      <c r="HD57" s="23">
        <v>3.91</v>
      </c>
      <c r="HE57" s="23"/>
      <c r="HF57" s="23"/>
      <c r="HG57" s="23">
        <v>3.91</v>
      </c>
      <c r="HH57" s="23">
        <v>3.86</v>
      </c>
      <c r="HI57" s="23">
        <v>3.94</v>
      </c>
      <c r="HJ57" s="23">
        <v>3.94</v>
      </c>
      <c r="HK57" s="23">
        <v>3.69</v>
      </c>
      <c r="HL57" s="23"/>
      <c r="HM57" s="23"/>
      <c r="HN57" s="23">
        <v>3.69</v>
      </c>
      <c r="HO57" s="23">
        <v>3.72</v>
      </c>
      <c r="HP57" s="23">
        <v>3.69</v>
      </c>
      <c r="HQ57" s="23">
        <v>3.72</v>
      </c>
      <c r="HR57" s="23">
        <v>3.76</v>
      </c>
      <c r="HS57" s="23"/>
      <c r="HT57" s="23"/>
      <c r="HU57" s="23">
        <v>3.76</v>
      </c>
      <c r="HV57" s="23">
        <v>3.72</v>
      </c>
      <c r="HW57" s="23">
        <v>3.67</v>
      </c>
      <c r="HX57" s="23">
        <v>3.74</v>
      </c>
      <c r="HY57" s="23">
        <v>3.75</v>
      </c>
      <c r="HZ57" s="23"/>
      <c r="IA57" s="23"/>
      <c r="IB57" s="23">
        <v>3.77</v>
      </c>
      <c r="IC57" s="23">
        <v>3.75</v>
      </c>
      <c r="ID57" s="23">
        <v>3.74</v>
      </c>
      <c r="IE57" s="23">
        <v>3.79</v>
      </c>
      <c r="IF57" s="23">
        <v>3.68</v>
      </c>
      <c r="IG57" s="23"/>
      <c r="IH57" s="23"/>
      <c r="II57" s="23">
        <v>3.73</v>
      </c>
      <c r="IJ57" s="23">
        <v>3.61</v>
      </c>
      <c r="IK57" s="23">
        <v>3.59</v>
      </c>
      <c r="IL57" s="23">
        <v>3.62</v>
      </c>
      <c r="IM57" s="23">
        <v>3.59</v>
      </c>
      <c r="IN57" s="23"/>
      <c r="IO57" s="23"/>
      <c r="IP57" s="31"/>
      <c r="IQ57" s="31">
        <v>3.66</v>
      </c>
      <c r="IR57" s="31">
        <v>3.61</v>
      </c>
      <c r="IS57" s="31">
        <v>3.59</v>
      </c>
      <c r="IT57" s="31">
        <v>3.51</v>
      </c>
      <c r="IU57" s="31"/>
      <c r="IV57" s="31"/>
      <c r="IW57" s="31">
        <v>3.49</v>
      </c>
      <c r="IX57" s="31">
        <v>3.54</v>
      </c>
      <c r="IY57" s="31">
        <v>3.54</v>
      </c>
      <c r="IZ57" s="31">
        <v>3.52</v>
      </c>
      <c r="JA57" s="31">
        <v>3.56</v>
      </c>
      <c r="JB57" s="31"/>
      <c r="JC57" s="31"/>
      <c r="JD57" s="31">
        <v>3.54</v>
      </c>
      <c r="JE57" s="31">
        <v>3.51</v>
      </c>
      <c r="JF57" s="31">
        <v>3.52</v>
      </c>
      <c r="JG57" s="31">
        <v>3.57</v>
      </c>
      <c r="JH57" s="31">
        <v>3.57</v>
      </c>
      <c r="JI57" s="31"/>
      <c r="JJ57" s="31"/>
      <c r="JK57" s="31">
        <v>3.61</v>
      </c>
      <c r="JL57" s="31">
        <v>3.53</v>
      </c>
      <c r="JM57" s="31">
        <v>3.57</v>
      </c>
      <c r="JN57" s="31">
        <v>3.64</v>
      </c>
      <c r="JO57" s="31">
        <v>3.63</v>
      </c>
      <c r="JP57" s="31"/>
      <c r="JQ57" s="31"/>
      <c r="JR57" s="31">
        <v>3.63</v>
      </c>
      <c r="JS57" s="31">
        <v>3.6</v>
      </c>
      <c r="JT57" s="31">
        <v>3.55</v>
      </c>
      <c r="JU57" s="31">
        <v>3.55</v>
      </c>
      <c r="JV57" s="31">
        <v>3.58</v>
      </c>
      <c r="JW57" s="31"/>
      <c r="JX57" s="31"/>
      <c r="JY57" s="31">
        <v>3.6</v>
      </c>
      <c r="JZ57" s="23">
        <v>3.57</v>
      </c>
      <c r="KA57" s="23">
        <v>3.58</v>
      </c>
      <c r="KB57" s="23">
        <v>3.6</v>
      </c>
      <c r="KC57" s="23">
        <v>3.52</v>
      </c>
      <c r="KD57" s="23"/>
      <c r="KE57" s="23"/>
      <c r="KF57" s="23"/>
      <c r="KG57" s="23">
        <v>3.48</v>
      </c>
      <c r="KH57" s="23">
        <v>3.5</v>
      </c>
      <c r="KI57" s="23">
        <v>3.41</v>
      </c>
      <c r="KJ57" s="23">
        <v>3.46</v>
      </c>
      <c r="KK57" s="23"/>
      <c r="KL57" s="23"/>
      <c r="KM57" s="23">
        <v>3.46</v>
      </c>
      <c r="KN57" s="23">
        <v>3.45</v>
      </c>
      <c r="KO57" s="23">
        <v>3.45</v>
      </c>
      <c r="KP57" s="23">
        <v>3.48</v>
      </c>
      <c r="KQ57" s="23">
        <v>3.48</v>
      </c>
      <c r="KR57" s="23"/>
      <c r="KS57" s="23"/>
      <c r="KT57" s="23">
        <v>3.48</v>
      </c>
      <c r="KU57" s="23">
        <v>3.47</v>
      </c>
      <c r="KV57" s="23">
        <v>3.59</v>
      </c>
      <c r="KW57" s="23">
        <v>3.61</v>
      </c>
      <c r="KX57" s="23">
        <v>3.6</v>
      </c>
      <c r="KY57" s="23"/>
      <c r="KZ57" s="23"/>
      <c r="LA57" s="23">
        <v>3.6</v>
      </c>
      <c r="LB57" s="23">
        <v>3.58</v>
      </c>
      <c r="LC57" s="23">
        <v>3.63</v>
      </c>
      <c r="LD57" s="23">
        <v>3.57</v>
      </c>
      <c r="LE57" s="23">
        <v>3.55</v>
      </c>
      <c r="LF57" s="23"/>
      <c r="LG57" s="23"/>
      <c r="LH57" s="23">
        <v>3.58</v>
      </c>
      <c r="LI57" s="23"/>
      <c r="LJ57" s="23">
        <v>3.56</v>
      </c>
      <c r="LK57" s="23">
        <v>3.58</v>
      </c>
      <c r="LL57" s="23">
        <v>3.62</v>
      </c>
      <c r="LM57" s="23"/>
      <c r="LN57" s="23"/>
      <c r="LO57" s="23">
        <v>3.6</v>
      </c>
      <c r="LP57" s="23">
        <v>3.58</v>
      </c>
      <c r="LQ57" s="23">
        <v>3.58</v>
      </c>
      <c r="LR57" s="23">
        <v>3.55</v>
      </c>
      <c r="LS57" s="23">
        <v>3.51</v>
      </c>
      <c r="LT57" s="23"/>
      <c r="LU57" s="23"/>
      <c r="LV57" s="23">
        <v>3.46</v>
      </c>
      <c r="LW57" s="23">
        <v>3.43</v>
      </c>
      <c r="LX57" s="23">
        <v>3.45</v>
      </c>
      <c r="LY57" s="23"/>
      <c r="LZ57" s="23">
        <v>3.47</v>
      </c>
      <c r="MA57" s="23"/>
      <c r="MB57" s="23"/>
      <c r="MC57" s="23">
        <v>3.54</v>
      </c>
      <c r="MD57" s="23">
        <v>3.51</v>
      </c>
      <c r="ME57" s="23">
        <v>3.49</v>
      </c>
      <c r="MF57" s="23">
        <v>3.52</v>
      </c>
      <c r="MG57" s="23">
        <v>3.56</v>
      </c>
      <c r="MH57" s="23"/>
      <c r="MI57" s="23"/>
      <c r="MJ57" s="23">
        <v>3.57</v>
      </c>
      <c r="MK57" s="23">
        <v>3.61</v>
      </c>
      <c r="ML57" s="23">
        <v>3.54</v>
      </c>
      <c r="MM57" s="23">
        <v>3.52</v>
      </c>
      <c r="MN57" s="23">
        <v>3.52</v>
      </c>
      <c r="MO57" s="23"/>
      <c r="MP57" s="23"/>
      <c r="MQ57" s="23">
        <v>3.51</v>
      </c>
      <c r="MR57" s="23">
        <v>3.48</v>
      </c>
      <c r="MS57" s="23">
        <v>3.49</v>
      </c>
      <c r="MT57" s="23">
        <v>3.46</v>
      </c>
      <c r="MU57" s="23">
        <v>3.48</v>
      </c>
      <c r="MV57" s="23"/>
      <c r="MW57" s="23"/>
      <c r="MX57" s="23">
        <v>3.44</v>
      </c>
      <c r="MY57" s="23">
        <v>3.48</v>
      </c>
      <c r="MZ57" s="23">
        <v>3.47</v>
      </c>
      <c r="NA57" s="23"/>
      <c r="NB57" s="23">
        <v>3.46</v>
      </c>
      <c r="NC57" s="23"/>
      <c r="ND57" s="23"/>
      <c r="NE57" s="23">
        <v>3.45</v>
      </c>
      <c r="NF57" s="23">
        <v>3.45</v>
      </c>
      <c r="NG57" s="23">
        <v>3.47</v>
      </c>
      <c r="NH57" s="23"/>
      <c r="NI57" s="23">
        <v>3.47</v>
      </c>
      <c r="NJ57" s="23"/>
      <c r="NK57" s="23"/>
      <c r="NL57" s="23">
        <v>3.46</v>
      </c>
      <c r="NM57" s="23">
        <v>3.47</v>
      </c>
      <c r="NN57" s="23">
        <v>3.47</v>
      </c>
      <c r="NO57" s="23">
        <v>3.49</v>
      </c>
      <c r="NP57" s="23">
        <v>3.54</v>
      </c>
      <c r="NQ57" s="23"/>
      <c r="NR57" s="23"/>
      <c r="NS57" s="23">
        <v>3.54</v>
      </c>
      <c r="NT57" s="23">
        <v>3.53</v>
      </c>
      <c r="NU57" s="23">
        <v>3.51</v>
      </c>
      <c r="NV57" s="23">
        <v>3.56</v>
      </c>
      <c r="NW57" s="23">
        <v>3.59</v>
      </c>
      <c r="NX57" s="23"/>
      <c r="NY57" s="23"/>
      <c r="NZ57" s="23"/>
      <c r="OA57" s="23">
        <v>3.6</v>
      </c>
      <c r="OB57" s="23">
        <v>3.6</v>
      </c>
      <c r="OC57" s="23">
        <v>3.61</v>
      </c>
      <c r="OD57" s="23">
        <v>3.6</v>
      </c>
      <c r="OE57" s="23"/>
      <c r="OF57" s="23"/>
      <c r="OG57" s="23">
        <v>3.56</v>
      </c>
      <c r="OH57" s="23">
        <v>3.53</v>
      </c>
      <c r="OI57" s="23">
        <v>3.56</v>
      </c>
      <c r="OJ57" s="23">
        <v>3.53</v>
      </c>
      <c r="OK57" s="23">
        <v>3.52</v>
      </c>
      <c r="OL57" s="23"/>
      <c r="OM57" s="23"/>
      <c r="ON57" s="23">
        <v>3.57</v>
      </c>
      <c r="OO57" s="23">
        <v>3.57</v>
      </c>
      <c r="OP57" s="23">
        <v>3.57</v>
      </c>
      <c r="OQ57" s="23">
        <v>3.47</v>
      </c>
      <c r="OR57" s="23">
        <v>3.5</v>
      </c>
      <c r="OS57" s="23"/>
      <c r="OT57" s="23"/>
      <c r="OU57" s="23">
        <v>3.48</v>
      </c>
      <c r="OV57" s="23">
        <v>3.45</v>
      </c>
      <c r="OW57" s="23">
        <v>3.52</v>
      </c>
      <c r="OX57" s="23">
        <v>3.47</v>
      </c>
      <c r="OY57" s="23">
        <v>3.4</v>
      </c>
      <c r="OZ57" s="23"/>
      <c r="PA57" s="23"/>
      <c r="PB57" s="23"/>
      <c r="PC57" s="23">
        <v>3.43</v>
      </c>
      <c r="PD57" s="23">
        <v>3.47</v>
      </c>
      <c r="PE57" s="23">
        <v>3.47</v>
      </c>
      <c r="PF57" s="23">
        <v>3.48</v>
      </c>
      <c r="PG57" s="23"/>
      <c r="PH57" s="23"/>
      <c r="PI57" s="23">
        <v>3.43</v>
      </c>
      <c r="PJ57" s="23">
        <v>3.43</v>
      </c>
      <c r="PK57" s="23">
        <v>3.45</v>
      </c>
      <c r="PL57" s="23">
        <v>3.42</v>
      </c>
      <c r="PM57" s="23">
        <v>3.38</v>
      </c>
      <c r="PN57" s="23"/>
      <c r="PO57" s="23"/>
      <c r="PP57" s="23">
        <v>3.47</v>
      </c>
      <c r="PQ57" s="23">
        <v>3.51</v>
      </c>
      <c r="PR57" s="23">
        <v>3.54</v>
      </c>
      <c r="PS57" s="23">
        <v>3.57</v>
      </c>
      <c r="PT57" s="23">
        <v>3.56</v>
      </c>
      <c r="PU57" s="23"/>
      <c r="PV57" s="23"/>
      <c r="PW57" s="23">
        <v>3.56</v>
      </c>
      <c r="PX57" s="23">
        <v>3.57</v>
      </c>
      <c r="PY57" s="23">
        <v>3.64</v>
      </c>
      <c r="PZ57" s="23">
        <v>3.76</v>
      </c>
      <c r="QA57" s="23">
        <v>3.73</v>
      </c>
      <c r="QB57" s="23"/>
      <c r="QC57" s="23"/>
      <c r="QD57" s="23">
        <v>3.68</v>
      </c>
      <c r="QE57" s="23">
        <v>3.68</v>
      </c>
      <c r="QF57" s="23">
        <v>3.76</v>
      </c>
      <c r="QG57" s="23">
        <v>3.79</v>
      </c>
      <c r="QH57" s="23">
        <v>3.88</v>
      </c>
      <c r="QI57" s="23"/>
      <c r="QJ57" s="23"/>
      <c r="QK57" s="23">
        <v>3.83</v>
      </c>
      <c r="QL57" s="23">
        <v>3.9</v>
      </c>
      <c r="QM57" s="23">
        <v>3.84</v>
      </c>
      <c r="QN57" s="23">
        <v>3.96</v>
      </c>
      <c r="QO57" s="23">
        <v>3.88</v>
      </c>
      <c r="QP57" s="23"/>
      <c r="QQ57" s="23"/>
      <c r="QR57" s="23">
        <v>3.82</v>
      </c>
      <c r="QS57" s="23">
        <v>3.79</v>
      </c>
      <c r="QT57" s="23">
        <v>3.81</v>
      </c>
      <c r="QU57" s="23">
        <v>3.79</v>
      </c>
      <c r="QV57" s="23">
        <v>3.84</v>
      </c>
      <c r="QW57" s="23"/>
      <c r="QX57" s="23"/>
      <c r="QY57" s="23">
        <v>3.84</v>
      </c>
      <c r="QZ57" s="23">
        <v>3.81</v>
      </c>
      <c r="RA57" s="23">
        <v>3.79</v>
      </c>
      <c r="RB57" s="23">
        <v>3.78</v>
      </c>
      <c r="RC57" s="23">
        <v>3.81</v>
      </c>
      <c r="RD57" s="23"/>
      <c r="RE57" s="23"/>
      <c r="RF57" s="23">
        <v>3.78</v>
      </c>
      <c r="RG57" s="23">
        <v>3.76</v>
      </c>
      <c r="RH57" s="23">
        <v>3.76</v>
      </c>
      <c r="RI57" s="23">
        <v>3.78</v>
      </c>
      <c r="RJ57" s="23">
        <v>3.71</v>
      </c>
      <c r="RK57" s="23"/>
      <c r="RL57" s="23"/>
      <c r="RM57" s="23">
        <v>3.72</v>
      </c>
      <c r="RN57" s="23">
        <v>3.78</v>
      </c>
      <c r="RO57" s="23">
        <v>3.79</v>
      </c>
      <c r="RP57" s="23">
        <v>3.83</v>
      </c>
      <c r="RQ57" s="23">
        <v>3.78</v>
      </c>
      <c r="RR57" s="23"/>
      <c r="RS57" s="23"/>
      <c r="RT57" s="23">
        <v>3.78</v>
      </c>
      <c r="RU57" s="23">
        <v>3.84</v>
      </c>
      <c r="RV57" s="23">
        <v>3.92</v>
      </c>
      <c r="RW57" s="23">
        <v>3.88</v>
      </c>
      <c r="RX57" s="23">
        <v>3.88</v>
      </c>
      <c r="RY57" s="23"/>
      <c r="RZ57" s="23"/>
      <c r="SA57" s="23">
        <v>3.95</v>
      </c>
      <c r="SB57" s="23">
        <v>3.93</v>
      </c>
      <c r="SC57" s="23">
        <v>3.87</v>
      </c>
      <c r="SD57" s="23">
        <v>3.92</v>
      </c>
      <c r="SE57" s="23">
        <v>3.9</v>
      </c>
      <c r="SF57" s="23"/>
      <c r="SG57" s="23"/>
      <c r="SH57" s="23">
        <v>3.95</v>
      </c>
      <c r="SI57" s="23">
        <v>4</v>
      </c>
      <c r="SJ57" s="23">
        <v>3.98</v>
      </c>
      <c r="SK57" s="23">
        <v>4</v>
      </c>
      <c r="SL57" s="23">
        <v>4.09</v>
      </c>
      <c r="SM57" s="23"/>
      <c r="SN57" s="23"/>
      <c r="SO57" s="23">
        <v>4.07</v>
      </c>
      <c r="SP57" s="23">
        <v>4.13</v>
      </c>
      <c r="SQ57" s="23">
        <v>4.04</v>
      </c>
      <c r="SR57" s="23">
        <v>4.08</v>
      </c>
      <c r="SS57" s="23">
        <v>4.13</v>
      </c>
      <c r="ST57" s="23"/>
      <c r="SU57" s="23"/>
      <c r="SV57" s="23"/>
      <c r="SW57" s="23">
        <v>4.01</v>
      </c>
      <c r="SX57" s="23">
        <v>4</v>
      </c>
      <c r="SY57" s="23">
        <v>3.99</v>
      </c>
      <c r="SZ57" s="23">
        <v>3.98</v>
      </c>
      <c r="TA57" s="23"/>
      <c r="TB57" s="23"/>
      <c r="TC57" s="23">
        <v>4.05</v>
      </c>
      <c r="TD57" s="23">
        <v>4.05</v>
      </c>
      <c r="TE57" s="23">
        <v>4.08</v>
      </c>
      <c r="TF57" s="23">
        <v>4.05</v>
      </c>
      <c r="TG57" s="23">
        <v>4.17</v>
      </c>
      <c r="TH57" s="23"/>
      <c r="TI57" s="23"/>
      <c r="TJ57" s="23">
        <v>4.15</v>
      </c>
      <c r="TK57" s="23">
        <v>4.13</v>
      </c>
      <c r="TL57" s="23">
        <v>4.13</v>
      </c>
      <c r="TM57" s="23">
        <v>4.05</v>
      </c>
      <c r="TN57" s="23">
        <v>4.09</v>
      </c>
      <c r="TO57" s="23"/>
      <c r="TP57" s="23"/>
      <c r="TQ57" s="23">
        <v>4.07</v>
      </c>
      <c r="TR57" s="23">
        <v>4.05</v>
      </c>
      <c r="TS57" s="23">
        <v>4.2</v>
      </c>
      <c r="TT57" s="23">
        <v>4.19</v>
      </c>
      <c r="TU57" s="23"/>
      <c r="TV57" s="23"/>
      <c r="TW57" s="23"/>
      <c r="TX57" s="23">
        <v>4.24</v>
      </c>
      <c r="TY57" s="23">
        <v>4.16</v>
      </c>
      <c r="TZ57" s="23">
        <v>4.11</v>
      </c>
      <c r="UA57" s="23">
        <v>4.09</v>
      </c>
      <c r="UB57" s="23">
        <v>4.07</v>
      </c>
      <c r="UC57" s="23"/>
      <c r="UD57" s="23"/>
      <c r="UE57" s="23">
        <v>4.1</v>
      </c>
      <c r="UF57" s="23">
        <v>4.14</v>
      </c>
      <c r="UG57" s="23">
        <v>4.17</v>
      </c>
      <c r="UH57" s="23">
        <v>4.14</v>
      </c>
      <c r="UI57" s="23"/>
      <c r="UJ57" s="23"/>
      <c r="UK57" s="23"/>
      <c r="UL57" s="23"/>
      <c r="UM57" s="23"/>
      <c r="UN57" s="23"/>
      <c r="UO57" s="23"/>
      <c r="UP57" s="23"/>
      <c r="UQ57" s="23"/>
      <c r="UR57" s="23"/>
      <c r="US57" s="23"/>
      <c r="UT57" s="23"/>
    </row>
    <row r="58" ht="16.5" customHeight="1" spans="4:566">
      <c r="D58" s="19" t="s">
        <v>277</v>
      </c>
      <c r="E58" s="21" t="s">
        <v>278</v>
      </c>
      <c r="F58" s="23"/>
      <c r="G58" s="23"/>
      <c r="H58" s="23">
        <v>4.57</v>
      </c>
      <c r="I58" s="23">
        <v>4.6</v>
      </c>
      <c r="J58" s="23"/>
      <c r="K58" s="23"/>
      <c r="L58" s="23">
        <v>4.62</v>
      </c>
      <c r="M58" s="23">
        <v>4.67</v>
      </c>
      <c r="N58" s="23">
        <v>4.67</v>
      </c>
      <c r="O58" s="23">
        <v>4.68</v>
      </c>
      <c r="P58" s="23">
        <v>4.77</v>
      </c>
      <c r="Q58" s="23"/>
      <c r="R58" s="23"/>
      <c r="S58" s="23">
        <v>4.79</v>
      </c>
      <c r="T58" s="23">
        <v>4.78</v>
      </c>
      <c r="U58" s="23">
        <v>4.66</v>
      </c>
      <c r="V58" s="23">
        <v>4.61</v>
      </c>
      <c r="W58" s="23">
        <v>4.61</v>
      </c>
      <c r="X58" s="23"/>
      <c r="Y58" s="23"/>
      <c r="Z58" s="23"/>
      <c r="AA58" s="23">
        <v>4.57</v>
      </c>
      <c r="AB58" s="23">
        <v>4.6</v>
      </c>
      <c r="AC58" s="23">
        <v>4.65</v>
      </c>
      <c r="AD58" s="23">
        <v>4.63</v>
      </c>
      <c r="AE58" s="23"/>
      <c r="AF58" s="23"/>
      <c r="AG58" s="23">
        <v>4.53</v>
      </c>
      <c r="AH58" s="23">
        <v>4.55</v>
      </c>
      <c r="AI58" s="23">
        <v>4.55</v>
      </c>
      <c r="AJ58" s="23">
        <v>4.52</v>
      </c>
      <c r="AK58" s="23">
        <v>4.58</v>
      </c>
      <c r="AL58" s="23"/>
      <c r="AM58" s="23"/>
      <c r="AN58" s="23">
        <v>4.54</v>
      </c>
      <c r="AO58" s="23">
        <v>4.52</v>
      </c>
      <c r="AP58" s="23">
        <v>4.43</v>
      </c>
      <c r="AQ58" s="23">
        <v>4.45</v>
      </c>
      <c r="AR58" s="23">
        <v>4.49</v>
      </c>
      <c r="AS58" s="23"/>
      <c r="AT58" s="23"/>
      <c r="AU58" s="23">
        <v>4.51</v>
      </c>
      <c r="AV58" s="23">
        <v>4.54</v>
      </c>
      <c r="AW58" s="23">
        <v>4.62</v>
      </c>
      <c r="AX58" s="23">
        <v>4.52</v>
      </c>
      <c r="AY58" s="23">
        <v>4.47</v>
      </c>
      <c r="AZ58" s="23"/>
      <c r="BA58" s="23"/>
      <c r="BB58" s="23"/>
      <c r="BC58" s="23">
        <v>4.55</v>
      </c>
      <c r="BD58" s="23">
        <v>4.53</v>
      </c>
      <c r="BE58" s="23">
        <v>4.5</v>
      </c>
      <c r="BF58" s="23">
        <v>4.42</v>
      </c>
      <c r="BG58" s="23"/>
      <c r="BH58" s="23"/>
      <c r="BI58" s="23">
        <v>4.4</v>
      </c>
      <c r="BJ58" s="23">
        <v>4.3</v>
      </c>
      <c r="BK58" s="23">
        <v>4.25</v>
      </c>
      <c r="BL58" s="23">
        <v>4.29</v>
      </c>
      <c r="BM58" s="23">
        <v>4.24</v>
      </c>
      <c r="BN58" s="23"/>
      <c r="BO58" s="23"/>
      <c r="BP58" s="23">
        <v>4.16</v>
      </c>
      <c r="BQ58" s="23">
        <v>4.22</v>
      </c>
      <c r="BR58" s="23">
        <v>4.28</v>
      </c>
      <c r="BS58" s="23">
        <v>4.29</v>
      </c>
      <c r="BT58" s="23">
        <v>4.32</v>
      </c>
      <c r="BU58" s="23"/>
      <c r="BV58" s="23"/>
      <c r="BW58" s="23">
        <v>4.22</v>
      </c>
      <c r="BX58" s="23">
        <v>4.28</v>
      </c>
      <c r="BY58" s="23">
        <v>4.32</v>
      </c>
      <c r="BZ58" s="23">
        <v>4.27</v>
      </c>
      <c r="CA58" s="23">
        <v>4.31</v>
      </c>
      <c r="CB58" s="23"/>
      <c r="CC58" s="23"/>
      <c r="CD58" s="23">
        <v>4.31</v>
      </c>
      <c r="CE58" s="23">
        <v>4.29</v>
      </c>
      <c r="CF58" s="23">
        <v>4.25</v>
      </c>
      <c r="CG58" s="23">
        <v>4.24</v>
      </c>
      <c r="CH58" s="23">
        <v>4.25</v>
      </c>
      <c r="CI58" s="23"/>
      <c r="CJ58" s="23"/>
      <c r="CK58" s="23">
        <v>4.34</v>
      </c>
      <c r="CL58" s="23">
        <v>4.31</v>
      </c>
      <c r="CM58" s="23">
        <v>4.35</v>
      </c>
      <c r="CN58" s="23">
        <v>4.38</v>
      </c>
      <c r="CO58" s="23">
        <v>4.27</v>
      </c>
      <c r="CP58" s="23"/>
      <c r="CQ58" s="23"/>
      <c r="CR58" s="23">
        <v>4.23</v>
      </c>
      <c r="CS58" s="23">
        <v>4.17</v>
      </c>
      <c r="CT58" s="23">
        <v>4.2</v>
      </c>
      <c r="CU58" s="23">
        <v>4.06</v>
      </c>
      <c r="CV58" s="23">
        <v>4.01</v>
      </c>
      <c r="CW58" s="23"/>
      <c r="CX58" s="23"/>
      <c r="CY58" s="23">
        <v>4.15</v>
      </c>
      <c r="CZ58" s="23">
        <v>4.26</v>
      </c>
      <c r="DA58" s="23">
        <v>4.34</v>
      </c>
      <c r="DB58" s="23">
        <v>4.4</v>
      </c>
      <c r="DC58" s="23">
        <v>4.48</v>
      </c>
      <c r="DD58" s="23"/>
      <c r="DE58" s="23"/>
      <c r="DF58" s="23">
        <v>4.38</v>
      </c>
      <c r="DG58" s="23">
        <v>4.35</v>
      </c>
      <c r="DH58" s="23">
        <v>4.29</v>
      </c>
      <c r="DI58" s="23">
        <v>4.34</v>
      </c>
      <c r="DJ58" s="23"/>
      <c r="DK58" s="23"/>
      <c r="DL58" s="23"/>
      <c r="DM58" s="23">
        <v>4.42</v>
      </c>
      <c r="DN58" s="23">
        <v>4.41</v>
      </c>
      <c r="DO58" s="23">
        <v>4.4</v>
      </c>
      <c r="DP58" s="23">
        <v>4.32</v>
      </c>
      <c r="DQ58" s="23">
        <v>4.29</v>
      </c>
      <c r="DR58" s="23"/>
      <c r="DS58" s="23"/>
      <c r="DT58" s="23">
        <v>4.23</v>
      </c>
      <c r="DU58" s="23">
        <v>4.19</v>
      </c>
      <c r="DV58" s="23">
        <v>4.17</v>
      </c>
      <c r="DW58" s="23">
        <v>4.25</v>
      </c>
      <c r="DX58" s="23">
        <v>4.33</v>
      </c>
      <c r="DY58" s="23"/>
      <c r="DZ58" s="23"/>
      <c r="EA58" s="23">
        <v>4.36</v>
      </c>
      <c r="EB58" s="23">
        <v>4.3</v>
      </c>
      <c r="EC58" s="23">
        <v>4.26</v>
      </c>
      <c r="ED58" s="23">
        <v>4.37</v>
      </c>
      <c r="EE58" s="23">
        <v>4.37</v>
      </c>
      <c r="EF58" s="23"/>
      <c r="EG58" s="23"/>
      <c r="EH58" s="23">
        <v>4.45</v>
      </c>
      <c r="EI58" s="23">
        <v>4.49</v>
      </c>
      <c r="EJ58" s="23">
        <v>4.53</v>
      </c>
      <c r="EK58" s="23">
        <v>4.45</v>
      </c>
      <c r="EL58" s="23">
        <v>4.43</v>
      </c>
      <c r="EM58" s="23"/>
      <c r="EN58" s="23"/>
      <c r="EO58" s="23">
        <v>4.46</v>
      </c>
      <c r="EP58" s="23">
        <v>4.48</v>
      </c>
      <c r="EQ58" s="23">
        <v>4.58</v>
      </c>
      <c r="ER58" s="23">
        <v>4.54</v>
      </c>
      <c r="ES58" s="23">
        <v>4.51</v>
      </c>
      <c r="ET58" s="23"/>
      <c r="EU58" s="23"/>
      <c r="EV58" s="23"/>
      <c r="EW58" s="23">
        <v>4.43</v>
      </c>
      <c r="EX58" s="23">
        <v>4.47</v>
      </c>
      <c r="EY58" s="23">
        <v>4.43</v>
      </c>
      <c r="EZ58" s="23">
        <v>4.41</v>
      </c>
      <c r="FA58" s="23"/>
      <c r="FB58" s="23"/>
      <c r="FC58" s="23">
        <v>4.46</v>
      </c>
      <c r="FD58" s="23">
        <v>4.46</v>
      </c>
      <c r="FE58" s="23">
        <v>4.37</v>
      </c>
      <c r="FF58" s="23">
        <v>4.4</v>
      </c>
      <c r="FG58" s="23">
        <v>4.51</v>
      </c>
      <c r="FH58" s="23"/>
      <c r="FI58" s="23"/>
      <c r="FJ58" s="23">
        <v>4.49</v>
      </c>
      <c r="FK58" s="23">
        <v>4.47</v>
      </c>
      <c r="FL58" s="23">
        <v>4.41</v>
      </c>
      <c r="FM58" s="23">
        <v>4.36</v>
      </c>
      <c r="FN58" s="23">
        <v>4.41</v>
      </c>
      <c r="FO58" s="23"/>
      <c r="FP58" s="23"/>
      <c r="FQ58" s="23">
        <v>4.46</v>
      </c>
      <c r="FR58" s="23">
        <v>4.39</v>
      </c>
      <c r="FS58" s="23">
        <v>4.38</v>
      </c>
      <c r="FT58" s="23"/>
      <c r="FU58" s="23">
        <v>4.38</v>
      </c>
      <c r="FV58" s="23"/>
      <c r="FW58" s="23"/>
      <c r="FX58" s="23">
        <v>4.34</v>
      </c>
      <c r="FY58" s="23">
        <v>4.3</v>
      </c>
      <c r="FZ58" s="23">
        <v>4.29</v>
      </c>
      <c r="GA58" s="23">
        <v>4.26</v>
      </c>
      <c r="GB58" s="23">
        <v>4.29</v>
      </c>
      <c r="GC58" s="23"/>
      <c r="GD58" s="23"/>
      <c r="GE58" s="23">
        <v>4.24</v>
      </c>
      <c r="GF58" s="23">
        <v>4.26</v>
      </c>
      <c r="GG58" s="23">
        <v>4.3</v>
      </c>
      <c r="GH58" s="23">
        <v>4.35</v>
      </c>
      <c r="GI58" s="23"/>
      <c r="GJ58" s="23"/>
      <c r="GK58" s="23"/>
      <c r="GL58" s="23">
        <v>4.4</v>
      </c>
      <c r="GM58" s="23">
        <v>4.42</v>
      </c>
      <c r="GN58" s="23">
        <v>4.34</v>
      </c>
      <c r="GO58" s="23">
        <v>4.35</v>
      </c>
      <c r="GP58" s="23">
        <v>4.43</v>
      </c>
      <c r="GQ58" s="23"/>
      <c r="GR58" s="23"/>
      <c r="GS58" s="23">
        <v>4.43</v>
      </c>
      <c r="GT58" s="23">
        <v>4.5</v>
      </c>
      <c r="GU58" s="23">
        <v>4.46</v>
      </c>
      <c r="GV58" s="23">
        <v>4.47</v>
      </c>
      <c r="GW58" s="23">
        <v>4.44</v>
      </c>
      <c r="GX58" s="23"/>
      <c r="GY58" s="23"/>
      <c r="GZ58" s="23">
        <v>4.38</v>
      </c>
      <c r="HA58" s="23">
        <v>4.35</v>
      </c>
      <c r="HB58" s="23">
        <v>4.4</v>
      </c>
      <c r="HC58" s="23">
        <v>4.43</v>
      </c>
      <c r="HD58" s="23">
        <v>4.4</v>
      </c>
      <c r="HE58" s="23"/>
      <c r="HF58" s="23"/>
      <c r="HG58" s="23">
        <v>4.42</v>
      </c>
      <c r="HH58" s="23">
        <v>4.34</v>
      </c>
      <c r="HI58" s="23">
        <v>4.38</v>
      </c>
      <c r="HJ58" s="23">
        <v>4.37</v>
      </c>
      <c r="HK58" s="23">
        <v>4.23</v>
      </c>
      <c r="HL58" s="23"/>
      <c r="HM58" s="23"/>
      <c r="HN58" s="23">
        <v>4.22</v>
      </c>
      <c r="HO58" s="23">
        <v>4.22</v>
      </c>
      <c r="HP58" s="23">
        <v>4.22</v>
      </c>
      <c r="HQ58" s="23">
        <v>4.23</v>
      </c>
      <c r="HR58" s="23">
        <v>4.27</v>
      </c>
      <c r="HS58" s="23"/>
      <c r="HT58" s="23"/>
      <c r="HU58" s="23">
        <v>4.27</v>
      </c>
      <c r="HV58" s="23">
        <v>4.29</v>
      </c>
      <c r="HW58" s="23">
        <v>4.24</v>
      </c>
      <c r="HX58" s="23">
        <v>4.29</v>
      </c>
      <c r="HY58" s="23">
        <v>4.33</v>
      </c>
      <c r="HZ58" s="23"/>
      <c r="IA58" s="23"/>
      <c r="IB58" s="23">
        <v>4.34</v>
      </c>
      <c r="IC58" s="23">
        <v>4.3</v>
      </c>
      <c r="ID58" s="23">
        <v>4.29</v>
      </c>
      <c r="IE58" s="23">
        <v>4.33</v>
      </c>
      <c r="IF58" s="23">
        <v>4.26</v>
      </c>
      <c r="IG58" s="23"/>
      <c r="IH58" s="23"/>
      <c r="II58" s="23">
        <v>4.28</v>
      </c>
      <c r="IJ58" s="23">
        <v>4.26</v>
      </c>
      <c r="IK58" s="23">
        <v>4.24</v>
      </c>
      <c r="IL58" s="23">
        <v>4.22</v>
      </c>
      <c r="IM58" s="23">
        <v>4.23</v>
      </c>
      <c r="IN58" s="23"/>
      <c r="IO58" s="23"/>
      <c r="IP58" s="31"/>
      <c r="IQ58" s="31">
        <v>4.28</v>
      </c>
      <c r="IR58" s="31">
        <v>4.22</v>
      </c>
      <c r="IS58" s="31">
        <v>4.17</v>
      </c>
      <c r="IT58" s="31">
        <v>4.1</v>
      </c>
      <c r="IU58" s="31"/>
      <c r="IV58" s="31"/>
      <c r="IW58" s="31">
        <v>4.05</v>
      </c>
      <c r="IX58" s="31">
        <v>4.08</v>
      </c>
      <c r="IY58" s="31">
        <v>4.04</v>
      </c>
      <c r="IZ58" s="31">
        <v>4.01</v>
      </c>
      <c r="JA58" s="31">
        <v>4.06</v>
      </c>
      <c r="JB58" s="31"/>
      <c r="JC58" s="31"/>
      <c r="JD58" s="31">
        <v>4.05</v>
      </c>
      <c r="JE58" s="31">
        <v>4.04</v>
      </c>
      <c r="JF58" s="31">
        <v>4.06</v>
      </c>
      <c r="JG58" s="31">
        <v>4.11</v>
      </c>
      <c r="JH58" s="31">
        <v>4.14</v>
      </c>
      <c r="JI58" s="31"/>
      <c r="JJ58" s="31"/>
      <c r="JK58" s="31">
        <v>4.15</v>
      </c>
      <c r="JL58" s="31">
        <v>4.12</v>
      </c>
      <c r="JM58" s="31">
        <v>4.16</v>
      </c>
      <c r="JN58" s="31">
        <v>4.18</v>
      </c>
      <c r="JO58" s="31">
        <v>4.2</v>
      </c>
      <c r="JP58" s="31"/>
      <c r="JQ58" s="31"/>
      <c r="JR58" s="31">
        <v>4.15</v>
      </c>
      <c r="JS58" s="31">
        <v>4.16</v>
      </c>
      <c r="JT58" s="31">
        <v>4.12</v>
      </c>
      <c r="JU58" s="31">
        <v>4.1</v>
      </c>
      <c r="JV58" s="31">
        <v>4.13</v>
      </c>
      <c r="JW58" s="31"/>
      <c r="JX58" s="31"/>
      <c r="JY58" s="31">
        <v>4.18</v>
      </c>
      <c r="JZ58" s="23">
        <v>4.14</v>
      </c>
      <c r="KA58" s="23">
        <v>4.13</v>
      </c>
      <c r="KB58" s="23">
        <v>4.14</v>
      </c>
      <c r="KC58" s="23">
        <v>4.05</v>
      </c>
      <c r="KD58" s="23"/>
      <c r="KE58" s="23"/>
      <c r="KF58" s="23"/>
      <c r="KG58" s="23">
        <v>4.03</v>
      </c>
      <c r="KH58" s="23">
        <v>4.05</v>
      </c>
      <c r="KI58" s="23">
        <v>3.99</v>
      </c>
      <c r="KJ58" s="23">
        <v>4.02</v>
      </c>
      <c r="KK58" s="23"/>
      <c r="KL58" s="23"/>
      <c r="KM58" s="23">
        <v>4</v>
      </c>
      <c r="KN58" s="23">
        <v>3.98</v>
      </c>
      <c r="KO58" s="23">
        <v>3.97</v>
      </c>
      <c r="KP58" s="23">
        <v>4.01</v>
      </c>
      <c r="KQ58" s="23">
        <v>4.02</v>
      </c>
      <c r="KR58" s="23"/>
      <c r="KS58" s="23"/>
      <c r="KT58" s="23">
        <v>4.01</v>
      </c>
      <c r="KU58" s="23">
        <v>3.99</v>
      </c>
      <c r="KV58" s="23">
        <v>4.08</v>
      </c>
      <c r="KW58" s="23">
        <v>4.11</v>
      </c>
      <c r="KX58" s="23">
        <v>4.11</v>
      </c>
      <c r="KY58" s="23"/>
      <c r="KZ58" s="23"/>
      <c r="LA58" s="23">
        <v>4.13</v>
      </c>
      <c r="LB58" s="23">
        <v>4.1</v>
      </c>
      <c r="LC58" s="23">
        <v>4.17</v>
      </c>
      <c r="LD58" s="23">
        <v>4.11</v>
      </c>
      <c r="LE58" s="23">
        <v>4.11</v>
      </c>
      <c r="LF58" s="23"/>
      <c r="LG58" s="23"/>
      <c r="LH58" s="23">
        <v>4.13</v>
      </c>
      <c r="LI58" s="23"/>
      <c r="LJ58" s="23">
        <v>4.08</v>
      </c>
      <c r="LK58" s="23">
        <v>4.11</v>
      </c>
      <c r="LL58" s="23">
        <v>4.14</v>
      </c>
      <c r="LM58" s="23"/>
      <c r="LN58" s="23"/>
      <c r="LO58" s="23">
        <v>4.13</v>
      </c>
      <c r="LP58" s="23">
        <v>4.12</v>
      </c>
      <c r="LQ58" s="23">
        <v>4.13</v>
      </c>
      <c r="LR58" s="23">
        <v>4.1</v>
      </c>
      <c r="LS58" s="23">
        <v>4.06</v>
      </c>
      <c r="LT58" s="23"/>
      <c r="LU58" s="23"/>
      <c r="LV58" s="23">
        <v>4.04</v>
      </c>
      <c r="LW58" s="23">
        <v>4.01</v>
      </c>
      <c r="LX58" s="23">
        <v>4</v>
      </c>
      <c r="LY58" s="23"/>
      <c r="LZ58" s="23">
        <v>4.02</v>
      </c>
      <c r="MA58" s="23"/>
      <c r="MB58" s="23"/>
      <c r="MC58" s="23">
        <v>4.09</v>
      </c>
      <c r="MD58" s="23">
        <v>4.09</v>
      </c>
      <c r="ME58" s="23">
        <v>4.06</v>
      </c>
      <c r="MF58" s="23">
        <v>4.11</v>
      </c>
      <c r="MG58" s="23">
        <v>4.14</v>
      </c>
      <c r="MH58" s="23"/>
      <c r="MI58" s="23"/>
      <c r="MJ58" s="23">
        <v>4.17</v>
      </c>
      <c r="MK58" s="23">
        <v>4.18</v>
      </c>
      <c r="ML58" s="23">
        <v>4.13</v>
      </c>
      <c r="MM58" s="23">
        <v>4.14</v>
      </c>
      <c r="MN58" s="23">
        <v>4.19</v>
      </c>
      <c r="MO58" s="23"/>
      <c r="MP58" s="23"/>
      <c r="MQ58" s="23">
        <v>4.18</v>
      </c>
      <c r="MR58" s="23">
        <v>4.15</v>
      </c>
      <c r="MS58" s="23">
        <v>4.16</v>
      </c>
      <c r="MT58" s="23">
        <v>4.12</v>
      </c>
      <c r="MU58" s="23">
        <v>4.16</v>
      </c>
      <c r="MV58" s="23"/>
      <c r="MW58" s="23"/>
      <c r="MX58" s="23">
        <v>4.17</v>
      </c>
      <c r="MY58" s="23">
        <v>4.18</v>
      </c>
      <c r="MZ58" s="23">
        <v>4.15</v>
      </c>
      <c r="NA58" s="23"/>
      <c r="NB58" s="23">
        <v>4.14</v>
      </c>
      <c r="NC58" s="23"/>
      <c r="ND58" s="23"/>
      <c r="NE58" s="23">
        <v>4.12</v>
      </c>
      <c r="NF58" s="23">
        <v>4.14</v>
      </c>
      <c r="NG58" s="23">
        <v>4.18</v>
      </c>
      <c r="NH58" s="23"/>
      <c r="NI58" s="23">
        <v>4.19</v>
      </c>
      <c r="NJ58" s="23"/>
      <c r="NK58" s="23"/>
      <c r="NL58" s="23">
        <v>4.17</v>
      </c>
      <c r="NM58" s="23">
        <v>4.18</v>
      </c>
      <c r="NN58" s="23">
        <v>4.15</v>
      </c>
      <c r="NO58" s="23">
        <v>4.19</v>
      </c>
      <c r="NP58" s="23">
        <v>4.18</v>
      </c>
      <c r="NQ58" s="23"/>
      <c r="NR58" s="23"/>
      <c r="NS58" s="23">
        <v>4.19</v>
      </c>
      <c r="NT58" s="23">
        <v>4.18</v>
      </c>
      <c r="NU58" s="23">
        <v>4.15</v>
      </c>
      <c r="NV58" s="23">
        <v>4.17</v>
      </c>
      <c r="NW58" s="23">
        <v>4.24</v>
      </c>
      <c r="NX58" s="23"/>
      <c r="NY58" s="23"/>
      <c r="NZ58" s="23"/>
      <c r="OA58" s="23">
        <v>4.3</v>
      </c>
      <c r="OB58" s="23">
        <v>4.26</v>
      </c>
      <c r="OC58" s="23">
        <v>4.26</v>
      </c>
      <c r="OD58" s="23">
        <v>4.24</v>
      </c>
      <c r="OE58" s="23"/>
      <c r="OF58" s="23"/>
      <c r="OG58" s="23">
        <v>4.22</v>
      </c>
      <c r="OH58" s="23">
        <v>4.24</v>
      </c>
      <c r="OI58" s="23">
        <v>4.26</v>
      </c>
      <c r="OJ58" s="23">
        <v>4.24</v>
      </c>
      <c r="OK58" s="23">
        <v>4.26</v>
      </c>
      <c r="OL58" s="23"/>
      <c r="OM58" s="23"/>
      <c r="ON58" s="23">
        <v>4.29</v>
      </c>
      <c r="OO58" s="23">
        <v>4.28</v>
      </c>
      <c r="OP58" s="23">
        <v>4.29</v>
      </c>
      <c r="OQ58" s="23">
        <v>4.21</v>
      </c>
      <c r="OR58" s="23">
        <v>4.22</v>
      </c>
      <c r="OS58" s="23"/>
      <c r="OT58" s="23"/>
      <c r="OU58" s="23">
        <v>4.22</v>
      </c>
      <c r="OV58" s="23">
        <v>4.16</v>
      </c>
      <c r="OW58" s="23">
        <v>4.18</v>
      </c>
      <c r="OX58" s="23">
        <v>4.09</v>
      </c>
      <c r="OY58" s="23">
        <v>4.04</v>
      </c>
      <c r="OZ58" s="23"/>
      <c r="PA58" s="23"/>
      <c r="PB58" s="23"/>
      <c r="PC58" s="23">
        <v>4.05</v>
      </c>
      <c r="PD58" s="23">
        <v>4.09</v>
      </c>
      <c r="PE58" s="23">
        <v>4.08</v>
      </c>
      <c r="PF58" s="23">
        <v>4.08</v>
      </c>
      <c r="PG58" s="23"/>
      <c r="PH58" s="23"/>
      <c r="PI58" s="23">
        <v>4.03</v>
      </c>
      <c r="PJ58" s="23">
        <v>4.04</v>
      </c>
      <c r="PK58" s="23">
        <v>4.05</v>
      </c>
      <c r="PL58" s="23">
        <v>4.02</v>
      </c>
      <c r="PM58" s="23">
        <v>3.97</v>
      </c>
      <c r="PN58" s="23"/>
      <c r="PO58" s="23"/>
      <c r="PP58" s="23">
        <v>4.05</v>
      </c>
      <c r="PQ58" s="23">
        <v>4.06</v>
      </c>
      <c r="PR58" s="23">
        <v>4.09</v>
      </c>
      <c r="PS58" s="23">
        <v>4.13</v>
      </c>
      <c r="PT58" s="23">
        <v>4.15</v>
      </c>
      <c r="PU58" s="23"/>
      <c r="PV58" s="23"/>
      <c r="PW58" s="23">
        <v>4.12</v>
      </c>
      <c r="PX58" s="23">
        <v>4.15</v>
      </c>
      <c r="PY58" s="23">
        <v>4.21</v>
      </c>
      <c r="PZ58" s="23">
        <v>4.27</v>
      </c>
      <c r="QA58" s="23">
        <v>4.28</v>
      </c>
      <c r="QB58" s="23"/>
      <c r="QC58" s="23"/>
      <c r="QD58" s="23">
        <v>4.23</v>
      </c>
      <c r="QE58" s="23">
        <v>4.2</v>
      </c>
      <c r="QF58" s="23">
        <v>4.26</v>
      </c>
      <c r="QG58" s="23">
        <v>4.25</v>
      </c>
      <c r="QH58" s="23">
        <v>4.39</v>
      </c>
      <c r="QI58" s="23"/>
      <c r="QJ58" s="23"/>
      <c r="QK58" s="23">
        <v>4.34</v>
      </c>
      <c r="QL58" s="23">
        <v>4.39</v>
      </c>
      <c r="QM58" s="23">
        <v>4.33</v>
      </c>
      <c r="QN58" s="23">
        <v>4.42</v>
      </c>
      <c r="QO58" s="23">
        <v>4.44</v>
      </c>
      <c r="QP58" s="23"/>
      <c r="QQ58" s="23"/>
      <c r="QR58" s="23">
        <v>4.35</v>
      </c>
      <c r="QS58" s="23">
        <v>4.3</v>
      </c>
      <c r="QT58" s="23">
        <v>4.33</v>
      </c>
      <c r="QU58" s="23">
        <v>4.31</v>
      </c>
      <c r="QV58" s="23">
        <v>4.35</v>
      </c>
      <c r="QW58" s="23"/>
      <c r="QX58" s="23"/>
      <c r="QY58" s="23">
        <v>4.34</v>
      </c>
      <c r="QZ58" s="23">
        <v>4.33</v>
      </c>
      <c r="RA58" s="23">
        <v>4.29</v>
      </c>
      <c r="RB58" s="23">
        <v>4.29</v>
      </c>
      <c r="RC58" s="23">
        <v>4.31</v>
      </c>
      <c r="RD58" s="23"/>
      <c r="RE58" s="23"/>
      <c r="RF58" s="23">
        <v>4.3</v>
      </c>
      <c r="RG58" s="23">
        <v>4.26</v>
      </c>
      <c r="RH58" s="23">
        <v>4.29</v>
      </c>
      <c r="RI58" s="23">
        <v>4.32</v>
      </c>
      <c r="RJ58" s="23">
        <v>4.26</v>
      </c>
      <c r="RK58" s="23"/>
      <c r="RL58" s="23"/>
      <c r="RM58" s="23">
        <v>4.26</v>
      </c>
      <c r="RN58" s="23">
        <v>4.3</v>
      </c>
      <c r="RO58" s="23">
        <v>4.3</v>
      </c>
      <c r="RP58" s="23">
        <v>4.34</v>
      </c>
      <c r="RQ58" s="23">
        <v>4.31</v>
      </c>
      <c r="RR58" s="23"/>
      <c r="RS58" s="23"/>
      <c r="RT58" s="23">
        <v>4.35</v>
      </c>
      <c r="RU58" s="23">
        <v>4.36</v>
      </c>
      <c r="RV58" s="23">
        <v>4.42</v>
      </c>
      <c r="RW58" s="23">
        <v>4.4</v>
      </c>
      <c r="RX58" s="23">
        <v>4.39</v>
      </c>
      <c r="RY58" s="23"/>
      <c r="RZ58" s="23"/>
      <c r="SA58" s="23">
        <v>4.45</v>
      </c>
      <c r="SB58" s="23">
        <v>4.43</v>
      </c>
      <c r="SC58" s="23">
        <v>4.36</v>
      </c>
      <c r="SD58" s="23">
        <v>4.41</v>
      </c>
      <c r="SE58" s="23">
        <v>4.38</v>
      </c>
      <c r="SF58" s="23"/>
      <c r="SG58" s="23"/>
      <c r="SH58" s="23">
        <v>4.42</v>
      </c>
      <c r="SI58" s="23">
        <v>4.46</v>
      </c>
      <c r="SJ58" s="23">
        <v>4.46</v>
      </c>
      <c r="SK58" s="23">
        <v>4.47</v>
      </c>
      <c r="SL58" s="23">
        <v>4.59</v>
      </c>
      <c r="SM58" s="23"/>
      <c r="SN58" s="23"/>
      <c r="SO58" s="23">
        <v>4.61</v>
      </c>
      <c r="SP58" s="23">
        <v>4.67</v>
      </c>
      <c r="SQ58" s="23">
        <v>4.57</v>
      </c>
      <c r="SR58" s="23">
        <v>4.57</v>
      </c>
      <c r="SS58" s="23">
        <v>4.56</v>
      </c>
      <c r="ST58" s="23"/>
      <c r="SU58" s="23"/>
      <c r="SV58" s="23"/>
      <c r="SW58" s="23">
        <v>4.5</v>
      </c>
      <c r="SX58" s="23">
        <v>4.48</v>
      </c>
      <c r="SY58" s="23">
        <v>4.45</v>
      </c>
      <c r="SZ58" s="23">
        <v>4.45</v>
      </c>
      <c r="TA58" s="23"/>
      <c r="TB58" s="23"/>
      <c r="TC58" s="23">
        <v>4.47</v>
      </c>
      <c r="TD58" s="23">
        <v>4.46</v>
      </c>
      <c r="TE58" s="23">
        <v>4.49</v>
      </c>
      <c r="TF58" s="23">
        <v>4.47</v>
      </c>
      <c r="TG58" s="23">
        <v>4.55</v>
      </c>
      <c r="TH58" s="23"/>
      <c r="TI58" s="23"/>
      <c r="TJ58" s="23">
        <v>4.56</v>
      </c>
      <c r="TK58" s="23">
        <v>4.53</v>
      </c>
      <c r="TL58" s="23">
        <v>4.55</v>
      </c>
      <c r="TM58" s="23">
        <v>4.45</v>
      </c>
      <c r="TN58" s="23">
        <v>4.48</v>
      </c>
      <c r="TO58" s="23"/>
      <c r="TP58" s="23"/>
      <c r="TQ58" s="23">
        <v>4.47</v>
      </c>
      <c r="TR58" s="23">
        <v>4.43</v>
      </c>
      <c r="TS58" s="23">
        <v>4.49</v>
      </c>
      <c r="TT58" s="23">
        <v>4.46</v>
      </c>
      <c r="TU58" s="23"/>
      <c r="TV58" s="23"/>
      <c r="TW58" s="23"/>
      <c r="TX58" s="23">
        <v>4.51</v>
      </c>
      <c r="TY58" s="23">
        <v>4.5</v>
      </c>
      <c r="TZ58" s="23">
        <v>4.41</v>
      </c>
      <c r="UA58" s="23">
        <v>4.4</v>
      </c>
      <c r="UB58" s="23">
        <v>4.38</v>
      </c>
      <c r="UC58" s="23"/>
      <c r="UD58" s="23"/>
      <c r="UE58" s="23">
        <v>4.38</v>
      </c>
      <c r="UF58" s="23">
        <v>4.44</v>
      </c>
      <c r="UG58" s="23">
        <v>4.48</v>
      </c>
      <c r="UH58" s="23">
        <v>4.49</v>
      </c>
      <c r="UI58" s="23"/>
      <c r="UJ58" s="23"/>
      <c r="UK58" s="23"/>
      <c r="UL58" s="23"/>
      <c r="UM58" s="23"/>
      <c r="UN58" s="23"/>
      <c r="UO58" s="23"/>
      <c r="UP58" s="23"/>
      <c r="UQ58" s="23"/>
      <c r="UR58" s="23"/>
      <c r="US58" s="23"/>
      <c r="UT58" s="23"/>
    </row>
    <row r="59" ht="13.5" customHeight="1" spans="4:566">
      <c r="D59" s="19" t="s">
        <v>279</v>
      </c>
      <c r="E59" s="21" t="s">
        <v>280</v>
      </c>
      <c r="F59" s="23"/>
      <c r="G59" s="23">
        <v>108.4892</v>
      </c>
      <c r="H59" s="23">
        <v>109.2411</v>
      </c>
      <c r="I59" s="23">
        <v>108.9212</v>
      </c>
      <c r="J59" s="23"/>
      <c r="K59" s="23"/>
      <c r="L59" s="23">
        <v>108.2413</v>
      </c>
      <c r="M59" s="23">
        <v>108.7038</v>
      </c>
      <c r="N59" s="23">
        <v>108.9959</v>
      </c>
      <c r="O59" s="23">
        <v>109.1766</v>
      </c>
      <c r="P59" s="23">
        <v>109.6567</v>
      </c>
      <c r="Q59" s="23"/>
      <c r="R59" s="23"/>
      <c r="S59" s="23">
        <v>109.6208</v>
      </c>
      <c r="T59" s="23">
        <v>109.1825</v>
      </c>
      <c r="U59" s="23">
        <v>109.1073</v>
      </c>
      <c r="V59" s="23">
        <v>108.9414</v>
      </c>
      <c r="W59" s="23">
        <v>109.3792</v>
      </c>
      <c r="X59" s="23"/>
      <c r="Y59" s="23"/>
      <c r="Z59" s="23">
        <v>108.0744</v>
      </c>
      <c r="AA59" s="23">
        <v>107.9696</v>
      </c>
      <c r="AB59" s="23">
        <v>108.2525</v>
      </c>
      <c r="AC59" s="23">
        <v>108.1472</v>
      </c>
      <c r="AD59" s="23">
        <v>107.4804</v>
      </c>
      <c r="AE59" s="23"/>
      <c r="AF59" s="23"/>
      <c r="AG59" s="23">
        <v>107.3327</v>
      </c>
      <c r="AH59" s="23">
        <v>107.901</v>
      </c>
      <c r="AI59" s="23">
        <v>107.9555</v>
      </c>
      <c r="AJ59" s="23">
        <v>108.1505</v>
      </c>
      <c r="AK59" s="23">
        <v>108.516</v>
      </c>
      <c r="AL59" s="23"/>
      <c r="AM59" s="23"/>
      <c r="AN59" s="23">
        <v>108.4274</v>
      </c>
      <c r="AO59" s="23">
        <v>107.9984</v>
      </c>
      <c r="AP59" s="23">
        <v>107.6188</v>
      </c>
      <c r="AQ59" s="23">
        <v>107.7047</v>
      </c>
      <c r="AR59" s="23">
        <v>108.1001</v>
      </c>
      <c r="AS59" s="23"/>
      <c r="AT59" s="23"/>
      <c r="AU59" s="23">
        <v>108.332</v>
      </c>
      <c r="AV59" s="23">
        <v>107.9248</v>
      </c>
      <c r="AW59" s="23">
        <v>108.01</v>
      </c>
      <c r="AX59" s="23">
        <v>107.0559</v>
      </c>
      <c r="AY59" s="23">
        <v>106.8037</v>
      </c>
      <c r="AZ59" s="23"/>
      <c r="BA59" s="23"/>
      <c r="BB59" s="23">
        <v>106.7296</v>
      </c>
      <c r="BC59" s="23">
        <v>107.0553</v>
      </c>
      <c r="BD59" s="23">
        <v>107.1981</v>
      </c>
      <c r="BE59" s="23">
        <v>106.3538</v>
      </c>
      <c r="BF59" s="23">
        <v>106.6501</v>
      </c>
      <c r="BG59" s="23"/>
      <c r="BH59" s="23"/>
      <c r="BI59" s="23">
        <v>106.6701</v>
      </c>
      <c r="BJ59" s="23">
        <v>106.2821</v>
      </c>
      <c r="BK59" s="23">
        <v>106.4987</v>
      </c>
      <c r="BL59" s="23">
        <v>107.2866</v>
      </c>
      <c r="BM59" s="23">
        <v>107.5644</v>
      </c>
      <c r="BN59" s="23"/>
      <c r="BO59" s="23"/>
      <c r="BP59" s="23">
        <v>106.5345</v>
      </c>
      <c r="BQ59" s="23">
        <v>105.5372</v>
      </c>
      <c r="BR59" s="23">
        <v>104.3218</v>
      </c>
      <c r="BS59" s="23">
        <v>104.2055</v>
      </c>
      <c r="BT59" s="23">
        <v>103.8945</v>
      </c>
      <c r="BU59" s="23"/>
      <c r="BV59" s="23"/>
      <c r="BW59" s="23">
        <v>103.925</v>
      </c>
      <c r="BX59" s="23">
        <v>103.3855</v>
      </c>
      <c r="BY59" s="23">
        <v>103.5872</v>
      </c>
      <c r="BZ59" s="23">
        <v>103.8363</v>
      </c>
      <c r="CA59" s="23">
        <v>103.7363</v>
      </c>
      <c r="CB59" s="23"/>
      <c r="CC59" s="23"/>
      <c r="CD59" s="23">
        <v>103.3986</v>
      </c>
      <c r="CE59" s="23">
        <v>103.2537</v>
      </c>
      <c r="CF59" s="23">
        <v>103.4629</v>
      </c>
      <c r="CG59" s="23">
        <v>103.817</v>
      </c>
      <c r="CH59" s="23">
        <v>104.154</v>
      </c>
      <c r="CI59" s="23"/>
      <c r="CJ59" s="23"/>
      <c r="CK59" s="23">
        <v>104.3068</v>
      </c>
      <c r="CL59" s="23">
        <v>104.2099</v>
      </c>
      <c r="CM59" s="23">
        <v>104.5586</v>
      </c>
      <c r="CN59" s="23">
        <v>104.2597</v>
      </c>
      <c r="CO59" s="23">
        <v>104.0336</v>
      </c>
      <c r="CP59" s="23"/>
      <c r="CQ59" s="23"/>
      <c r="CR59" s="23">
        <v>104.1921</v>
      </c>
      <c r="CS59" s="23">
        <v>104.2263</v>
      </c>
      <c r="CT59" s="23">
        <v>103.6608</v>
      </c>
      <c r="CU59" s="23">
        <v>101.9451</v>
      </c>
      <c r="CV59" s="23">
        <v>102.9189</v>
      </c>
      <c r="CW59" s="23"/>
      <c r="CX59" s="23"/>
      <c r="CY59" s="23">
        <v>103.501</v>
      </c>
      <c r="CZ59" s="23">
        <v>102.956</v>
      </c>
      <c r="DA59" s="23">
        <v>102.971</v>
      </c>
      <c r="DB59" s="23">
        <v>100.9374</v>
      </c>
      <c r="DC59" s="23">
        <v>99.769</v>
      </c>
      <c r="DD59" s="23"/>
      <c r="DE59" s="23"/>
      <c r="DF59" s="23">
        <v>99.692</v>
      </c>
      <c r="DG59" s="23">
        <v>100.167</v>
      </c>
      <c r="DH59" s="23">
        <v>99.2667</v>
      </c>
      <c r="DI59" s="23">
        <v>99.424</v>
      </c>
      <c r="DJ59" s="23">
        <v>99.2286</v>
      </c>
      <c r="DK59" s="23"/>
      <c r="DL59" s="23"/>
      <c r="DM59" s="23">
        <v>98.3518</v>
      </c>
      <c r="DN59" s="23">
        <v>98.9757</v>
      </c>
      <c r="DO59" s="23">
        <v>99.9096</v>
      </c>
      <c r="DP59" s="23">
        <v>99.288</v>
      </c>
      <c r="DQ59" s="23">
        <v>99.5836</v>
      </c>
      <c r="DR59" s="23"/>
      <c r="DS59" s="23"/>
      <c r="DT59" s="23">
        <v>98.9357</v>
      </c>
      <c r="DU59" s="23">
        <v>99.21</v>
      </c>
      <c r="DV59" s="23">
        <v>99.6403</v>
      </c>
      <c r="DW59" s="23">
        <v>100.1866</v>
      </c>
      <c r="DX59" s="23">
        <v>100.0424</v>
      </c>
      <c r="DY59" s="23"/>
      <c r="DZ59" s="23"/>
      <c r="EA59" s="23">
        <v>99.7911</v>
      </c>
      <c r="EB59" s="23">
        <v>99.2654</v>
      </c>
      <c r="EC59" s="23">
        <v>99.9006</v>
      </c>
      <c r="ED59" s="23">
        <v>100.6325</v>
      </c>
      <c r="EE59" s="23">
        <v>100.4218</v>
      </c>
      <c r="EF59" s="23"/>
      <c r="EG59" s="23"/>
      <c r="EH59" s="23">
        <v>101.814</v>
      </c>
      <c r="EI59" s="23">
        <v>100.9827</v>
      </c>
      <c r="EJ59" s="23">
        <v>101.0655</v>
      </c>
      <c r="EK59" s="23">
        <v>100.8196</v>
      </c>
      <c r="EL59" s="23">
        <v>100.9828</v>
      </c>
      <c r="EM59" s="23"/>
      <c r="EN59" s="23"/>
      <c r="EO59" s="23">
        <v>100.3726</v>
      </c>
      <c r="EP59" s="23">
        <v>100.0219</v>
      </c>
      <c r="EQ59" s="23">
        <v>99.6014</v>
      </c>
      <c r="ER59" s="23">
        <v>99.9388</v>
      </c>
      <c r="ES59" s="23">
        <v>99.1231</v>
      </c>
      <c r="ET59" s="23"/>
      <c r="EU59" s="23"/>
      <c r="EV59" s="23">
        <v>98.9787</v>
      </c>
      <c r="EW59" s="23">
        <v>99.6147</v>
      </c>
      <c r="EX59" s="23">
        <v>99.8978</v>
      </c>
      <c r="EY59" s="23">
        <v>99.3633</v>
      </c>
      <c r="EZ59" s="23">
        <v>99.4393</v>
      </c>
      <c r="FA59" s="23"/>
      <c r="FB59" s="23"/>
      <c r="FC59" s="23">
        <v>98.6893</v>
      </c>
      <c r="FD59" s="23">
        <v>99.2781</v>
      </c>
      <c r="FE59" s="23">
        <v>98.8128</v>
      </c>
      <c r="FF59" s="23">
        <v>98.7444</v>
      </c>
      <c r="FG59" s="23">
        <v>99.2031</v>
      </c>
      <c r="FH59" s="23"/>
      <c r="FI59" s="23"/>
      <c r="FJ59" s="23">
        <v>99.0187</v>
      </c>
      <c r="FK59" s="23">
        <v>99.0522</v>
      </c>
      <c r="FL59" s="23">
        <v>98.6454</v>
      </c>
      <c r="FM59" s="23">
        <v>97.8655</v>
      </c>
      <c r="FN59" s="23">
        <v>98.145</v>
      </c>
      <c r="FO59" s="23"/>
      <c r="FP59" s="23"/>
      <c r="FQ59" s="23">
        <v>98.1548</v>
      </c>
      <c r="FR59" s="23">
        <v>98.8304</v>
      </c>
      <c r="FS59" s="23">
        <v>98.8911</v>
      </c>
      <c r="FT59" s="23">
        <v>98.7773</v>
      </c>
      <c r="FU59" s="23">
        <v>98.7639</v>
      </c>
      <c r="FV59" s="23"/>
      <c r="FW59" s="23"/>
      <c r="FX59" s="23">
        <v>98.3801</v>
      </c>
      <c r="FY59" s="23">
        <v>97.9681</v>
      </c>
      <c r="FZ59" s="23">
        <v>97.6977</v>
      </c>
      <c r="GA59" s="23">
        <v>97.2985</v>
      </c>
      <c r="GB59" s="23">
        <v>97.2612</v>
      </c>
      <c r="GC59" s="23"/>
      <c r="GD59" s="23"/>
      <c r="GE59" s="23">
        <v>96.7723</v>
      </c>
      <c r="GF59" s="23">
        <v>96.6451</v>
      </c>
      <c r="GG59" s="23">
        <v>96.7788</v>
      </c>
      <c r="GH59" s="23">
        <v>97.1185</v>
      </c>
      <c r="GI59" s="23">
        <v>96.988</v>
      </c>
      <c r="GJ59" s="23"/>
      <c r="GK59" s="23"/>
      <c r="GL59" s="23">
        <v>97.5537</v>
      </c>
      <c r="GM59" s="23">
        <v>97.4921</v>
      </c>
      <c r="GN59" s="23">
        <v>97.4931</v>
      </c>
      <c r="GO59" s="23">
        <v>97.5904</v>
      </c>
      <c r="GP59" s="23">
        <v>97.8731</v>
      </c>
      <c r="GQ59" s="23"/>
      <c r="GR59" s="23"/>
      <c r="GS59" s="23">
        <v>98.1082</v>
      </c>
      <c r="GT59" s="23">
        <v>98.6306</v>
      </c>
      <c r="GU59" s="23">
        <v>98.2859</v>
      </c>
      <c r="GV59" s="23">
        <v>98.6419</v>
      </c>
      <c r="GW59" s="23">
        <v>98.46</v>
      </c>
      <c r="GX59" s="23"/>
      <c r="GY59" s="23"/>
      <c r="GZ59" s="23">
        <v>97.8342</v>
      </c>
      <c r="HA59" s="23">
        <v>97.355</v>
      </c>
      <c r="HB59" s="23">
        <v>97.2048</v>
      </c>
      <c r="HC59" s="23">
        <v>97.4884</v>
      </c>
      <c r="HD59" s="23">
        <v>97.6701</v>
      </c>
      <c r="HE59" s="23"/>
      <c r="HF59" s="23"/>
      <c r="HG59" s="23">
        <v>98.6694</v>
      </c>
      <c r="HH59" s="23">
        <v>98.9234</v>
      </c>
      <c r="HI59" s="23">
        <v>99.9684</v>
      </c>
      <c r="HJ59" s="23">
        <v>100.0489</v>
      </c>
      <c r="HK59" s="23">
        <v>98.69</v>
      </c>
      <c r="HL59" s="23"/>
      <c r="HM59" s="23"/>
      <c r="HN59" s="23">
        <v>98.7427</v>
      </c>
      <c r="HO59" s="23">
        <v>98.7559</v>
      </c>
      <c r="HP59" s="23">
        <v>98.223</v>
      </c>
      <c r="HQ59" s="23">
        <v>98.0872</v>
      </c>
      <c r="HR59" s="23">
        <v>98.267</v>
      </c>
      <c r="HS59" s="23"/>
      <c r="HT59" s="23"/>
      <c r="HU59" s="23">
        <v>98.5013</v>
      </c>
      <c r="HV59" s="23">
        <v>98.0707</v>
      </c>
      <c r="HW59" s="23">
        <v>97.7884</v>
      </c>
      <c r="HX59" s="23">
        <v>98.2041</v>
      </c>
      <c r="HY59" s="23">
        <v>97.8467</v>
      </c>
      <c r="HZ59" s="23"/>
      <c r="IA59" s="23"/>
      <c r="IB59" s="23">
        <v>98.1535</v>
      </c>
      <c r="IC59" s="23">
        <v>98.279</v>
      </c>
      <c r="ID59" s="23">
        <v>98.2406</v>
      </c>
      <c r="IE59" s="23">
        <v>98.6526</v>
      </c>
      <c r="IF59" s="23">
        <v>97.7244</v>
      </c>
      <c r="IG59" s="23"/>
      <c r="IH59" s="23"/>
      <c r="II59" s="23">
        <v>98.4262</v>
      </c>
      <c r="IJ59" s="23">
        <v>98.2375</v>
      </c>
      <c r="IK59" s="23">
        <v>98.1926</v>
      </c>
      <c r="IL59" s="23">
        <v>97.8679</v>
      </c>
      <c r="IM59" s="23">
        <v>97.8477</v>
      </c>
      <c r="IN59" s="23"/>
      <c r="IO59" s="23"/>
      <c r="IP59" s="31">
        <v>97.6793</v>
      </c>
      <c r="IQ59" s="31">
        <v>98.3147</v>
      </c>
      <c r="IR59" s="31">
        <v>98.1485</v>
      </c>
      <c r="IS59" s="31">
        <v>98.2748</v>
      </c>
      <c r="IT59" s="31">
        <v>97.7357</v>
      </c>
      <c r="IU59" s="31"/>
      <c r="IV59" s="31"/>
      <c r="IW59" s="31">
        <v>97.4478</v>
      </c>
      <c r="IX59" s="31">
        <v>97.7669</v>
      </c>
      <c r="IY59" s="31">
        <v>97.8433</v>
      </c>
      <c r="IZ59" s="31">
        <v>97.5299</v>
      </c>
      <c r="JA59" s="31">
        <v>97.6178</v>
      </c>
      <c r="JB59" s="31"/>
      <c r="JC59" s="31"/>
      <c r="JD59" s="31">
        <v>97.3586</v>
      </c>
      <c r="JE59" s="31">
        <v>96.6434</v>
      </c>
      <c r="JF59" s="31">
        <v>97.0351</v>
      </c>
      <c r="JG59" s="31">
        <v>97.3696</v>
      </c>
      <c r="JH59" s="31">
        <v>97.6519</v>
      </c>
      <c r="JI59" s="31"/>
      <c r="JJ59" s="31"/>
      <c r="JK59" s="31">
        <v>97.311</v>
      </c>
      <c r="JL59" s="31">
        <v>97.2351</v>
      </c>
      <c r="JM59" s="31">
        <v>97.8657</v>
      </c>
      <c r="JN59" s="31">
        <v>98.4621</v>
      </c>
      <c r="JO59" s="31">
        <v>98.1926</v>
      </c>
      <c r="JP59" s="31"/>
      <c r="JQ59" s="31"/>
      <c r="JR59" s="31">
        <v>97.9325</v>
      </c>
      <c r="JS59" s="31">
        <v>97.8224</v>
      </c>
      <c r="JT59" s="31">
        <v>97.7412</v>
      </c>
      <c r="JU59" s="31">
        <v>97.8916</v>
      </c>
      <c r="JV59" s="31">
        <v>97.7229</v>
      </c>
      <c r="JW59" s="31"/>
      <c r="JX59" s="31"/>
      <c r="JY59" s="31">
        <v>98.1041</v>
      </c>
      <c r="JZ59" s="23">
        <v>98.5859</v>
      </c>
      <c r="KA59" s="23">
        <v>98.849</v>
      </c>
      <c r="KB59" s="23">
        <v>99.4044</v>
      </c>
      <c r="KC59" s="23">
        <v>98.8223</v>
      </c>
      <c r="KD59" s="23"/>
      <c r="KE59" s="23"/>
      <c r="KF59" s="23">
        <v>99.2595</v>
      </c>
      <c r="KG59" s="23">
        <v>99.0453</v>
      </c>
      <c r="KH59" s="23">
        <v>98.6659</v>
      </c>
      <c r="KI59" s="23">
        <v>98.3526</v>
      </c>
      <c r="KJ59" s="23">
        <v>98.5556</v>
      </c>
      <c r="KK59" s="23"/>
      <c r="KL59" s="23"/>
      <c r="KM59" s="23">
        <v>98.6219</v>
      </c>
      <c r="KN59" s="23">
        <v>98.9712</v>
      </c>
      <c r="KO59" s="23">
        <v>98.9071</v>
      </c>
      <c r="KP59" s="23">
        <v>98.9334</v>
      </c>
      <c r="KQ59" s="23">
        <v>98.9417</v>
      </c>
      <c r="KR59" s="23"/>
      <c r="KS59" s="23"/>
      <c r="KT59" s="23">
        <v>98.8207</v>
      </c>
      <c r="KU59" s="23">
        <v>98.7215</v>
      </c>
      <c r="KV59" s="23">
        <v>99.1495</v>
      </c>
      <c r="KW59" s="23">
        <v>99.5456</v>
      </c>
      <c r="KX59" s="23">
        <v>99.7308</v>
      </c>
      <c r="KY59" s="23"/>
      <c r="KZ59" s="23"/>
      <c r="LA59" s="23">
        <v>99.8762</v>
      </c>
      <c r="LB59" s="23">
        <v>100.2092</v>
      </c>
      <c r="LC59" s="23">
        <v>100.1593</v>
      </c>
      <c r="LD59" s="23">
        <v>99.6968</v>
      </c>
      <c r="LE59" s="23">
        <v>99.5477</v>
      </c>
      <c r="LF59" s="23"/>
      <c r="LG59" s="23"/>
      <c r="LH59" s="23">
        <v>99.6167</v>
      </c>
      <c r="LI59" s="23">
        <v>99.4792</v>
      </c>
      <c r="LJ59" s="23">
        <v>99.4771</v>
      </c>
      <c r="LK59" s="23">
        <v>99.176</v>
      </c>
      <c r="LL59" s="23">
        <v>99.2845</v>
      </c>
      <c r="LM59" s="23"/>
      <c r="LN59" s="23"/>
      <c r="LO59" s="23">
        <v>99.5317</v>
      </c>
      <c r="LP59" s="23">
        <v>99.5932</v>
      </c>
      <c r="LQ59" s="23">
        <v>100.1249</v>
      </c>
      <c r="LR59" s="23">
        <v>100.2193</v>
      </c>
      <c r="LS59" s="23">
        <v>100.1527</v>
      </c>
      <c r="LT59" s="23"/>
      <c r="LU59" s="23"/>
      <c r="LV59" s="23">
        <v>100.2026</v>
      </c>
      <c r="LW59" s="23">
        <v>99.8123</v>
      </c>
      <c r="LX59" s="23">
        <v>99.5885</v>
      </c>
      <c r="LY59" s="23">
        <v>99.5527</v>
      </c>
      <c r="LZ59" s="23">
        <v>99.4391</v>
      </c>
      <c r="MA59" s="23"/>
      <c r="MB59" s="23"/>
      <c r="MC59" s="23">
        <v>99.4081</v>
      </c>
      <c r="MD59" s="23">
        <v>99.3208</v>
      </c>
      <c r="ME59" s="23">
        <v>98.8659</v>
      </c>
      <c r="MF59" s="23">
        <v>99.0602</v>
      </c>
      <c r="MG59" s="23">
        <v>98.983</v>
      </c>
      <c r="MH59" s="23"/>
      <c r="MI59" s="23"/>
      <c r="MJ59" s="23">
        <v>99.1026</v>
      </c>
      <c r="MK59" s="23">
        <v>99.2407</v>
      </c>
      <c r="ML59" s="23">
        <v>98.6403</v>
      </c>
      <c r="MM59" s="23">
        <v>98.3448</v>
      </c>
      <c r="MN59" s="23">
        <v>98.4012</v>
      </c>
      <c r="MO59" s="23"/>
      <c r="MP59" s="23"/>
      <c r="MQ59" s="23">
        <v>98.2797</v>
      </c>
      <c r="MR59" s="23">
        <v>98.2199</v>
      </c>
      <c r="MS59" s="23">
        <v>98.3983</v>
      </c>
      <c r="MT59" s="23">
        <v>98.4401</v>
      </c>
      <c r="MU59" s="23">
        <v>98.7125</v>
      </c>
      <c r="MV59" s="23"/>
      <c r="MW59" s="23"/>
      <c r="MX59" s="23">
        <v>98.2603</v>
      </c>
      <c r="MY59" s="23">
        <v>97.9093</v>
      </c>
      <c r="MZ59" s="23">
        <v>97.9535</v>
      </c>
      <c r="NA59" s="23">
        <v>97.9079</v>
      </c>
      <c r="NB59" s="23">
        <v>98.0341</v>
      </c>
      <c r="NC59" s="23"/>
      <c r="ND59" s="23"/>
      <c r="NE59" s="23">
        <v>97.9975</v>
      </c>
      <c r="NF59" s="23">
        <v>98.2181</v>
      </c>
      <c r="NG59" s="23">
        <v>98.2696</v>
      </c>
      <c r="NH59" s="23">
        <v>98.249</v>
      </c>
      <c r="NI59" s="23">
        <v>98.4594</v>
      </c>
      <c r="NJ59" s="23"/>
      <c r="NK59" s="23"/>
      <c r="NL59" s="23">
        <v>98.3291</v>
      </c>
      <c r="NM59" s="23">
        <v>98.5997</v>
      </c>
      <c r="NN59" s="23">
        <v>98.7426</v>
      </c>
      <c r="NO59" s="23">
        <v>98.864</v>
      </c>
      <c r="NP59" s="23">
        <v>99.1368</v>
      </c>
      <c r="NQ59" s="23"/>
      <c r="NR59" s="23"/>
      <c r="NS59" s="23">
        <v>98.8943</v>
      </c>
      <c r="NT59" s="23">
        <v>99.1842</v>
      </c>
      <c r="NU59" s="23">
        <v>99.0753</v>
      </c>
      <c r="NV59" s="23">
        <v>99.3424</v>
      </c>
      <c r="NW59" s="23">
        <v>99.3691</v>
      </c>
      <c r="NX59" s="23"/>
      <c r="NY59" s="23"/>
      <c r="NZ59" s="23">
        <v>99.0423</v>
      </c>
      <c r="OA59" s="23">
        <v>98.5413</v>
      </c>
      <c r="OB59" s="23">
        <v>98.7693</v>
      </c>
      <c r="OC59" s="23">
        <v>98.2778</v>
      </c>
      <c r="OD59" s="23">
        <v>97.5053</v>
      </c>
      <c r="OE59" s="23"/>
      <c r="OF59" s="23"/>
      <c r="OG59" s="23">
        <v>97.0506</v>
      </c>
      <c r="OH59" s="23">
        <v>95.7725</v>
      </c>
      <c r="OI59" s="23">
        <v>96.352</v>
      </c>
      <c r="OJ59" s="23">
        <v>96.1643</v>
      </c>
      <c r="OK59" s="23">
        <v>97.1152</v>
      </c>
      <c r="OL59" s="23"/>
      <c r="OM59" s="23"/>
      <c r="ON59" s="23">
        <v>97.6129</v>
      </c>
      <c r="OO59" s="23">
        <v>97.3872</v>
      </c>
      <c r="OP59" s="23">
        <v>97.6518</v>
      </c>
      <c r="OQ59" s="23">
        <v>97.9585</v>
      </c>
      <c r="OR59" s="23">
        <v>97.6102</v>
      </c>
      <c r="OS59" s="23"/>
      <c r="OT59" s="23"/>
      <c r="OU59" s="23">
        <v>96.8526</v>
      </c>
      <c r="OV59" s="23">
        <v>96.865</v>
      </c>
      <c r="OW59" s="23">
        <v>96.9194</v>
      </c>
      <c r="OX59" s="23">
        <v>96.9065</v>
      </c>
      <c r="OY59" s="23">
        <v>96.8592</v>
      </c>
      <c r="OZ59" s="23"/>
      <c r="PA59" s="23"/>
      <c r="PB59" s="23">
        <v>97.089</v>
      </c>
      <c r="PC59" s="23">
        <v>97.1222</v>
      </c>
      <c r="PD59" s="23">
        <v>97.74</v>
      </c>
      <c r="PE59" s="23">
        <v>97.8455</v>
      </c>
      <c r="PF59" s="23">
        <v>97.7438</v>
      </c>
      <c r="PG59" s="23"/>
      <c r="PH59" s="23"/>
      <c r="PI59" s="23">
        <v>97.7425</v>
      </c>
      <c r="PJ59" s="23">
        <v>97.8931</v>
      </c>
      <c r="PK59" s="23">
        <v>97.6594</v>
      </c>
      <c r="PL59" s="23">
        <v>97.7846</v>
      </c>
      <c r="PM59" s="23">
        <v>97.6443</v>
      </c>
      <c r="PN59" s="23"/>
      <c r="PO59" s="23"/>
      <c r="PP59" s="23">
        <v>98.5491</v>
      </c>
      <c r="PQ59" s="23">
        <v>99.0623</v>
      </c>
      <c r="PR59" s="23">
        <v>98.7968</v>
      </c>
      <c r="PS59" s="23">
        <v>99.0434</v>
      </c>
      <c r="PT59" s="23">
        <v>98.9558</v>
      </c>
      <c r="PU59" s="23"/>
      <c r="PV59" s="23"/>
      <c r="PW59" s="23">
        <v>98.7148</v>
      </c>
      <c r="PX59" s="23">
        <v>98.9435</v>
      </c>
      <c r="PY59" s="23">
        <v>99.2622</v>
      </c>
      <c r="PZ59" s="23">
        <v>99.7398</v>
      </c>
      <c r="QA59" s="23">
        <v>100.504</v>
      </c>
      <c r="QB59" s="23"/>
      <c r="QC59" s="23"/>
      <c r="QD59" s="23">
        <v>99.8018</v>
      </c>
      <c r="QE59" s="23">
        <v>99.5567</v>
      </c>
      <c r="QF59" s="23">
        <v>100.2981</v>
      </c>
      <c r="QG59" s="23">
        <v>99.1847</v>
      </c>
      <c r="QH59" s="23">
        <v>99.51</v>
      </c>
      <c r="QI59" s="23"/>
      <c r="QJ59" s="23"/>
      <c r="QK59" s="23">
        <v>99.1597</v>
      </c>
      <c r="QL59" s="23">
        <v>99.2283</v>
      </c>
      <c r="QM59" s="23">
        <v>99.6329</v>
      </c>
      <c r="QN59" s="23">
        <v>99.9172</v>
      </c>
      <c r="QO59" s="23">
        <v>100.1745</v>
      </c>
      <c r="QP59" s="23"/>
      <c r="QQ59" s="23"/>
      <c r="QR59" s="23">
        <v>100.5054</v>
      </c>
      <c r="QS59" s="23">
        <v>99.8817</v>
      </c>
      <c r="QT59" s="23">
        <v>99.5539</v>
      </c>
      <c r="QU59" s="23">
        <v>100.01</v>
      </c>
      <c r="QV59" s="23">
        <v>100.1943</v>
      </c>
      <c r="QW59" s="23"/>
      <c r="QX59" s="23"/>
      <c r="QY59" s="23">
        <v>99.9891</v>
      </c>
      <c r="QZ59" s="23">
        <v>99.6534</v>
      </c>
      <c r="RA59" s="23">
        <v>99.028</v>
      </c>
      <c r="RB59" s="23">
        <v>98.8157</v>
      </c>
      <c r="RC59" s="23">
        <v>98.6997</v>
      </c>
      <c r="RD59" s="23"/>
      <c r="RE59" s="23"/>
      <c r="RF59" s="23">
        <v>98.4094</v>
      </c>
      <c r="RG59" s="23">
        <v>98.0995</v>
      </c>
      <c r="RH59" s="23">
        <v>98.0792</v>
      </c>
      <c r="RI59" s="23">
        <v>98.2035</v>
      </c>
      <c r="RJ59" s="23">
        <v>98.2289</v>
      </c>
      <c r="RK59" s="23"/>
      <c r="RL59" s="23"/>
      <c r="RM59" s="23">
        <v>98.0541</v>
      </c>
      <c r="RN59" s="23">
        <v>98.3767</v>
      </c>
      <c r="RO59" s="23">
        <v>98.6059</v>
      </c>
      <c r="RP59" s="23">
        <v>98.8279</v>
      </c>
      <c r="RQ59" s="23">
        <v>98.5267</v>
      </c>
      <c r="RR59" s="23"/>
      <c r="RS59" s="23"/>
      <c r="RT59" s="23">
        <v>98.49</v>
      </c>
      <c r="RU59" s="23">
        <v>98.6293</v>
      </c>
      <c r="RV59" s="23">
        <v>98.9532</v>
      </c>
      <c r="RW59" s="23">
        <v>98.0997</v>
      </c>
      <c r="RX59" s="23">
        <v>98.2092</v>
      </c>
      <c r="RY59" s="23"/>
      <c r="RZ59" s="23"/>
      <c r="SA59" s="23">
        <v>98.4633</v>
      </c>
      <c r="SB59" s="23">
        <v>98.4954</v>
      </c>
      <c r="SC59" s="23">
        <v>98.0266</v>
      </c>
      <c r="SD59" s="23">
        <v>98.2807</v>
      </c>
      <c r="SE59" s="23">
        <v>97.8485</v>
      </c>
      <c r="SF59" s="23"/>
      <c r="SG59" s="23"/>
      <c r="SH59" s="23">
        <v>97.9413</v>
      </c>
      <c r="SI59" s="23">
        <v>98.2839</v>
      </c>
      <c r="SJ59" s="23">
        <v>98.478</v>
      </c>
      <c r="SK59" s="23">
        <v>98.882</v>
      </c>
      <c r="SL59" s="23">
        <v>99.2668</v>
      </c>
      <c r="SM59" s="23"/>
      <c r="SN59" s="23"/>
      <c r="SO59" s="23">
        <v>98.9803</v>
      </c>
      <c r="SP59" s="23">
        <v>99.3112</v>
      </c>
      <c r="SQ59" s="23">
        <v>99.1296</v>
      </c>
      <c r="SR59" s="23">
        <v>99.2046</v>
      </c>
      <c r="SS59" s="23">
        <v>99.3351</v>
      </c>
      <c r="ST59" s="23"/>
      <c r="SU59" s="23"/>
      <c r="SV59" s="23">
        <v>98.9756</v>
      </c>
      <c r="SW59" s="23">
        <v>99.1464</v>
      </c>
      <c r="SX59" s="23">
        <v>99.2285</v>
      </c>
      <c r="SY59" s="23">
        <v>99.0065</v>
      </c>
      <c r="SZ59" s="23">
        <v>98.9259</v>
      </c>
      <c r="TA59" s="23"/>
      <c r="TB59" s="23"/>
      <c r="TC59" s="23">
        <v>99.1891</v>
      </c>
      <c r="TD59" s="23">
        <v>99.2158</v>
      </c>
      <c r="TE59" s="23">
        <v>99.4733</v>
      </c>
      <c r="TF59" s="23">
        <v>99.4268</v>
      </c>
      <c r="TG59" s="23">
        <v>100.0786</v>
      </c>
      <c r="TH59" s="23"/>
      <c r="TI59" s="23"/>
      <c r="TJ59" s="23">
        <v>100.0149</v>
      </c>
      <c r="TK59" s="23">
        <v>99.997</v>
      </c>
      <c r="TL59" s="23">
        <v>100.0435</v>
      </c>
      <c r="TM59" s="23">
        <v>99.6932</v>
      </c>
      <c r="TN59" s="23">
        <v>99.8037</v>
      </c>
      <c r="TO59" s="23"/>
      <c r="TP59" s="23"/>
      <c r="TQ59" s="23">
        <v>99.6638</v>
      </c>
      <c r="TR59" s="23">
        <v>99.5171</v>
      </c>
      <c r="TS59" s="23">
        <v>100.383</v>
      </c>
      <c r="TT59" s="23">
        <v>100.8325</v>
      </c>
      <c r="TU59" s="23">
        <v>100.7528</v>
      </c>
      <c r="TV59" s="23"/>
      <c r="TW59" s="23"/>
      <c r="TX59" s="23">
        <v>101.0039</v>
      </c>
      <c r="TY59" s="23">
        <v>101.374</v>
      </c>
      <c r="TZ59" s="23">
        <v>101.5745</v>
      </c>
      <c r="UA59" s="23">
        <v>101.4559</v>
      </c>
      <c r="UB59" s="23">
        <v>101.3565</v>
      </c>
      <c r="UC59" s="23"/>
      <c r="UD59" s="23"/>
      <c r="UE59" s="23">
        <v>101.1027</v>
      </c>
      <c r="UF59" s="23">
        <v>101.1861</v>
      </c>
      <c r="UG59" s="23">
        <v>101.414</v>
      </c>
      <c r="UH59" s="23">
        <v>100.8652</v>
      </c>
      <c r="UI59" s="23">
        <v>100.8749</v>
      </c>
      <c r="UJ59" s="23"/>
      <c r="UK59" s="23"/>
      <c r="UL59" s="23"/>
      <c r="UM59" s="23"/>
      <c r="UN59" s="23"/>
      <c r="UO59" s="23"/>
      <c r="UP59" s="23"/>
      <c r="UQ59" s="23"/>
      <c r="UR59" s="23"/>
      <c r="US59" s="23"/>
      <c r="UT59" s="23"/>
    </row>
    <row r="60" ht="16.5" customHeight="1" spans="4:566">
      <c r="D60" s="19" t="s">
        <v>281</v>
      </c>
      <c r="E60" s="21" t="s">
        <v>282</v>
      </c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>
        <v>3</v>
      </c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>
        <v>2.8</v>
      </c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>
        <v>2.4</v>
      </c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>
        <v>2.3</v>
      </c>
      <c r="DW60" s="23"/>
      <c r="DX60" s="23"/>
      <c r="DY60" s="23"/>
      <c r="DZ60" s="23"/>
      <c r="EA60" s="23"/>
      <c r="EB60" s="23"/>
      <c r="EC60" s="23"/>
      <c r="ED60" s="23"/>
      <c r="EE60" s="23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>
        <v>2.4</v>
      </c>
      <c r="FB60" s="23"/>
      <c r="FC60" s="23"/>
      <c r="FD60" s="23"/>
      <c r="FE60" s="23"/>
      <c r="FF60" s="23"/>
      <c r="FG60" s="23"/>
      <c r="FH60" s="23"/>
      <c r="FI60" s="23"/>
      <c r="FJ60" s="23"/>
      <c r="FK60" s="23"/>
      <c r="FL60" s="23"/>
      <c r="FM60" s="23"/>
      <c r="FN60" s="23"/>
      <c r="FO60" s="23"/>
      <c r="FP60" s="23"/>
      <c r="FQ60" s="23"/>
      <c r="FR60" s="23"/>
      <c r="FS60" s="23"/>
      <c r="FT60" s="23"/>
      <c r="FU60" s="23"/>
      <c r="FV60" s="23"/>
      <c r="FW60" s="23"/>
      <c r="FX60" s="23"/>
      <c r="FY60" s="23"/>
      <c r="FZ60" s="23"/>
      <c r="GA60" s="23"/>
      <c r="GB60" s="23"/>
      <c r="GC60" s="23"/>
      <c r="GD60" s="23"/>
      <c r="GE60" s="23">
        <v>2.7</v>
      </c>
      <c r="GF60" s="23"/>
      <c r="GG60" s="23"/>
      <c r="GH60" s="23"/>
      <c r="GI60" s="23"/>
      <c r="GJ60" s="23"/>
      <c r="GK60" s="23"/>
      <c r="GL60" s="23"/>
      <c r="GM60" s="23"/>
      <c r="GN60" s="23"/>
      <c r="GO60" s="23"/>
      <c r="GP60" s="23"/>
      <c r="GQ60" s="23"/>
      <c r="GR60" s="23"/>
      <c r="GS60" s="23"/>
      <c r="GT60" s="23"/>
      <c r="GU60" s="23"/>
      <c r="GV60" s="23"/>
      <c r="GW60" s="23"/>
      <c r="GX60" s="23"/>
      <c r="GY60" s="23"/>
      <c r="GZ60" s="23"/>
      <c r="HA60" s="23"/>
      <c r="HB60" s="23"/>
      <c r="HC60" s="23"/>
      <c r="HD60" s="23"/>
      <c r="HE60" s="23"/>
      <c r="HF60" s="23"/>
      <c r="HG60" s="23"/>
      <c r="HH60" s="23"/>
      <c r="HI60" s="23"/>
      <c r="HJ60" s="23">
        <v>2.7</v>
      </c>
      <c r="HK60" s="23"/>
      <c r="HL60" s="23"/>
      <c r="HM60" s="23"/>
      <c r="HN60" s="23"/>
      <c r="HO60" s="23"/>
      <c r="HP60" s="23"/>
      <c r="HQ60" s="23"/>
      <c r="HR60" s="23"/>
      <c r="HS60" s="23"/>
      <c r="HT60" s="23"/>
      <c r="HU60" s="23"/>
      <c r="HV60" s="23"/>
      <c r="HW60" s="23"/>
      <c r="HX60" s="23"/>
      <c r="HY60" s="23"/>
      <c r="HZ60" s="23"/>
      <c r="IA60" s="23"/>
      <c r="IB60" s="23"/>
      <c r="IC60" s="23"/>
      <c r="ID60" s="23"/>
      <c r="IE60" s="23"/>
      <c r="IF60" s="23"/>
      <c r="IG60" s="23"/>
      <c r="IH60" s="23"/>
      <c r="II60" s="23"/>
      <c r="IJ60" s="23"/>
      <c r="IK60" s="23"/>
      <c r="IL60" s="23"/>
      <c r="IM60" s="23"/>
      <c r="IN60" s="23"/>
      <c r="IO60" s="23">
        <v>2.9</v>
      </c>
      <c r="IP60" s="31"/>
      <c r="IQ60" s="31"/>
      <c r="IR60" s="31"/>
      <c r="IS60" s="31"/>
      <c r="IT60" s="31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  <c r="JN60" s="31"/>
      <c r="JO60" s="31"/>
      <c r="JP60" s="31"/>
      <c r="JQ60" s="31"/>
      <c r="JR60" s="31"/>
      <c r="JS60" s="31">
        <v>3</v>
      </c>
      <c r="JT60" s="31"/>
      <c r="JU60" s="31"/>
      <c r="JV60" s="31"/>
      <c r="JW60" s="31"/>
      <c r="JX60" s="31"/>
      <c r="JY60" s="31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>
        <v>2.7</v>
      </c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>
        <v>2.7</v>
      </c>
      <c r="NH60" s="23"/>
      <c r="NI60" s="23"/>
      <c r="NJ60" s="23"/>
      <c r="NK60" s="23"/>
      <c r="NL60" s="23"/>
      <c r="NM60" s="23"/>
      <c r="NN60" s="23"/>
      <c r="NO60" s="23"/>
      <c r="NP60" s="23"/>
      <c r="NQ60" s="23"/>
      <c r="NR60" s="23"/>
      <c r="NS60" s="23"/>
      <c r="NT60" s="23"/>
      <c r="NU60" s="23"/>
      <c r="NV60" s="23"/>
      <c r="NW60" s="23"/>
      <c r="NX60" s="23"/>
      <c r="NY60" s="23"/>
      <c r="NZ60" s="23"/>
      <c r="OA60" s="23"/>
      <c r="OB60" s="23"/>
      <c r="OC60" s="23"/>
      <c r="OD60" s="23"/>
      <c r="OE60" s="23"/>
      <c r="OF60" s="23"/>
      <c r="OG60" s="23"/>
      <c r="OH60" s="23"/>
      <c r="OI60" s="23"/>
      <c r="OJ60" s="23"/>
      <c r="OK60" s="23"/>
      <c r="OL60" s="23">
        <v>2.4</v>
      </c>
      <c r="OM60" s="23"/>
      <c r="ON60" s="23"/>
      <c r="OO60" s="23"/>
      <c r="OP60" s="23"/>
      <c r="OQ60" s="23"/>
      <c r="OR60" s="23"/>
      <c r="OS60" s="23"/>
      <c r="OT60" s="23"/>
      <c r="OU60" s="23"/>
      <c r="OV60" s="23"/>
      <c r="OW60" s="23"/>
      <c r="OX60" s="23"/>
      <c r="OY60" s="23"/>
      <c r="OZ60" s="23"/>
      <c r="PA60" s="23"/>
      <c r="PB60" s="23"/>
      <c r="PC60" s="23"/>
      <c r="PD60" s="23"/>
      <c r="PE60" s="23"/>
      <c r="PF60" s="23"/>
      <c r="PG60" s="23"/>
      <c r="PH60" s="23"/>
      <c r="PI60" s="23"/>
      <c r="PJ60" s="23"/>
      <c r="PK60" s="23"/>
      <c r="PL60" s="23"/>
      <c r="PM60" s="23"/>
      <c r="PN60" s="23">
        <v>2.4</v>
      </c>
      <c r="PO60" s="23"/>
      <c r="PP60" s="23"/>
      <c r="PQ60" s="23"/>
      <c r="PR60" s="23"/>
      <c r="PS60" s="23"/>
      <c r="PT60" s="23"/>
      <c r="PU60" s="23"/>
      <c r="PV60" s="23"/>
      <c r="PW60" s="23"/>
      <c r="PX60" s="23"/>
      <c r="PY60" s="23"/>
      <c r="PZ60" s="23"/>
      <c r="QA60" s="23"/>
      <c r="QB60" s="23"/>
      <c r="QC60" s="23"/>
      <c r="QD60" s="23"/>
      <c r="QE60" s="23"/>
      <c r="QF60" s="23"/>
      <c r="QG60" s="23"/>
      <c r="QH60" s="23"/>
      <c r="QI60" s="23"/>
      <c r="QJ60" s="23"/>
      <c r="QK60" s="23"/>
      <c r="QL60" s="23"/>
      <c r="QM60" s="23"/>
      <c r="QN60" s="23"/>
      <c r="QO60" s="23"/>
      <c r="QP60" s="23"/>
      <c r="QQ60" s="23"/>
      <c r="QR60" s="23"/>
      <c r="QS60" s="23">
        <v>3.3</v>
      </c>
      <c r="QT60" s="23"/>
      <c r="QU60" s="23"/>
      <c r="QV60" s="23"/>
      <c r="QW60" s="23"/>
      <c r="QX60" s="23"/>
      <c r="QY60" s="23"/>
      <c r="QZ60" s="23"/>
      <c r="RA60" s="23"/>
      <c r="RB60" s="23"/>
      <c r="RC60" s="23"/>
      <c r="RD60" s="23"/>
      <c r="RE60" s="23"/>
      <c r="RF60" s="23"/>
      <c r="RG60" s="23"/>
      <c r="RH60" s="23"/>
      <c r="RI60" s="23"/>
      <c r="RJ60" s="23"/>
      <c r="RK60" s="23"/>
      <c r="RL60" s="23"/>
      <c r="RM60" s="23"/>
      <c r="RN60" s="23"/>
      <c r="RO60" s="23"/>
      <c r="RP60" s="23"/>
      <c r="RQ60" s="23"/>
      <c r="RR60" s="23"/>
      <c r="RS60" s="23"/>
      <c r="RT60" s="23"/>
      <c r="RU60" s="23"/>
      <c r="RV60" s="23"/>
      <c r="RW60" s="23">
        <v>3.8</v>
      </c>
      <c r="RX60" s="23"/>
      <c r="RY60" s="23"/>
      <c r="RZ60" s="23"/>
      <c r="SA60" s="23"/>
      <c r="SB60" s="23"/>
      <c r="SC60" s="23"/>
      <c r="SD60" s="23"/>
      <c r="SE60" s="23"/>
      <c r="SF60" s="23"/>
      <c r="SG60" s="23"/>
      <c r="SH60" s="23"/>
      <c r="SI60" s="23"/>
      <c r="SJ60" s="23"/>
      <c r="SK60" s="23"/>
      <c r="SL60" s="23"/>
      <c r="SM60" s="23"/>
      <c r="SN60" s="23"/>
      <c r="SO60" s="23"/>
      <c r="SP60" s="23"/>
      <c r="SQ60" s="23"/>
      <c r="SR60" s="23"/>
      <c r="SS60" s="23"/>
      <c r="ST60" s="23"/>
      <c r="SU60" s="23"/>
      <c r="SV60" s="23"/>
      <c r="SW60" s="23"/>
      <c r="SX60" s="23"/>
      <c r="SY60" s="23"/>
      <c r="SZ60" s="23"/>
      <c r="TA60" s="23"/>
      <c r="TB60" s="23">
        <v>4.2</v>
      </c>
      <c r="TC60" s="23"/>
      <c r="TD60" s="23"/>
      <c r="TE60" s="23"/>
      <c r="TF60" s="23"/>
      <c r="TG60" s="23"/>
      <c r="TH60" s="23"/>
      <c r="TI60" s="23"/>
      <c r="TJ60" s="23"/>
      <c r="TK60" s="23"/>
      <c r="TL60" s="23"/>
      <c r="TM60" s="23"/>
      <c r="TN60" s="23"/>
      <c r="TO60" s="23"/>
      <c r="TP60" s="23"/>
      <c r="TQ60" s="23"/>
      <c r="TR60" s="23"/>
      <c r="TS60" s="23"/>
      <c r="TT60" s="23"/>
      <c r="TU60" s="23"/>
      <c r="TV60" s="23"/>
      <c r="TW60" s="23"/>
      <c r="TX60" s="23"/>
      <c r="TY60" s="23"/>
      <c r="TZ60" s="23"/>
      <c r="UA60" s="23"/>
      <c r="UB60" s="23"/>
      <c r="UC60" s="23"/>
      <c r="UD60" s="23"/>
      <c r="UE60" s="23"/>
      <c r="UF60" s="23"/>
      <c r="UG60" s="23"/>
      <c r="UH60" s="23"/>
      <c r="UI60" s="23"/>
      <c r="UJ60" s="23"/>
      <c r="UK60" s="23"/>
      <c r="UL60" s="23"/>
      <c r="UM60" s="23"/>
      <c r="UN60" s="23"/>
      <c r="UO60" s="23"/>
      <c r="UP60" s="23"/>
      <c r="UQ60" s="23"/>
      <c r="UR60" s="23"/>
      <c r="US60" s="23"/>
      <c r="UT60" s="23"/>
    </row>
    <row r="61" ht="16.5" customHeight="1" spans="4:566">
      <c r="D61" s="19" t="s">
        <v>283</v>
      </c>
      <c r="E61" s="21" t="s">
        <v>284</v>
      </c>
      <c r="F61" s="23"/>
      <c r="G61" s="23"/>
      <c r="H61" s="23">
        <v>15.07</v>
      </c>
      <c r="I61" s="23">
        <v>14.49</v>
      </c>
      <c r="J61" s="23"/>
      <c r="K61" s="23"/>
      <c r="L61" s="23">
        <v>14.76</v>
      </c>
      <c r="M61" s="23">
        <v>14.68</v>
      </c>
      <c r="N61" s="23">
        <v>14.82</v>
      </c>
      <c r="O61" s="23"/>
      <c r="P61" s="23">
        <v>15.77</v>
      </c>
      <c r="Q61" s="23"/>
      <c r="R61" s="23"/>
      <c r="S61" s="23">
        <v>15.27</v>
      </c>
      <c r="T61" s="23">
        <v>15</v>
      </c>
      <c r="U61" s="23">
        <v>15.23</v>
      </c>
      <c r="V61" s="23">
        <v>15.4</v>
      </c>
      <c r="W61" s="23">
        <v>14.98</v>
      </c>
      <c r="X61" s="23"/>
      <c r="Y61" s="23"/>
      <c r="Z61" s="23"/>
      <c r="AA61" s="23">
        <v>15.5</v>
      </c>
      <c r="AB61" s="23">
        <v>15.24</v>
      </c>
      <c r="AC61" s="23">
        <v>14.95</v>
      </c>
      <c r="AD61" s="23">
        <v>14.85</v>
      </c>
      <c r="AE61" s="23"/>
      <c r="AF61" s="23"/>
      <c r="AG61" s="23">
        <v>15.23</v>
      </c>
      <c r="AH61" s="23">
        <v>15.46</v>
      </c>
      <c r="AI61" s="23">
        <v>14.84</v>
      </c>
      <c r="AJ61" s="23">
        <v>16.09</v>
      </c>
      <c r="AK61" s="23">
        <v>15.82</v>
      </c>
      <c r="AL61" s="23"/>
      <c r="AM61" s="23"/>
      <c r="AN61" s="23">
        <v>16.81</v>
      </c>
      <c r="AO61" s="23">
        <v>17.11</v>
      </c>
      <c r="AP61" s="23">
        <v>17.19</v>
      </c>
      <c r="AQ61" s="23">
        <v>16.27</v>
      </c>
      <c r="AR61" s="23">
        <v>16.23</v>
      </c>
      <c r="AS61" s="23"/>
      <c r="AT61" s="23"/>
      <c r="AU61" s="23">
        <v>17.59</v>
      </c>
      <c r="AV61" s="23">
        <v>17.48</v>
      </c>
      <c r="AW61" s="23">
        <v>17.34</v>
      </c>
      <c r="AX61" s="23">
        <v>17.13</v>
      </c>
      <c r="AY61" s="23">
        <v>17.23</v>
      </c>
      <c r="AZ61" s="23"/>
      <c r="BA61" s="23"/>
      <c r="BB61" s="23"/>
      <c r="BC61" s="23">
        <v>18.03</v>
      </c>
      <c r="BD61" s="23">
        <v>16.76</v>
      </c>
      <c r="BE61" s="23">
        <v>16.45</v>
      </c>
      <c r="BF61" s="23">
        <v>16.55</v>
      </c>
      <c r="BG61" s="23"/>
      <c r="BH61" s="23"/>
      <c r="BI61" s="23">
        <v>16.73</v>
      </c>
      <c r="BJ61" s="23">
        <v>16.72</v>
      </c>
      <c r="BK61" s="23">
        <v>16.36</v>
      </c>
      <c r="BL61" s="23">
        <v>16.45</v>
      </c>
      <c r="BM61" s="23">
        <v>15.82</v>
      </c>
      <c r="BN61" s="23"/>
      <c r="BO61" s="23"/>
      <c r="BP61" s="23">
        <v>16.81</v>
      </c>
      <c r="BQ61" s="23">
        <v>17.25</v>
      </c>
      <c r="BR61" s="23">
        <v>16.92</v>
      </c>
      <c r="BS61" s="23">
        <v>16.83</v>
      </c>
      <c r="BT61" s="23">
        <v>16.19</v>
      </c>
      <c r="BU61" s="23"/>
      <c r="BV61" s="23"/>
      <c r="BW61" s="23">
        <v>17.06</v>
      </c>
      <c r="BX61" s="23">
        <v>17.14</v>
      </c>
      <c r="BY61" s="23">
        <v>16.82</v>
      </c>
      <c r="BZ61" s="23">
        <v>17.41</v>
      </c>
      <c r="CA61" s="23">
        <v>17.13</v>
      </c>
      <c r="CB61" s="23"/>
      <c r="CC61" s="23"/>
      <c r="CD61" s="23">
        <v>17.6</v>
      </c>
      <c r="CE61" s="23">
        <v>17.53</v>
      </c>
      <c r="CF61" s="23">
        <v>16.74</v>
      </c>
      <c r="CG61" s="23">
        <v>16.45</v>
      </c>
      <c r="CH61" s="23">
        <v>15.98</v>
      </c>
      <c r="CI61" s="23"/>
      <c r="CJ61" s="23"/>
      <c r="CK61" s="23">
        <v>15.8</v>
      </c>
      <c r="CL61" s="23">
        <v>15.23</v>
      </c>
      <c r="CM61" s="23">
        <v>15.04</v>
      </c>
      <c r="CN61" s="23">
        <v>16.08</v>
      </c>
      <c r="CO61" s="23">
        <v>16.45</v>
      </c>
      <c r="CP61" s="23"/>
      <c r="CQ61" s="23"/>
      <c r="CR61" s="23">
        <v>17.84</v>
      </c>
      <c r="CS61" s="23">
        <v>17.95</v>
      </c>
      <c r="CT61" s="23">
        <v>17.92</v>
      </c>
      <c r="CU61" s="23">
        <v>18.36</v>
      </c>
      <c r="CV61" s="23">
        <v>22.03</v>
      </c>
      <c r="CW61" s="23"/>
      <c r="CX61" s="23"/>
      <c r="CY61" s="23">
        <v>19.68</v>
      </c>
      <c r="CZ61" s="23">
        <v>23.73</v>
      </c>
      <c r="DA61" s="23">
        <v>24.53</v>
      </c>
      <c r="DB61" s="23">
        <v>26.59</v>
      </c>
      <c r="DC61" s="23">
        <v>28.44</v>
      </c>
      <c r="DD61" s="23"/>
      <c r="DE61" s="23"/>
      <c r="DF61" s="23">
        <v>23.8</v>
      </c>
      <c r="DG61" s="23">
        <v>21.54</v>
      </c>
      <c r="DH61" s="23">
        <v>26.73</v>
      </c>
      <c r="DI61" s="23">
        <v>24.14</v>
      </c>
      <c r="DJ61" s="23"/>
      <c r="DK61" s="23"/>
      <c r="DL61" s="23"/>
      <c r="DM61" s="23">
        <v>28.14</v>
      </c>
      <c r="DN61" s="23">
        <v>28.44</v>
      </c>
      <c r="DO61" s="23">
        <v>25.23</v>
      </c>
      <c r="DP61" s="23">
        <v>24.93</v>
      </c>
      <c r="DQ61" s="23">
        <v>23.36</v>
      </c>
      <c r="DR61" s="23"/>
      <c r="DS61" s="23"/>
      <c r="DT61" s="23">
        <v>23.25</v>
      </c>
      <c r="DU61" s="23">
        <v>22.1</v>
      </c>
      <c r="DV61" s="23">
        <v>21.52</v>
      </c>
      <c r="DW61" s="23">
        <v>21.51</v>
      </c>
      <c r="DX61" s="23">
        <v>21.35</v>
      </c>
      <c r="DY61" s="23"/>
      <c r="DZ61" s="23"/>
      <c r="EA61" s="23">
        <v>23.2</v>
      </c>
      <c r="EB61" s="23">
        <v>24.72</v>
      </c>
      <c r="EC61" s="23">
        <v>22.99</v>
      </c>
      <c r="ED61" s="23">
        <v>22.58</v>
      </c>
      <c r="EE61" s="23">
        <v>21.86</v>
      </c>
      <c r="EF61" s="23"/>
      <c r="EG61" s="23"/>
      <c r="EH61" s="23">
        <v>21.38</v>
      </c>
      <c r="EI61" s="23">
        <v>19.58</v>
      </c>
      <c r="EJ61" s="23">
        <v>20.78</v>
      </c>
      <c r="EK61" s="23">
        <v>21.63</v>
      </c>
      <c r="EL61" s="23">
        <v>21.47</v>
      </c>
      <c r="EM61" s="23"/>
      <c r="EN61" s="23"/>
      <c r="EO61" s="23">
        <v>21.37</v>
      </c>
      <c r="EP61" s="23">
        <v>21.95</v>
      </c>
      <c r="EQ61" s="23">
        <v>22.23</v>
      </c>
      <c r="ER61" s="23">
        <v>21.55</v>
      </c>
      <c r="ES61" s="23">
        <v>22.28</v>
      </c>
      <c r="ET61" s="23"/>
      <c r="EU61" s="23"/>
      <c r="EV61" s="23"/>
      <c r="EW61" s="23">
        <v>21.12</v>
      </c>
      <c r="EX61" s="23">
        <v>19.69</v>
      </c>
      <c r="EY61" s="23">
        <v>19.65</v>
      </c>
      <c r="EZ61" s="23">
        <v>19.1</v>
      </c>
      <c r="FA61" s="23"/>
      <c r="FB61" s="23"/>
      <c r="FC61" s="23">
        <v>20.6</v>
      </c>
      <c r="FD61" s="23">
        <v>20.1</v>
      </c>
      <c r="FE61" s="23">
        <v>19.82</v>
      </c>
      <c r="FF61" s="23">
        <v>19.69</v>
      </c>
      <c r="FG61" s="23">
        <v>19.16</v>
      </c>
      <c r="FH61" s="23"/>
      <c r="FI61" s="23"/>
      <c r="FJ61" s="23">
        <v>19.45</v>
      </c>
      <c r="FK61" s="23">
        <v>19</v>
      </c>
      <c r="FL61" s="23">
        <v>19.16</v>
      </c>
      <c r="FM61" s="23">
        <v>19.7</v>
      </c>
      <c r="FN61" s="23">
        <v>21.16</v>
      </c>
      <c r="FO61" s="23"/>
      <c r="FP61" s="23"/>
      <c r="FQ61" s="23">
        <v>19.87</v>
      </c>
      <c r="FR61" s="23">
        <v>20.41</v>
      </c>
      <c r="FS61" s="23">
        <v>19.58</v>
      </c>
      <c r="FT61" s="23"/>
      <c r="FU61" s="23">
        <v>19.27</v>
      </c>
      <c r="FV61" s="23"/>
      <c r="FW61" s="23"/>
      <c r="FX61" s="23">
        <v>19.02</v>
      </c>
      <c r="FY61" s="23">
        <v>18.28</v>
      </c>
      <c r="FZ61" s="23">
        <v>17.33</v>
      </c>
      <c r="GA61" s="23">
        <v>16.65</v>
      </c>
      <c r="GB61" s="23">
        <v>16.49</v>
      </c>
      <c r="GC61" s="23"/>
      <c r="GD61" s="23"/>
      <c r="GE61" s="23">
        <v>17.31</v>
      </c>
      <c r="GF61" s="23">
        <v>16.76</v>
      </c>
      <c r="GG61" s="23">
        <v>16.87</v>
      </c>
      <c r="GH61" s="23">
        <v>16.19</v>
      </c>
      <c r="GI61" s="23"/>
      <c r="GJ61" s="23"/>
      <c r="GK61" s="23"/>
      <c r="GL61" s="23">
        <v>16.91</v>
      </c>
      <c r="GM61" s="23">
        <v>16.2</v>
      </c>
      <c r="GN61" s="23">
        <v>15.86</v>
      </c>
      <c r="GO61" s="23">
        <v>16.04</v>
      </c>
      <c r="GP61" s="23">
        <v>16.94</v>
      </c>
      <c r="GQ61" s="23"/>
      <c r="GR61" s="23"/>
      <c r="GS61" s="23">
        <v>16.99</v>
      </c>
      <c r="GT61" s="23">
        <v>16.37</v>
      </c>
      <c r="GU61" s="23">
        <v>17.27</v>
      </c>
      <c r="GV61" s="23">
        <v>16.91</v>
      </c>
      <c r="GW61" s="23">
        <v>16.73</v>
      </c>
      <c r="GX61" s="23"/>
      <c r="GY61" s="23"/>
      <c r="GZ61" s="23">
        <v>17.78</v>
      </c>
      <c r="HA61" s="23">
        <v>19.08</v>
      </c>
      <c r="HB61" s="23">
        <v>18.44</v>
      </c>
      <c r="HC61" s="23">
        <v>17.82</v>
      </c>
      <c r="HD61" s="23">
        <v>17.05</v>
      </c>
      <c r="HE61" s="23"/>
      <c r="HF61" s="23"/>
      <c r="HG61" s="23">
        <v>16.79</v>
      </c>
      <c r="HH61" s="23">
        <v>16.61</v>
      </c>
      <c r="HI61" s="23">
        <v>16.48</v>
      </c>
      <c r="HJ61" s="23">
        <v>16.04</v>
      </c>
      <c r="HK61" s="23">
        <v>17.3</v>
      </c>
      <c r="HL61" s="23"/>
      <c r="HM61" s="23"/>
      <c r="HN61" s="23">
        <v>17.07</v>
      </c>
      <c r="HO61" s="23">
        <v>16.68</v>
      </c>
      <c r="HP61" s="23">
        <v>16.42</v>
      </c>
      <c r="HQ61" s="23">
        <v>16.95</v>
      </c>
      <c r="HR61" s="23">
        <v>16.36</v>
      </c>
      <c r="HS61" s="23"/>
      <c r="HT61" s="23"/>
      <c r="HU61" s="23">
        <v>16.94</v>
      </c>
      <c r="HV61" s="23">
        <v>16.35</v>
      </c>
      <c r="HW61" s="23">
        <v>15.95</v>
      </c>
      <c r="HX61" s="23">
        <v>15.33</v>
      </c>
      <c r="HY61" s="23">
        <v>15.22</v>
      </c>
      <c r="HZ61" s="23"/>
      <c r="IA61" s="23"/>
      <c r="IB61" s="23">
        <v>14.9</v>
      </c>
      <c r="IC61" s="23">
        <v>14.82</v>
      </c>
      <c r="ID61" s="23">
        <v>15.4</v>
      </c>
      <c r="IE61" s="23">
        <v>15.44</v>
      </c>
      <c r="IF61" s="23">
        <v>15.15</v>
      </c>
      <c r="IG61" s="23"/>
      <c r="IH61" s="23"/>
      <c r="II61" s="23">
        <v>15.09</v>
      </c>
      <c r="IJ61" s="23">
        <v>15.88</v>
      </c>
      <c r="IK61" s="23">
        <v>15.9</v>
      </c>
      <c r="IL61" s="23">
        <v>16.34</v>
      </c>
      <c r="IM61" s="23">
        <v>17.39</v>
      </c>
      <c r="IN61" s="23"/>
      <c r="IO61" s="23"/>
      <c r="IP61" s="31"/>
      <c r="IQ61" s="31">
        <v>19.81</v>
      </c>
      <c r="IR61" s="31">
        <v>19.53</v>
      </c>
      <c r="IS61" s="31">
        <v>18.33</v>
      </c>
      <c r="IT61" s="31">
        <v>18.3</v>
      </c>
      <c r="IU61" s="31"/>
      <c r="IV61" s="31"/>
      <c r="IW61" s="31">
        <v>19.09</v>
      </c>
      <c r="IX61" s="31">
        <v>17.99</v>
      </c>
      <c r="IY61" s="31">
        <v>17.37</v>
      </c>
      <c r="IZ61" s="31">
        <v>16.48</v>
      </c>
      <c r="JA61" s="31">
        <v>16.38</v>
      </c>
      <c r="JB61" s="31"/>
      <c r="JC61" s="31"/>
      <c r="JD61" s="31">
        <v>17.9</v>
      </c>
      <c r="JE61" s="31">
        <v>18.37</v>
      </c>
      <c r="JF61" s="31">
        <v>17.41</v>
      </c>
      <c r="JG61" s="31">
        <v>16.45</v>
      </c>
      <c r="JH61" s="31">
        <v>16.76</v>
      </c>
      <c r="JI61" s="31"/>
      <c r="JJ61" s="31"/>
      <c r="JK61" s="31">
        <v>18.43</v>
      </c>
      <c r="JL61" s="31">
        <v>19.06</v>
      </c>
      <c r="JM61" s="31">
        <v>18.3</v>
      </c>
      <c r="JN61" s="31">
        <v>19.07</v>
      </c>
      <c r="JO61" s="31">
        <v>18.59</v>
      </c>
      <c r="JP61" s="31"/>
      <c r="JQ61" s="31"/>
      <c r="JR61" s="31">
        <v>19.19</v>
      </c>
      <c r="JS61" s="31">
        <v>19.95</v>
      </c>
      <c r="JT61" s="31">
        <v>19.05</v>
      </c>
      <c r="JU61" s="31">
        <v>18.05</v>
      </c>
      <c r="JV61" s="31">
        <v>17.66</v>
      </c>
      <c r="JW61" s="31"/>
      <c r="JX61" s="31"/>
      <c r="JY61" s="31">
        <v>19.51</v>
      </c>
      <c r="JZ61" s="23">
        <v>19.94</v>
      </c>
      <c r="KA61" s="23">
        <v>21.81</v>
      </c>
      <c r="KB61" s="23">
        <v>21.85</v>
      </c>
      <c r="KC61" s="23">
        <v>23.78</v>
      </c>
      <c r="KD61" s="23"/>
      <c r="KE61" s="23"/>
      <c r="KF61" s="23">
        <v>24.53</v>
      </c>
      <c r="KG61" s="23">
        <v>26.11</v>
      </c>
      <c r="KH61" s="23">
        <v>27.12</v>
      </c>
      <c r="KI61" s="23">
        <v>32.78</v>
      </c>
      <c r="KJ61" s="23">
        <v>31.2</v>
      </c>
      <c r="KK61" s="23"/>
      <c r="KL61" s="23"/>
      <c r="KM61" s="23">
        <v>31.43</v>
      </c>
      <c r="KN61" s="23">
        <v>29.82</v>
      </c>
      <c r="KO61" s="23">
        <v>27.19</v>
      </c>
      <c r="KP61" s="23">
        <v>26.68</v>
      </c>
      <c r="KQ61" s="23">
        <v>24.75</v>
      </c>
      <c r="KR61" s="23"/>
      <c r="KS61" s="23"/>
      <c r="KT61" s="23">
        <v>23.94</v>
      </c>
      <c r="KU61" s="23">
        <v>24.03</v>
      </c>
      <c r="KV61" s="23">
        <v>24.7</v>
      </c>
      <c r="KW61" s="23">
        <v>24.82</v>
      </c>
      <c r="KX61" s="23">
        <v>22.66</v>
      </c>
      <c r="KY61" s="23"/>
      <c r="KZ61" s="23"/>
      <c r="LA61" s="23">
        <v>21.38</v>
      </c>
      <c r="LB61" s="23">
        <v>21.43</v>
      </c>
      <c r="LC61" s="23">
        <v>20.15</v>
      </c>
      <c r="LD61" s="23">
        <v>20.13</v>
      </c>
      <c r="LE61" s="23">
        <v>20.36</v>
      </c>
      <c r="LF61" s="23"/>
      <c r="LG61" s="23"/>
      <c r="LH61" s="23">
        <v>23.34</v>
      </c>
      <c r="LI61" s="23">
        <v>23.33</v>
      </c>
      <c r="LJ61" s="23">
        <v>25.82</v>
      </c>
      <c r="LK61" s="23">
        <v>24.82</v>
      </c>
      <c r="LL61" s="23">
        <v>24.13</v>
      </c>
      <c r="LM61" s="23"/>
      <c r="LN61" s="23"/>
      <c r="LO61" s="23">
        <v>24.07</v>
      </c>
      <c r="LP61" s="23">
        <v>23.9</v>
      </c>
      <c r="LQ61" s="23">
        <v>23.89</v>
      </c>
      <c r="LR61" s="23">
        <v>22.93</v>
      </c>
      <c r="LS61" s="23">
        <v>21.93</v>
      </c>
      <c r="LT61" s="23"/>
      <c r="LU61" s="23"/>
      <c r="LV61" s="23">
        <v>22.55</v>
      </c>
      <c r="LW61" s="23">
        <v>22.4</v>
      </c>
      <c r="LX61" s="23">
        <v>21.95</v>
      </c>
      <c r="LY61" s="23"/>
      <c r="LZ61" s="23">
        <v>22.87</v>
      </c>
      <c r="MA61" s="23"/>
      <c r="MB61" s="23"/>
      <c r="MC61" s="23">
        <v>23.34</v>
      </c>
      <c r="MD61" s="23">
        <v>22.49</v>
      </c>
      <c r="ME61" s="23">
        <v>21.96</v>
      </c>
      <c r="MF61" s="23">
        <v>20.57</v>
      </c>
      <c r="MG61" s="23">
        <v>19.92</v>
      </c>
      <c r="MH61" s="23"/>
      <c r="MI61" s="23"/>
      <c r="MJ61" s="23">
        <v>19.58</v>
      </c>
      <c r="MK61" s="23">
        <v>20.35</v>
      </c>
      <c r="ML61" s="23">
        <v>20.2</v>
      </c>
      <c r="MM61" s="23">
        <v>20.97</v>
      </c>
      <c r="MN61" s="23">
        <v>21.46</v>
      </c>
      <c r="MO61" s="23"/>
      <c r="MP61" s="23"/>
      <c r="MQ61" s="23">
        <v>21.2</v>
      </c>
      <c r="MR61" s="23">
        <v>20.18</v>
      </c>
      <c r="MS61" s="23">
        <v>21.22</v>
      </c>
      <c r="MT61" s="23">
        <v>21.31</v>
      </c>
      <c r="MU61" s="23">
        <v>20.72</v>
      </c>
      <c r="MV61" s="23"/>
      <c r="MW61" s="23"/>
      <c r="MX61" s="23">
        <v>23.8</v>
      </c>
      <c r="MY61" s="23">
        <v>24.53</v>
      </c>
      <c r="MZ61" s="23">
        <v>23.81</v>
      </c>
      <c r="NA61" s="23"/>
      <c r="NB61" s="23">
        <v>25.78</v>
      </c>
      <c r="NC61" s="23"/>
      <c r="ND61" s="23"/>
      <c r="NE61" s="23">
        <v>25.71</v>
      </c>
      <c r="NF61" s="23">
        <v>24.83</v>
      </c>
      <c r="NG61" s="23">
        <v>23.92</v>
      </c>
      <c r="NH61" s="23"/>
      <c r="NI61" s="23">
        <v>23.8</v>
      </c>
      <c r="NJ61" s="23"/>
      <c r="NK61" s="23"/>
      <c r="NL61" s="23">
        <v>24.25</v>
      </c>
      <c r="NM61" s="23">
        <v>24.82</v>
      </c>
      <c r="NN61" s="23">
        <v>24.13</v>
      </c>
      <c r="NO61" s="23">
        <v>24.07</v>
      </c>
      <c r="NP61" s="23">
        <v>23.43</v>
      </c>
      <c r="NQ61" s="23"/>
      <c r="NR61" s="23"/>
      <c r="NS61" s="23">
        <v>25.03</v>
      </c>
      <c r="NT61" s="23">
        <v>23.76</v>
      </c>
      <c r="NU61" s="23">
        <v>23.57</v>
      </c>
      <c r="NV61" s="23">
        <v>22.06</v>
      </c>
      <c r="NW61" s="23">
        <v>22.23</v>
      </c>
      <c r="NX61" s="23"/>
      <c r="NY61" s="23"/>
      <c r="NZ61" s="23"/>
      <c r="OA61" s="23">
        <v>24.79</v>
      </c>
      <c r="OB61" s="23">
        <v>26.27</v>
      </c>
      <c r="OC61" s="23">
        <v>28.11</v>
      </c>
      <c r="OD61" s="23">
        <v>30.01</v>
      </c>
      <c r="OE61" s="23"/>
      <c r="OF61" s="23"/>
      <c r="OG61" s="23">
        <v>32.7</v>
      </c>
      <c r="OH61" s="23">
        <v>33.13</v>
      </c>
      <c r="OI61" s="23">
        <v>39.67</v>
      </c>
      <c r="OJ61" s="23">
        <v>46.02</v>
      </c>
      <c r="OK61" s="23">
        <v>44.08</v>
      </c>
      <c r="OL61" s="23"/>
      <c r="OM61" s="23"/>
      <c r="ON61" s="23">
        <v>37.38</v>
      </c>
      <c r="OO61" s="23">
        <v>41.04</v>
      </c>
      <c r="OP61" s="23">
        <v>36.93</v>
      </c>
      <c r="OQ61" s="23">
        <v>35.53</v>
      </c>
      <c r="OR61" s="23">
        <v>33.96</v>
      </c>
      <c r="OS61" s="23"/>
      <c r="OT61" s="23"/>
      <c r="OU61" s="23">
        <v>32.84</v>
      </c>
      <c r="OV61" s="23">
        <v>28.86</v>
      </c>
      <c r="OW61" s="23">
        <v>29.38</v>
      </c>
      <c r="OX61" s="23">
        <v>30.23</v>
      </c>
      <c r="OY61" s="23">
        <v>30.84</v>
      </c>
      <c r="OZ61" s="23"/>
      <c r="PA61" s="23"/>
      <c r="PB61" s="23"/>
      <c r="PC61" s="23">
        <v>33.24</v>
      </c>
      <c r="PD61" s="23">
        <v>33.75</v>
      </c>
      <c r="PE61" s="23">
        <v>33.56</v>
      </c>
      <c r="PF61" s="23">
        <v>36.44</v>
      </c>
      <c r="PG61" s="23"/>
      <c r="PH61" s="23"/>
      <c r="PI61" s="23">
        <v>38.46</v>
      </c>
      <c r="PJ61" s="23">
        <v>37.55</v>
      </c>
      <c r="PK61" s="23">
        <v>34.96</v>
      </c>
      <c r="PL61" s="23">
        <v>33.07</v>
      </c>
      <c r="PM61" s="23">
        <v>33.23</v>
      </c>
      <c r="PN61" s="23"/>
      <c r="PO61" s="23"/>
      <c r="PP61" s="23">
        <v>34.83</v>
      </c>
      <c r="PQ61" s="23">
        <v>38.77</v>
      </c>
      <c r="PR61" s="23">
        <v>36.48</v>
      </c>
      <c r="PS61" s="23">
        <v>35.31</v>
      </c>
      <c r="PT61" s="23">
        <v>34.26</v>
      </c>
      <c r="PU61" s="23"/>
      <c r="PV61" s="23"/>
      <c r="PW61" s="23">
        <v>33.52</v>
      </c>
      <c r="PX61" s="23">
        <v>32.11</v>
      </c>
      <c r="PY61" s="23">
        <v>30.68</v>
      </c>
      <c r="PZ61" s="23">
        <v>31.09</v>
      </c>
      <c r="QA61" s="23">
        <v>32.31</v>
      </c>
      <c r="QB61" s="23"/>
      <c r="QC61" s="23"/>
      <c r="QD61" s="23">
        <v>30.56</v>
      </c>
      <c r="QE61" s="23">
        <v>27.98</v>
      </c>
      <c r="QF61" s="23">
        <v>29.42</v>
      </c>
      <c r="QG61" s="23">
        <v>31.05</v>
      </c>
      <c r="QH61" s="23">
        <v>35.25</v>
      </c>
      <c r="QI61" s="23"/>
      <c r="QJ61" s="23"/>
      <c r="QK61" s="23">
        <v>43.36</v>
      </c>
      <c r="QL61" s="23">
        <v>41.9</v>
      </c>
      <c r="QM61" s="23">
        <v>38.65</v>
      </c>
      <c r="QN61" s="23">
        <v>45.07</v>
      </c>
      <c r="QO61" s="23">
        <v>45.51</v>
      </c>
      <c r="QP61" s="23"/>
      <c r="QQ61" s="23"/>
      <c r="QR61" s="23">
        <v>42.71</v>
      </c>
      <c r="QS61" s="23">
        <v>38.89</v>
      </c>
      <c r="QT61" s="23">
        <v>36.11</v>
      </c>
      <c r="QU61" s="23">
        <v>37.85</v>
      </c>
      <c r="QV61" s="23"/>
      <c r="QW61" s="23"/>
      <c r="QX61" s="23"/>
      <c r="QY61" s="23">
        <v>37.04</v>
      </c>
      <c r="QZ61" s="23">
        <v>37.43</v>
      </c>
      <c r="RA61" s="23">
        <v>34.21</v>
      </c>
      <c r="RB61" s="23">
        <v>31.66</v>
      </c>
      <c r="RC61" s="23">
        <v>30.46</v>
      </c>
      <c r="RD61" s="23"/>
      <c r="RE61" s="23"/>
      <c r="RF61" s="23">
        <v>30</v>
      </c>
      <c r="RG61" s="23">
        <v>31.04</v>
      </c>
      <c r="RH61" s="23">
        <v>29.97</v>
      </c>
      <c r="RI61" s="23">
        <v>28.65</v>
      </c>
      <c r="RJ61" s="23">
        <v>28.95</v>
      </c>
      <c r="RK61" s="23"/>
      <c r="RL61" s="23"/>
      <c r="RM61" s="23">
        <v>28.46</v>
      </c>
      <c r="RN61" s="23">
        <v>29.31</v>
      </c>
      <c r="RO61" s="23">
        <v>27.09</v>
      </c>
      <c r="RP61" s="23">
        <v>27.87</v>
      </c>
      <c r="RQ61" s="23">
        <v>25.88</v>
      </c>
      <c r="RR61" s="23"/>
      <c r="RS61" s="23"/>
      <c r="RT61" s="23">
        <v>25.37</v>
      </c>
      <c r="RU61" s="23">
        <v>26.19</v>
      </c>
      <c r="RV61" s="23">
        <v>27.77</v>
      </c>
      <c r="RW61" s="23">
        <v>26.64</v>
      </c>
      <c r="RX61" s="23">
        <v>26.43</v>
      </c>
      <c r="RY61" s="23"/>
      <c r="RZ61" s="23"/>
      <c r="SA61" s="23">
        <v>27.92</v>
      </c>
      <c r="SB61" s="23">
        <v>26.61</v>
      </c>
      <c r="SC61" s="23">
        <v>26.34</v>
      </c>
      <c r="SD61" s="23">
        <v>27.03</v>
      </c>
      <c r="SE61" s="23">
        <v>26.48</v>
      </c>
      <c r="SF61" s="23"/>
      <c r="SG61" s="23"/>
      <c r="SH61" s="23">
        <v>27.48</v>
      </c>
      <c r="SI61" s="23">
        <v>27.16</v>
      </c>
      <c r="SJ61" s="23">
        <v>26.56</v>
      </c>
      <c r="SK61" s="23">
        <v>25.79</v>
      </c>
      <c r="SL61" s="23">
        <v>26.34</v>
      </c>
      <c r="SM61" s="23"/>
      <c r="SN61" s="23"/>
      <c r="SO61" s="23">
        <v>26.2</v>
      </c>
      <c r="SP61" s="23">
        <v>26.63</v>
      </c>
      <c r="SQ61" s="23">
        <v>25.17</v>
      </c>
      <c r="SR61" s="23">
        <v>24.59</v>
      </c>
      <c r="SS61" s="23">
        <v>23.86</v>
      </c>
      <c r="ST61" s="23"/>
      <c r="SU61" s="23"/>
      <c r="SV61" s="23"/>
      <c r="SW61" s="23">
        <v>24.27</v>
      </c>
      <c r="SX61" s="23">
        <v>24.47</v>
      </c>
      <c r="SY61" s="23">
        <v>24.83</v>
      </c>
      <c r="SZ61" s="23">
        <v>24.91</v>
      </c>
      <c r="TA61" s="23"/>
      <c r="TB61" s="23"/>
      <c r="TC61" s="23">
        <v>25.64</v>
      </c>
      <c r="TD61" s="23">
        <v>24.44</v>
      </c>
      <c r="TE61" s="23">
        <v>24.49</v>
      </c>
      <c r="TF61" s="23">
        <v>23.87</v>
      </c>
      <c r="TG61" s="23">
        <v>28.89</v>
      </c>
      <c r="TH61" s="23"/>
      <c r="TI61" s="23"/>
      <c r="TJ61" s="23">
        <v>27.17</v>
      </c>
      <c r="TK61" s="23">
        <v>28.04</v>
      </c>
      <c r="TL61" s="23">
        <v>32.18</v>
      </c>
      <c r="TM61" s="23">
        <v>28.33</v>
      </c>
      <c r="TN61" s="23">
        <v>26.85</v>
      </c>
      <c r="TO61" s="23"/>
      <c r="TP61" s="23"/>
      <c r="TQ61" s="23">
        <v>26.47</v>
      </c>
      <c r="TR61" s="23">
        <v>25.18</v>
      </c>
      <c r="TS61" s="23">
        <v>28.45</v>
      </c>
      <c r="TT61" s="23">
        <v>27.9</v>
      </c>
      <c r="TU61" s="23"/>
      <c r="TV61" s="23"/>
      <c r="TW61" s="23"/>
      <c r="TX61" s="23">
        <v>26.15</v>
      </c>
      <c r="TY61" s="23">
        <v>27.41</v>
      </c>
      <c r="TZ61" s="23">
        <v>31.6</v>
      </c>
      <c r="UA61" s="23">
        <v>29.58</v>
      </c>
      <c r="UB61" s="23">
        <v>27.18</v>
      </c>
      <c r="UC61" s="23"/>
      <c r="UD61" s="23"/>
      <c r="UE61" s="23">
        <v>27.7</v>
      </c>
      <c r="UF61" s="23">
        <v>27.2</v>
      </c>
      <c r="UG61" s="23">
        <v>27.12</v>
      </c>
      <c r="UH61" s="23">
        <v>26</v>
      </c>
      <c r="UI61" s="23"/>
      <c r="UJ61" s="23"/>
      <c r="UK61" s="23"/>
      <c r="UL61" s="23"/>
      <c r="UM61" s="23"/>
      <c r="UN61" s="23"/>
      <c r="UO61" s="23"/>
      <c r="UP61" s="23"/>
      <c r="UQ61" s="23"/>
      <c r="UR61" s="23"/>
      <c r="US61" s="23"/>
      <c r="UT61" s="23"/>
    </row>
    <row r="62" ht="16.5" customHeight="1" spans="4:566">
      <c r="D62" s="22" t="s">
        <v>285</v>
      </c>
      <c r="E62" s="21" t="s">
        <v>286</v>
      </c>
      <c r="F62" s="23"/>
      <c r="G62" s="23"/>
      <c r="H62" s="23">
        <v>7.2994</v>
      </c>
      <c r="I62" s="23">
        <v>7.3093</v>
      </c>
      <c r="J62" s="23"/>
      <c r="K62" s="23"/>
      <c r="L62" s="23">
        <v>7.3296</v>
      </c>
      <c r="M62" s="23">
        <v>7.3275</v>
      </c>
      <c r="N62" s="23">
        <v>7.3317</v>
      </c>
      <c r="O62" s="23">
        <v>7.332</v>
      </c>
      <c r="P62" s="23">
        <v>7.3326</v>
      </c>
      <c r="Q62" s="23"/>
      <c r="R62" s="23"/>
      <c r="S62" s="23">
        <v>7.3314</v>
      </c>
      <c r="T62" s="23">
        <v>7.3303</v>
      </c>
      <c r="U62" s="23">
        <v>7.3319</v>
      </c>
      <c r="V62" s="23">
        <v>7.3317</v>
      </c>
      <c r="W62" s="23">
        <v>7.3284</v>
      </c>
      <c r="X62" s="23"/>
      <c r="Y62" s="23"/>
      <c r="Z62" s="23">
        <v>7.3161</v>
      </c>
      <c r="AA62" s="23">
        <v>7.2798</v>
      </c>
      <c r="AB62" s="23">
        <v>7.28</v>
      </c>
      <c r="AC62" s="23">
        <v>7.2874</v>
      </c>
      <c r="AD62" s="23">
        <v>7.2412</v>
      </c>
      <c r="AE62" s="23"/>
      <c r="AF62" s="23"/>
      <c r="AG62" s="23">
        <v>7.265</v>
      </c>
      <c r="AH62" s="23"/>
      <c r="AI62" s="23"/>
      <c r="AJ62" s="23"/>
      <c r="AK62" s="23"/>
      <c r="AL62" s="23"/>
      <c r="AM62" s="23"/>
      <c r="AN62" s="23"/>
      <c r="AO62" s="23"/>
      <c r="AP62" s="23">
        <v>7.2724</v>
      </c>
      <c r="AQ62" s="23">
        <v>7.2899</v>
      </c>
      <c r="AR62" s="23">
        <v>7.2889</v>
      </c>
      <c r="AS62" s="23"/>
      <c r="AT62" s="23"/>
      <c r="AU62" s="23">
        <v>7.3077</v>
      </c>
      <c r="AV62" s="23">
        <v>7.3061</v>
      </c>
      <c r="AW62" s="23">
        <v>7.3089</v>
      </c>
      <c r="AX62" s="23">
        <v>7.2927</v>
      </c>
      <c r="AY62" s="23">
        <v>7.2654</v>
      </c>
      <c r="AZ62" s="23"/>
      <c r="BA62" s="23"/>
      <c r="BB62" s="23">
        <v>7.2592</v>
      </c>
      <c r="BC62" s="23">
        <v>7.2783</v>
      </c>
      <c r="BD62" s="23">
        <v>7.2851</v>
      </c>
      <c r="BE62" s="23">
        <v>7.2616</v>
      </c>
      <c r="BF62" s="23">
        <v>7.2554</v>
      </c>
      <c r="BG62" s="23"/>
      <c r="BH62" s="23"/>
      <c r="BI62" s="23">
        <v>7.2484</v>
      </c>
      <c r="BJ62" s="23">
        <v>7.2641</v>
      </c>
      <c r="BK62" s="23">
        <v>7.2547</v>
      </c>
      <c r="BL62" s="23">
        <v>7.271</v>
      </c>
      <c r="BM62" s="23">
        <v>7.2838</v>
      </c>
      <c r="BN62" s="23"/>
      <c r="BO62" s="23"/>
      <c r="BP62" s="23">
        <v>7.2931</v>
      </c>
      <c r="BQ62" s="23">
        <v>7.2788</v>
      </c>
      <c r="BR62" s="23">
        <v>7.258</v>
      </c>
      <c r="BS62" s="23">
        <v>7.2428</v>
      </c>
      <c r="BT62" s="23">
        <v>7.2382</v>
      </c>
      <c r="BU62" s="23"/>
      <c r="BV62" s="23"/>
      <c r="BW62" s="23">
        <v>7.2649</v>
      </c>
      <c r="BX62" s="23">
        <v>7.2306</v>
      </c>
      <c r="BY62" s="23">
        <v>7.2445</v>
      </c>
      <c r="BZ62" s="23">
        <v>7.2427</v>
      </c>
      <c r="CA62" s="23">
        <v>7.2288</v>
      </c>
      <c r="CB62" s="23"/>
      <c r="CC62" s="23"/>
      <c r="CD62" s="23">
        <v>7.2388</v>
      </c>
      <c r="CE62" s="23">
        <v>7.2216</v>
      </c>
      <c r="CF62" s="23">
        <v>7.2363</v>
      </c>
      <c r="CG62" s="23">
        <v>7.2383</v>
      </c>
      <c r="CH62" s="23">
        <v>7.2489</v>
      </c>
      <c r="CI62" s="23"/>
      <c r="CJ62" s="23"/>
      <c r="CK62" s="23">
        <v>7.252</v>
      </c>
      <c r="CL62" s="23">
        <v>7.264</v>
      </c>
      <c r="CM62" s="23">
        <v>7.2635</v>
      </c>
      <c r="CN62" s="23">
        <v>7.2655</v>
      </c>
      <c r="CO62" s="23">
        <v>7.2637</v>
      </c>
      <c r="CP62" s="23"/>
      <c r="CQ62" s="23"/>
      <c r="CR62" s="23">
        <v>7.2516</v>
      </c>
      <c r="CS62" s="23">
        <v>7.2687</v>
      </c>
      <c r="CT62" s="23">
        <v>7.2719</v>
      </c>
      <c r="CU62" s="23">
        <v>7.3043</v>
      </c>
      <c r="CV62" s="23"/>
      <c r="CW62" s="23"/>
      <c r="CX62" s="23"/>
      <c r="CY62" s="23">
        <v>7.3149</v>
      </c>
      <c r="CZ62" s="23">
        <v>7.3368</v>
      </c>
      <c r="DA62" s="23">
        <v>7.3498</v>
      </c>
      <c r="DB62" s="23">
        <v>7.3429</v>
      </c>
      <c r="DC62" s="23">
        <v>7.3245</v>
      </c>
      <c r="DD62" s="23"/>
      <c r="DE62" s="23"/>
      <c r="DF62" s="23">
        <v>7.3021</v>
      </c>
      <c r="DG62" s="23">
        <v>7.3146</v>
      </c>
      <c r="DH62" s="23">
        <v>7.3179</v>
      </c>
      <c r="DI62" s="23">
        <v>7.298</v>
      </c>
      <c r="DJ62" s="23">
        <v>7.3039</v>
      </c>
      <c r="DK62" s="23"/>
      <c r="DL62" s="23"/>
      <c r="DM62" s="23">
        <v>7.288</v>
      </c>
      <c r="DN62" s="23">
        <v>7.3145</v>
      </c>
      <c r="DO62" s="23">
        <v>7.2955</v>
      </c>
      <c r="DP62" s="23">
        <v>7.2931</v>
      </c>
      <c r="DQ62" s="23">
        <v>7.2832</v>
      </c>
      <c r="DR62" s="23"/>
      <c r="DS62" s="23"/>
      <c r="DT62" s="23">
        <v>7.2995</v>
      </c>
      <c r="DU62" s="23">
        <v>7.2653</v>
      </c>
      <c r="DV62" s="23">
        <v>7.2632</v>
      </c>
      <c r="DW62" s="23"/>
      <c r="DX62" s="23"/>
      <c r="DY62" s="23"/>
      <c r="DZ62" s="23"/>
      <c r="EA62" s="23"/>
      <c r="EB62" s="23">
        <v>7.2169</v>
      </c>
      <c r="EC62" s="23">
        <v>7.2254</v>
      </c>
      <c r="ED62" s="23">
        <v>7.2355</v>
      </c>
      <c r="EE62" s="23">
        <v>7.2461</v>
      </c>
      <c r="EF62" s="23"/>
      <c r="EG62" s="23"/>
      <c r="EH62" s="23">
        <v>7.2132</v>
      </c>
      <c r="EI62" s="23">
        <v>7.2012</v>
      </c>
      <c r="EJ62" s="23">
        <v>7.2083</v>
      </c>
      <c r="EK62" s="23">
        <v>7.2132</v>
      </c>
      <c r="EL62" s="23">
        <v>7.2037</v>
      </c>
      <c r="EM62" s="23"/>
      <c r="EN62" s="23"/>
      <c r="EO62" s="23">
        <v>7.2125</v>
      </c>
      <c r="EP62" s="23">
        <v>7.2207</v>
      </c>
      <c r="EQ62" s="23">
        <v>7.2065</v>
      </c>
      <c r="ER62" s="23">
        <v>7.204</v>
      </c>
      <c r="ES62" s="23">
        <v>7.1895</v>
      </c>
      <c r="ET62" s="23"/>
      <c r="EU62" s="23"/>
      <c r="EV62" s="23">
        <v>7.1843</v>
      </c>
      <c r="EW62" s="23">
        <v>7.1949</v>
      </c>
      <c r="EX62" s="23">
        <v>7.1907</v>
      </c>
      <c r="EY62" s="23">
        <v>7.1916</v>
      </c>
      <c r="EZ62" s="23">
        <v>7.1953</v>
      </c>
      <c r="FA62" s="23"/>
      <c r="FB62" s="23"/>
      <c r="FC62" s="23"/>
      <c r="FD62" s="23">
        <v>7.1895</v>
      </c>
      <c r="FE62" s="23">
        <v>7.189</v>
      </c>
      <c r="FF62" s="23">
        <v>7.1838</v>
      </c>
      <c r="FG62" s="23">
        <v>7.1847</v>
      </c>
      <c r="FH62" s="23"/>
      <c r="FI62" s="23"/>
      <c r="FJ62" s="23">
        <v>7.1838</v>
      </c>
      <c r="FK62" s="23">
        <v>7.1869</v>
      </c>
      <c r="FL62" s="23">
        <v>7.1858</v>
      </c>
      <c r="FM62" s="23">
        <v>7.1824</v>
      </c>
      <c r="FN62" s="23">
        <v>7.1813</v>
      </c>
      <c r="FO62" s="23"/>
      <c r="FP62" s="23"/>
      <c r="FQ62" s="23">
        <v>7.1802</v>
      </c>
      <c r="FR62" s="23">
        <v>7.1838</v>
      </c>
      <c r="FS62" s="23">
        <v>7.1868</v>
      </c>
      <c r="FT62" s="23">
        <v>7.1882</v>
      </c>
      <c r="FU62" s="23">
        <v>7.1837</v>
      </c>
      <c r="FV62" s="23"/>
      <c r="FW62" s="23"/>
      <c r="FX62" s="23">
        <v>7.1858</v>
      </c>
      <c r="FY62" s="23">
        <v>7.1781</v>
      </c>
      <c r="FZ62" s="23">
        <v>7.1713</v>
      </c>
      <c r="GA62" s="23">
        <v>7.1684</v>
      </c>
      <c r="GB62" s="23">
        <v>7.169</v>
      </c>
      <c r="GC62" s="23"/>
      <c r="GD62" s="23"/>
      <c r="GE62" s="23">
        <v>7.1656</v>
      </c>
      <c r="GF62" s="23">
        <v>7.1618</v>
      </c>
      <c r="GG62" s="23">
        <v>7.167</v>
      </c>
      <c r="GH62" s="23">
        <v>7.1611</v>
      </c>
      <c r="GI62" s="23">
        <v>7.1652</v>
      </c>
      <c r="GJ62" s="23"/>
      <c r="GK62" s="23"/>
      <c r="GL62" s="23">
        <v>7.1747</v>
      </c>
      <c r="GM62" s="23">
        <v>7.1732</v>
      </c>
      <c r="GN62" s="23">
        <v>7.1824</v>
      </c>
      <c r="GO62" s="23">
        <v>7.1776</v>
      </c>
      <c r="GP62" s="23">
        <v>7.171</v>
      </c>
      <c r="GQ62" s="23"/>
      <c r="GR62" s="23"/>
      <c r="GS62" s="23">
        <v>7.1693</v>
      </c>
      <c r="GT62" s="23">
        <v>7.1734</v>
      </c>
      <c r="GU62" s="23">
        <v>7.1776</v>
      </c>
      <c r="GV62" s="23">
        <v>7.1796</v>
      </c>
      <c r="GW62" s="23">
        <v>7.1766</v>
      </c>
      <c r="GX62" s="23"/>
      <c r="GY62" s="23"/>
      <c r="GZ62" s="23">
        <v>7.1768</v>
      </c>
      <c r="HA62" s="23">
        <v>7.1756</v>
      </c>
      <c r="HB62" s="23">
        <v>7.161</v>
      </c>
      <c r="HC62" s="23">
        <v>7.1547</v>
      </c>
      <c r="HD62" s="23">
        <v>7.1679</v>
      </c>
      <c r="HE62" s="23"/>
      <c r="HF62" s="23"/>
      <c r="HG62" s="23">
        <v>7.1729</v>
      </c>
      <c r="HH62" s="23">
        <v>7.1765</v>
      </c>
      <c r="HI62" s="23">
        <v>7.1823</v>
      </c>
      <c r="HJ62" s="23">
        <v>7.193</v>
      </c>
      <c r="HK62" s="23">
        <v>7.2106</v>
      </c>
      <c r="HL62" s="23"/>
      <c r="HM62" s="23"/>
      <c r="HN62" s="23">
        <v>7.1766</v>
      </c>
      <c r="HO62" s="23">
        <v>7.1876</v>
      </c>
      <c r="HP62" s="23">
        <v>7.19</v>
      </c>
      <c r="HQ62" s="23">
        <v>7.1777</v>
      </c>
      <c r="HR62" s="23">
        <v>7.1826</v>
      </c>
      <c r="HS62" s="23"/>
      <c r="HT62" s="23"/>
      <c r="HU62" s="23">
        <v>7.1818</v>
      </c>
      <c r="HV62" s="23">
        <v>7.1911</v>
      </c>
      <c r="HW62" s="23">
        <v>7.1755</v>
      </c>
      <c r="HX62" s="23">
        <v>7.173</v>
      </c>
      <c r="HY62" s="23">
        <v>7.1823</v>
      </c>
      <c r="HZ62" s="23"/>
      <c r="IA62" s="23"/>
      <c r="IB62" s="23">
        <v>7.1792</v>
      </c>
      <c r="IC62" s="23">
        <v>7.182</v>
      </c>
      <c r="ID62" s="23">
        <v>7.1793</v>
      </c>
      <c r="IE62" s="23">
        <v>7.1778</v>
      </c>
      <c r="IF62" s="23">
        <v>7.1805</v>
      </c>
      <c r="IG62" s="23"/>
      <c r="IH62" s="23"/>
      <c r="II62" s="23">
        <v>7.1517</v>
      </c>
      <c r="IJ62" s="23">
        <v>7.1621</v>
      </c>
      <c r="IK62" s="23">
        <v>7.1622</v>
      </c>
      <c r="IL62" s="23">
        <v>7.1385</v>
      </c>
      <c r="IM62" s="23">
        <v>7.133</v>
      </c>
      <c r="IN62" s="23"/>
      <c r="IO62" s="23"/>
      <c r="IP62" s="31">
        <v>7.1332</v>
      </c>
      <c r="IQ62" s="31">
        <v>7.1476</v>
      </c>
      <c r="IR62" s="31">
        <v>7.1468</v>
      </c>
      <c r="IS62" s="31">
        <v>7.1402</v>
      </c>
      <c r="IT62" s="31">
        <v>7.1378</v>
      </c>
      <c r="IU62" s="31"/>
      <c r="IV62" s="31"/>
      <c r="IW62" s="31">
        <v>7.1321</v>
      </c>
      <c r="IX62" s="31">
        <v>7.1248</v>
      </c>
      <c r="IY62" s="31">
        <v>7.1221</v>
      </c>
      <c r="IZ62" s="31">
        <v>7.1235</v>
      </c>
      <c r="JA62" s="31">
        <v>7.1224</v>
      </c>
      <c r="JB62" s="31"/>
      <c r="JC62" s="31"/>
      <c r="JD62" s="31">
        <v>7.1228</v>
      </c>
      <c r="JE62" s="31">
        <v>7.1163</v>
      </c>
      <c r="JF62" s="31">
        <v>7.1056</v>
      </c>
      <c r="JG62" s="31">
        <v>7.1079</v>
      </c>
      <c r="JH62" s="31">
        <v>7.1125</v>
      </c>
      <c r="JI62" s="31"/>
      <c r="JJ62" s="31"/>
      <c r="JK62" s="31">
        <v>7.1148</v>
      </c>
      <c r="JL62" s="31">
        <v>7.1133</v>
      </c>
      <c r="JM62" s="31">
        <v>7.1219</v>
      </c>
      <c r="JN62" s="31">
        <v>7.1253</v>
      </c>
      <c r="JO62" s="31">
        <v>7.1345</v>
      </c>
      <c r="JP62" s="31"/>
      <c r="JQ62" s="31"/>
      <c r="JR62" s="31">
        <v>7.1204</v>
      </c>
      <c r="JS62" s="31">
        <v>7.1186</v>
      </c>
      <c r="JT62" s="31"/>
      <c r="JU62" s="31"/>
      <c r="JV62" s="31"/>
      <c r="JW62" s="31"/>
      <c r="JX62" s="31"/>
      <c r="JY62" s="31"/>
      <c r="JZ62" s="23"/>
      <c r="KA62" s="23"/>
      <c r="KB62" s="23">
        <v>7.1246</v>
      </c>
      <c r="KC62" s="23">
        <v>7.1232</v>
      </c>
      <c r="KD62" s="23"/>
      <c r="KE62" s="23"/>
      <c r="KF62" s="23">
        <v>7.1329</v>
      </c>
      <c r="KG62" s="23">
        <v>7.1411</v>
      </c>
      <c r="KH62" s="23">
        <v>7.1238</v>
      </c>
      <c r="KI62" s="23">
        <v>7.1249</v>
      </c>
      <c r="KJ62" s="23">
        <v>7.1265</v>
      </c>
      <c r="KK62" s="23"/>
      <c r="KL62" s="23"/>
      <c r="KM62" s="23">
        <v>7.1231</v>
      </c>
      <c r="KN62" s="23">
        <v>7.1171</v>
      </c>
      <c r="KO62" s="23">
        <v>7.1245</v>
      </c>
      <c r="KP62" s="23">
        <v>7.1221</v>
      </c>
      <c r="KQ62" s="23">
        <v>7.123</v>
      </c>
      <c r="KR62" s="23"/>
      <c r="KS62" s="23"/>
      <c r="KT62" s="23">
        <v>7.1109</v>
      </c>
      <c r="KU62" s="23">
        <v>7.1006</v>
      </c>
      <c r="KV62" s="23">
        <v>7.0991</v>
      </c>
      <c r="KW62" s="23">
        <v>7.1107</v>
      </c>
      <c r="KX62" s="23">
        <v>7.1135</v>
      </c>
      <c r="KY62" s="23"/>
      <c r="KZ62" s="23"/>
      <c r="LA62" s="23">
        <v>7.1225</v>
      </c>
      <c r="LB62" s="23">
        <v>7.1233</v>
      </c>
      <c r="LC62" s="23">
        <v>7.1246</v>
      </c>
      <c r="LD62" s="23">
        <v>7.1219</v>
      </c>
      <c r="LE62" s="23">
        <v>7.1225</v>
      </c>
      <c r="LF62" s="23"/>
      <c r="LG62" s="23"/>
      <c r="LH62" s="23">
        <v>7.1175</v>
      </c>
      <c r="LI62" s="23">
        <v>7.1207</v>
      </c>
      <c r="LJ62" s="23">
        <v>7.1172</v>
      </c>
      <c r="LK62" s="23">
        <v>7.0959</v>
      </c>
      <c r="LL62" s="23">
        <v>7.1007</v>
      </c>
      <c r="LM62" s="23"/>
      <c r="LN62" s="23"/>
      <c r="LO62" s="23">
        <v>7.1048</v>
      </c>
      <c r="LP62" s="23">
        <v>7.1125</v>
      </c>
      <c r="LQ62" s="23">
        <v>7.1096</v>
      </c>
      <c r="LR62" s="23">
        <v>7.1167</v>
      </c>
      <c r="LS62" s="23">
        <v>7.1103</v>
      </c>
      <c r="LT62" s="23"/>
      <c r="LU62" s="23"/>
      <c r="LV62" s="23">
        <v>7.1056</v>
      </c>
      <c r="LW62" s="23">
        <v>7.0938</v>
      </c>
      <c r="LX62" s="23">
        <v>7.0802</v>
      </c>
      <c r="LY62" s="23">
        <v>7.0806</v>
      </c>
      <c r="LZ62" s="23">
        <v>7.0794</v>
      </c>
      <c r="MA62" s="23"/>
      <c r="MB62" s="23"/>
      <c r="MC62" s="23">
        <v>7.0725</v>
      </c>
      <c r="MD62" s="23">
        <v>7.0712</v>
      </c>
      <c r="ME62" s="23">
        <v>7.0661</v>
      </c>
      <c r="MF62" s="23">
        <v>7.069</v>
      </c>
      <c r="MG62" s="23">
        <v>7.0706</v>
      </c>
      <c r="MH62" s="23"/>
      <c r="MI62" s="23"/>
      <c r="MJ62" s="23">
        <v>7.0713</v>
      </c>
      <c r="MK62" s="23">
        <v>7.0693</v>
      </c>
      <c r="ML62" s="23">
        <v>7.0638</v>
      </c>
      <c r="MM62" s="23">
        <v>7.058</v>
      </c>
      <c r="MN62" s="23">
        <v>7.0554</v>
      </c>
      <c r="MO62" s="23"/>
      <c r="MP62" s="23"/>
      <c r="MQ62" s="23">
        <v>7.0505</v>
      </c>
      <c r="MR62" s="23">
        <v>7.0425</v>
      </c>
      <c r="MS62" s="23">
        <v>7.046</v>
      </c>
      <c r="MT62" s="23">
        <v>7.0419</v>
      </c>
      <c r="MU62" s="23">
        <v>7.041</v>
      </c>
      <c r="MV62" s="23"/>
      <c r="MW62" s="23"/>
      <c r="MX62" s="23">
        <v>7.0382</v>
      </c>
      <c r="MY62" s="23">
        <v>7.0287</v>
      </c>
      <c r="MZ62" s="23">
        <v>7.0161</v>
      </c>
      <c r="NA62" s="23">
        <v>7.0066</v>
      </c>
      <c r="NB62" s="23">
        <v>7.0085</v>
      </c>
      <c r="NC62" s="23"/>
      <c r="ND62" s="23"/>
      <c r="NE62" s="23">
        <v>7.0098</v>
      </c>
      <c r="NF62" s="23">
        <v>6.9901</v>
      </c>
      <c r="NG62" s="23">
        <v>6.989</v>
      </c>
      <c r="NH62" s="23"/>
      <c r="NI62" s="23"/>
      <c r="NJ62" s="23"/>
      <c r="NK62" s="23"/>
      <c r="NL62" s="23">
        <v>6.9806</v>
      </c>
      <c r="NM62" s="23">
        <v>6.9813</v>
      </c>
      <c r="NN62" s="23">
        <v>6.9912</v>
      </c>
      <c r="NO62" s="23">
        <v>6.9807</v>
      </c>
      <c r="NP62" s="23">
        <v>6.9821</v>
      </c>
      <c r="NQ62" s="23"/>
      <c r="NR62" s="23"/>
      <c r="NS62" s="23">
        <v>6.9742</v>
      </c>
      <c r="NT62" s="23">
        <v>6.9765</v>
      </c>
      <c r="NU62" s="23">
        <v>6.9734</v>
      </c>
      <c r="NV62" s="23">
        <v>6.9698</v>
      </c>
      <c r="NW62" s="23">
        <v>6.969</v>
      </c>
      <c r="NX62" s="23"/>
      <c r="NY62" s="23"/>
      <c r="NZ62" s="23">
        <v>6.9636</v>
      </c>
      <c r="OA62" s="23">
        <v>6.9603</v>
      </c>
      <c r="OB62" s="23">
        <v>6.965</v>
      </c>
      <c r="OC62" s="23">
        <v>6.9628</v>
      </c>
      <c r="OD62" s="23">
        <v>6.9642</v>
      </c>
      <c r="OE62" s="23"/>
      <c r="OF62" s="23"/>
      <c r="OG62" s="23">
        <v>6.9572</v>
      </c>
      <c r="OH62" s="23">
        <v>6.9576</v>
      </c>
      <c r="OI62" s="23">
        <v>6.9453</v>
      </c>
      <c r="OJ62" s="23">
        <v>6.946</v>
      </c>
      <c r="OK62" s="23">
        <v>6.9486</v>
      </c>
      <c r="OL62" s="23"/>
      <c r="OM62" s="23"/>
      <c r="ON62" s="23">
        <v>6.9513</v>
      </c>
      <c r="OO62" s="23">
        <v>6.9362</v>
      </c>
      <c r="OP62" s="23">
        <v>6.9376</v>
      </c>
      <c r="OQ62" s="23">
        <v>6.9408</v>
      </c>
      <c r="OR62" s="23">
        <v>6.9401</v>
      </c>
      <c r="OS62" s="23"/>
      <c r="OT62" s="23"/>
      <c r="OU62" s="23">
        <v>6.9284</v>
      </c>
      <c r="OV62" s="23">
        <v>6.9129</v>
      </c>
      <c r="OW62" s="23">
        <v>6.9115</v>
      </c>
      <c r="OX62" s="23">
        <v>6.9016</v>
      </c>
      <c r="OY62" s="23">
        <v>6.9114</v>
      </c>
      <c r="OZ62" s="23"/>
      <c r="PA62" s="23"/>
      <c r="PB62" s="23"/>
      <c r="PC62" s="23"/>
      <c r="PD62" s="23"/>
      <c r="PE62" s="23"/>
      <c r="PF62" s="23"/>
      <c r="PG62" s="23"/>
      <c r="PH62" s="23"/>
      <c r="PI62" s="23"/>
      <c r="PJ62" s="23">
        <v>6.8849</v>
      </c>
      <c r="PK62" s="23">
        <v>6.8672</v>
      </c>
      <c r="PL62" s="23">
        <v>6.8397</v>
      </c>
      <c r="PM62" s="23">
        <v>6.8559</v>
      </c>
      <c r="PN62" s="23"/>
      <c r="PO62" s="23"/>
      <c r="PP62" s="23">
        <v>6.8855</v>
      </c>
      <c r="PQ62" s="23">
        <v>6.8997</v>
      </c>
      <c r="PR62" s="23">
        <v>6.912</v>
      </c>
      <c r="PS62" s="23">
        <v>6.9003</v>
      </c>
      <c r="PT62" s="23">
        <v>6.8981</v>
      </c>
      <c r="PU62" s="23"/>
      <c r="PV62" s="23"/>
      <c r="PW62" s="23">
        <v>6.9183</v>
      </c>
      <c r="PX62" s="23">
        <v>6.8718</v>
      </c>
      <c r="PY62" s="23">
        <v>6.87</v>
      </c>
      <c r="PZ62" s="23">
        <v>6.8752</v>
      </c>
      <c r="QA62" s="23">
        <v>6.903</v>
      </c>
      <c r="QB62" s="23"/>
      <c r="QC62" s="23"/>
      <c r="QD62" s="23">
        <v>6.8997</v>
      </c>
      <c r="QE62" s="23">
        <v>6.8877</v>
      </c>
      <c r="QF62" s="23">
        <v>6.8762</v>
      </c>
      <c r="QG62" s="23">
        <v>6.9013</v>
      </c>
      <c r="QH62" s="23">
        <v>6.8817</v>
      </c>
      <c r="QI62" s="23"/>
      <c r="QJ62" s="23"/>
      <c r="QK62" s="23">
        <v>6.9062</v>
      </c>
      <c r="QL62" s="23">
        <v>6.8877</v>
      </c>
      <c r="QM62" s="23">
        <v>6.8977</v>
      </c>
      <c r="QN62" s="23">
        <v>6.9041</v>
      </c>
      <c r="QO62" s="23">
        <v>6.9105</v>
      </c>
      <c r="QP62" s="23"/>
      <c r="QQ62" s="23"/>
      <c r="QR62" s="23">
        <v>6.913</v>
      </c>
      <c r="QS62" s="23">
        <v>6.9081</v>
      </c>
      <c r="QT62" s="23">
        <v>6.874</v>
      </c>
      <c r="QU62" s="23">
        <v>6.8936</v>
      </c>
      <c r="QV62" s="23">
        <v>6.8803</v>
      </c>
      <c r="QW62" s="23"/>
      <c r="QX62" s="23"/>
      <c r="QY62" s="23"/>
      <c r="QZ62" s="23">
        <v>6.8597</v>
      </c>
      <c r="RA62" s="23">
        <v>6.8274</v>
      </c>
      <c r="RB62" s="23">
        <v>6.841</v>
      </c>
      <c r="RC62" s="23">
        <v>6.8333</v>
      </c>
      <c r="RD62" s="23"/>
      <c r="RE62" s="23"/>
      <c r="RF62" s="23">
        <v>6.8338</v>
      </c>
      <c r="RG62" s="23">
        <v>6.8164</v>
      </c>
      <c r="RH62" s="23">
        <v>6.8185</v>
      </c>
      <c r="RI62" s="23">
        <v>6.8197</v>
      </c>
      <c r="RJ62" s="23">
        <v>6.8263</v>
      </c>
      <c r="RK62" s="23"/>
      <c r="RL62" s="23"/>
      <c r="RM62" s="23">
        <v>6.8195</v>
      </c>
      <c r="RN62" s="23">
        <v>6.8165</v>
      </c>
      <c r="RO62" s="23">
        <v>6.8219</v>
      </c>
      <c r="RP62" s="23">
        <v>6.8336</v>
      </c>
      <c r="RQ62" s="23">
        <v>6.8342</v>
      </c>
      <c r="RR62" s="23"/>
      <c r="RS62" s="23"/>
      <c r="RT62" s="23">
        <v>6.8239</v>
      </c>
      <c r="RU62" s="23">
        <v>6.836</v>
      </c>
      <c r="RV62" s="23">
        <v>6.8329</v>
      </c>
      <c r="RW62" s="23">
        <v>6.8335</v>
      </c>
      <c r="RX62" s="23"/>
      <c r="RY62" s="23"/>
      <c r="RZ62" s="23"/>
      <c r="SA62" s="23"/>
      <c r="SB62" s="23"/>
      <c r="SC62" s="23">
        <v>6.8149</v>
      </c>
      <c r="SD62" s="23">
        <v>6.8015</v>
      </c>
      <c r="SE62" s="23">
        <v>6.8017</v>
      </c>
      <c r="SF62" s="23"/>
      <c r="SG62" s="23"/>
      <c r="SH62" s="23">
        <v>6.7954</v>
      </c>
      <c r="SI62" s="23">
        <v>6.7946</v>
      </c>
      <c r="SJ62" s="23">
        <v>6.7905</v>
      </c>
      <c r="SK62" s="23">
        <v>6.7862</v>
      </c>
      <c r="SL62" s="23">
        <v>6.8052</v>
      </c>
      <c r="SM62" s="23"/>
      <c r="SN62" s="23"/>
      <c r="SO62" s="23">
        <v>6.7979</v>
      </c>
      <c r="SP62" s="23">
        <v>6.8039</v>
      </c>
      <c r="SQ62" s="23">
        <v>6.806</v>
      </c>
      <c r="SR62" s="23">
        <v>6.796</v>
      </c>
      <c r="SS62" s="23">
        <v>6.7947</v>
      </c>
      <c r="ST62" s="23"/>
      <c r="SU62" s="23"/>
      <c r="SV62" s="23">
        <v>6.7837</v>
      </c>
      <c r="SW62" s="23">
        <v>6.787</v>
      </c>
      <c r="SX62" s="23">
        <v>6.7817</v>
      </c>
      <c r="SY62" s="23">
        <v>6.78</v>
      </c>
      <c r="SZ62" s="23">
        <v>6.7685</v>
      </c>
      <c r="TA62" s="23"/>
      <c r="TB62" s="23"/>
      <c r="TC62" s="23">
        <v>6.765</v>
      </c>
      <c r="TD62" s="23">
        <v>6.7622</v>
      </c>
      <c r="TE62" s="23">
        <v>6.772</v>
      </c>
      <c r="TF62" s="23">
        <v>6.7768</v>
      </c>
      <c r="TG62" s="23">
        <v>6.7712</v>
      </c>
      <c r="TH62" s="23"/>
      <c r="TI62" s="23"/>
      <c r="TJ62" s="23">
        <v>6.7844</v>
      </c>
      <c r="TK62" s="23">
        <v>6.7702</v>
      </c>
      <c r="TL62" s="23">
        <v>6.7774</v>
      </c>
      <c r="TM62" s="23">
        <v>6.7773</v>
      </c>
      <c r="TN62" s="23">
        <v>6.7616</v>
      </c>
      <c r="TO62" s="23"/>
      <c r="TP62" s="23"/>
      <c r="TQ62" s="23">
        <v>6.7572</v>
      </c>
      <c r="TR62" s="23">
        <v>6.7574</v>
      </c>
      <c r="TS62" s="23">
        <v>6.7569</v>
      </c>
      <c r="TT62" s="23">
        <v>6.7623</v>
      </c>
      <c r="TU62" s="23"/>
      <c r="TV62" s="23"/>
      <c r="TW62" s="23"/>
      <c r="TX62" s="23">
        <v>6.7763</v>
      </c>
      <c r="TY62" s="23">
        <v>6.7865</v>
      </c>
      <c r="TZ62" s="23">
        <v>6.8052</v>
      </c>
      <c r="UA62" s="23">
        <v>6.7995</v>
      </c>
      <c r="UB62" s="23">
        <v>6.7997</v>
      </c>
      <c r="UC62" s="23"/>
      <c r="UD62" s="23"/>
      <c r="UE62" s="23">
        <v>6.7929</v>
      </c>
      <c r="UF62" s="23">
        <v>6.7852</v>
      </c>
      <c r="UG62" s="23">
        <v>6.7935</v>
      </c>
      <c r="UH62" s="23">
        <v>6.7866</v>
      </c>
      <c r="UI62" s="23">
        <v>6.7804</v>
      </c>
      <c r="UJ62" s="23"/>
      <c r="UK62" s="23"/>
      <c r="UL62" s="23"/>
      <c r="UM62" s="23"/>
      <c r="UN62" s="23"/>
      <c r="UO62" s="23"/>
      <c r="UP62" s="23"/>
      <c r="UQ62" s="23"/>
      <c r="UR62" s="23"/>
      <c r="US62" s="23"/>
      <c r="UT62" s="23"/>
    </row>
    <row r="63" ht="16.5" customHeight="1" spans="4:566">
      <c r="D63" s="19" t="s">
        <v>287</v>
      </c>
      <c r="E63" s="21" t="s">
        <v>288</v>
      </c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>
        <v>3.8</v>
      </c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>
        <v>3.4</v>
      </c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>
        <v>3.2</v>
      </c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3"/>
      <c r="DV63" s="23">
        <v>2.4</v>
      </c>
      <c r="DW63" s="23"/>
      <c r="DX63" s="23"/>
      <c r="DY63" s="23"/>
      <c r="DZ63" s="23"/>
      <c r="EA63" s="23"/>
      <c r="EB63" s="23"/>
      <c r="EC63" s="23"/>
      <c r="ED63" s="23"/>
      <c r="EE63" s="23"/>
      <c r="EF63" s="23"/>
      <c r="EG63" s="23"/>
      <c r="EH63" s="23"/>
      <c r="EI63" s="23"/>
      <c r="EJ63" s="23"/>
      <c r="EK63" s="23"/>
      <c r="EL63" s="23"/>
      <c r="EM63" s="23"/>
      <c r="EN63" s="23"/>
      <c r="EO63" s="23"/>
      <c r="EP63" s="23"/>
      <c r="EQ63" s="23"/>
      <c r="ER63" s="23"/>
      <c r="ES63" s="23"/>
      <c r="ET63" s="23"/>
      <c r="EU63" s="23"/>
      <c r="EV63" s="23"/>
      <c r="EW63" s="23"/>
      <c r="EX63" s="23"/>
      <c r="EY63" s="23"/>
      <c r="EZ63" s="23"/>
      <c r="FA63" s="23">
        <v>2.7</v>
      </c>
      <c r="FB63" s="23"/>
      <c r="FC63" s="23"/>
      <c r="FD63" s="23"/>
      <c r="FE63" s="23"/>
      <c r="FF63" s="23"/>
      <c r="FG63" s="23"/>
      <c r="FH63" s="23"/>
      <c r="FI63" s="23"/>
      <c r="FJ63" s="23"/>
      <c r="FK63" s="23"/>
      <c r="FL63" s="23"/>
      <c r="FM63" s="23"/>
      <c r="FN63" s="23"/>
      <c r="FO63" s="23"/>
      <c r="FP63" s="23"/>
      <c r="FQ63" s="23"/>
      <c r="FR63" s="23"/>
      <c r="FS63" s="23"/>
      <c r="FT63" s="23"/>
      <c r="FU63" s="23"/>
      <c r="FV63" s="23"/>
      <c r="FW63" s="23"/>
      <c r="FX63" s="23"/>
      <c r="FY63" s="23"/>
      <c r="FZ63" s="23"/>
      <c r="GA63" s="23"/>
      <c r="GB63" s="23"/>
      <c r="GC63" s="23"/>
      <c r="GD63" s="23"/>
      <c r="GE63" s="23">
        <v>2.4</v>
      </c>
      <c r="GF63" s="23"/>
      <c r="GG63" s="23"/>
      <c r="GH63" s="23"/>
      <c r="GI63" s="23"/>
      <c r="GJ63" s="23"/>
      <c r="GK63" s="23"/>
      <c r="GL63" s="23"/>
      <c r="GM63" s="23"/>
      <c r="GN63" s="23"/>
      <c r="GO63" s="23"/>
      <c r="GP63" s="23"/>
      <c r="GQ63" s="23"/>
      <c r="GR63" s="23"/>
      <c r="GS63" s="23"/>
      <c r="GT63" s="23"/>
      <c r="GU63" s="23"/>
      <c r="GV63" s="23"/>
      <c r="GW63" s="23"/>
      <c r="GX63" s="23"/>
      <c r="GY63" s="23"/>
      <c r="GZ63" s="23"/>
      <c r="HA63" s="23"/>
      <c r="HB63" s="23"/>
      <c r="HC63" s="23"/>
      <c r="HD63" s="23"/>
      <c r="HE63" s="23"/>
      <c r="HF63" s="23"/>
      <c r="HG63" s="23"/>
      <c r="HH63" s="23"/>
      <c r="HI63" s="23"/>
      <c r="HJ63" s="23">
        <v>3.2</v>
      </c>
      <c r="HK63" s="23"/>
      <c r="HL63" s="23"/>
      <c r="HM63" s="23"/>
      <c r="HN63" s="23"/>
      <c r="HO63" s="23"/>
      <c r="HP63" s="23"/>
      <c r="HQ63" s="23"/>
      <c r="HR63" s="23"/>
      <c r="HS63" s="23"/>
      <c r="HT63" s="23"/>
      <c r="HU63" s="23"/>
      <c r="HV63" s="23"/>
      <c r="HW63" s="23"/>
      <c r="HX63" s="23"/>
      <c r="HY63" s="23"/>
      <c r="HZ63" s="23"/>
      <c r="IA63" s="23"/>
      <c r="IB63" s="23"/>
      <c r="IC63" s="23"/>
      <c r="ID63" s="23"/>
      <c r="IE63" s="23"/>
      <c r="IF63" s="23"/>
      <c r="IG63" s="23"/>
      <c r="IH63" s="23"/>
      <c r="II63" s="23"/>
      <c r="IJ63" s="23"/>
      <c r="IK63" s="23"/>
      <c r="IL63" s="23"/>
      <c r="IM63" s="23"/>
      <c r="IN63" s="23"/>
      <c r="IO63" s="23">
        <v>2.7</v>
      </c>
      <c r="IP63" s="31"/>
      <c r="IQ63" s="31"/>
      <c r="IR63" s="31"/>
      <c r="IS63" s="31"/>
      <c r="IT63" s="31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  <c r="JH63" s="31"/>
      <c r="JI63" s="31"/>
      <c r="JJ63" s="31"/>
      <c r="JK63" s="31"/>
      <c r="JL63" s="31"/>
      <c r="JM63" s="31"/>
      <c r="JN63" s="31"/>
      <c r="JO63" s="31"/>
      <c r="JP63" s="31"/>
      <c r="JQ63" s="31"/>
      <c r="JR63" s="31"/>
      <c r="JS63" s="31">
        <v>3</v>
      </c>
      <c r="JT63" s="31"/>
      <c r="JU63" s="31"/>
      <c r="JV63" s="31"/>
      <c r="JW63" s="31"/>
      <c r="JX63" s="31"/>
      <c r="JY63" s="31"/>
      <c r="JZ63" s="23"/>
      <c r="KA63" s="23"/>
      <c r="KB63" s="23"/>
      <c r="KC63" s="23"/>
      <c r="KD63" s="23"/>
      <c r="KE63" s="23"/>
      <c r="KF63" s="23"/>
      <c r="KG63" s="23"/>
      <c r="KH63" s="23"/>
      <c r="KI63" s="23"/>
      <c r="KJ63" s="23"/>
      <c r="KK63" s="23"/>
      <c r="KL63" s="23"/>
      <c r="KM63" s="23"/>
      <c r="KN63" s="23"/>
      <c r="KO63" s="23"/>
      <c r="KP63" s="23"/>
      <c r="KQ63" s="23"/>
      <c r="KR63" s="23"/>
      <c r="KS63" s="23"/>
      <c r="KT63" s="23"/>
      <c r="KU63" s="23"/>
      <c r="KV63" s="23"/>
      <c r="KW63" s="23"/>
      <c r="KX63" s="23">
        <v>2.8</v>
      </c>
      <c r="KY63" s="23"/>
      <c r="KZ63" s="23"/>
      <c r="LA63" s="23"/>
      <c r="LB63" s="23"/>
      <c r="LC63" s="23"/>
      <c r="LD63" s="23"/>
      <c r="LE63" s="23"/>
      <c r="LF63" s="23"/>
      <c r="LG63" s="23"/>
      <c r="LH63" s="23"/>
      <c r="LI63" s="23"/>
      <c r="LJ63" s="23"/>
      <c r="LK63" s="23"/>
      <c r="LL63" s="23"/>
      <c r="LM63" s="23"/>
      <c r="LN63" s="23"/>
      <c r="LO63" s="23"/>
      <c r="LP63" s="23"/>
      <c r="LQ63" s="23"/>
      <c r="LR63" s="23"/>
      <c r="LS63" s="23"/>
      <c r="LT63" s="23"/>
      <c r="LU63" s="23"/>
      <c r="LV63" s="23"/>
      <c r="LW63" s="23"/>
      <c r="LX63" s="23"/>
      <c r="LY63" s="23"/>
      <c r="LZ63" s="23"/>
      <c r="MA63" s="23"/>
      <c r="MB63" s="23">
        <v>3.1</v>
      </c>
      <c r="MC63" s="23"/>
      <c r="MD63" s="23"/>
      <c r="ME63" s="23"/>
      <c r="MF63" s="23"/>
      <c r="MG63" s="23"/>
      <c r="MH63" s="23"/>
      <c r="MI63" s="23"/>
      <c r="MJ63" s="23"/>
      <c r="MK63" s="23"/>
      <c r="ML63" s="23"/>
      <c r="MM63" s="23"/>
      <c r="MN63" s="23"/>
      <c r="MO63" s="23"/>
      <c r="MP63" s="23"/>
      <c r="MQ63" s="23"/>
      <c r="MR63" s="23"/>
      <c r="MS63" s="23"/>
      <c r="MT63" s="23"/>
      <c r="MU63" s="23"/>
      <c r="MV63" s="23"/>
      <c r="MW63" s="23"/>
      <c r="MX63" s="23"/>
      <c r="MY63" s="23"/>
      <c r="MZ63" s="23"/>
      <c r="NA63" s="23"/>
      <c r="NB63" s="23"/>
      <c r="NC63" s="23"/>
      <c r="ND63" s="23"/>
      <c r="NE63" s="23"/>
      <c r="NF63" s="23"/>
      <c r="NG63" s="23">
        <v>3.1</v>
      </c>
      <c r="NH63" s="23"/>
      <c r="NI63" s="23"/>
      <c r="NJ63" s="23"/>
      <c r="NK63" s="23"/>
      <c r="NL63" s="23"/>
      <c r="NM63" s="23"/>
      <c r="NN63" s="23"/>
      <c r="NO63" s="23"/>
      <c r="NP63" s="23"/>
      <c r="NQ63" s="23"/>
      <c r="NR63" s="23"/>
      <c r="NS63" s="23"/>
      <c r="NT63" s="23"/>
      <c r="NU63" s="23"/>
      <c r="NV63" s="23"/>
      <c r="NW63" s="23"/>
      <c r="NX63" s="23"/>
      <c r="NY63" s="23"/>
      <c r="NZ63" s="23"/>
      <c r="OA63" s="23"/>
      <c r="OB63" s="23"/>
      <c r="OC63" s="23"/>
      <c r="OD63" s="23"/>
      <c r="OE63" s="23"/>
      <c r="OF63" s="23"/>
      <c r="OG63" s="23"/>
      <c r="OH63" s="23"/>
      <c r="OI63" s="23"/>
      <c r="OJ63" s="23"/>
      <c r="OK63" s="23"/>
      <c r="OL63" s="23">
        <v>3.1</v>
      </c>
      <c r="OM63" s="23"/>
      <c r="ON63" s="23"/>
      <c r="OO63" s="23"/>
      <c r="OP63" s="23"/>
      <c r="OQ63" s="23"/>
      <c r="OR63" s="23"/>
      <c r="OS63" s="23"/>
      <c r="OT63" s="23"/>
      <c r="OU63" s="23"/>
      <c r="OV63" s="23"/>
      <c r="OW63" s="23"/>
      <c r="OX63" s="23"/>
      <c r="OY63" s="23"/>
      <c r="OZ63" s="23"/>
      <c r="PA63" s="23"/>
      <c r="PB63" s="23"/>
      <c r="PC63" s="23"/>
      <c r="PD63" s="23"/>
      <c r="PE63" s="23"/>
      <c r="PF63" s="23"/>
      <c r="PG63" s="23"/>
      <c r="PH63" s="23"/>
      <c r="PI63" s="23"/>
      <c r="PJ63" s="23"/>
      <c r="PK63" s="23"/>
      <c r="PL63" s="23"/>
      <c r="PM63" s="23"/>
      <c r="PN63" s="23">
        <v>3.4</v>
      </c>
      <c r="PO63" s="23"/>
      <c r="PP63" s="23"/>
      <c r="PQ63" s="23"/>
      <c r="PR63" s="23"/>
      <c r="PS63" s="23"/>
      <c r="PT63" s="23"/>
      <c r="PU63" s="23"/>
      <c r="PV63" s="23"/>
      <c r="PW63" s="23"/>
      <c r="PX63" s="23"/>
      <c r="PY63" s="23"/>
      <c r="PZ63" s="23"/>
      <c r="QA63" s="23"/>
      <c r="QB63" s="23"/>
      <c r="QC63" s="23"/>
      <c r="QD63" s="23"/>
      <c r="QE63" s="23"/>
      <c r="QF63" s="23"/>
      <c r="QG63" s="23"/>
      <c r="QH63" s="23"/>
      <c r="QI63" s="23"/>
      <c r="QJ63" s="23"/>
      <c r="QK63" s="23"/>
      <c r="QL63" s="23"/>
      <c r="QM63" s="23"/>
      <c r="QN63" s="23"/>
      <c r="QO63" s="23"/>
      <c r="QP63" s="23"/>
      <c r="QQ63" s="23"/>
      <c r="QR63" s="23"/>
      <c r="QS63" s="23">
        <v>4.3</v>
      </c>
      <c r="QT63" s="23"/>
      <c r="QU63" s="23"/>
      <c r="QV63" s="23"/>
      <c r="QW63" s="23"/>
      <c r="QX63" s="23"/>
      <c r="QY63" s="23"/>
      <c r="QZ63" s="23"/>
      <c r="RA63" s="23"/>
      <c r="RB63" s="23"/>
      <c r="RC63" s="23"/>
      <c r="RD63" s="23"/>
      <c r="RE63" s="23"/>
      <c r="RF63" s="23"/>
      <c r="RG63" s="23"/>
      <c r="RH63" s="23"/>
      <c r="RI63" s="23"/>
      <c r="RJ63" s="23"/>
      <c r="RK63" s="23"/>
      <c r="RL63" s="23"/>
      <c r="RM63" s="23"/>
      <c r="RN63" s="23"/>
      <c r="RO63" s="23"/>
      <c r="RP63" s="23"/>
      <c r="RQ63" s="23"/>
      <c r="RR63" s="23"/>
      <c r="RS63" s="23"/>
      <c r="RT63" s="23"/>
      <c r="RU63" s="23"/>
      <c r="RV63" s="23"/>
      <c r="RW63" s="23">
        <v>5.7</v>
      </c>
      <c r="RX63" s="23"/>
      <c r="RY63" s="23"/>
      <c r="RZ63" s="23"/>
      <c r="SA63" s="23"/>
      <c r="SB63" s="23"/>
      <c r="SC63" s="23"/>
      <c r="SD63" s="23"/>
      <c r="SE63" s="23"/>
      <c r="SF63" s="23"/>
      <c r="SG63" s="23"/>
      <c r="SH63" s="23"/>
      <c r="SI63" s="23"/>
      <c r="SJ63" s="23"/>
      <c r="SK63" s="23"/>
      <c r="SL63" s="23"/>
      <c r="SM63" s="23"/>
      <c r="SN63" s="23"/>
      <c r="SO63" s="23"/>
      <c r="SP63" s="23"/>
      <c r="SQ63" s="23"/>
      <c r="SR63" s="23"/>
      <c r="SS63" s="23"/>
      <c r="ST63" s="23"/>
      <c r="SU63" s="23"/>
      <c r="SV63" s="23"/>
      <c r="SW63" s="23"/>
      <c r="SX63" s="23"/>
      <c r="SY63" s="23"/>
      <c r="SZ63" s="23"/>
      <c r="TA63" s="23"/>
      <c r="TB63" s="23">
        <v>6.5</v>
      </c>
      <c r="TC63" s="23"/>
      <c r="TD63" s="23"/>
      <c r="TE63" s="23"/>
      <c r="TF63" s="23"/>
      <c r="TG63" s="23"/>
      <c r="TH63" s="23"/>
      <c r="TI63" s="23"/>
      <c r="TJ63" s="23"/>
      <c r="TK63" s="23"/>
      <c r="TL63" s="23"/>
      <c r="TM63" s="23"/>
      <c r="TN63" s="23"/>
      <c r="TO63" s="23"/>
      <c r="TP63" s="23"/>
      <c r="TQ63" s="23"/>
      <c r="TR63" s="23"/>
      <c r="TS63" s="23"/>
      <c r="TT63" s="23"/>
      <c r="TU63" s="23"/>
      <c r="TV63" s="23"/>
      <c r="TW63" s="23"/>
      <c r="TX63" s="23"/>
      <c r="TY63" s="23"/>
      <c r="TZ63" s="23"/>
      <c r="UA63" s="23"/>
      <c r="UB63" s="23"/>
      <c r="UC63" s="23"/>
      <c r="UD63" s="23"/>
      <c r="UE63" s="23"/>
      <c r="UF63" s="23"/>
      <c r="UG63" s="23"/>
      <c r="UH63" s="23"/>
      <c r="UI63" s="23"/>
      <c r="UJ63" s="23"/>
      <c r="UK63" s="23"/>
      <c r="UL63" s="23"/>
      <c r="UM63" s="23"/>
      <c r="UN63" s="23"/>
      <c r="UO63" s="23"/>
      <c r="UP63" s="23"/>
      <c r="UQ63" s="23"/>
      <c r="UR63" s="23"/>
      <c r="US63" s="23"/>
      <c r="UT63" s="23"/>
    </row>
    <row r="64" ht="16.5" customHeight="1" spans="4:566">
      <c r="D64" s="19" t="s">
        <v>289</v>
      </c>
      <c r="E64" s="21" t="s">
        <v>290</v>
      </c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>
        <v>2.7801</v>
      </c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>
        <v>2.9686</v>
      </c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>
        <v>2.6703</v>
      </c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>
        <v>2.6148</v>
      </c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>
        <v>2.7839</v>
      </c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>
        <v>2.8074</v>
      </c>
      <c r="GF64" s="23"/>
      <c r="GG64" s="23"/>
      <c r="GH64" s="23"/>
      <c r="GI64" s="23"/>
      <c r="GJ64" s="23"/>
      <c r="GK64" s="23"/>
      <c r="GL64" s="23"/>
      <c r="GM64" s="23"/>
      <c r="GN64" s="23"/>
      <c r="GO64" s="23"/>
      <c r="GP64" s="23"/>
      <c r="GQ64" s="23"/>
      <c r="GR64" s="23"/>
      <c r="GS64" s="23"/>
      <c r="GT64" s="23"/>
      <c r="GU64" s="23"/>
      <c r="GV64" s="23"/>
      <c r="GW64" s="23"/>
      <c r="GX64" s="23"/>
      <c r="GY64" s="23"/>
      <c r="GZ64" s="23"/>
      <c r="HA64" s="23"/>
      <c r="HB64" s="23"/>
      <c r="HC64" s="23"/>
      <c r="HD64" s="23"/>
      <c r="HE64" s="23"/>
      <c r="HF64" s="23"/>
      <c r="HG64" s="23"/>
      <c r="HH64" s="23"/>
      <c r="HI64" s="23"/>
      <c r="HJ64" s="23">
        <v>2.863</v>
      </c>
      <c r="HK64" s="23"/>
      <c r="HL64" s="23"/>
      <c r="HM64" s="23"/>
      <c r="HN64" s="23"/>
      <c r="HO64" s="23"/>
      <c r="HP64" s="23"/>
      <c r="HQ64" s="23"/>
      <c r="HR64" s="23"/>
      <c r="HS64" s="23"/>
      <c r="HT64" s="23"/>
      <c r="HU64" s="23"/>
      <c r="HV64" s="23"/>
      <c r="HW64" s="23"/>
      <c r="HX64" s="23"/>
      <c r="HY64" s="23"/>
      <c r="HZ64" s="23"/>
      <c r="IA64" s="23"/>
      <c r="IB64" s="23"/>
      <c r="IC64" s="23"/>
      <c r="ID64" s="23"/>
      <c r="IE64" s="23"/>
      <c r="IF64" s="23"/>
      <c r="IG64" s="23"/>
      <c r="IH64" s="23"/>
      <c r="II64" s="23"/>
      <c r="IJ64" s="23"/>
      <c r="IK64" s="23"/>
      <c r="IL64" s="23"/>
      <c r="IM64" s="23"/>
      <c r="IN64" s="23"/>
      <c r="IO64" s="23">
        <v>2.9124</v>
      </c>
      <c r="IP64" s="31"/>
      <c r="IQ64" s="31"/>
      <c r="IR64" s="31"/>
      <c r="IS64" s="31"/>
      <c r="IT64" s="31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  <c r="JH64" s="31"/>
      <c r="JI64" s="31"/>
      <c r="JJ64" s="31"/>
      <c r="JK64" s="31"/>
      <c r="JL64" s="31"/>
      <c r="JM64" s="31"/>
      <c r="JN64" s="31"/>
      <c r="JO64" s="31"/>
      <c r="JP64" s="31"/>
      <c r="JQ64" s="31"/>
      <c r="JR64" s="31"/>
      <c r="JS64" s="31">
        <v>2.8251</v>
      </c>
      <c r="JT64" s="31"/>
      <c r="JU64" s="31"/>
      <c r="JV64" s="31"/>
      <c r="JW64" s="31"/>
      <c r="JX64" s="31"/>
      <c r="JY64" s="31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>
        <v>2.7545</v>
      </c>
      <c r="KY64" s="23"/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>
        <v>2.8291</v>
      </c>
      <c r="MC64" s="23"/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>
        <v>2.9711</v>
      </c>
      <c r="NH64" s="23"/>
      <c r="NI64" s="23"/>
      <c r="NJ64" s="23"/>
      <c r="NK64" s="23"/>
      <c r="NL64" s="23"/>
      <c r="NM64" s="23"/>
      <c r="NN64" s="23"/>
      <c r="NO64" s="23"/>
      <c r="NP64" s="23"/>
      <c r="NQ64" s="23"/>
      <c r="NR64" s="23"/>
      <c r="NS64" s="23"/>
      <c r="NT64" s="23"/>
      <c r="NU64" s="23"/>
      <c r="NV64" s="23"/>
      <c r="NW64" s="23"/>
      <c r="NX64" s="23"/>
      <c r="NY64" s="23"/>
      <c r="NZ64" s="23"/>
      <c r="OA64" s="23"/>
      <c r="OB64" s="23"/>
      <c r="OC64" s="23"/>
      <c r="OD64" s="23"/>
      <c r="OE64" s="23"/>
      <c r="OF64" s="23"/>
      <c r="OG64" s="23"/>
      <c r="OH64" s="23"/>
      <c r="OI64" s="23"/>
      <c r="OJ64" s="23"/>
      <c r="OK64" s="23"/>
      <c r="OL64" s="23">
        <v>3.1047</v>
      </c>
      <c r="OM64" s="23"/>
      <c r="ON64" s="23"/>
      <c r="OO64" s="23"/>
      <c r="OP64" s="23"/>
      <c r="OQ64" s="23"/>
      <c r="OR64" s="23"/>
      <c r="OS64" s="23"/>
      <c r="OT64" s="23"/>
      <c r="OU64" s="23"/>
      <c r="OV64" s="23"/>
      <c r="OW64" s="23"/>
      <c r="OX64" s="23"/>
      <c r="OY64" s="23"/>
      <c r="OZ64" s="23"/>
      <c r="PA64" s="23"/>
      <c r="PB64" s="23"/>
      <c r="PC64" s="23"/>
      <c r="PD64" s="23"/>
      <c r="PE64" s="23"/>
      <c r="PF64" s="23"/>
      <c r="PG64" s="23"/>
      <c r="PH64" s="23"/>
      <c r="PI64" s="23"/>
      <c r="PJ64" s="23"/>
      <c r="PK64" s="23"/>
      <c r="PL64" s="23"/>
      <c r="PM64" s="23"/>
      <c r="PN64" s="23">
        <v>3.0493</v>
      </c>
      <c r="PO64" s="23"/>
      <c r="PP64" s="23"/>
      <c r="PQ64" s="23"/>
      <c r="PR64" s="23"/>
      <c r="PS64" s="23"/>
      <c r="PT64" s="23"/>
      <c r="PU64" s="23"/>
      <c r="PV64" s="23"/>
      <c r="PW64" s="23"/>
      <c r="PX64" s="23"/>
      <c r="PY64" s="23"/>
      <c r="PZ64" s="23"/>
      <c r="QA64" s="23"/>
      <c r="QB64" s="23"/>
      <c r="QC64" s="23"/>
      <c r="QD64" s="23"/>
      <c r="QE64" s="23"/>
      <c r="QF64" s="23"/>
      <c r="QG64" s="23"/>
      <c r="QH64" s="23"/>
      <c r="QI64" s="23"/>
      <c r="QJ64" s="23"/>
      <c r="QK64" s="23"/>
      <c r="QL64" s="23"/>
      <c r="QM64" s="23"/>
      <c r="QN64" s="23"/>
      <c r="QO64" s="23"/>
      <c r="QP64" s="23"/>
      <c r="QQ64" s="23"/>
      <c r="QR64" s="23"/>
      <c r="QS64" s="23">
        <v>3.2538</v>
      </c>
      <c r="QT64" s="23"/>
      <c r="QU64" s="23"/>
      <c r="QV64" s="23"/>
      <c r="QW64" s="23"/>
      <c r="QX64" s="23"/>
      <c r="QY64" s="23"/>
      <c r="QZ64" s="23"/>
      <c r="RA64" s="23"/>
      <c r="RB64" s="23"/>
      <c r="RC64" s="23"/>
      <c r="RD64" s="23"/>
      <c r="RE64" s="23"/>
      <c r="RF64" s="23"/>
      <c r="RG64" s="23"/>
      <c r="RH64" s="23"/>
      <c r="RI64" s="23"/>
      <c r="RJ64" s="23"/>
      <c r="RK64" s="23"/>
      <c r="RL64" s="23"/>
      <c r="RM64" s="23"/>
      <c r="RN64" s="23"/>
      <c r="RO64" s="23"/>
      <c r="RP64" s="23"/>
      <c r="RQ64" s="23"/>
      <c r="RR64" s="23"/>
      <c r="RS64" s="23"/>
      <c r="RT64" s="23"/>
      <c r="RU64" s="23"/>
      <c r="RV64" s="23"/>
      <c r="RW64" s="23">
        <v>3.3187</v>
      </c>
      <c r="RX64" s="23"/>
      <c r="RY64" s="23"/>
      <c r="RZ64" s="23"/>
      <c r="SA64" s="23"/>
      <c r="SB64" s="23"/>
      <c r="SC64" s="23"/>
      <c r="SD64" s="23"/>
      <c r="SE64" s="23"/>
      <c r="SF64" s="23"/>
      <c r="SG64" s="23"/>
      <c r="SH64" s="23"/>
      <c r="SI64" s="23"/>
      <c r="SJ64" s="23"/>
      <c r="SK64" s="23"/>
      <c r="SL64" s="23"/>
      <c r="SM64" s="23"/>
      <c r="SN64" s="23"/>
      <c r="SO64" s="23"/>
      <c r="SP64" s="23"/>
      <c r="SQ64" s="23"/>
      <c r="SR64" s="23"/>
      <c r="SS64" s="23"/>
      <c r="ST64" s="23"/>
      <c r="SU64" s="23"/>
      <c r="SV64" s="23"/>
      <c r="SW64" s="23"/>
      <c r="SX64" s="23"/>
      <c r="SY64" s="23"/>
      <c r="SZ64" s="23"/>
      <c r="TA64" s="23"/>
      <c r="TB64" s="23">
        <v>3.412</v>
      </c>
      <c r="TC64" s="23"/>
      <c r="TD64" s="23"/>
      <c r="TE64" s="23"/>
      <c r="TF64" s="23"/>
      <c r="TG64" s="23"/>
      <c r="TH64" s="23"/>
      <c r="TI64" s="23"/>
      <c r="TJ64" s="23"/>
      <c r="TK64" s="23"/>
      <c r="TL64" s="23"/>
      <c r="TM64" s="23"/>
      <c r="TN64" s="23"/>
      <c r="TO64" s="23"/>
      <c r="TP64" s="23"/>
      <c r="TQ64" s="23"/>
      <c r="TR64" s="23"/>
      <c r="TS64" s="23"/>
      <c r="TT64" s="23"/>
      <c r="TU64" s="23"/>
      <c r="TV64" s="23"/>
      <c r="TW64" s="23"/>
      <c r="TX64" s="23"/>
      <c r="TY64" s="23"/>
      <c r="TZ64" s="23"/>
      <c r="UA64" s="23"/>
      <c r="UB64" s="23"/>
      <c r="UC64" s="23"/>
      <c r="UD64" s="23"/>
      <c r="UE64" s="23"/>
      <c r="UF64" s="23"/>
      <c r="UG64" s="23"/>
      <c r="UH64" s="23"/>
      <c r="UI64" s="23"/>
      <c r="UJ64" s="23"/>
      <c r="UK64" s="23"/>
      <c r="UL64" s="23"/>
      <c r="UM64" s="23"/>
      <c r="UN64" s="23"/>
      <c r="UO64" s="23"/>
      <c r="UP64" s="23"/>
      <c r="UQ64" s="23"/>
      <c r="UR64" s="23"/>
      <c r="US64" s="23"/>
      <c r="UT64" s="23"/>
    </row>
    <row r="65" ht="16.5" customHeight="1" spans="4:566">
      <c r="D65" s="19" t="s">
        <v>291</v>
      </c>
      <c r="E65" s="21" t="s">
        <v>292</v>
      </c>
      <c r="F65" s="23"/>
      <c r="G65" s="23">
        <v>6852491</v>
      </c>
      <c r="H65" s="23"/>
      <c r="I65" s="23"/>
      <c r="J65" s="23"/>
      <c r="K65" s="23"/>
      <c r="L65" s="23"/>
      <c r="M65" s="23"/>
      <c r="N65" s="23">
        <v>6853554</v>
      </c>
      <c r="O65" s="23"/>
      <c r="P65" s="23"/>
      <c r="Q65" s="23"/>
      <c r="R65" s="23"/>
      <c r="S65" s="23"/>
      <c r="T65" s="23"/>
      <c r="U65" s="23">
        <v>6834070</v>
      </c>
      <c r="V65" s="23"/>
      <c r="W65" s="23"/>
      <c r="X65" s="23"/>
      <c r="Y65" s="23"/>
      <c r="Z65" s="23"/>
      <c r="AA65" s="23"/>
      <c r="AB65" s="23">
        <v>6831760</v>
      </c>
      <c r="AC65" s="23"/>
      <c r="AD65" s="23"/>
      <c r="AE65" s="23"/>
      <c r="AF65" s="23"/>
      <c r="AG65" s="23"/>
      <c r="AH65" s="23"/>
      <c r="AI65" s="23">
        <v>6818186</v>
      </c>
      <c r="AJ65" s="23"/>
      <c r="AK65" s="23"/>
      <c r="AL65" s="23"/>
      <c r="AM65" s="23"/>
      <c r="AN65" s="23"/>
      <c r="AO65" s="23"/>
      <c r="AP65" s="23">
        <v>6810935</v>
      </c>
      <c r="AQ65" s="23"/>
      <c r="AR65" s="23"/>
      <c r="AS65" s="23"/>
      <c r="AT65" s="23"/>
      <c r="AU65" s="23"/>
      <c r="AV65" s="23"/>
      <c r="AW65" s="23">
        <v>6813513</v>
      </c>
      <c r="AX65" s="23"/>
      <c r="AY65" s="23"/>
      <c r="AZ65" s="23"/>
      <c r="BA65" s="23"/>
      <c r="BB65" s="23"/>
      <c r="BC65" s="23"/>
      <c r="BD65" s="23">
        <v>6782332</v>
      </c>
      <c r="BE65" s="23"/>
      <c r="BF65" s="23"/>
      <c r="BG65" s="23"/>
      <c r="BH65" s="23"/>
      <c r="BI65" s="23"/>
      <c r="BJ65" s="23"/>
      <c r="BK65" s="23">
        <v>6766101</v>
      </c>
      <c r="BL65" s="23"/>
      <c r="BM65" s="23"/>
      <c r="BN65" s="23"/>
      <c r="BO65" s="23"/>
      <c r="BP65" s="23"/>
      <c r="BQ65" s="23"/>
      <c r="BR65" s="23">
        <v>6756764</v>
      </c>
      <c r="BS65" s="23"/>
      <c r="BT65" s="23"/>
      <c r="BU65" s="23"/>
      <c r="BV65" s="23"/>
      <c r="BW65" s="23"/>
      <c r="BX65" s="23"/>
      <c r="BY65" s="23">
        <v>6759571</v>
      </c>
      <c r="BZ65" s="23"/>
      <c r="CA65" s="23"/>
      <c r="CB65" s="23"/>
      <c r="CC65" s="23"/>
      <c r="CD65" s="23"/>
      <c r="CE65" s="23"/>
      <c r="CF65" s="23">
        <v>6755982</v>
      </c>
      <c r="CG65" s="23"/>
      <c r="CH65" s="23"/>
      <c r="CI65" s="23"/>
      <c r="CJ65" s="23"/>
      <c r="CK65" s="23"/>
      <c r="CL65" s="23"/>
      <c r="CM65" s="23">
        <v>6740253</v>
      </c>
      <c r="CN65" s="23"/>
      <c r="CO65" s="23"/>
      <c r="CP65" s="23"/>
      <c r="CQ65" s="23"/>
      <c r="CR65" s="23"/>
      <c r="CS65" s="23"/>
      <c r="CT65" s="23">
        <v>6723452</v>
      </c>
      <c r="CU65" s="23"/>
      <c r="CV65" s="23"/>
      <c r="CW65" s="23"/>
      <c r="CX65" s="23"/>
      <c r="CY65" s="23"/>
      <c r="CZ65" s="23"/>
      <c r="DA65" s="23">
        <v>6727416</v>
      </c>
      <c r="DB65" s="23"/>
      <c r="DC65" s="23"/>
      <c r="DD65" s="23"/>
      <c r="DE65" s="23"/>
      <c r="DF65" s="23"/>
      <c r="DG65" s="23"/>
      <c r="DH65" s="23">
        <v>6727113</v>
      </c>
      <c r="DI65" s="23"/>
      <c r="DJ65" s="23"/>
      <c r="DK65" s="23"/>
      <c r="DL65" s="23"/>
      <c r="DM65" s="23"/>
      <c r="DN65" s="23"/>
      <c r="DO65" s="23">
        <v>6726930</v>
      </c>
      <c r="DP65" s="23"/>
      <c r="DQ65" s="23"/>
      <c r="DR65" s="23"/>
      <c r="DS65" s="23"/>
      <c r="DT65" s="23"/>
      <c r="DU65" s="23"/>
      <c r="DV65" s="23">
        <v>6709277</v>
      </c>
      <c r="DW65" s="23"/>
      <c r="DX65" s="23"/>
      <c r="DY65" s="23"/>
      <c r="DZ65" s="23"/>
      <c r="EA65" s="23"/>
      <c r="EB65" s="23"/>
      <c r="EC65" s="23">
        <v>6710889</v>
      </c>
      <c r="ED65" s="23"/>
      <c r="EE65" s="23"/>
      <c r="EF65" s="23"/>
      <c r="EG65" s="23"/>
      <c r="EH65" s="23"/>
      <c r="EI65" s="23"/>
      <c r="EJ65" s="23">
        <v>6713270</v>
      </c>
      <c r="EK65" s="23"/>
      <c r="EL65" s="23"/>
      <c r="EM65" s="23"/>
      <c r="EN65" s="23"/>
      <c r="EO65" s="23"/>
      <c r="EP65" s="23"/>
      <c r="EQ65" s="23">
        <v>6688726</v>
      </c>
      <c r="ER65" s="23"/>
      <c r="ES65" s="23"/>
      <c r="ET65" s="23"/>
      <c r="EU65" s="23"/>
      <c r="EV65" s="23"/>
      <c r="EW65" s="23"/>
      <c r="EX65" s="23">
        <v>6673244</v>
      </c>
      <c r="EY65" s="23"/>
      <c r="EZ65" s="23"/>
      <c r="FA65" s="23"/>
      <c r="FB65" s="23"/>
      <c r="FC65" s="23"/>
      <c r="FD65" s="23"/>
      <c r="FE65" s="23">
        <v>6672885</v>
      </c>
      <c r="FF65" s="23"/>
      <c r="FG65" s="23"/>
      <c r="FH65" s="23"/>
      <c r="FI65" s="23"/>
      <c r="FJ65" s="23"/>
      <c r="FK65" s="23"/>
      <c r="FL65" s="23">
        <v>6677155</v>
      </c>
      <c r="FM65" s="23"/>
      <c r="FN65" s="23"/>
      <c r="FO65" s="23"/>
      <c r="FP65" s="23"/>
      <c r="FQ65" s="23"/>
      <c r="FR65" s="23"/>
      <c r="FS65" s="23">
        <v>6681056</v>
      </c>
      <c r="FT65" s="23"/>
      <c r="FU65" s="23"/>
      <c r="FV65" s="23"/>
      <c r="FW65" s="23"/>
      <c r="FX65" s="23"/>
      <c r="FY65" s="23"/>
      <c r="FZ65" s="23">
        <v>6662200</v>
      </c>
      <c r="GA65" s="23"/>
      <c r="GB65" s="23"/>
      <c r="GC65" s="23"/>
      <c r="GD65" s="23"/>
      <c r="GE65" s="23"/>
      <c r="GF65" s="23"/>
      <c r="GG65" s="23">
        <v>6659598</v>
      </c>
      <c r="GH65" s="23"/>
      <c r="GI65" s="23"/>
      <c r="GJ65" s="23"/>
      <c r="GK65" s="23"/>
      <c r="GL65" s="23"/>
      <c r="GM65" s="23"/>
      <c r="GN65" s="23">
        <v>6661912</v>
      </c>
      <c r="GO65" s="23"/>
      <c r="GP65" s="23"/>
      <c r="GQ65" s="23"/>
      <c r="GR65" s="23"/>
      <c r="GS65" s="23"/>
      <c r="GT65" s="23"/>
      <c r="GU65" s="23">
        <v>6659273</v>
      </c>
      <c r="GV65" s="23"/>
      <c r="GW65" s="23"/>
      <c r="GX65" s="23"/>
      <c r="GY65" s="23"/>
      <c r="GZ65" s="23"/>
      <c r="HA65" s="23"/>
      <c r="HB65" s="23">
        <v>6657715</v>
      </c>
      <c r="HC65" s="23"/>
      <c r="HD65" s="23"/>
      <c r="HE65" s="23"/>
      <c r="HF65" s="23"/>
      <c r="HG65" s="23"/>
      <c r="HH65" s="23"/>
      <c r="HI65" s="23">
        <v>6642578</v>
      </c>
      <c r="HJ65" s="23"/>
      <c r="HK65" s="23"/>
      <c r="HL65" s="23"/>
      <c r="HM65" s="23"/>
      <c r="HN65" s="23"/>
      <c r="HO65" s="23"/>
      <c r="HP65" s="23">
        <v>6640843</v>
      </c>
      <c r="HQ65" s="23"/>
      <c r="HR65" s="23"/>
      <c r="HS65" s="23"/>
      <c r="HT65" s="23"/>
      <c r="HU65" s="23"/>
      <c r="HV65" s="23"/>
      <c r="HW65" s="23">
        <v>6643615</v>
      </c>
      <c r="HX65" s="23"/>
      <c r="HY65" s="23"/>
      <c r="HZ65" s="23"/>
      <c r="IA65" s="23"/>
      <c r="IB65" s="23"/>
      <c r="IC65" s="23"/>
      <c r="ID65" s="23">
        <v>6618415</v>
      </c>
      <c r="IE65" s="23"/>
      <c r="IF65" s="23"/>
      <c r="IG65" s="23"/>
      <c r="IH65" s="23"/>
      <c r="II65" s="23"/>
      <c r="IJ65" s="23"/>
      <c r="IK65" s="23">
        <v>6603384</v>
      </c>
      <c r="IL65" s="23"/>
      <c r="IM65" s="23"/>
      <c r="IN65" s="23"/>
      <c r="IO65" s="23"/>
      <c r="IP65" s="31"/>
      <c r="IQ65" s="31"/>
      <c r="IR65" s="31">
        <v>6602071</v>
      </c>
      <c r="IS65" s="31"/>
      <c r="IT65" s="31"/>
      <c r="IU65" s="31"/>
      <c r="IV65" s="31"/>
      <c r="IW65" s="31"/>
      <c r="IX65" s="31"/>
      <c r="IY65" s="31">
        <v>6605962</v>
      </c>
      <c r="IZ65" s="31"/>
      <c r="JA65" s="31"/>
      <c r="JB65" s="31"/>
      <c r="JC65" s="31"/>
      <c r="JD65" s="31"/>
      <c r="JE65" s="31"/>
      <c r="JF65" s="31">
        <v>6608597</v>
      </c>
      <c r="JG65" s="31"/>
      <c r="JH65" s="31"/>
      <c r="JI65" s="31"/>
      <c r="JJ65" s="31"/>
      <c r="JK65" s="31"/>
      <c r="JL65" s="31"/>
      <c r="JM65" s="31">
        <v>6608395</v>
      </c>
      <c r="JN65" s="31"/>
      <c r="JO65" s="31"/>
      <c r="JP65" s="31"/>
      <c r="JQ65" s="31"/>
      <c r="JR65" s="31"/>
      <c r="JS65" s="31"/>
      <c r="JT65" s="31">
        <v>6587119</v>
      </c>
      <c r="JU65" s="31"/>
      <c r="JV65" s="31"/>
      <c r="JW65" s="31"/>
      <c r="JX65" s="31"/>
      <c r="JY65" s="31"/>
      <c r="JZ65" s="23"/>
      <c r="KA65" s="23">
        <v>6590815</v>
      </c>
      <c r="KB65" s="23"/>
      <c r="KC65" s="23"/>
      <c r="KD65" s="23"/>
      <c r="KE65" s="23"/>
      <c r="KF65" s="23"/>
      <c r="KG65" s="23"/>
      <c r="KH65" s="23">
        <v>6596454</v>
      </c>
      <c r="KI65" s="23"/>
      <c r="KJ65" s="23"/>
      <c r="KK65" s="23"/>
      <c r="KL65" s="23"/>
      <c r="KM65" s="23"/>
      <c r="KN65" s="23"/>
      <c r="KO65" s="23">
        <v>6589533</v>
      </c>
      <c r="KP65" s="23"/>
      <c r="KQ65" s="23"/>
      <c r="KR65" s="23"/>
      <c r="KS65" s="23"/>
      <c r="KT65" s="23"/>
      <c r="KU65" s="23"/>
      <c r="KV65" s="23">
        <v>6587034</v>
      </c>
      <c r="KW65" s="23"/>
      <c r="KX65" s="23"/>
      <c r="KY65" s="23"/>
      <c r="KZ65" s="23"/>
      <c r="LA65" s="23"/>
      <c r="LB65" s="23"/>
      <c r="LC65" s="23">
        <v>6572732</v>
      </c>
      <c r="LD65" s="23"/>
      <c r="LE65" s="23"/>
      <c r="LF65" s="23"/>
      <c r="LG65" s="23"/>
      <c r="LH65" s="23"/>
      <c r="LI65" s="23"/>
      <c r="LJ65" s="23">
        <v>6580462</v>
      </c>
      <c r="LK65" s="23"/>
      <c r="LL65" s="23"/>
      <c r="LM65" s="23"/>
      <c r="LN65" s="23"/>
      <c r="LO65" s="23"/>
      <c r="LP65" s="23"/>
      <c r="LQ65" s="23">
        <v>6555283</v>
      </c>
      <c r="LR65" s="23"/>
      <c r="LS65" s="23"/>
      <c r="LT65" s="23"/>
      <c r="LU65" s="23"/>
      <c r="LV65" s="23"/>
      <c r="LW65" s="23"/>
      <c r="LX65" s="23">
        <v>6552419</v>
      </c>
      <c r="LY65" s="23"/>
      <c r="LZ65" s="23"/>
      <c r="MA65" s="23"/>
      <c r="MB65" s="23"/>
      <c r="MC65" s="23"/>
      <c r="MD65" s="23"/>
      <c r="ME65" s="23">
        <v>6535781</v>
      </c>
      <c r="MF65" s="23"/>
      <c r="MG65" s="23"/>
      <c r="MH65" s="23"/>
      <c r="MI65" s="23"/>
      <c r="MJ65" s="23"/>
      <c r="MK65" s="23"/>
      <c r="ML65" s="23">
        <v>6539303</v>
      </c>
      <c r="MM65" s="23"/>
      <c r="MN65" s="23"/>
      <c r="MO65" s="23"/>
      <c r="MP65" s="23"/>
      <c r="MQ65" s="23"/>
      <c r="MR65" s="23"/>
      <c r="MS65" s="23">
        <v>6556861</v>
      </c>
      <c r="MT65" s="23"/>
      <c r="MU65" s="23"/>
      <c r="MV65" s="23"/>
      <c r="MW65" s="23"/>
      <c r="MX65" s="23"/>
      <c r="MY65" s="23"/>
      <c r="MZ65" s="23">
        <v>6581231</v>
      </c>
      <c r="NA65" s="23"/>
      <c r="NB65" s="23"/>
      <c r="NC65" s="23"/>
      <c r="ND65" s="23"/>
      <c r="NE65" s="23"/>
      <c r="NF65" s="23"/>
      <c r="NG65" s="23">
        <v>6640618</v>
      </c>
      <c r="NH65" s="23"/>
      <c r="NI65" s="23"/>
      <c r="NJ65" s="23"/>
      <c r="NK65" s="23"/>
      <c r="NL65" s="23"/>
      <c r="NM65" s="23"/>
      <c r="NN65" s="23">
        <v>6573602</v>
      </c>
      <c r="NO65" s="23"/>
      <c r="NP65" s="23"/>
      <c r="NQ65" s="23"/>
      <c r="NR65" s="23"/>
      <c r="NS65" s="23"/>
      <c r="NT65" s="23"/>
      <c r="NU65" s="23">
        <v>6581700</v>
      </c>
      <c r="NV65" s="23"/>
      <c r="NW65" s="23"/>
      <c r="NX65" s="23"/>
      <c r="NY65" s="23"/>
      <c r="NZ65" s="23"/>
      <c r="OA65" s="23"/>
      <c r="OB65" s="23">
        <v>6584580</v>
      </c>
      <c r="OC65" s="23"/>
      <c r="OD65" s="23"/>
      <c r="OE65" s="23"/>
      <c r="OF65" s="23"/>
      <c r="OG65" s="23"/>
      <c r="OH65" s="23"/>
      <c r="OI65" s="23">
        <v>6587568</v>
      </c>
      <c r="OJ65" s="23"/>
      <c r="OK65" s="23"/>
      <c r="OL65" s="23"/>
      <c r="OM65" s="23"/>
      <c r="ON65" s="23"/>
      <c r="OO65" s="23"/>
      <c r="OP65" s="23">
        <v>6605909</v>
      </c>
      <c r="OQ65" s="23"/>
      <c r="OR65" s="23"/>
      <c r="OS65" s="23"/>
      <c r="OT65" s="23"/>
      <c r="OU65" s="23"/>
      <c r="OV65" s="23"/>
      <c r="OW65" s="23">
        <v>6622382</v>
      </c>
      <c r="OX65" s="23"/>
      <c r="OY65" s="23"/>
      <c r="OZ65" s="23"/>
      <c r="PA65" s="23"/>
      <c r="PB65" s="23"/>
      <c r="PC65" s="23"/>
      <c r="PD65" s="23">
        <v>6613395</v>
      </c>
      <c r="PE65" s="23"/>
      <c r="PF65" s="23"/>
      <c r="PG65" s="23"/>
      <c r="PH65" s="23"/>
      <c r="PI65" s="23"/>
      <c r="PJ65" s="23"/>
      <c r="PK65" s="23">
        <v>6613797</v>
      </c>
      <c r="PL65" s="23"/>
      <c r="PM65" s="23"/>
      <c r="PN65" s="23"/>
      <c r="PO65" s="23"/>
      <c r="PP65" s="23"/>
      <c r="PQ65" s="23"/>
      <c r="PR65" s="23">
        <v>6628894</v>
      </c>
      <c r="PS65" s="23"/>
      <c r="PT65" s="23"/>
      <c r="PU65" s="23"/>
      <c r="PV65" s="23"/>
      <c r="PW65" s="23"/>
      <c r="PX65" s="23"/>
      <c r="PY65" s="23">
        <v>6646344</v>
      </c>
      <c r="PZ65" s="23"/>
      <c r="QA65" s="23"/>
      <c r="QB65" s="23"/>
      <c r="QC65" s="23"/>
      <c r="QD65" s="23"/>
      <c r="QE65" s="23"/>
      <c r="QF65" s="23">
        <v>6655939</v>
      </c>
      <c r="QG65" s="23"/>
      <c r="QH65" s="23"/>
      <c r="QI65" s="23"/>
      <c r="QJ65" s="23"/>
      <c r="QK65" s="23"/>
      <c r="QL65" s="23"/>
      <c r="QM65" s="23">
        <v>6657161</v>
      </c>
      <c r="QN65" s="23"/>
      <c r="QO65" s="23"/>
      <c r="QP65" s="23"/>
      <c r="QQ65" s="23"/>
      <c r="QR65" s="23"/>
      <c r="QS65" s="23"/>
      <c r="QT65" s="23">
        <v>6675344</v>
      </c>
      <c r="QU65" s="23"/>
      <c r="QV65" s="23"/>
      <c r="QW65" s="23"/>
      <c r="QX65" s="23"/>
      <c r="QY65" s="23"/>
      <c r="QZ65" s="23"/>
      <c r="RA65" s="23">
        <v>6693871</v>
      </c>
      <c r="RB65" s="23"/>
      <c r="RC65" s="23"/>
      <c r="RD65" s="23"/>
      <c r="RE65" s="23"/>
      <c r="RF65" s="23"/>
      <c r="RG65" s="23"/>
      <c r="RH65" s="23">
        <v>6705696</v>
      </c>
      <c r="RI65" s="23"/>
      <c r="RJ65" s="23"/>
      <c r="RK65" s="23"/>
      <c r="RL65" s="23"/>
      <c r="RM65" s="23"/>
      <c r="RN65" s="23"/>
      <c r="RO65" s="23">
        <v>6707419</v>
      </c>
      <c r="RP65" s="23"/>
      <c r="RQ65" s="23"/>
      <c r="RR65" s="23"/>
      <c r="RS65" s="23"/>
      <c r="RT65" s="23"/>
      <c r="RU65" s="23"/>
      <c r="RV65" s="23">
        <v>6699950</v>
      </c>
      <c r="RW65" s="23"/>
      <c r="RX65" s="23"/>
      <c r="RY65" s="23"/>
      <c r="RZ65" s="23"/>
      <c r="SA65" s="23"/>
      <c r="SB65" s="23"/>
      <c r="SC65" s="23">
        <v>6709505</v>
      </c>
      <c r="SD65" s="23"/>
      <c r="SE65" s="23"/>
      <c r="SF65" s="23"/>
      <c r="SG65" s="23"/>
      <c r="SH65" s="23"/>
      <c r="SI65" s="23"/>
      <c r="SJ65" s="23">
        <v>6728502</v>
      </c>
      <c r="SK65" s="23"/>
      <c r="SL65" s="23"/>
      <c r="SM65" s="23"/>
      <c r="SN65" s="23"/>
      <c r="SO65" s="23"/>
      <c r="SP65" s="23"/>
      <c r="SQ65" s="23">
        <v>6713643</v>
      </c>
      <c r="SR65" s="23"/>
      <c r="SS65" s="23"/>
      <c r="ST65" s="23"/>
      <c r="SU65" s="23"/>
      <c r="SV65" s="23"/>
      <c r="SW65" s="23"/>
      <c r="SX65" s="23">
        <v>6704383</v>
      </c>
      <c r="SY65" s="23"/>
      <c r="SZ65" s="23"/>
      <c r="TA65" s="23"/>
      <c r="TB65" s="23"/>
      <c r="TC65" s="23"/>
      <c r="TD65" s="23"/>
      <c r="TE65" s="23">
        <v>6711495</v>
      </c>
      <c r="TF65" s="23"/>
      <c r="TG65" s="23"/>
      <c r="TH65" s="23"/>
      <c r="TI65" s="23"/>
      <c r="TJ65" s="23"/>
      <c r="TK65" s="23"/>
      <c r="TL65" s="23">
        <v>6725397</v>
      </c>
      <c r="TM65" s="23"/>
      <c r="TN65" s="23"/>
      <c r="TO65" s="23"/>
      <c r="TP65" s="23"/>
      <c r="TQ65" s="23"/>
      <c r="TR65" s="23"/>
      <c r="TS65" s="23">
        <v>6736424</v>
      </c>
      <c r="TT65" s="23"/>
      <c r="TU65" s="23"/>
      <c r="TV65" s="23"/>
      <c r="TW65" s="23"/>
      <c r="TX65" s="23"/>
      <c r="TY65" s="23"/>
      <c r="TZ65" s="23">
        <v>6735645</v>
      </c>
      <c r="UA65" s="23"/>
      <c r="UB65" s="23"/>
      <c r="UC65" s="23"/>
      <c r="UD65" s="23"/>
      <c r="UE65" s="23"/>
      <c r="UF65" s="23"/>
      <c r="UG65" s="23">
        <v>6724564</v>
      </c>
      <c r="UH65" s="23"/>
      <c r="UI65" s="23"/>
      <c r="UJ65" s="23"/>
      <c r="UK65" s="23"/>
      <c r="UL65" s="23"/>
      <c r="UM65" s="23"/>
      <c r="UN65" s="23"/>
      <c r="UO65" s="23"/>
      <c r="UP65" s="23"/>
      <c r="UQ65" s="23"/>
      <c r="UR65" s="23"/>
      <c r="US65" s="23"/>
      <c r="UT65" s="23"/>
    </row>
    <row r="66" ht="16.5" customHeight="1" spans="4:566">
      <c r="D66" s="19" t="s">
        <v>293</v>
      </c>
      <c r="E66" s="21" t="s">
        <v>294</v>
      </c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>
        <v>28514.338947</v>
      </c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>
        <v>28624.037023</v>
      </c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23"/>
      <c r="CM66" s="23"/>
      <c r="CN66" s="23"/>
      <c r="CO66" s="23"/>
      <c r="CP66" s="23"/>
      <c r="CQ66" s="23"/>
      <c r="CR66" s="23">
        <v>28582.536347</v>
      </c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3"/>
      <c r="DV66" s="23">
        <v>28571.244014</v>
      </c>
      <c r="DW66" s="23"/>
      <c r="DX66" s="23"/>
      <c r="DY66" s="23"/>
      <c r="DZ66" s="23"/>
      <c r="EA66" s="23"/>
      <c r="EB66" s="23"/>
      <c r="EC66" s="23"/>
      <c r="ED66" s="23"/>
      <c r="EE66" s="23"/>
      <c r="EF66" s="23"/>
      <c r="EG66" s="23"/>
      <c r="EH66" s="23"/>
      <c r="EI66" s="23"/>
      <c r="EJ66" s="23"/>
      <c r="EK66" s="23"/>
      <c r="EL66" s="23"/>
      <c r="EM66" s="23"/>
      <c r="EN66" s="23"/>
      <c r="EO66" s="23"/>
      <c r="EP66" s="23"/>
      <c r="EQ66" s="23"/>
      <c r="ER66" s="23"/>
      <c r="ES66" s="23"/>
      <c r="ET66" s="23"/>
      <c r="EU66" s="23"/>
      <c r="EV66" s="23"/>
      <c r="EW66" s="23"/>
      <c r="EX66" s="23"/>
      <c r="EY66" s="23"/>
      <c r="EZ66" s="23"/>
      <c r="FA66" s="23">
        <v>28583.95717</v>
      </c>
      <c r="FB66" s="23"/>
      <c r="FC66" s="23"/>
      <c r="FD66" s="23"/>
      <c r="FE66" s="23"/>
      <c r="FF66" s="23"/>
      <c r="FG66" s="23"/>
      <c r="FH66" s="23"/>
      <c r="FI66" s="23"/>
      <c r="FJ66" s="23"/>
      <c r="FK66" s="23"/>
      <c r="FL66" s="23"/>
      <c r="FM66" s="23"/>
      <c r="FN66" s="23"/>
      <c r="FO66" s="23"/>
      <c r="FP66" s="23"/>
      <c r="FQ66" s="23"/>
      <c r="FR66" s="23"/>
      <c r="FS66" s="23"/>
      <c r="FT66" s="23"/>
      <c r="FU66" s="23"/>
      <c r="FV66" s="23"/>
      <c r="FW66" s="23"/>
      <c r="FX66" s="23"/>
      <c r="FY66" s="23"/>
      <c r="FZ66" s="23"/>
      <c r="GA66" s="23"/>
      <c r="GB66" s="23"/>
      <c r="GC66" s="23"/>
      <c r="GD66" s="23"/>
      <c r="GE66" s="23">
        <v>28653.195305</v>
      </c>
      <c r="GF66" s="23"/>
      <c r="GG66" s="23"/>
      <c r="GH66" s="23"/>
      <c r="GI66" s="23"/>
      <c r="GJ66" s="23"/>
      <c r="GK66" s="23"/>
      <c r="GL66" s="23"/>
      <c r="GM66" s="23"/>
      <c r="GN66" s="23"/>
      <c r="GO66" s="23"/>
      <c r="GP66" s="23"/>
      <c r="GQ66" s="23"/>
      <c r="GR66" s="23"/>
      <c r="GS66" s="23"/>
      <c r="GT66" s="23"/>
      <c r="GU66" s="23"/>
      <c r="GV66" s="23"/>
      <c r="GW66" s="23"/>
      <c r="GX66" s="23"/>
      <c r="GY66" s="23"/>
      <c r="GZ66" s="23"/>
      <c r="HA66" s="23"/>
      <c r="HB66" s="23"/>
      <c r="HC66" s="23"/>
      <c r="HD66" s="23"/>
      <c r="HE66" s="23"/>
      <c r="HF66" s="23"/>
      <c r="HG66" s="23"/>
      <c r="HH66" s="23"/>
      <c r="HI66" s="23"/>
      <c r="HJ66" s="23">
        <v>28965.871863</v>
      </c>
      <c r="HK66" s="23"/>
      <c r="HL66" s="23"/>
      <c r="HM66" s="23"/>
      <c r="HN66" s="23"/>
      <c r="HO66" s="23"/>
      <c r="HP66" s="23"/>
      <c r="HQ66" s="23"/>
      <c r="HR66" s="23"/>
      <c r="HS66" s="23"/>
      <c r="HT66" s="23"/>
      <c r="HU66" s="23"/>
      <c r="HV66" s="23"/>
      <c r="HW66" s="23"/>
      <c r="HX66" s="23"/>
      <c r="HY66" s="23"/>
      <c r="HZ66" s="23"/>
      <c r="IA66" s="23"/>
      <c r="IB66" s="23"/>
      <c r="IC66" s="23"/>
      <c r="ID66" s="23"/>
      <c r="IE66" s="23"/>
      <c r="IF66" s="23"/>
      <c r="IG66" s="23"/>
      <c r="IH66" s="23"/>
      <c r="II66" s="23"/>
      <c r="IJ66" s="23"/>
      <c r="IK66" s="23"/>
      <c r="IL66" s="23"/>
      <c r="IM66" s="23"/>
      <c r="IN66" s="23"/>
      <c r="IO66" s="23">
        <v>29402.752376</v>
      </c>
      <c r="IP66" s="31"/>
      <c r="IQ66" s="31"/>
      <c r="IR66" s="31"/>
      <c r="IS66" s="31"/>
      <c r="IT66" s="31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/>
      <c r="JI66" s="31"/>
      <c r="JJ66" s="31"/>
      <c r="JK66" s="31"/>
      <c r="JL66" s="31"/>
      <c r="JM66" s="31"/>
      <c r="JN66" s="31"/>
      <c r="JO66" s="31"/>
      <c r="JP66" s="31"/>
      <c r="JQ66" s="31"/>
      <c r="JR66" s="31"/>
      <c r="JS66" s="31">
        <v>29710.620643</v>
      </c>
      <c r="JT66" s="31"/>
      <c r="JU66" s="31"/>
      <c r="JV66" s="31"/>
      <c r="JW66" s="31"/>
      <c r="JX66" s="31"/>
      <c r="JY66" s="31"/>
      <c r="JZ66" s="23"/>
      <c r="KA66" s="23"/>
      <c r="KB66" s="23"/>
      <c r="KC66" s="23"/>
      <c r="KD66" s="23"/>
      <c r="KE66" s="23"/>
      <c r="KF66" s="23"/>
      <c r="KG66" s="23"/>
      <c r="KH66" s="23"/>
      <c r="KI66" s="23"/>
      <c r="KJ66" s="23"/>
      <c r="KK66" s="23"/>
      <c r="KL66" s="23"/>
      <c r="KM66" s="23"/>
      <c r="KN66" s="23"/>
      <c r="KO66" s="23"/>
      <c r="KP66" s="23"/>
      <c r="KQ66" s="23"/>
      <c r="KR66" s="23"/>
      <c r="KS66" s="23"/>
      <c r="KT66" s="23"/>
      <c r="KU66" s="23"/>
      <c r="KV66" s="23"/>
      <c r="KW66" s="23"/>
      <c r="KX66" s="23">
        <v>29994.471186</v>
      </c>
      <c r="KY66" s="23"/>
      <c r="KZ66" s="23"/>
      <c r="LA66" s="23"/>
      <c r="LB66" s="23"/>
      <c r="LC66" s="23"/>
      <c r="LD66" s="23"/>
      <c r="LE66" s="23"/>
      <c r="LF66" s="23"/>
      <c r="LG66" s="23"/>
      <c r="LH66" s="23"/>
      <c r="LI66" s="23"/>
      <c r="LJ66" s="23"/>
      <c r="LK66" s="23"/>
      <c r="LL66" s="23"/>
      <c r="LM66" s="23"/>
      <c r="LN66" s="23"/>
      <c r="LO66" s="23"/>
      <c r="LP66" s="23"/>
      <c r="LQ66" s="23"/>
      <c r="LR66" s="23"/>
      <c r="LS66" s="23"/>
      <c r="LT66" s="23"/>
      <c r="LU66" s="23"/>
      <c r="LV66" s="23"/>
      <c r="LW66" s="23"/>
      <c r="LX66" s="23"/>
      <c r="LY66" s="23"/>
      <c r="LZ66" s="23"/>
      <c r="MA66" s="23"/>
      <c r="MB66" s="23">
        <v>30193.896069</v>
      </c>
      <c r="MC66" s="23"/>
      <c r="MD66" s="23"/>
      <c r="ME66" s="23"/>
      <c r="MF66" s="23"/>
      <c r="MG66" s="23"/>
      <c r="MH66" s="23"/>
      <c r="MI66" s="23"/>
      <c r="MJ66" s="23"/>
      <c r="MK66" s="23"/>
      <c r="ML66" s="23"/>
      <c r="MM66" s="23"/>
      <c r="MN66" s="23"/>
      <c r="MO66" s="23"/>
      <c r="MP66" s="23"/>
      <c r="MQ66" s="23"/>
      <c r="MR66" s="23"/>
      <c r="MS66" s="23"/>
      <c r="MT66" s="23"/>
      <c r="MU66" s="23"/>
      <c r="MV66" s="23"/>
      <c r="MW66" s="23"/>
      <c r="MX66" s="23"/>
      <c r="MY66" s="23"/>
      <c r="MZ66" s="23"/>
      <c r="NA66" s="23"/>
      <c r="NB66" s="23"/>
      <c r="NC66" s="23"/>
      <c r="ND66" s="23"/>
      <c r="NE66" s="23"/>
      <c r="NF66" s="23"/>
      <c r="NG66" s="23">
        <v>30267.250446</v>
      </c>
      <c r="NH66" s="23"/>
      <c r="NI66" s="23"/>
      <c r="NJ66" s="23"/>
      <c r="NK66" s="23"/>
      <c r="NL66" s="23"/>
      <c r="NM66" s="23"/>
      <c r="NN66" s="23"/>
      <c r="NO66" s="23"/>
      <c r="NP66" s="23"/>
      <c r="NQ66" s="23"/>
      <c r="NR66" s="23"/>
      <c r="NS66" s="23"/>
      <c r="NT66" s="23"/>
      <c r="NU66" s="23"/>
      <c r="NV66" s="23"/>
      <c r="NW66" s="23"/>
      <c r="NX66" s="23"/>
      <c r="NY66" s="23"/>
      <c r="NZ66" s="23"/>
      <c r="OA66" s="23"/>
      <c r="OB66" s="23"/>
      <c r="OC66" s="23"/>
      <c r="OD66" s="23"/>
      <c r="OE66" s="23"/>
      <c r="OF66" s="23"/>
      <c r="OG66" s="23"/>
      <c r="OH66" s="23"/>
      <c r="OI66" s="23"/>
      <c r="OJ66" s="23"/>
      <c r="OK66" s="23"/>
      <c r="OL66" s="23">
        <v>30341.430665</v>
      </c>
      <c r="OM66" s="23"/>
      <c r="ON66" s="23"/>
      <c r="OO66" s="23"/>
      <c r="OP66" s="23"/>
      <c r="OQ66" s="23"/>
      <c r="OR66" s="23"/>
      <c r="OS66" s="23"/>
      <c r="OT66" s="23"/>
      <c r="OU66" s="23"/>
      <c r="OV66" s="23"/>
      <c r="OW66" s="23"/>
      <c r="OX66" s="23"/>
      <c r="OY66" s="23"/>
      <c r="OZ66" s="23"/>
      <c r="PA66" s="23"/>
      <c r="PB66" s="23"/>
      <c r="PC66" s="23"/>
      <c r="PD66" s="23"/>
      <c r="PE66" s="23"/>
      <c r="PF66" s="23"/>
      <c r="PG66" s="23"/>
      <c r="PH66" s="23"/>
      <c r="PI66" s="23"/>
      <c r="PJ66" s="23"/>
      <c r="PK66" s="23"/>
      <c r="PL66" s="23"/>
      <c r="PM66" s="23"/>
      <c r="PN66" s="23">
        <v>30612.326803</v>
      </c>
      <c r="PO66" s="23"/>
      <c r="PP66" s="23"/>
      <c r="PQ66" s="23"/>
      <c r="PR66" s="23"/>
      <c r="PS66" s="23"/>
      <c r="PT66" s="23"/>
      <c r="PU66" s="23"/>
      <c r="PV66" s="23"/>
      <c r="PW66" s="23"/>
      <c r="PX66" s="23"/>
      <c r="PY66" s="23"/>
      <c r="PZ66" s="23"/>
      <c r="QA66" s="23"/>
      <c r="QB66" s="23"/>
      <c r="QC66" s="23"/>
      <c r="QD66" s="23"/>
      <c r="QE66" s="23"/>
      <c r="QF66" s="23"/>
      <c r="QG66" s="23"/>
      <c r="QH66" s="23"/>
      <c r="QI66" s="23"/>
      <c r="QJ66" s="23"/>
      <c r="QK66" s="23"/>
      <c r="QL66" s="23"/>
      <c r="QM66" s="23"/>
      <c r="QN66" s="23"/>
      <c r="QO66" s="23"/>
      <c r="QP66" s="23"/>
      <c r="QQ66" s="23"/>
      <c r="QR66" s="23"/>
      <c r="QS66" s="23">
        <v>30842.197397</v>
      </c>
      <c r="QT66" s="23"/>
      <c r="QU66" s="23"/>
      <c r="QV66" s="23"/>
      <c r="QW66" s="23"/>
      <c r="QX66" s="23"/>
      <c r="QY66" s="23"/>
      <c r="QZ66" s="23"/>
      <c r="RA66" s="23"/>
      <c r="RB66" s="23"/>
      <c r="RC66" s="23"/>
      <c r="RD66" s="23"/>
      <c r="RE66" s="23"/>
      <c r="RF66" s="23"/>
      <c r="RG66" s="23"/>
      <c r="RH66" s="23"/>
      <c r="RI66" s="23"/>
      <c r="RJ66" s="23"/>
      <c r="RK66" s="23"/>
      <c r="RL66" s="23"/>
      <c r="RM66" s="23"/>
      <c r="RN66" s="23"/>
      <c r="RO66" s="23"/>
      <c r="RP66" s="23"/>
      <c r="RQ66" s="23"/>
      <c r="RR66" s="23"/>
      <c r="RS66" s="23"/>
      <c r="RT66" s="23"/>
      <c r="RU66" s="23"/>
      <c r="RV66" s="23"/>
      <c r="RW66" s="23">
        <v>30673.111525</v>
      </c>
      <c r="RX66" s="23"/>
      <c r="RY66" s="23"/>
      <c r="RZ66" s="23"/>
      <c r="SA66" s="23"/>
      <c r="SB66" s="23"/>
      <c r="SC66" s="23"/>
      <c r="SD66" s="23"/>
      <c r="SE66" s="23"/>
      <c r="SF66" s="23"/>
      <c r="SG66" s="23"/>
      <c r="SH66" s="23"/>
      <c r="SI66" s="23"/>
      <c r="SJ66" s="23"/>
      <c r="SK66" s="23"/>
      <c r="SL66" s="23"/>
      <c r="SM66" s="23"/>
      <c r="SN66" s="23"/>
      <c r="SO66" s="23"/>
      <c r="SP66" s="23"/>
      <c r="SQ66" s="23"/>
      <c r="SR66" s="23"/>
      <c r="SS66" s="23"/>
      <c r="ST66" s="23"/>
      <c r="SU66" s="23"/>
      <c r="SV66" s="23"/>
      <c r="SW66" s="23"/>
      <c r="SX66" s="23"/>
      <c r="SY66" s="23"/>
      <c r="SZ66" s="23"/>
      <c r="TA66" s="23"/>
      <c r="TB66" s="23">
        <v>30909.941308</v>
      </c>
      <c r="TC66" s="23"/>
      <c r="TD66" s="23"/>
      <c r="TE66" s="23"/>
      <c r="TF66" s="23"/>
      <c r="TG66" s="23"/>
      <c r="TH66" s="23"/>
      <c r="TI66" s="23"/>
      <c r="TJ66" s="23"/>
      <c r="TK66" s="23"/>
      <c r="TL66" s="23"/>
      <c r="TM66" s="23"/>
      <c r="TN66" s="23"/>
      <c r="TO66" s="23"/>
      <c r="TP66" s="23"/>
      <c r="TQ66" s="23"/>
      <c r="TR66" s="23"/>
      <c r="TS66" s="23"/>
      <c r="TT66" s="23"/>
      <c r="TU66" s="23"/>
      <c r="TV66" s="23"/>
      <c r="TW66" s="23"/>
      <c r="TX66" s="23"/>
      <c r="TY66" s="23"/>
      <c r="TZ66" s="23"/>
      <c r="UA66" s="23"/>
      <c r="UB66" s="23"/>
      <c r="UC66" s="23"/>
      <c r="UD66" s="23"/>
      <c r="UE66" s="23"/>
      <c r="UF66" s="23"/>
      <c r="UG66" s="23"/>
      <c r="UH66" s="23"/>
      <c r="UI66" s="23"/>
      <c r="UJ66" s="23"/>
      <c r="UK66" s="23"/>
      <c r="UL66" s="23"/>
      <c r="UM66" s="23"/>
      <c r="UN66" s="23"/>
      <c r="UO66" s="23"/>
      <c r="UP66" s="23"/>
      <c r="UQ66" s="23"/>
      <c r="UR66" s="23"/>
      <c r="US66" s="23"/>
      <c r="UT66" s="23"/>
    </row>
    <row r="67" ht="16.5" customHeight="1" spans="4:566">
      <c r="D67" s="19" t="s">
        <v>295</v>
      </c>
      <c r="E67" s="21" t="s">
        <v>296</v>
      </c>
      <c r="F67" s="23"/>
      <c r="G67" s="23">
        <v>4.33</v>
      </c>
      <c r="H67" s="23">
        <v>4.33</v>
      </c>
      <c r="I67" s="23">
        <v>4.33</v>
      </c>
      <c r="J67" s="23">
        <v>4.33</v>
      </c>
      <c r="K67" s="23">
        <v>4.33</v>
      </c>
      <c r="L67" s="23">
        <v>4.33</v>
      </c>
      <c r="M67" s="23">
        <v>4.33</v>
      </c>
      <c r="N67" s="23">
        <v>4.33</v>
      </c>
      <c r="O67" s="23">
        <v>4.33</v>
      </c>
      <c r="P67" s="23">
        <v>4.33</v>
      </c>
      <c r="Q67" s="23">
        <v>4.33</v>
      </c>
      <c r="R67" s="23">
        <v>4.33</v>
      </c>
      <c r="S67" s="23">
        <v>4.33</v>
      </c>
      <c r="T67" s="23">
        <v>4.33</v>
      </c>
      <c r="U67" s="23">
        <v>4.33</v>
      </c>
      <c r="V67" s="23">
        <v>4.33</v>
      </c>
      <c r="W67" s="23">
        <v>4.33</v>
      </c>
      <c r="X67" s="23">
        <v>4.33</v>
      </c>
      <c r="Y67" s="23">
        <v>4.33</v>
      </c>
      <c r="Z67" s="23">
        <v>4.33</v>
      </c>
      <c r="AA67" s="23">
        <v>4.33</v>
      </c>
      <c r="AB67" s="23">
        <v>4.33</v>
      </c>
      <c r="AC67" s="23">
        <v>4.33</v>
      </c>
      <c r="AD67" s="23">
        <v>4.33</v>
      </c>
      <c r="AE67" s="23">
        <v>4.33</v>
      </c>
      <c r="AF67" s="23">
        <v>4.33</v>
      </c>
      <c r="AG67" s="23">
        <v>4.33</v>
      </c>
      <c r="AH67" s="23">
        <v>4.33</v>
      </c>
      <c r="AI67" s="23">
        <v>4.33</v>
      </c>
      <c r="AJ67" s="23">
        <v>4.33</v>
      </c>
      <c r="AK67" s="23">
        <v>4.33</v>
      </c>
      <c r="AL67" s="23">
        <v>4.33</v>
      </c>
      <c r="AM67" s="23">
        <v>4.33</v>
      </c>
      <c r="AN67" s="23">
        <v>4.33</v>
      </c>
      <c r="AO67" s="23">
        <v>4.33</v>
      </c>
      <c r="AP67" s="23">
        <v>4.33</v>
      </c>
      <c r="AQ67" s="23">
        <v>4.33</v>
      </c>
      <c r="AR67" s="23">
        <v>4.33</v>
      </c>
      <c r="AS67" s="23">
        <v>4.33</v>
      </c>
      <c r="AT67" s="23">
        <v>4.33</v>
      </c>
      <c r="AU67" s="23">
        <v>4.33</v>
      </c>
      <c r="AV67" s="23">
        <v>4.33</v>
      </c>
      <c r="AW67" s="23">
        <v>4.33</v>
      </c>
      <c r="AX67" s="23">
        <v>4.33</v>
      </c>
      <c r="AY67" s="23">
        <v>4.33</v>
      </c>
      <c r="AZ67" s="23">
        <v>4.33</v>
      </c>
      <c r="BA67" s="23">
        <v>4.33</v>
      </c>
      <c r="BB67" s="23">
        <v>4.33</v>
      </c>
      <c r="BC67" s="23">
        <v>4.33</v>
      </c>
      <c r="BD67" s="23">
        <v>4.33</v>
      </c>
      <c r="BE67" s="23">
        <v>4.33</v>
      </c>
      <c r="BF67" s="23">
        <v>4.33</v>
      </c>
      <c r="BG67" s="23">
        <v>4.33</v>
      </c>
      <c r="BH67" s="23">
        <v>4.33</v>
      </c>
      <c r="BI67" s="23">
        <v>4.33</v>
      </c>
      <c r="BJ67" s="23">
        <v>4.33</v>
      </c>
      <c r="BK67" s="23">
        <v>4.33</v>
      </c>
      <c r="BL67" s="23">
        <v>4.33</v>
      </c>
      <c r="BM67" s="23">
        <v>4.33</v>
      </c>
      <c r="BN67" s="23">
        <v>4.33</v>
      </c>
      <c r="BO67" s="23">
        <v>4.33</v>
      </c>
      <c r="BP67" s="23">
        <v>4.33</v>
      </c>
      <c r="BQ67" s="23">
        <v>4.33</v>
      </c>
      <c r="BR67" s="23">
        <v>4.33</v>
      </c>
      <c r="BS67" s="23">
        <v>4.33</v>
      </c>
      <c r="BT67" s="23">
        <v>4.33</v>
      </c>
      <c r="BU67" s="23">
        <v>4.33</v>
      </c>
      <c r="BV67" s="23">
        <v>4.33</v>
      </c>
      <c r="BW67" s="23">
        <v>4.33</v>
      </c>
      <c r="BX67" s="23">
        <v>4.33</v>
      </c>
      <c r="BY67" s="23">
        <v>4.33</v>
      </c>
      <c r="BZ67" s="23">
        <v>4.33</v>
      </c>
      <c r="CA67" s="23">
        <v>4.33</v>
      </c>
      <c r="CB67" s="23">
        <v>4.33</v>
      </c>
      <c r="CC67" s="23">
        <v>4.33</v>
      </c>
      <c r="CD67" s="23">
        <v>4.33</v>
      </c>
      <c r="CE67" s="23">
        <v>4.33</v>
      </c>
      <c r="CF67" s="23">
        <v>4.33</v>
      </c>
      <c r="CG67" s="23">
        <v>4.33</v>
      </c>
      <c r="CH67" s="23">
        <v>4.33</v>
      </c>
      <c r="CI67" s="23">
        <v>4.33</v>
      </c>
      <c r="CJ67" s="23">
        <v>4.33</v>
      </c>
      <c r="CK67" s="23">
        <v>4.33</v>
      </c>
      <c r="CL67" s="23">
        <v>4.33</v>
      </c>
      <c r="CM67" s="23">
        <v>4.33</v>
      </c>
      <c r="CN67" s="23">
        <v>4.33</v>
      </c>
      <c r="CO67" s="23">
        <v>4.33</v>
      </c>
      <c r="CP67" s="23">
        <v>4.33</v>
      </c>
      <c r="CQ67" s="23">
        <v>4.33</v>
      </c>
      <c r="CR67" s="23">
        <v>4.33</v>
      </c>
      <c r="CS67" s="23">
        <v>4.33</v>
      </c>
      <c r="CT67" s="23">
        <v>4.33</v>
      </c>
      <c r="CU67" s="23">
        <v>4.33</v>
      </c>
      <c r="CV67" s="23">
        <v>4.33</v>
      </c>
      <c r="CW67" s="23">
        <v>4.33</v>
      </c>
      <c r="CX67" s="23">
        <v>4.33</v>
      </c>
      <c r="CY67" s="23">
        <v>4.33</v>
      </c>
      <c r="CZ67" s="23">
        <v>4.33</v>
      </c>
      <c r="DA67" s="23">
        <v>4.33</v>
      </c>
      <c r="DB67" s="23">
        <v>4.33</v>
      </c>
      <c r="DC67" s="23">
        <v>4.33</v>
      </c>
      <c r="DD67" s="23">
        <v>4.33</v>
      </c>
      <c r="DE67" s="23">
        <v>4.33</v>
      </c>
      <c r="DF67" s="23">
        <v>4.33</v>
      </c>
      <c r="DG67" s="23">
        <v>4.33</v>
      </c>
      <c r="DH67" s="23">
        <v>4.33</v>
      </c>
      <c r="DI67" s="23">
        <v>4.33</v>
      </c>
      <c r="DJ67" s="23">
        <v>4.33</v>
      </c>
      <c r="DK67" s="23">
        <v>4.33</v>
      </c>
      <c r="DL67" s="23">
        <v>4.33</v>
      </c>
      <c r="DM67" s="23">
        <v>4.33</v>
      </c>
      <c r="DN67" s="23">
        <v>4.33</v>
      </c>
      <c r="DO67" s="23">
        <v>4.33</v>
      </c>
      <c r="DP67" s="23">
        <v>4.33</v>
      </c>
      <c r="DQ67" s="23">
        <v>4.33</v>
      </c>
      <c r="DR67" s="23">
        <v>4.33</v>
      </c>
      <c r="DS67" s="23">
        <v>4.33</v>
      </c>
      <c r="DT67" s="23">
        <v>4.33</v>
      </c>
      <c r="DU67" s="23">
        <v>4.33</v>
      </c>
      <c r="DV67" s="23">
        <v>4.33</v>
      </c>
      <c r="DW67" s="23">
        <v>4.33</v>
      </c>
      <c r="DX67" s="23">
        <v>4.33</v>
      </c>
      <c r="DY67" s="23">
        <v>4.33</v>
      </c>
      <c r="DZ67" s="23">
        <v>4.33</v>
      </c>
      <c r="EA67" s="23">
        <v>4.33</v>
      </c>
      <c r="EB67" s="23">
        <v>4.33</v>
      </c>
      <c r="EC67" s="23">
        <v>4.33</v>
      </c>
      <c r="ED67" s="23">
        <v>4.33</v>
      </c>
      <c r="EE67" s="23">
        <v>4.33</v>
      </c>
      <c r="EF67" s="23">
        <v>4.33</v>
      </c>
      <c r="EG67" s="23">
        <v>4.33</v>
      </c>
      <c r="EH67" s="23">
        <v>4.33</v>
      </c>
      <c r="EI67" s="23">
        <v>4.33</v>
      </c>
      <c r="EJ67" s="23">
        <v>4.33</v>
      </c>
      <c r="EK67" s="23">
        <v>4.33</v>
      </c>
      <c r="EL67" s="23">
        <v>4.33</v>
      </c>
      <c r="EM67" s="23">
        <v>4.33</v>
      </c>
      <c r="EN67" s="23">
        <v>4.33</v>
      </c>
      <c r="EO67" s="23">
        <v>4.33</v>
      </c>
      <c r="EP67" s="23">
        <v>4.33</v>
      </c>
      <c r="EQ67" s="23">
        <v>4.33</v>
      </c>
      <c r="ER67" s="23">
        <v>4.33</v>
      </c>
      <c r="ES67" s="23">
        <v>4.33</v>
      </c>
      <c r="ET67" s="23">
        <v>4.33</v>
      </c>
      <c r="EU67" s="23">
        <v>4.33</v>
      </c>
      <c r="EV67" s="23">
        <v>4.33</v>
      </c>
      <c r="EW67" s="23">
        <v>4.33</v>
      </c>
      <c r="EX67" s="23">
        <v>4.33</v>
      </c>
      <c r="EY67" s="23">
        <v>4.33</v>
      </c>
      <c r="EZ67" s="23">
        <v>4.33</v>
      </c>
      <c r="FA67" s="23">
        <v>4.33</v>
      </c>
      <c r="FB67" s="23">
        <v>4.33</v>
      </c>
      <c r="FC67" s="23">
        <v>4.33</v>
      </c>
      <c r="FD67" s="23">
        <v>4.33</v>
      </c>
      <c r="FE67" s="23">
        <v>4.33</v>
      </c>
      <c r="FF67" s="23">
        <v>4.33</v>
      </c>
      <c r="FG67" s="23">
        <v>4.33</v>
      </c>
      <c r="FH67" s="23">
        <v>4.33</v>
      </c>
      <c r="FI67" s="23">
        <v>4.33</v>
      </c>
      <c r="FJ67" s="23">
        <v>4.33</v>
      </c>
      <c r="FK67" s="23">
        <v>4.33</v>
      </c>
      <c r="FL67" s="23">
        <v>4.33</v>
      </c>
      <c r="FM67" s="23">
        <v>4.33</v>
      </c>
      <c r="FN67" s="23">
        <v>4.33</v>
      </c>
      <c r="FO67" s="23">
        <v>4.33</v>
      </c>
      <c r="FP67" s="23">
        <v>4.33</v>
      </c>
      <c r="FQ67" s="23">
        <v>4.33</v>
      </c>
      <c r="FR67" s="23">
        <v>4.33</v>
      </c>
      <c r="FS67" s="23">
        <v>4.33</v>
      </c>
      <c r="FT67" s="23">
        <v>4.33</v>
      </c>
      <c r="FU67" s="23">
        <v>4.33</v>
      </c>
      <c r="FV67" s="23">
        <v>4.33</v>
      </c>
      <c r="FW67" s="23">
        <v>4.33</v>
      </c>
      <c r="FX67" s="23">
        <v>4.33</v>
      </c>
      <c r="FY67" s="23">
        <v>4.33</v>
      </c>
      <c r="FZ67" s="23">
        <v>4.33</v>
      </c>
      <c r="GA67" s="23">
        <v>4.33</v>
      </c>
      <c r="GB67" s="23">
        <v>4.33</v>
      </c>
      <c r="GC67" s="23">
        <v>4.33</v>
      </c>
      <c r="GD67" s="23">
        <v>4.33</v>
      </c>
      <c r="GE67" s="23">
        <v>4.33</v>
      </c>
      <c r="GF67" s="23">
        <v>4.33</v>
      </c>
      <c r="GG67" s="23">
        <v>4.33</v>
      </c>
      <c r="GH67" s="23">
        <v>4.33</v>
      </c>
      <c r="GI67" s="23">
        <v>4.33</v>
      </c>
      <c r="GJ67" s="23">
        <v>4.33</v>
      </c>
      <c r="GK67" s="23">
        <v>4.33</v>
      </c>
      <c r="GL67" s="23">
        <v>4.33</v>
      </c>
      <c r="GM67" s="23">
        <v>4.33</v>
      </c>
      <c r="GN67" s="23">
        <v>4.33</v>
      </c>
      <c r="GO67" s="23">
        <v>4.33</v>
      </c>
      <c r="GP67" s="23">
        <v>4.33</v>
      </c>
      <c r="GQ67" s="23">
        <v>4.33</v>
      </c>
      <c r="GR67" s="23">
        <v>4.33</v>
      </c>
      <c r="GS67" s="23">
        <v>4.33</v>
      </c>
      <c r="GT67" s="23">
        <v>4.33</v>
      </c>
      <c r="GU67" s="23">
        <v>4.33</v>
      </c>
      <c r="GV67" s="23">
        <v>4.33</v>
      </c>
      <c r="GW67" s="23">
        <v>4.33</v>
      </c>
      <c r="GX67" s="23">
        <v>4.33</v>
      </c>
      <c r="GY67" s="23">
        <v>4.33</v>
      </c>
      <c r="GZ67" s="23">
        <v>4.33</v>
      </c>
      <c r="HA67" s="23">
        <v>4.33</v>
      </c>
      <c r="HB67" s="23">
        <v>4.33</v>
      </c>
      <c r="HC67" s="23">
        <v>4.33</v>
      </c>
      <c r="HD67" s="23">
        <v>4.33</v>
      </c>
      <c r="HE67" s="23">
        <v>4.33</v>
      </c>
      <c r="HF67" s="23">
        <v>4.33</v>
      </c>
      <c r="HG67" s="23">
        <v>4.33</v>
      </c>
      <c r="HH67" s="23">
        <v>4.33</v>
      </c>
      <c r="HI67" s="23">
        <v>4.33</v>
      </c>
      <c r="HJ67" s="23">
        <v>4.33</v>
      </c>
      <c r="HK67" s="23">
        <v>4.33</v>
      </c>
      <c r="HL67" s="23">
        <v>4.33</v>
      </c>
      <c r="HM67" s="23">
        <v>4.33</v>
      </c>
      <c r="HN67" s="23">
        <v>4.33</v>
      </c>
      <c r="HO67" s="23">
        <v>4.33</v>
      </c>
      <c r="HP67" s="23">
        <v>4.33</v>
      </c>
      <c r="HQ67" s="23">
        <v>4.33</v>
      </c>
      <c r="HR67" s="23">
        <v>4.33</v>
      </c>
      <c r="HS67" s="23">
        <v>4.33</v>
      </c>
      <c r="HT67" s="23">
        <v>4.33</v>
      </c>
      <c r="HU67" s="23">
        <v>4.33</v>
      </c>
      <c r="HV67" s="23">
        <v>4.33</v>
      </c>
      <c r="HW67" s="23">
        <v>4.33</v>
      </c>
      <c r="HX67" s="23">
        <v>4.33</v>
      </c>
      <c r="HY67" s="23">
        <v>4.33</v>
      </c>
      <c r="HZ67" s="23">
        <v>4.33</v>
      </c>
      <c r="IA67" s="23">
        <v>4.33</v>
      </c>
      <c r="IB67" s="23">
        <v>4.33</v>
      </c>
      <c r="IC67" s="23">
        <v>4.33</v>
      </c>
      <c r="ID67" s="23">
        <v>4.33</v>
      </c>
      <c r="IE67" s="23">
        <v>4.33</v>
      </c>
      <c r="IF67" s="23">
        <v>4.33</v>
      </c>
      <c r="IG67" s="23">
        <v>4.33</v>
      </c>
      <c r="IH67" s="23">
        <v>4.33</v>
      </c>
      <c r="II67" s="23">
        <v>4.33</v>
      </c>
      <c r="IJ67" s="23">
        <v>4.33</v>
      </c>
      <c r="IK67" s="23">
        <v>4.33</v>
      </c>
      <c r="IL67" s="23">
        <v>4.33</v>
      </c>
      <c r="IM67" s="23">
        <v>4.33</v>
      </c>
      <c r="IN67" s="23">
        <v>4.33</v>
      </c>
      <c r="IO67" s="23">
        <v>4.33</v>
      </c>
      <c r="IP67" s="31">
        <v>4.33</v>
      </c>
      <c r="IQ67" s="31">
        <v>4.33</v>
      </c>
      <c r="IR67" s="31">
        <v>4.33</v>
      </c>
      <c r="IS67" s="31">
        <v>4.33</v>
      </c>
      <c r="IT67" s="31">
        <v>4.33</v>
      </c>
      <c r="IU67" s="31">
        <v>4.33</v>
      </c>
      <c r="IV67" s="31">
        <v>4.33</v>
      </c>
      <c r="IW67" s="31">
        <v>4.33</v>
      </c>
      <c r="IX67" s="31">
        <v>4.33</v>
      </c>
      <c r="IY67" s="31">
        <v>4.33</v>
      </c>
      <c r="IZ67" s="31">
        <v>4.33</v>
      </c>
      <c r="JA67" s="31">
        <v>4.33</v>
      </c>
      <c r="JB67" s="31">
        <v>4.33</v>
      </c>
      <c r="JC67" s="31">
        <v>4.33</v>
      </c>
      <c r="JD67" s="31">
        <v>4.33</v>
      </c>
      <c r="JE67" s="31">
        <v>4.33</v>
      </c>
      <c r="JF67" s="31">
        <v>4.33</v>
      </c>
      <c r="JG67" s="31">
        <v>4.08</v>
      </c>
      <c r="JH67" s="31">
        <v>4.08</v>
      </c>
      <c r="JI67" s="31">
        <v>4.08</v>
      </c>
      <c r="JJ67" s="31">
        <v>4.08</v>
      </c>
      <c r="JK67" s="31">
        <v>4.09</v>
      </c>
      <c r="JL67" s="31">
        <v>4.09</v>
      </c>
      <c r="JM67" s="31">
        <v>4.09</v>
      </c>
      <c r="JN67" s="31">
        <v>4.09</v>
      </c>
      <c r="JO67" s="31">
        <v>4.09</v>
      </c>
      <c r="JP67" s="31">
        <v>4.09</v>
      </c>
      <c r="JQ67" s="31">
        <v>4.09</v>
      </c>
      <c r="JR67" s="31">
        <v>4.09</v>
      </c>
      <c r="JS67" s="31">
        <v>4.09</v>
      </c>
      <c r="JT67" s="31">
        <v>4.09</v>
      </c>
      <c r="JU67" s="31">
        <v>4.09</v>
      </c>
      <c r="JV67" s="31">
        <v>4.09</v>
      </c>
      <c r="JW67" s="31">
        <v>4.09</v>
      </c>
      <c r="JX67" s="31">
        <v>4.09</v>
      </c>
      <c r="JY67" s="31">
        <v>4.09</v>
      </c>
      <c r="JZ67" s="23">
        <v>4.09</v>
      </c>
      <c r="KA67" s="23">
        <v>4.1</v>
      </c>
      <c r="KB67" s="23">
        <v>4.1</v>
      </c>
      <c r="KC67" s="23">
        <v>4.1</v>
      </c>
      <c r="KD67" s="23">
        <v>4.1</v>
      </c>
      <c r="KE67" s="23">
        <v>4.1</v>
      </c>
      <c r="KF67" s="23">
        <v>4.1</v>
      </c>
      <c r="KG67" s="23">
        <v>4.1</v>
      </c>
      <c r="KH67" s="23">
        <v>4.1</v>
      </c>
      <c r="KI67" s="23">
        <v>4.11</v>
      </c>
      <c r="KJ67" s="23">
        <v>4.11</v>
      </c>
      <c r="KK67" s="23">
        <v>4.11</v>
      </c>
      <c r="KL67" s="23">
        <v>4.11</v>
      </c>
      <c r="KM67" s="23">
        <v>4.11</v>
      </c>
      <c r="KN67" s="23">
        <v>4.11</v>
      </c>
      <c r="KO67" s="23">
        <v>4.11</v>
      </c>
      <c r="KP67" s="23">
        <v>4.11</v>
      </c>
      <c r="KQ67" s="23">
        <v>4.11</v>
      </c>
      <c r="KR67" s="23">
        <v>4.11</v>
      </c>
      <c r="KS67" s="23">
        <v>4.11</v>
      </c>
      <c r="KT67" s="23">
        <v>4.12</v>
      </c>
      <c r="KU67" s="23">
        <v>4.12</v>
      </c>
      <c r="KV67" s="23">
        <v>4.12</v>
      </c>
      <c r="KW67" s="23">
        <v>3.87</v>
      </c>
      <c r="KX67" s="23">
        <v>3.86</v>
      </c>
      <c r="KY67" s="23">
        <v>3.86</v>
      </c>
      <c r="KZ67" s="23">
        <v>3.86</v>
      </c>
      <c r="LA67" s="23">
        <v>3.87</v>
      </c>
      <c r="LB67" s="23">
        <v>3.87</v>
      </c>
      <c r="LC67" s="23">
        <v>3.87</v>
      </c>
      <c r="LD67" s="23">
        <v>3.87</v>
      </c>
      <c r="LE67" s="23">
        <v>3.87</v>
      </c>
      <c r="LF67" s="23">
        <v>3.87</v>
      </c>
      <c r="LG67" s="23">
        <v>3.87</v>
      </c>
      <c r="LH67" s="23">
        <v>3.87</v>
      </c>
      <c r="LI67" s="23">
        <v>3.87</v>
      </c>
      <c r="LJ67" s="23">
        <v>3.87</v>
      </c>
      <c r="LK67" s="23">
        <v>3.88</v>
      </c>
      <c r="LL67" s="23">
        <v>3.88</v>
      </c>
      <c r="LM67" s="23">
        <v>3.88</v>
      </c>
      <c r="LN67" s="23">
        <v>3.88</v>
      </c>
      <c r="LO67" s="23">
        <v>3.88</v>
      </c>
      <c r="LP67" s="23">
        <v>3.88</v>
      </c>
      <c r="LQ67" s="23">
        <v>3.88</v>
      </c>
      <c r="LR67" s="23">
        <v>3.88</v>
      </c>
      <c r="LS67" s="23">
        <v>3.88</v>
      </c>
      <c r="LT67" s="23">
        <v>3.88</v>
      </c>
      <c r="LU67" s="23">
        <v>3.88</v>
      </c>
      <c r="LV67" s="23">
        <v>3.88</v>
      </c>
      <c r="LW67" s="23">
        <v>3.88</v>
      </c>
      <c r="LX67" s="23">
        <v>3.88</v>
      </c>
      <c r="LY67" s="23">
        <v>3.88</v>
      </c>
      <c r="LZ67" s="23">
        <v>3.89</v>
      </c>
      <c r="MA67" s="23">
        <v>3.89</v>
      </c>
      <c r="MB67" s="23">
        <v>3.89</v>
      </c>
      <c r="MC67" s="23">
        <v>3.89</v>
      </c>
      <c r="MD67" s="23">
        <v>3.89</v>
      </c>
      <c r="ME67" s="23">
        <v>3.89</v>
      </c>
      <c r="MF67" s="23">
        <v>3.89</v>
      </c>
      <c r="MG67" s="23">
        <v>3.89</v>
      </c>
      <c r="MH67" s="23">
        <v>3.89</v>
      </c>
      <c r="MI67" s="23">
        <v>3.89</v>
      </c>
      <c r="MJ67" s="23">
        <v>3.89</v>
      </c>
      <c r="MK67" s="23">
        <v>3.89</v>
      </c>
      <c r="ML67" s="23">
        <v>3.89</v>
      </c>
      <c r="MM67" s="23">
        <v>3.64</v>
      </c>
      <c r="MN67" s="23">
        <v>3.64</v>
      </c>
      <c r="MO67" s="23">
        <v>3.64</v>
      </c>
      <c r="MP67" s="23">
        <v>3.64</v>
      </c>
      <c r="MQ67" s="23">
        <v>3.64</v>
      </c>
      <c r="MR67" s="23">
        <v>3.64</v>
      </c>
      <c r="MS67" s="23">
        <v>3.64</v>
      </c>
      <c r="MT67" s="23">
        <v>3.64</v>
      </c>
      <c r="MU67" s="23">
        <v>3.64</v>
      </c>
      <c r="MV67" s="23">
        <v>3.64</v>
      </c>
      <c r="MW67" s="23">
        <v>3.64</v>
      </c>
      <c r="MX67" s="23">
        <v>3.64</v>
      </c>
      <c r="MY67" s="23">
        <v>3.64</v>
      </c>
      <c r="MZ67" s="23">
        <v>3.64</v>
      </c>
      <c r="NA67" s="23">
        <v>3.64</v>
      </c>
      <c r="NB67" s="23">
        <v>3.64</v>
      </c>
      <c r="NC67" s="23">
        <v>3.64</v>
      </c>
      <c r="ND67" s="23">
        <v>3.64</v>
      </c>
      <c r="NE67" s="23">
        <v>3.64</v>
      </c>
      <c r="NF67" s="23">
        <v>3.64</v>
      </c>
      <c r="NG67" s="23">
        <v>3.64</v>
      </c>
      <c r="NH67" s="23">
        <v>3.64</v>
      </c>
      <c r="NI67" s="23">
        <v>3.64</v>
      </c>
      <c r="NJ67" s="23">
        <v>3.64</v>
      </c>
      <c r="NK67" s="23">
        <v>3.64</v>
      </c>
      <c r="NL67" s="23">
        <v>3.64</v>
      </c>
      <c r="NM67" s="23">
        <v>3.64</v>
      </c>
      <c r="NN67" s="23">
        <v>3.64</v>
      </c>
      <c r="NO67" s="23">
        <v>3.64</v>
      </c>
      <c r="NP67" s="23">
        <v>3.64</v>
      </c>
      <c r="NQ67" s="23">
        <v>3.64</v>
      </c>
      <c r="NR67" s="23">
        <v>3.64</v>
      </c>
      <c r="NS67" s="23">
        <v>3.64</v>
      </c>
      <c r="NT67" s="23">
        <v>3.64</v>
      </c>
      <c r="NU67" s="23">
        <v>3.64</v>
      </c>
      <c r="NV67" s="23">
        <v>3.64</v>
      </c>
      <c r="NW67" s="23">
        <v>3.64</v>
      </c>
      <c r="NX67" s="23">
        <v>3.64</v>
      </c>
      <c r="NY67" s="23">
        <v>3.64</v>
      </c>
      <c r="NZ67" s="23">
        <v>3.64</v>
      </c>
      <c r="OA67" s="23">
        <v>3.64</v>
      </c>
      <c r="OB67" s="23">
        <v>3.64</v>
      </c>
      <c r="OC67" s="23">
        <v>3.64</v>
      </c>
      <c r="OD67" s="23">
        <v>3.64</v>
      </c>
      <c r="OE67" s="23">
        <v>3.64</v>
      </c>
      <c r="OF67" s="23">
        <v>3.64</v>
      </c>
      <c r="OG67" s="23">
        <v>3.64</v>
      </c>
      <c r="OH67" s="23">
        <v>3.64</v>
      </c>
      <c r="OI67" s="23">
        <v>3.64</v>
      </c>
      <c r="OJ67" s="23">
        <v>3.64</v>
      </c>
      <c r="OK67" s="23">
        <v>3.64</v>
      </c>
      <c r="OL67" s="23">
        <v>3.64</v>
      </c>
      <c r="OM67" s="23">
        <v>3.64</v>
      </c>
      <c r="ON67" s="23">
        <v>3.64</v>
      </c>
      <c r="OO67" s="23">
        <v>3.64</v>
      </c>
      <c r="OP67" s="23">
        <v>3.64</v>
      </c>
      <c r="OQ67" s="23">
        <v>3.64</v>
      </c>
      <c r="OR67" s="23">
        <v>3.64</v>
      </c>
      <c r="OS67" s="23">
        <v>3.64</v>
      </c>
      <c r="OT67" s="23">
        <v>3.64</v>
      </c>
      <c r="OU67" s="23">
        <v>3.64</v>
      </c>
      <c r="OV67" s="23">
        <v>3.64</v>
      </c>
      <c r="OW67" s="23">
        <v>3.64</v>
      </c>
      <c r="OX67" s="23">
        <v>3.64</v>
      </c>
      <c r="OY67" s="23">
        <v>3.64</v>
      </c>
      <c r="OZ67" s="23">
        <v>3.64</v>
      </c>
      <c r="PA67" s="23">
        <v>3.64</v>
      </c>
      <c r="PB67" s="23">
        <v>3.64</v>
      </c>
      <c r="PC67" s="23">
        <v>3.64</v>
      </c>
      <c r="PD67" s="23">
        <v>3.64</v>
      </c>
      <c r="PE67" s="23">
        <v>3.64</v>
      </c>
      <c r="PF67" s="23">
        <v>3.64</v>
      </c>
      <c r="PG67" s="23">
        <v>3.64</v>
      </c>
      <c r="PH67" s="23">
        <v>3.64</v>
      </c>
      <c r="PI67" s="23">
        <v>3.64</v>
      </c>
      <c r="PJ67" s="23">
        <v>3.64</v>
      </c>
      <c r="PK67" s="23">
        <v>3.64</v>
      </c>
      <c r="PL67" s="23">
        <v>3.64</v>
      </c>
      <c r="PM67" s="23">
        <v>3.64</v>
      </c>
      <c r="PN67" s="23">
        <v>3.64</v>
      </c>
      <c r="PO67" s="23">
        <v>3.64</v>
      </c>
      <c r="PP67" s="23">
        <v>3.64</v>
      </c>
      <c r="PQ67" s="23">
        <v>3.64</v>
      </c>
      <c r="PR67" s="23">
        <v>3.64</v>
      </c>
      <c r="PS67" s="23">
        <v>3.64</v>
      </c>
      <c r="PT67" s="23">
        <v>3.64</v>
      </c>
      <c r="PU67" s="23">
        <v>3.64</v>
      </c>
      <c r="PV67" s="23">
        <v>3.64</v>
      </c>
      <c r="PW67" s="23">
        <v>3.64</v>
      </c>
      <c r="PX67" s="23">
        <v>3.64</v>
      </c>
      <c r="PY67" s="23">
        <v>3.64</v>
      </c>
      <c r="PZ67" s="23">
        <v>3.64</v>
      </c>
      <c r="QA67" s="23">
        <v>3.64</v>
      </c>
      <c r="QB67" s="23">
        <v>3.64</v>
      </c>
      <c r="QC67" s="23">
        <v>3.64</v>
      </c>
      <c r="QD67" s="23">
        <v>3.64</v>
      </c>
      <c r="QE67" s="23">
        <v>3.64</v>
      </c>
      <c r="QF67" s="23">
        <v>3.64</v>
      </c>
      <c r="QG67" s="23">
        <v>3.64</v>
      </c>
      <c r="QH67" s="23">
        <v>3.64</v>
      </c>
      <c r="QI67" s="23">
        <v>3.64</v>
      </c>
      <c r="QJ67" s="23">
        <v>3.64</v>
      </c>
      <c r="QK67" s="23">
        <v>3.64</v>
      </c>
      <c r="QL67" s="23">
        <v>3.64</v>
      </c>
      <c r="QM67" s="23">
        <v>3.64</v>
      </c>
      <c r="QN67" s="23">
        <v>3.64</v>
      </c>
      <c r="QO67" s="23">
        <v>3.64</v>
      </c>
      <c r="QP67" s="23">
        <v>3.64</v>
      </c>
      <c r="QQ67" s="23">
        <v>3.64</v>
      </c>
      <c r="QR67" s="23">
        <v>3.64</v>
      </c>
      <c r="QS67" s="23">
        <v>3.64</v>
      </c>
      <c r="QT67" s="23">
        <v>3.64</v>
      </c>
      <c r="QU67" s="23">
        <v>3.64</v>
      </c>
      <c r="QV67" s="23">
        <v>3.64</v>
      </c>
      <c r="QW67" s="23"/>
      <c r="QX67" s="23"/>
      <c r="QY67" s="23">
        <v>3.64</v>
      </c>
      <c r="QZ67" s="23">
        <v>3.64</v>
      </c>
      <c r="RA67" s="23">
        <v>3.64</v>
      </c>
      <c r="RB67" s="23">
        <v>3.64</v>
      </c>
      <c r="RC67" s="23">
        <v>3.64</v>
      </c>
      <c r="RD67" s="23"/>
      <c r="RE67" s="23"/>
      <c r="RF67" s="23">
        <v>3.64</v>
      </c>
      <c r="RG67" s="23">
        <v>3.64</v>
      </c>
      <c r="RH67" s="23">
        <v>3.64</v>
      </c>
      <c r="RI67" s="23">
        <v>3.64</v>
      </c>
      <c r="RJ67" s="23">
        <v>3.64</v>
      </c>
      <c r="RK67" s="23"/>
      <c r="RL67" s="23"/>
      <c r="RM67" s="23">
        <v>3.64</v>
      </c>
      <c r="RN67" s="23">
        <v>3.64</v>
      </c>
      <c r="RO67" s="23">
        <v>3.64</v>
      </c>
      <c r="RP67" s="23">
        <v>3.64</v>
      </c>
      <c r="RQ67" s="23">
        <v>3.64</v>
      </c>
      <c r="RR67" s="23"/>
      <c r="RS67" s="23"/>
      <c r="RT67" s="23">
        <v>3.64</v>
      </c>
      <c r="RU67" s="23">
        <v>3.64</v>
      </c>
      <c r="RV67" s="23">
        <v>3.64</v>
      </c>
      <c r="RW67" s="23">
        <v>3.64</v>
      </c>
      <c r="RX67" s="23">
        <v>3.64</v>
      </c>
      <c r="RY67" s="23"/>
      <c r="RZ67" s="23"/>
      <c r="SA67" s="23">
        <v>3.64</v>
      </c>
      <c r="SB67" s="23">
        <v>3.64</v>
      </c>
      <c r="SC67" s="23">
        <v>3.64</v>
      </c>
      <c r="SD67" s="23">
        <v>3.63</v>
      </c>
      <c r="SE67" s="23">
        <v>3.63</v>
      </c>
      <c r="SF67" s="23"/>
      <c r="SG67" s="23"/>
      <c r="SH67" s="23">
        <v>3.63</v>
      </c>
      <c r="SI67" s="23">
        <v>3.63</v>
      </c>
      <c r="SJ67" s="23">
        <v>3.63</v>
      </c>
      <c r="SK67" s="23">
        <v>3.63</v>
      </c>
      <c r="SL67" s="23">
        <v>3.63</v>
      </c>
      <c r="SM67" s="23"/>
      <c r="SN67" s="23"/>
      <c r="SO67" s="23">
        <v>3.63</v>
      </c>
      <c r="SP67" s="23">
        <v>3.62</v>
      </c>
      <c r="SQ67" s="23">
        <v>3.62</v>
      </c>
      <c r="SR67" s="23">
        <v>3.62</v>
      </c>
      <c r="SS67" s="23">
        <v>3.62</v>
      </c>
      <c r="ST67" s="23"/>
      <c r="SU67" s="23"/>
      <c r="SV67" s="23">
        <v>3.62</v>
      </c>
      <c r="SW67" s="23">
        <v>3.62</v>
      </c>
      <c r="SX67" s="23">
        <v>3.62</v>
      </c>
      <c r="SY67" s="23">
        <v>3.62</v>
      </c>
      <c r="SZ67" s="23">
        <v>3.62</v>
      </c>
      <c r="TA67" s="23"/>
      <c r="TB67" s="23"/>
      <c r="TC67" s="23">
        <v>3.62</v>
      </c>
      <c r="TD67" s="23">
        <v>3.62</v>
      </c>
      <c r="TE67" s="23">
        <v>3.62</v>
      </c>
      <c r="TF67" s="23">
        <v>3.62</v>
      </c>
      <c r="TG67" s="23">
        <v>3.62</v>
      </c>
      <c r="TH67" s="23"/>
      <c r="TI67" s="23"/>
      <c r="TJ67" s="23">
        <v>3.62</v>
      </c>
      <c r="TK67" s="23">
        <v>3.62</v>
      </c>
      <c r="TL67" s="23">
        <v>3.62</v>
      </c>
      <c r="TM67" s="23">
        <v>3.62</v>
      </c>
      <c r="TN67" s="23">
        <v>3.62</v>
      </c>
      <c r="TO67" s="23"/>
      <c r="TP67" s="23"/>
      <c r="TQ67" s="23">
        <v>3.63</v>
      </c>
      <c r="TR67" s="23">
        <v>3.63</v>
      </c>
      <c r="TS67" s="23">
        <v>3.63</v>
      </c>
      <c r="TT67" s="23">
        <v>3.63</v>
      </c>
      <c r="TU67" s="23">
        <v>3.63</v>
      </c>
      <c r="TV67" s="23"/>
      <c r="TW67" s="23"/>
      <c r="TX67" s="23">
        <v>3.63</v>
      </c>
      <c r="TY67" s="23">
        <v>3.63</v>
      </c>
      <c r="TZ67" s="23">
        <v>3.63</v>
      </c>
      <c r="UA67" s="23">
        <v>3.63</v>
      </c>
      <c r="UB67" s="23">
        <v>3.63</v>
      </c>
      <c r="UC67" s="23"/>
      <c r="UD67" s="23"/>
      <c r="UE67" s="23">
        <v>3.63</v>
      </c>
      <c r="UF67" s="23">
        <v>3.63</v>
      </c>
      <c r="UG67" s="23">
        <v>3.63</v>
      </c>
      <c r="UH67" s="23"/>
      <c r="UI67" s="23"/>
      <c r="UJ67" s="23"/>
      <c r="UK67" s="23"/>
      <c r="UL67" s="23"/>
      <c r="UM67" s="23"/>
      <c r="UN67" s="23"/>
      <c r="UO67" s="23"/>
      <c r="UP67" s="23"/>
      <c r="UQ67" s="23"/>
      <c r="UR67" s="23"/>
      <c r="US67" s="23"/>
      <c r="UT67" s="23"/>
    </row>
    <row r="68" ht="16.5" customHeight="1" spans="4:566">
      <c r="D68" s="19" t="s">
        <v>297</v>
      </c>
      <c r="E68" s="21" t="s">
        <v>299</v>
      </c>
      <c r="F68" s="23"/>
      <c r="G68" s="23"/>
      <c r="H68" s="23">
        <v>4.4</v>
      </c>
      <c r="I68" s="23">
        <v>4.31</v>
      </c>
      <c r="J68" s="23"/>
      <c r="K68" s="23"/>
      <c r="L68" s="23">
        <v>4.27</v>
      </c>
      <c r="M68" s="23">
        <v>4.27</v>
      </c>
      <c r="N68" s="23">
        <v>4.29</v>
      </c>
      <c r="O68" s="23">
        <v>4.3</v>
      </c>
      <c r="P68" s="23">
        <v>4.3</v>
      </c>
      <c r="Q68" s="23"/>
      <c r="R68" s="23"/>
      <c r="S68" s="23">
        <v>4.29</v>
      </c>
      <c r="T68" s="23">
        <v>4.28</v>
      </c>
      <c r="U68" s="23">
        <v>4.28</v>
      </c>
      <c r="V68" s="23">
        <v>4.29</v>
      </c>
      <c r="W68" s="23">
        <v>4.29</v>
      </c>
      <c r="X68" s="23"/>
      <c r="Y68" s="23"/>
      <c r="Z68" s="23"/>
      <c r="AA68" s="23">
        <v>4.29</v>
      </c>
      <c r="AB68" s="23">
        <v>4.3</v>
      </c>
      <c r="AC68" s="23">
        <v>4.35</v>
      </c>
      <c r="AD68" s="23">
        <v>4.34</v>
      </c>
      <c r="AE68" s="23"/>
      <c r="AF68" s="23"/>
      <c r="AG68" s="23">
        <v>4.34</v>
      </c>
      <c r="AH68" s="23">
        <v>4.35</v>
      </c>
      <c r="AI68" s="23">
        <v>4.35</v>
      </c>
      <c r="AJ68" s="23">
        <v>4.36</v>
      </c>
      <c r="AK68" s="23">
        <v>4.38</v>
      </c>
      <c r="AL68" s="23"/>
      <c r="AM68" s="23"/>
      <c r="AN68" s="23">
        <v>4.35</v>
      </c>
      <c r="AO68" s="23">
        <v>4.33</v>
      </c>
      <c r="AP68" s="23">
        <v>4.33</v>
      </c>
      <c r="AQ68" s="23">
        <v>4.36</v>
      </c>
      <c r="AR68" s="23">
        <v>4.35</v>
      </c>
      <c r="AS68" s="23"/>
      <c r="AT68" s="23"/>
      <c r="AU68" s="23">
        <v>4.35</v>
      </c>
      <c r="AV68" s="23">
        <v>4.34</v>
      </c>
      <c r="AW68" s="23">
        <v>4.32</v>
      </c>
      <c r="AX68" s="23">
        <v>4.33</v>
      </c>
      <c r="AY68" s="23">
        <v>4.33</v>
      </c>
      <c r="AZ68" s="23"/>
      <c r="BA68" s="23"/>
      <c r="BB68" s="23"/>
      <c r="BC68" s="23">
        <v>4.37</v>
      </c>
      <c r="BD68" s="23">
        <v>4.35</v>
      </c>
      <c r="BE68" s="23">
        <v>4.33</v>
      </c>
      <c r="BF68" s="23">
        <v>4.34</v>
      </c>
      <c r="BG68" s="23"/>
      <c r="BH68" s="23"/>
      <c r="BI68" s="23">
        <v>4.34</v>
      </c>
      <c r="BJ68" s="23">
        <v>4.33</v>
      </c>
      <c r="BK68" s="23">
        <v>4.33</v>
      </c>
      <c r="BL68" s="23">
        <v>4.36</v>
      </c>
      <c r="BM68" s="23">
        <v>4.39</v>
      </c>
      <c r="BN68" s="23"/>
      <c r="BO68" s="23"/>
      <c r="BP68" s="23">
        <v>4.33</v>
      </c>
      <c r="BQ68" s="23">
        <v>4.33</v>
      </c>
      <c r="BR68" s="23">
        <v>4.34</v>
      </c>
      <c r="BS68" s="23">
        <v>4.35</v>
      </c>
      <c r="BT68" s="23">
        <v>4.34</v>
      </c>
      <c r="BU68" s="23"/>
      <c r="BV68" s="23"/>
      <c r="BW68" s="23">
        <v>4.33</v>
      </c>
      <c r="BX68" s="23">
        <v>4.32</v>
      </c>
      <c r="BY68" s="23">
        <v>4.31</v>
      </c>
      <c r="BZ68" s="23">
        <v>4.3</v>
      </c>
      <c r="CA68" s="23">
        <v>4.3</v>
      </c>
      <c r="CB68" s="23"/>
      <c r="CC68" s="23"/>
      <c r="CD68" s="23">
        <v>4.32</v>
      </c>
      <c r="CE68" s="23">
        <v>4.31</v>
      </c>
      <c r="CF68" s="23">
        <v>4.29</v>
      </c>
      <c r="CG68" s="23">
        <v>4.29</v>
      </c>
      <c r="CH68" s="23">
        <v>4.3</v>
      </c>
      <c r="CI68" s="23"/>
      <c r="CJ68" s="23"/>
      <c r="CK68" s="23">
        <v>4.31</v>
      </c>
      <c r="CL68" s="23">
        <v>4.33</v>
      </c>
      <c r="CM68" s="23">
        <v>4.35</v>
      </c>
      <c r="CN68" s="23">
        <v>4.36</v>
      </c>
      <c r="CO68" s="23">
        <v>4.34</v>
      </c>
      <c r="CP68" s="23"/>
      <c r="CQ68" s="23"/>
      <c r="CR68" s="23">
        <v>4.41</v>
      </c>
      <c r="CS68" s="23">
        <v>4.39</v>
      </c>
      <c r="CT68" s="23">
        <v>4.37</v>
      </c>
      <c r="CU68" s="23">
        <v>4.39</v>
      </c>
      <c r="CV68" s="23">
        <v>4.35</v>
      </c>
      <c r="CW68" s="23"/>
      <c r="CX68" s="23"/>
      <c r="CY68" s="23">
        <v>4.33</v>
      </c>
      <c r="CZ68" s="23">
        <v>4.4</v>
      </c>
      <c r="DA68" s="23">
        <v>4.42</v>
      </c>
      <c r="DB68" s="23">
        <v>4.37</v>
      </c>
      <c r="DC68" s="23">
        <v>4.33</v>
      </c>
      <c r="DD68" s="23"/>
      <c r="DE68" s="23"/>
      <c r="DF68" s="23">
        <v>4.33</v>
      </c>
      <c r="DG68" s="23">
        <v>4.36</v>
      </c>
      <c r="DH68" s="23">
        <v>4.31</v>
      </c>
      <c r="DI68" s="23">
        <v>4.32</v>
      </c>
      <c r="DJ68" s="23"/>
      <c r="DK68" s="23"/>
      <c r="DL68" s="23"/>
      <c r="DM68" s="23">
        <v>4.32</v>
      </c>
      <c r="DN68" s="23">
        <v>4.3</v>
      </c>
      <c r="DO68" s="23">
        <v>4.28</v>
      </c>
      <c r="DP68" s="23">
        <v>4.29</v>
      </c>
      <c r="DQ68" s="23">
        <v>4.33</v>
      </c>
      <c r="DR68" s="23"/>
      <c r="DS68" s="23"/>
      <c r="DT68" s="23">
        <v>4.36</v>
      </c>
      <c r="DU68" s="23">
        <v>4.36</v>
      </c>
      <c r="DV68" s="23">
        <v>4.41</v>
      </c>
      <c r="DW68" s="23">
        <v>4.39</v>
      </c>
      <c r="DX68" s="23">
        <v>4.36</v>
      </c>
      <c r="DY68" s="23"/>
      <c r="DZ68" s="23"/>
      <c r="EA68" s="23">
        <v>4.33</v>
      </c>
      <c r="EB68" s="23">
        <v>4.32</v>
      </c>
      <c r="EC68" s="23">
        <v>4.3</v>
      </c>
      <c r="ED68" s="23">
        <v>4.29</v>
      </c>
      <c r="EE68" s="23">
        <v>4.28</v>
      </c>
      <c r="EF68" s="23"/>
      <c r="EG68" s="23"/>
      <c r="EH68" s="23">
        <v>4.28</v>
      </c>
      <c r="EI68" s="23">
        <v>4.3</v>
      </c>
      <c r="EJ68" s="23">
        <v>4.29</v>
      </c>
      <c r="EK68" s="23">
        <v>4.31</v>
      </c>
      <c r="EL68" s="23">
        <v>4.3</v>
      </c>
      <c r="EM68" s="23"/>
      <c r="EN68" s="23"/>
      <c r="EO68" s="23">
        <v>4.29</v>
      </c>
      <c r="EP68" s="23">
        <v>4.27</v>
      </c>
      <c r="EQ68" s="23">
        <v>4.26</v>
      </c>
      <c r="ER68" s="23">
        <v>4.26</v>
      </c>
      <c r="ES68" s="23">
        <v>4.26</v>
      </c>
      <c r="ET68" s="23"/>
      <c r="EU68" s="23"/>
      <c r="EV68" s="23"/>
      <c r="EW68" s="23">
        <v>4.31</v>
      </c>
      <c r="EX68" s="23">
        <v>4.33</v>
      </c>
      <c r="EY68" s="23">
        <v>4.33</v>
      </c>
      <c r="EZ68" s="23">
        <v>4.35</v>
      </c>
      <c r="FA68" s="23"/>
      <c r="FB68" s="23"/>
      <c r="FC68" s="23">
        <v>4.35</v>
      </c>
      <c r="FD68" s="23">
        <v>4.32</v>
      </c>
      <c r="FE68" s="23">
        <v>4.28</v>
      </c>
      <c r="FF68" s="23">
        <v>4.29</v>
      </c>
      <c r="FG68" s="23">
        <v>4.29</v>
      </c>
      <c r="FH68" s="23"/>
      <c r="FI68" s="23"/>
      <c r="FJ68" s="23">
        <v>4.29</v>
      </c>
      <c r="FK68" s="23">
        <v>4.28</v>
      </c>
      <c r="FL68" s="23">
        <v>4.28</v>
      </c>
      <c r="FM68" s="23">
        <v>4.28</v>
      </c>
      <c r="FN68" s="23">
        <v>4.28</v>
      </c>
      <c r="FO68" s="23"/>
      <c r="FP68" s="23"/>
      <c r="FQ68" s="23">
        <v>4.32</v>
      </c>
      <c r="FR68" s="23">
        <v>4.31</v>
      </c>
      <c r="FS68" s="23">
        <v>4.28</v>
      </c>
      <c r="FT68" s="23"/>
      <c r="FU68" s="23">
        <v>4.29</v>
      </c>
      <c r="FV68" s="23"/>
      <c r="FW68" s="23"/>
      <c r="FX68" s="23">
        <v>4.29</v>
      </c>
      <c r="FY68" s="23">
        <v>4.3</v>
      </c>
      <c r="FZ68" s="23">
        <v>4.36</v>
      </c>
      <c r="GA68" s="23">
        <v>4.4</v>
      </c>
      <c r="GB68" s="23">
        <v>4.39</v>
      </c>
      <c r="GC68" s="23"/>
      <c r="GD68" s="23"/>
      <c r="GE68" s="23">
        <v>4.45</v>
      </c>
      <c r="GF68" s="23">
        <v>4.44</v>
      </c>
      <c r="GG68" s="23">
        <v>4.4</v>
      </c>
      <c r="GH68" s="23">
        <v>4.35</v>
      </c>
      <c r="GI68" s="23"/>
      <c r="GJ68" s="23"/>
      <c r="GK68" s="23"/>
      <c r="GL68" s="23">
        <v>4.33</v>
      </c>
      <c r="GM68" s="23">
        <v>4.34</v>
      </c>
      <c r="GN68" s="23">
        <v>4.32</v>
      </c>
      <c r="GO68" s="23">
        <v>4.31</v>
      </c>
      <c r="GP68" s="23">
        <v>4.31</v>
      </c>
      <c r="GQ68" s="23"/>
      <c r="GR68" s="23"/>
      <c r="GS68" s="23">
        <v>4.33</v>
      </c>
      <c r="GT68" s="23">
        <v>4.37</v>
      </c>
      <c r="GU68" s="23">
        <v>4.34</v>
      </c>
      <c r="GV68" s="23">
        <v>4.34</v>
      </c>
      <c r="GW68" s="23">
        <v>4.3</v>
      </c>
      <c r="GX68" s="23"/>
      <c r="GY68" s="23"/>
      <c r="GZ68" s="23">
        <v>4.28</v>
      </c>
      <c r="HA68" s="23">
        <v>4.28</v>
      </c>
      <c r="HB68" s="23">
        <v>4.28</v>
      </c>
      <c r="HC68" s="23">
        <v>4.3</v>
      </c>
      <c r="HD68" s="23">
        <v>4.36</v>
      </c>
      <c r="HE68" s="23"/>
      <c r="HF68" s="23"/>
      <c r="HG68" s="23">
        <v>4.36</v>
      </c>
      <c r="HH68" s="23">
        <v>4.36</v>
      </c>
      <c r="HI68" s="23">
        <v>4.32</v>
      </c>
      <c r="HJ68" s="23">
        <v>4.39</v>
      </c>
      <c r="HK68" s="23">
        <v>4.34</v>
      </c>
      <c r="HL68" s="23"/>
      <c r="HM68" s="23"/>
      <c r="HN68" s="23">
        <v>4.33</v>
      </c>
      <c r="HO68" s="23">
        <v>4.34</v>
      </c>
      <c r="HP68" s="23">
        <v>4.34</v>
      </c>
      <c r="HQ68" s="23">
        <v>4.35</v>
      </c>
      <c r="HR68" s="23">
        <v>4.35</v>
      </c>
      <c r="HS68" s="23"/>
      <c r="HT68" s="23"/>
      <c r="HU68" s="23">
        <v>4.34</v>
      </c>
      <c r="HV68" s="23">
        <v>4.36</v>
      </c>
      <c r="HW68" s="23">
        <v>4.33</v>
      </c>
      <c r="HX68" s="23">
        <v>4.34</v>
      </c>
      <c r="HY68" s="23">
        <v>4.36</v>
      </c>
      <c r="HZ68" s="23"/>
      <c r="IA68" s="23"/>
      <c r="IB68" s="23">
        <v>4.34</v>
      </c>
      <c r="IC68" s="23">
        <v>4.33</v>
      </c>
      <c r="ID68" s="23">
        <v>4.31</v>
      </c>
      <c r="IE68" s="23">
        <v>4.32</v>
      </c>
      <c r="IF68" s="23">
        <v>4.36</v>
      </c>
      <c r="IG68" s="23"/>
      <c r="IH68" s="23"/>
      <c r="II68" s="23">
        <v>4.37</v>
      </c>
      <c r="IJ68" s="23">
        <v>4.38</v>
      </c>
      <c r="IK68" s="23">
        <v>4.36</v>
      </c>
      <c r="IL68" s="23">
        <v>4.34</v>
      </c>
      <c r="IM68" s="23">
        <v>4.34</v>
      </c>
      <c r="IN68" s="23"/>
      <c r="IO68" s="23"/>
      <c r="IP68" s="31"/>
      <c r="IQ68" s="31">
        <v>4.39</v>
      </c>
      <c r="IR68" s="31">
        <v>4.39</v>
      </c>
      <c r="IS68" s="31">
        <v>4.41</v>
      </c>
      <c r="IT68" s="31">
        <v>4.42</v>
      </c>
      <c r="IU68" s="31"/>
      <c r="IV68" s="31"/>
      <c r="IW68" s="31">
        <v>4.4</v>
      </c>
      <c r="IX68" s="31">
        <v>4.4</v>
      </c>
      <c r="IY68" s="31">
        <v>4.39</v>
      </c>
      <c r="IZ68" s="31">
        <v>4.41</v>
      </c>
      <c r="JA68" s="31">
        <v>4.42</v>
      </c>
      <c r="JB68" s="31"/>
      <c r="JC68" s="31"/>
      <c r="JD68" s="31">
        <v>4.51</v>
      </c>
      <c r="JE68" s="31">
        <v>4.39</v>
      </c>
      <c r="JF68" s="31">
        <v>4.38</v>
      </c>
      <c r="JG68" s="31">
        <v>4.14</v>
      </c>
      <c r="JH68" s="31">
        <v>4.14</v>
      </c>
      <c r="JI68" s="31"/>
      <c r="JJ68" s="31"/>
      <c r="JK68" s="31">
        <v>4.14</v>
      </c>
      <c r="JL68" s="31">
        <v>4.12</v>
      </c>
      <c r="JM68" s="31">
        <v>4.13</v>
      </c>
      <c r="JN68" s="31">
        <v>4.18</v>
      </c>
      <c r="JO68" s="31">
        <v>4.16</v>
      </c>
      <c r="JP68" s="31"/>
      <c r="JQ68" s="31"/>
      <c r="JR68" s="31">
        <v>4.13</v>
      </c>
      <c r="JS68" s="31">
        <v>4.24</v>
      </c>
      <c r="JT68" s="31">
        <v>4.2</v>
      </c>
      <c r="JU68" s="31">
        <v>4.2</v>
      </c>
      <c r="JV68" s="31">
        <v>4.18</v>
      </c>
      <c r="JW68" s="31"/>
      <c r="JX68" s="31"/>
      <c r="JY68" s="31">
        <v>4.15</v>
      </c>
      <c r="JZ68" s="23">
        <v>4.14</v>
      </c>
      <c r="KA68" s="23">
        <v>4.12</v>
      </c>
      <c r="KB68" s="23">
        <v>4.13</v>
      </c>
      <c r="KC68" s="23">
        <v>4.15</v>
      </c>
      <c r="KD68" s="23"/>
      <c r="KE68" s="23"/>
      <c r="KF68" s="23"/>
      <c r="KG68" s="23">
        <v>4.19</v>
      </c>
      <c r="KH68" s="23">
        <v>4.29</v>
      </c>
      <c r="KI68" s="23">
        <v>4.3</v>
      </c>
      <c r="KJ68" s="23">
        <v>4.18</v>
      </c>
      <c r="KK68" s="23"/>
      <c r="KL68" s="23"/>
      <c r="KM68" s="23">
        <v>4.16</v>
      </c>
      <c r="KN68" s="23">
        <v>4.23</v>
      </c>
      <c r="KO68" s="23">
        <v>4.21</v>
      </c>
      <c r="KP68" s="23">
        <v>4.24</v>
      </c>
      <c r="KQ68" s="23">
        <v>4.24</v>
      </c>
      <c r="KR68" s="23"/>
      <c r="KS68" s="23"/>
      <c r="KT68" s="23">
        <v>4.27</v>
      </c>
      <c r="KU68" s="23">
        <v>4.31</v>
      </c>
      <c r="KV68" s="23">
        <v>4.27</v>
      </c>
      <c r="KW68" s="23">
        <v>4.04</v>
      </c>
      <c r="KX68" s="23">
        <v>4.22</v>
      </c>
      <c r="KY68" s="23"/>
      <c r="KZ68" s="23"/>
      <c r="LA68" s="23">
        <v>4.13</v>
      </c>
      <c r="LB68" s="23">
        <v>4</v>
      </c>
      <c r="LC68" s="23">
        <v>3.91</v>
      </c>
      <c r="LD68" s="23">
        <v>3.92</v>
      </c>
      <c r="LE68" s="23">
        <v>3.93</v>
      </c>
      <c r="LF68" s="23"/>
      <c r="LG68" s="23"/>
      <c r="LH68" s="23">
        <v>3.95</v>
      </c>
      <c r="LI68" s="23"/>
      <c r="LJ68" s="23">
        <v>3.98</v>
      </c>
      <c r="LK68" s="23">
        <v>4</v>
      </c>
      <c r="LL68" s="23">
        <v>3.95</v>
      </c>
      <c r="LM68" s="23"/>
      <c r="LN68" s="23"/>
      <c r="LO68" s="23">
        <v>4</v>
      </c>
      <c r="LP68" s="23">
        <v>3.94</v>
      </c>
      <c r="LQ68" s="23">
        <v>3.91</v>
      </c>
      <c r="LR68" s="23">
        <v>3.91</v>
      </c>
      <c r="LS68" s="23">
        <v>3.93</v>
      </c>
      <c r="LT68" s="23"/>
      <c r="LU68" s="23"/>
      <c r="LV68" s="23">
        <v>3.96</v>
      </c>
      <c r="LW68" s="23">
        <v>4.01</v>
      </c>
      <c r="LX68" s="23">
        <v>4.05</v>
      </c>
      <c r="LY68" s="23"/>
      <c r="LZ68" s="23">
        <v>4.12</v>
      </c>
      <c r="MA68" s="23"/>
      <c r="MB68" s="23"/>
      <c r="MC68" s="23">
        <v>4.12</v>
      </c>
      <c r="MD68" s="23">
        <v>4.01</v>
      </c>
      <c r="ME68" s="23">
        <v>3.95</v>
      </c>
      <c r="MF68" s="23">
        <v>3.92</v>
      </c>
      <c r="MG68" s="23">
        <v>3.93</v>
      </c>
      <c r="MH68" s="23"/>
      <c r="MI68" s="23"/>
      <c r="MJ68" s="23">
        <v>3.95</v>
      </c>
      <c r="MK68" s="23">
        <v>3.93</v>
      </c>
      <c r="ML68" s="23">
        <v>3.9</v>
      </c>
      <c r="MM68" s="23">
        <v>3.66</v>
      </c>
      <c r="MN68" s="23">
        <v>3.67</v>
      </c>
      <c r="MO68" s="23"/>
      <c r="MP68" s="23"/>
      <c r="MQ68" s="23">
        <v>3.75</v>
      </c>
      <c r="MR68" s="23">
        <v>3.69</v>
      </c>
      <c r="MS68" s="23">
        <v>3.69</v>
      </c>
      <c r="MT68" s="23">
        <v>3.66</v>
      </c>
      <c r="MU68" s="23">
        <v>3.66</v>
      </c>
      <c r="MV68" s="23"/>
      <c r="MW68" s="23"/>
      <c r="MX68" s="23">
        <v>3.68</v>
      </c>
      <c r="MY68" s="23">
        <v>3.66</v>
      </c>
      <c r="MZ68" s="23">
        <v>3.66</v>
      </c>
      <c r="NA68" s="23"/>
      <c r="NB68" s="23">
        <v>3.76</v>
      </c>
      <c r="NC68" s="23"/>
      <c r="ND68" s="23"/>
      <c r="NE68" s="23">
        <v>3.77</v>
      </c>
      <c r="NF68" s="23">
        <v>3.71</v>
      </c>
      <c r="NG68" s="23">
        <v>3.87</v>
      </c>
      <c r="NH68" s="23"/>
      <c r="NI68" s="23">
        <v>3.75</v>
      </c>
      <c r="NJ68" s="23"/>
      <c r="NK68" s="23"/>
      <c r="NL68" s="23">
        <v>3.7</v>
      </c>
      <c r="NM68" s="23">
        <v>3.66</v>
      </c>
      <c r="NN68" s="23">
        <v>3.65</v>
      </c>
      <c r="NO68" s="23">
        <v>3.64</v>
      </c>
      <c r="NP68" s="23">
        <v>3.64</v>
      </c>
      <c r="NQ68" s="23"/>
      <c r="NR68" s="23"/>
      <c r="NS68" s="23">
        <v>3.64</v>
      </c>
      <c r="NT68" s="23">
        <v>3.65</v>
      </c>
      <c r="NU68" s="23">
        <v>3.64</v>
      </c>
      <c r="NV68" s="23">
        <v>3.66</v>
      </c>
      <c r="NW68" s="23">
        <v>3.65</v>
      </c>
      <c r="NX68" s="23"/>
      <c r="NY68" s="23"/>
      <c r="NZ68" s="23"/>
      <c r="OA68" s="23">
        <v>3.64</v>
      </c>
      <c r="OB68" s="23">
        <v>3.63</v>
      </c>
      <c r="OC68" s="23">
        <v>3.64</v>
      </c>
      <c r="OD68" s="23">
        <v>3.65</v>
      </c>
      <c r="OE68" s="23"/>
      <c r="OF68" s="23"/>
      <c r="OG68" s="23">
        <v>3.66</v>
      </c>
      <c r="OH68" s="23">
        <v>3.66</v>
      </c>
      <c r="OI68" s="23">
        <v>3.64</v>
      </c>
      <c r="OJ68" s="23">
        <v>3.65</v>
      </c>
      <c r="OK68" s="23">
        <v>3.68</v>
      </c>
      <c r="OL68" s="23"/>
      <c r="OM68" s="23"/>
      <c r="ON68" s="23">
        <v>3.69</v>
      </c>
      <c r="OO68" s="23">
        <v>3.69</v>
      </c>
      <c r="OP68" s="23">
        <v>3.65</v>
      </c>
      <c r="OQ68" s="23">
        <v>3.65</v>
      </c>
      <c r="OR68" s="23">
        <v>3.64</v>
      </c>
      <c r="OS68" s="23"/>
      <c r="OT68" s="23"/>
      <c r="OU68" s="23">
        <v>3.63</v>
      </c>
      <c r="OV68" s="23">
        <v>3.65</v>
      </c>
      <c r="OW68" s="23">
        <v>3.65</v>
      </c>
      <c r="OX68" s="23">
        <v>3.65</v>
      </c>
      <c r="OY68" s="23">
        <v>3.66</v>
      </c>
      <c r="OZ68" s="23"/>
      <c r="PA68" s="23"/>
      <c r="PB68" s="23"/>
      <c r="PC68" s="23">
        <v>3.71</v>
      </c>
      <c r="PD68" s="23">
        <v>3.73</v>
      </c>
      <c r="PE68" s="23">
        <v>3.67</v>
      </c>
      <c r="PF68" s="23">
        <v>3.66</v>
      </c>
      <c r="PG68" s="23"/>
      <c r="PH68" s="23"/>
      <c r="PI68" s="23">
        <v>3.66</v>
      </c>
      <c r="PJ68" s="23">
        <v>3.67</v>
      </c>
      <c r="PK68" s="23">
        <v>3.67</v>
      </c>
      <c r="PL68" s="23">
        <v>3.67</v>
      </c>
      <c r="PM68" s="23">
        <v>3.68</v>
      </c>
      <c r="PN68" s="23"/>
      <c r="PO68" s="23"/>
      <c r="PP68" s="23">
        <v>3.71</v>
      </c>
      <c r="PQ68" s="23">
        <v>3.7</v>
      </c>
      <c r="PR68" s="23">
        <v>3.67</v>
      </c>
      <c r="PS68" s="23">
        <v>3.66</v>
      </c>
      <c r="PT68" s="23">
        <v>3.65</v>
      </c>
      <c r="PU68" s="23"/>
      <c r="PV68" s="23"/>
      <c r="PW68" s="23">
        <v>3.65</v>
      </c>
      <c r="PX68" s="23">
        <v>3.64</v>
      </c>
      <c r="PY68" s="23">
        <v>3.64</v>
      </c>
      <c r="PZ68" s="23">
        <v>3.65</v>
      </c>
      <c r="QA68" s="23">
        <v>3.65</v>
      </c>
      <c r="QB68" s="23"/>
      <c r="QC68" s="23"/>
      <c r="QD68" s="23">
        <v>3.7</v>
      </c>
      <c r="QE68" s="23">
        <v>3.65</v>
      </c>
      <c r="QF68" s="23">
        <v>3.62</v>
      </c>
      <c r="QG68" s="23">
        <v>3.62</v>
      </c>
      <c r="QH68" s="23">
        <v>3.62</v>
      </c>
      <c r="QI68" s="23"/>
      <c r="QJ68" s="23"/>
      <c r="QK68" s="23">
        <v>3.62</v>
      </c>
      <c r="QL68" s="23">
        <v>3.63</v>
      </c>
      <c r="QM68" s="23">
        <v>3.64</v>
      </c>
      <c r="QN68" s="23">
        <v>3.65</v>
      </c>
      <c r="QO68" s="23">
        <v>3.63</v>
      </c>
      <c r="QP68" s="23"/>
      <c r="QQ68" s="23"/>
      <c r="QR68" s="23">
        <v>3.63</v>
      </c>
      <c r="QS68" s="23">
        <v>3.68</v>
      </c>
      <c r="QT68" s="23">
        <v>3.65</v>
      </c>
      <c r="QU68" s="23">
        <v>3.66</v>
      </c>
      <c r="QV68" s="23"/>
      <c r="QW68" s="23"/>
      <c r="QX68" s="23"/>
      <c r="QY68" s="23">
        <v>3.65</v>
      </c>
      <c r="QZ68" s="23">
        <v>3.62</v>
      </c>
      <c r="RA68" s="23">
        <v>3.59</v>
      </c>
      <c r="RB68" s="23">
        <v>3.57</v>
      </c>
      <c r="RC68" s="23">
        <v>3.61</v>
      </c>
      <c r="RD68" s="23"/>
      <c r="RE68" s="23"/>
      <c r="RF68" s="23">
        <v>3.63</v>
      </c>
      <c r="RG68" s="23">
        <v>3.66</v>
      </c>
      <c r="RH68" s="23">
        <v>3.72</v>
      </c>
      <c r="RI68" s="23">
        <v>3.67</v>
      </c>
      <c r="RJ68" s="23">
        <v>3.65</v>
      </c>
      <c r="RK68" s="23"/>
      <c r="RL68" s="23"/>
      <c r="RM68" s="23">
        <v>3.63</v>
      </c>
      <c r="RN68" s="23">
        <v>3.63</v>
      </c>
      <c r="RO68" s="23">
        <v>3.64</v>
      </c>
      <c r="RP68" s="23">
        <v>3.65</v>
      </c>
      <c r="RQ68" s="23">
        <v>3.66</v>
      </c>
      <c r="RR68" s="23"/>
      <c r="RS68" s="23"/>
      <c r="RT68" s="23">
        <v>3.66</v>
      </c>
      <c r="RU68" s="23">
        <v>3.64</v>
      </c>
      <c r="RV68" s="23">
        <v>3.63</v>
      </c>
      <c r="RW68" s="23">
        <v>3.66</v>
      </c>
      <c r="RX68" s="23">
        <v>3.64</v>
      </c>
      <c r="RY68" s="23"/>
      <c r="RZ68" s="23"/>
      <c r="SA68" s="23">
        <v>3.63</v>
      </c>
      <c r="SB68" s="23">
        <v>3.62</v>
      </c>
      <c r="SC68" s="23">
        <v>3.61</v>
      </c>
      <c r="SD68" s="23">
        <v>3.6</v>
      </c>
      <c r="SE68" s="23">
        <v>3.6</v>
      </c>
      <c r="SF68" s="23"/>
      <c r="SG68" s="23"/>
      <c r="SH68" s="23">
        <v>3.6</v>
      </c>
      <c r="SI68" s="23">
        <v>3.6</v>
      </c>
      <c r="SJ68" s="23">
        <v>3.59</v>
      </c>
      <c r="SK68" s="23">
        <v>3.56</v>
      </c>
      <c r="SL68" s="23">
        <v>3.55</v>
      </c>
      <c r="SM68" s="23"/>
      <c r="SN68" s="23"/>
      <c r="SO68" s="23">
        <v>3.53</v>
      </c>
      <c r="SP68" s="23">
        <v>3.51</v>
      </c>
      <c r="SQ68" s="23">
        <v>3.5</v>
      </c>
      <c r="SR68" s="23">
        <v>3.51</v>
      </c>
      <c r="SS68" s="23">
        <v>3.55</v>
      </c>
      <c r="ST68" s="23"/>
      <c r="SU68" s="23"/>
      <c r="SV68" s="23"/>
      <c r="SW68" s="23">
        <v>3.63</v>
      </c>
      <c r="SX68" s="23">
        <v>3.63</v>
      </c>
      <c r="SY68" s="23">
        <v>3.62</v>
      </c>
      <c r="SZ68" s="23">
        <v>3.63</v>
      </c>
      <c r="TA68" s="23"/>
      <c r="TB68" s="23"/>
      <c r="TC68" s="23">
        <v>3.65</v>
      </c>
      <c r="TD68" s="23">
        <v>3.63</v>
      </c>
      <c r="TE68" s="23">
        <v>3.61</v>
      </c>
      <c r="TF68" s="23">
        <v>3.62</v>
      </c>
      <c r="TG68" s="23">
        <v>3.63</v>
      </c>
      <c r="TH68" s="23"/>
      <c r="TI68" s="23"/>
      <c r="TJ68" s="23">
        <v>3.63</v>
      </c>
      <c r="TK68" s="23">
        <v>3.6</v>
      </c>
      <c r="TL68" s="23">
        <v>3.59</v>
      </c>
      <c r="TM68" s="23">
        <v>3.6</v>
      </c>
      <c r="TN68" s="23">
        <v>3.65</v>
      </c>
      <c r="TO68" s="23"/>
      <c r="TP68" s="23"/>
      <c r="TQ68" s="23">
        <v>3.69</v>
      </c>
      <c r="TR68" s="23">
        <v>3.63</v>
      </c>
      <c r="TS68" s="23">
        <v>3.63</v>
      </c>
      <c r="TT68" s="23">
        <v>3.62</v>
      </c>
      <c r="TU68" s="23"/>
      <c r="TV68" s="23"/>
      <c r="TW68" s="23"/>
      <c r="TX68" s="23">
        <v>3.61</v>
      </c>
      <c r="TY68" s="23">
        <v>3.62</v>
      </c>
      <c r="TZ68" s="23">
        <v>3.62</v>
      </c>
      <c r="UA68" s="23">
        <v>3.64</v>
      </c>
      <c r="UB68" s="23">
        <v>3.62</v>
      </c>
      <c r="UC68" s="23"/>
      <c r="UD68" s="23"/>
      <c r="UE68" s="23">
        <v>3.62</v>
      </c>
      <c r="UF68" s="23">
        <v>3.68</v>
      </c>
      <c r="UG68" s="23">
        <v>3.66</v>
      </c>
      <c r="UH68" s="23"/>
      <c r="UI68" s="23"/>
      <c r="UJ68" s="23"/>
      <c r="UK68" s="23"/>
      <c r="UL68" s="23"/>
      <c r="UM68" s="23"/>
      <c r="UN68" s="23"/>
      <c r="UO68" s="23"/>
      <c r="UP68" s="23"/>
      <c r="UQ68" s="23"/>
      <c r="UR68" s="23"/>
      <c r="US68" s="23"/>
      <c r="UT68" s="23"/>
    </row>
    <row r="69" ht="16.5" customHeight="1" spans="4:566">
      <c r="D69" s="19" t="s">
        <v>300</v>
      </c>
      <c r="E69" s="21" t="s">
        <v>301</v>
      </c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>
        <v>50.9</v>
      </c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>
        <v>50.3</v>
      </c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>
        <v>49</v>
      </c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3"/>
      <c r="DV69" s="23">
        <v>48.7</v>
      </c>
      <c r="DW69" s="23"/>
      <c r="DX69" s="23"/>
      <c r="DY69" s="23"/>
      <c r="DZ69" s="23"/>
      <c r="EA69" s="23"/>
      <c r="EB69" s="23"/>
      <c r="EC69" s="23"/>
      <c r="ED69" s="23"/>
      <c r="EE69" s="23"/>
      <c r="EF69" s="23"/>
      <c r="EG69" s="23"/>
      <c r="EH69" s="23"/>
      <c r="EI69" s="23"/>
      <c r="EJ69" s="23"/>
      <c r="EK69" s="23"/>
      <c r="EL69" s="23"/>
      <c r="EM69" s="23"/>
      <c r="EN69" s="23"/>
      <c r="EO69" s="23"/>
      <c r="EP69" s="23"/>
      <c r="EQ69" s="23"/>
      <c r="ER69" s="23"/>
      <c r="ES69" s="23"/>
      <c r="ET69" s="23"/>
      <c r="EU69" s="23"/>
      <c r="EV69" s="23"/>
      <c r="EW69" s="23"/>
      <c r="EX69" s="23"/>
      <c r="EY69" s="23"/>
      <c r="EZ69" s="23"/>
      <c r="FA69" s="23">
        <v>48.5</v>
      </c>
      <c r="FB69" s="23"/>
      <c r="FC69" s="23"/>
      <c r="FD69" s="23"/>
      <c r="FE69" s="23"/>
      <c r="FF69" s="23"/>
      <c r="FG69" s="23"/>
      <c r="FH69" s="23"/>
      <c r="FI69" s="23"/>
      <c r="FJ69" s="23"/>
      <c r="FK69" s="23"/>
      <c r="FL69" s="23"/>
      <c r="FM69" s="23"/>
      <c r="FN69" s="23"/>
      <c r="FO69" s="23"/>
      <c r="FP69" s="23"/>
      <c r="FQ69" s="23"/>
      <c r="FR69" s="23"/>
      <c r="FS69" s="23"/>
      <c r="FT69" s="23"/>
      <c r="FU69" s="23"/>
      <c r="FV69" s="23"/>
      <c r="FW69" s="23"/>
      <c r="FX69" s="23"/>
      <c r="FY69" s="23"/>
      <c r="FZ69" s="23"/>
      <c r="GA69" s="23"/>
      <c r="GB69" s="23"/>
      <c r="GC69" s="23"/>
      <c r="GD69" s="23"/>
      <c r="GE69" s="23">
        <v>49</v>
      </c>
      <c r="GF69" s="23"/>
      <c r="GG69" s="23"/>
      <c r="GH69" s="23"/>
      <c r="GI69" s="23"/>
      <c r="GJ69" s="23"/>
      <c r="GK69" s="23"/>
      <c r="GL69" s="23"/>
      <c r="GM69" s="23"/>
      <c r="GN69" s="23"/>
      <c r="GO69" s="23"/>
      <c r="GP69" s="23"/>
      <c r="GQ69" s="23"/>
      <c r="GR69" s="23"/>
      <c r="GS69" s="23"/>
      <c r="GT69" s="23"/>
      <c r="GU69" s="23"/>
      <c r="GV69" s="23"/>
      <c r="GW69" s="23"/>
      <c r="GX69" s="23"/>
      <c r="GY69" s="23"/>
      <c r="GZ69" s="23"/>
      <c r="HA69" s="23"/>
      <c r="HB69" s="23"/>
      <c r="HC69" s="23"/>
      <c r="HD69" s="23"/>
      <c r="HE69" s="23"/>
      <c r="HF69" s="23"/>
      <c r="HG69" s="23"/>
      <c r="HH69" s="23"/>
      <c r="HI69" s="23"/>
      <c r="HJ69" s="23">
        <v>48</v>
      </c>
      <c r="HK69" s="23"/>
      <c r="HL69" s="23"/>
      <c r="HM69" s="23"/>
      <c r="HN69" s="23"/>
      <c r="HO69" s="23"/>
      <c r="HP69" s="23"/>
      <c r="HQ69" s="23"/>
      <c r="HR69" s="23"/>
      <c r="HS69" s="23"/>
      <c r="HT69" s="23"/>
      <c r="HU69" s="23"/>
      <c r="HV69" s="23"/>
      <c r="HW69" s="23"/>
      <c r="HX69" s="23"/>
      <c r="HY69" s="23"/>
      <c r="HZ69" s="23"/>
      <c r="IA69" s="23"/>
      <c r="IB69" s="23"/>
      <c r="IC69" s="23"/>
      <c r="ID69" s="23"/>
      <c r="IE69" s="23"/>
      <c r="IF69" s="23"/>
      <c r="IG69" s="23"/>
      <c r="IH69" s="23"/>
      <c r="II69" s="23"/>
      <c r="IJ69" s="23"/>
      <c r="IK69" s="23"/>
      <c r="IL69" s="23"/>
      <c r="IM69" s="23"/>
      <c r="IN69" s="23"/>
      <c r="IO69" s="23">
        <v>48.7</v>
      </c>
      <c r="IP69" s="31"/>
      <c r="IQ69" s="31"/>
      <c r="IR69" s="31"/>
      <c r="IS69" s="31"/>
      <c r="IT69" s="31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  <c r="JN69" s="31"/>
      <c r="JO69" s="31"/>
      <c r="JP69" s="31"/>
      <c r="JQ69" s="31"/>
      <c r="JR69" s="31"/>
      <c r="JS69" s="31">
        <v>49.1</v>
      </c>
      <c r="JT69" s="31"/>
      <c r="JU69" s="31"/>
      <c r="JV69" s="31"/>
      <c r="JW69" s="31"/>
      <c r="JX69" s="31"/>
      <c r="JY69" s="31"/>
      <c r="JZ69" s="23"/>
      <c r="KA69" s="23"/>
      <c r="KB69" s="23"/>
      <c r="KC69" s="23"/>
      <c r="KD69" s="23"/>
      <c r="KE69" s="23"/>
      <c r="KF69" s="23"/>
      <c r="KG69" s="23"/>
      <c r="KH69" s="23"/>
      <c r="KI69" s="23"/>
      <c r="KJ69" s="23"/>
      <c r="KK69" s="23"/>
      <c r="KL69" s="23"/>
      <c r="KM69" s="23"/>
      <c r="KN69" s="23"/>
      <c r="KO69" s="23"/>
      <c r="KP69" s="23"/>
      <c r="KQ69" s="23"/>
      <c r="KR69" s="23"/>
      <c r="KS69" s="23"/>
      <c r="KT69" s="23"/>
      <c r="KU69" s="23"/>
      <c r="KV69" s="23"/>
      <c r="KW69" s="23"/>
      <c r="KX69" s="23">
        <v>48.7</v>
      </c>
      <c r="KY69" s="23"/>
      <c r="KZ69" s="23"/>
      <c r="LA69" s="23"/>
      <c r="LB69" s="23"/>
      <c r="LC69" s="23"/>
      <c r="LD69" s="23"/>
      <c r="LE69" s="23"/>
      <c r="LF69" s="23"/>
      <c r="LG69" s="23"/>
      <c r="LH69" s="23"/>
      <c r="LI69" s="23"/>
      <c r="LJ69" s="23"/>
      <c r="LK69" s="23"/>
      <c r="LL69" s="23"/>
      <c r="LM69" s="23"/>
      <c r="LN69" s="23"/>
      <c r="LO69" s="23"/>
      <c r="LP69" s="23"/>
      <c r="LQ69" s="23"/>
      <c r="LR69" s="23"/>
      <c r="LS69" s="23"/>
      <c r="LT69" s="23"/>
      <c r="LU69" s="23"/>
      <c r="LV69" s="23"/>
      <c r="LW69" s="23"/>
      <c r="LX69" s="23"/>
      <c r="LY69" s="23"/>
      <c r="LZ69" s="23"/>
      <c r="MA69" s="23"/>
      <c r="MB69" s="23">
        <v>48.2</v>
      </c>
      <c r="MC69" s="23"/>
      <c r="MD69" s="23"/>
      <c r="ME69" s="23"/>
      <c r="MF69" s="23"/>
      <c r="MG69" s="23"/>
      <c r="MH69" s="23"/>
      <c r="MI69" s="23"/>
      <c r="MJ69" s="23"/>
      <c r="MK69" s="23"/>
      <c r="ML69" s="23"/>
      <c r="MM69" s="23"/>
      <c r="MN69" s="23"/>
      <c r="MO69" s="23"/>
      <c r="MP69" s="23"/>
      <c r="MQ69" s="23"/>
      <c r="MR69" s="23"/>
      <c r="MS69" s="23"/>
      <c r="MT69" s="23"/>
      <c r="MU69" s="23"/>
      <c r="MV69" s="23"/>
      <c r="MW69" s="23"/>
      <c r="MX69" s="23"/>
      <c r="MY69" s="23"/>
      <c r="MZ69" s="23"/>
      <c r="NA69" s="23"/>
      <c r="NB69" s="23"/>
      <c r="NC69" s="23"/>
      <c r="ND69" s="23"/>
      <c r="NE69" s="23"/>
      <c r="NF69" s="23"/>
      <c r="NG69" s="23">
        <v>47.9</v>
      </c>
      <c r="NH69" s="23"/>
      <c r="NI69" s="23"/>
      <c r="NJ69" s="23"/>
      <c r="NK69" s="23"/>
      <c r="NL69" s="23"/>
      <c r="NM69" s="23"/>
      <c r="NN69" s="23"/>
      <c r="NO69" s="23"/>
      <c r="NP69" s="23"/>
      <c r="NQ69" s="23"/>
      <c r="NR69" s="23"/>
      <c r="NS69" s="23"/>
      <c r="NT69" s="23"/>
      <c r="NU69" s="23"/>
      <c r="NV69" s="23"/>
      <c r="NW69" s="23"/>
      <c r="NX69" s="23"/>
      <c r="NY69" s="23"/>
      <c r="NZ69" s="23"/>
      <c r="OA69" s="23"/>
      <c r="OB69" s="23"/>
      <c r="OC69" s="23"/>
      <c r="OD69" s="23"/>
      <c r="OE69" s="23"/>
      <c r="OF69" s="23"/>
      <c r="OG69" s="23"/>
      <c r="OH69" s="23"/>
      <c r="OI69" s="23"/>
      <c r="OJ69" s="23"/>
      <c r="OK69" s="23"/>
      <c r="OL69" s="23">
        <v>52.6</v>
      </c>
      <c r="OM69" s="23"/>
      <c r="ON69" s="23"/>
      <c r="OO69" s="23"/>
      <c r="OP69" s="23"/>
      <c r="OQ69" s="23"/>
      <c r="OR69" s="23"/>
      <c r="OS69" s="23"/>
      <c r="OT69" s="23"/>
      <c r="OU69" s="23"/>
      <c r="OV69" s="23"/>
      <c r="OW69" s="23"/>
      <c r="OX69" s="23"/>
      <c r="OY69" s="23"/>
      <c r="OZ69" s="23"/>
      <c r="PA69" s="23"/>
      <c r="PB69" s="23"/>
      <c r="PC69" s="23"/>
      <c r="PD69" s="23"/>
      <c r="PE69" s="23"/>
      <c r="PF69" s="23"/>
      <c r="PG69" s="23"/>
      <c r="PH69" s="23"/>
      <c r="PI69" s="23"/>
      <c r="PJ69" s="23"/>
      <c r="PK69" s="23"/>
      <c r="PL69" s="23"/>
      <c r="PM69" s="23"/>
      <c r="PN69" s="23">
        <v>52.4</v>
      </c>
      <c r="PO69" s="23"/>
      <c r="PP69" s="23"/>
      <c r="PQ69" s="23"/>
      <c r="PR69" s="23"/>
      <c r="PS69" s="23"/>
      <c r="PT69" s="23"/>
      <c r="PU69" s="23"/>
      <c r="PV69" s="23"/>
      <c r="PW69" s="23"/>
      <c r="PX69" s="23"/>
      <c r="PY69" s="23"/>
      <c r="PZ69" s="23"/>
      <c r="QA69" s="23"/>
      <c r="QB69" s="23"/>
      <c r="QC69" s="23"/>
      <c r="QD69" s="23"/>
      <c r="QE69" s="23"/>
      <c r="QF69" s="23"/>
      <c r="QG69" s="23"/>
      <c r="QH69" s="23"/>
      <c r="QI69" s="23"/>
      <c r="QJ69" s="23"/>
      <c r="QK69" s="23"/>
      <c r="QL69" s="23"/>
      <c r="QM69" s="23"/>
      <c r="QN69" s="23"/>
      <c r="QO69" s="23"/>
      <c r="QP69" s="23"/>
      <c r="QQ69" s="23"/>
      <c r="QR69" s="23"/>
      <c r="QS69" s="23">
        <v>52.7</v>
      </c>
      <c r="QT69" s="23"/>
      <c r="QU69" s="23"/>
      <c r="QV69" s="23"/>
      <c r="QW69" s="23"/>
      <c r="QX69" s="23"/>
      <c r="QY69" s="23"/>
      <c r="QZ69" s="23"/>
      <c r="RA69" s="23"/>
      <c r="RB69" s="23"/>
      <c r="RC69" s="23"/>
      <c r="RD69" s="23"/>
      <c r="RE69" s="23"/>
      <c r="RF69" s="23"/>
      <c r="RG69" s="23"/>
      <c r="RH69" s="23"/>
      <c r="RI69" s="23"/>
      <c r="RJ69" s="23"/>
      <c r="RK69" s="23"/>
      <c r="RL69" s="23"/>
      <c r="RM69" s="23"/>
      <c r="RN69" s="23"/>
      <c r="RO69" s="23"/>
      <c r="RP69" s="23"/>
      <c r="RQ69" s="23"/>
      <c r="RR69" s="23"/>
      <c r="RS69" s="23"/>
      <c r="RT69" s="23"/>
      <c r="RU69" s="23"/>
      <c r="RV69" s="23"/>
      <c r="RW69" s="23">
        <v>52.7</v>
      </c>
      <c r="RX69" s="23"/>
      <c r="RY69" s="23"/>
      <c r="RZ69" s="23"/>
      <c r="SA69" s="23"/>
      <c r="SB69" s="23"/>
      <c r="SC69" s="23"/>
      <c r="SD69" s="23"/>
      <c r="SE69" s="23"/>
      <c r="SF69" s="23"/>
      <c r="SG69" s="23"/>
      <c r="SH69" s="23"/>
      <c r="SI69" s="23"/>
      <c r="SJ69" s="23"/>
      <c r="SK69" s="23"/>
      <c r="SL69" s="23"/>
      <c r="SM69" s="23"/>
      <c r="SN69" s="23"/>
      <c r="SO69" s="23"/>
      <c r="SP69" s="23"/>
      <c r="SQ69" s="23"/>
      <c r="SR69" s="23"/>
      <c r="SS69" s="23"/>
      <c r="ST69" s="23"/>
      <c r="SU69" s="23"/>
      <c r="SV69" s="23"/>
      <c r="SW69" s="23"/>
      <c r="SX69" s="23"/>
      <c r="SY69" s="23"/>
      <c r="SZ69" s="23"/>
      <c r="TA69" s="23"/>
      <c r="TB69" s="23">
        <v>54</v>
      </c>
      <c r="TC69" s="23"/>
      <c r="TD69" s="23"/>
      <c r="TE69" s="23"/>
      <c r="TF69" s="23"/>
      <c r="TG69" s="23"/>
      <c r="TH69" s="23"/>
      <c r="TI69" s="23"/>
      <c r="TJ69" s="23"/>
      <c r="TK69" s="23"/>
      <c r="TL69" s="23"/>
      <c r="TM69" s="23"/>
      <c r="TN69" s="23"/>
      <c r="TO69" s="23"/>
      <c r="TP69" s="23"/>
      <c r="TQ69" s="23"/>
      <c r="TR69" s="23"/>
      <c r="TS69" s="23"/>
      <c r="TT69" s="23"/>
      <c r="TU69" s="23"/>
      <c r="TV69" s="23"/>
      <c r="TW69" s="23"/>
      <c r="TX69" s="23"/>
      <c r="TY69" s="23"/>
      <c r="TZ69" s="23"/>
      <c r="UA69" s="23"/>
      <c r="UB69" s="23"/>
      <c r="UC69" s="23"/>
      <c r="UD69" s="23"/>
      <c r="UE69" s="23"/>
      <c r="UF69" s="23">
        <v>53.3</v>
      </c>
      <c r="UG69" s="23"/>
      <c r="UH69" s="23"/>
      <c r="UI69" s="23"/>
      <c r="UJ69" s="23"/>
      <c r="UK69" s="23"/>
      <c r="UL69" s="23"/>
      <c r="UM69" s="23"/>
      <c r="UN69" s="23"/>
      <c r="UO69" s="23"/>
      <c r="UP69" s="23"/>
      <c r="UQ69" s="23"/>
      <c r="UR69" s="23"/>
      <c r="US69" s="23"/>
      <c r="UT69" s="23"/>
    </row>
    <row r="70" ht="16.5" customHeight="1" spans="4:566">
      <c r="D70" s="19" t="s">
        <v>302</v>
      </c>
      <c r="E70" s="21" t="s">
        <v>303</v>
      </c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>
        <v>-0.837208</v>
      </c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>
        <v>0.044288</v>
      </c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  <c r="BZ70" s="23"/>
      <c r="CA70" s="23"/>
      <c r="CB70" s="23"/>
      <c r="CC70" s="23"/>
      <c r="CD70" s="23"/>
      <c r="CE70" s="23"/>
      <c r="CF70" s="23"/>
      <c r="CG70" s="23"/>
      <c r="CH70" s="23"/>
      <c r="CI70" s="23"/>
      <c r="CJ70" s="23"/>
      <c r="CK70" s="23"/>
      <c r="CL70" s="23"/>
      <c r="CM70" s="23"/>
      <c r="CN70" s="23"/>
      <c r="CO70" s="23"/>
      <c r="CP70" s="23"/>
      <c r="CQ70" s="23"/>
      <c r="CR70" s="23">
        <v>1.653234</v>
      </c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3"/>
      <c r="DV70" s="23">
        <v>-0.124008</v>
      </c>
      <c r="DW70" s="23"/>
      <c r="DX70" s="23"/>
      <c r="DY70" s="23"/>
      <c r="DZ70" s="23"/>
      <c r="EA70" s="23"/>
      <c r="EB70" s="23"/>
      <c r="EC70" s="23"/>
      <c r="ED70" s="23"/>
      <c r="EE70" s="23"/>
      <c r="EF70" s="23"/>
      <c r="EG70" s="23"/>
      <c r="EH70" s="23"/>
      <c r="EI70" s="23"/>
      <c r="EJ70" s="23"/>
      <c r="EK70" s="23"/>
      <c r="EL70" s="23"/>
      <c r="EM70" s="23"/>
      <c r="EN70" s="23"/>
      <c r="EO70" s="23"/>
      <c r="EP70" s="23"/>
      <c r="EQ70" s="23"/>
      <c r="ER70" s="23"/>
      <c r="ES70" s="23"/>
      <c r="ET70" s="23"/>
      <c r="EU70" s="23"/>
      <c r="EV70" s="23"/>
      <c r="EW70" s="23"/>
      <c r="EX70" s="23"/>
      <c r="EY70" s="23"/>
      <c r="EZ70" s="23"/>
      <c r="FA70" s="23">
        <v>-1.089914</v>
      </c>
      <c r="FB70" s="23"/>
      <c r="FC70" s="23"/>
      <c r="FD70" s="23"/>
      <c r="FE70" s="23"/>
      <c r="FF70" s="23"/>
      <c r="FG70" s="23"/>
      <c r="FH70" s="23"/>
      <c r="FI70" s="23"/>
      <c r="FJ70" s="23"/>
      <c r="FK70" s="23"/>
      <c r="FL70" s="23"/>
      <c r="FM70" s="23"/>
      <c r="FN70" s="23"/>
      <c r="FO70" s="23"/>
      <c r="FP70" s="23"/>
      <c r="FQ70" s="23"/>
      <c r="FR70" s="23"/>
      <c r="FS70" s="23"/>
      <c r="FT70" s="23"/>
      <c r="FU70" s="23"/>
      <c r="FV70" s="23"/>
      <c r="FW70" s="23"/>
      <c r="FX70" s="23"/>
      <c r="FY70" s="23"/>
      <c r="FZ70" s="23"/>
      <c r="GA70" s="23"/>
      <c r="GB70" s="23"/>
      <c r="GC70" s="23"/>
      <c r="GD70" s="23"/>
      <c r="GE70" s="23">
        <v>1.184632</v>
      </c>
      <c r="GF70" s="23"/>
      <c r="GG70" s="23"/>
      <c r="GH70" s="23"/>
      <c r="GI70" s="23"/>
      <c r="GJ70" s="23"/>
      <c r="GK70" s="23"/>
      <c r="GL70" s="23"/>
      <c r="GM70" s="23"/>
      <c r="GN70" s="23"/>
      <c r="GO70" s="23"/>
      <c r="GP70" s="23"/>
      <c r="GQ70" s="23"/>
      <c r="GR70" s="23"/>
      <c r="GS70" s="23"/>
      <c r="GT70" s="23"/>
      <c r="GU70" s="23"/>
      <c r="GV70" s="23"/>
      <c r="GW70" s="23"/>
      <c r="GX70" s="23"/>
      <c r="GY70" s="23"/>
      <c r="GZ70" s="23"/>
      <c r="HA70" s="23"/>
      <c r="HB70" s="23"/>
      <c r="HC70" s="23"/>
      <c r="HD70" s="23"/>
      <c r="HE70" s="23"/>
      <c r="HF70" s="23"/>
      <c r="HG70" s="23"/>
      <c r="HH70" s="23"/>
      <c r="HI70" s="23"/>
      <c r="HJ70" s="23">
        <v>0.64921</v>
      </c>
      <c r="HK70" s="23"/>
      <c r="HL70" s="23"/>
      <c r="HM70" s="23"/>
      <c r="HN70" s="23"/>
      <c r="HO70" s="23"/>
      <c r="HP70" s="23"/>
      <c r="HQ70" s="23"/>
      <c r="HR70" s="23"/>
      <c r="HS70" s="23"/>
      <c r="HT70" s="23"/>
      <c r="HU70" s="23"/>
      <c r="HV70" s="23"/>
      <c r="HW70" s="23"/>
      <c r="HX70" s="23"/>
      <c r="HY70" s="23"/>
      <c r="HZ70" s="23"/>
      <c r="IA70" s="23"/>
      <c r="IB70" s="23"/>
      <c r="IC70" s="23"/>
      <c r="ID70" s="23"/>
      <c r="IE70" s="23"/>
      <c r="IF70" s="23"/>
      <c r="IG70" s="23"/>
      <c r="IH70" s="23"/>
      <c r="II70" s="23"/>
      <c r="IJ70" s="23"/>
      <c r="IK70" s="23"/>
      <c r="IL70" s="23"/>
      <c r="IM70" s="23"/>
      <c r="IN70" s="23"/>
      <c r="IO70" s="23">
        <v>0.545946</v>
      </c>
      <c r="IP70" s="31"/>
      <c r="IQ70" s="31"/>
      <c r="IR70" s="31"/>
      <c r="IS70" s="31"/>
      <c r="IT70" s="31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  <c r="JJ70" s="31"/>
      <c r="JK70" s="31"/>
      <c r="JL70" s="31"/>
      <c r="JM70" s="31"/>
      <c r="JN70" s="31"/>
      <c r="JO70" s="31"/>
      <c r="JP70" s="31"/>
      <c r="JQ70" s="31"/>
      <c r="JR70" s="31"/>
      <c r="JS70" s="31">
        <v>0.067241</v>
      </c>
      <c r="JT70" s="31"/>
      <c r="JU70" s="31"/>
      <c r="JV70" s="31"/>
      <c r="JW70" s="31"/>
      <c r="JX70" s="31"/>
      <c r="JY70" s="31"/>
      <c r="JZ70" s="23"/>
      <c r="KA70" s="23"/>
      <c r="KB70" s="23"/>
      <c r="KC70" s="23"/>
      <c r="KD70" s="23"/>
      <c r="KE70" s="23"/>
      <c r="KF70" s="23"/>
      <c r="KG70" s="23"/>
      <c r="KH70" s="23"/>
      <c r="KI70" s="23"/>
      <c r="KJ70" s="23"/>
      <c r="KK70" s="23"/>
      <c r="KL70" s="23"/>
      <c r="KM70" s="23"/>
      <c r="KN70" s="23"/>
      <c r="KO70" s="23"/>
      <c r="KP70" s="23"/>
      <c r="KQ70" s="23"/>
      <c r="KR70" s="23"/>
      <c r="KS70" s="23"/>
      <c r="KT70" s="23"/>
      <c r="KU70" s="23"/>
      <c r="KV70" s="23"/>
      <c r="KW70" s="23"/>
      <c r="KX70" s="23">
        <v>-0.155833</v>
      </c>
      <c r="KY70" s="23"/>
      <c r="KZ70" s="23"/>
      <c r="LA70" s="23"/>
      <c r="LB70" s="23"/>
      <c r="LC70" s="23"/>
      <c r="LD70" s="23"/>
      <c r="LE70" s="23"/>
      <c r="LF70" s="23"/>
      <c r="LG70" s="23"/>
      <c r="LH70" s="23"/>
      <c r="LI70" s="23"/>
      <c r="LJ70" s="23"/>
      <c r="LK70" s="23"/>
      <c r="LL70" s="23"/>
      <c r="LM70" s="23"/>
      <c r="LN70" s="23"/>
      <c r="LO70" s="23"/>
      <c r="LP70" s="23"/>
      <c r="LQ70" s="23"/>
      <c r="LR70" s="23"/>
      <c r="LS70" s="23"/>
      <c r="LT70" s="23"/>
      <c r="LU70" s="23"/>
      <c r="LV70" s="23"/>
      <c r="LW70" s="23"/>
      <c r="LX70" s="23"/>
      <c r="LY70" s="23"/>
      <c r="LZ70" s="23"/>
      <c r="MA70" s="23"/>
      <c r="MB70" s="23">
        <v>0.501607</v>
      </c>
      <c r="MC70" s="23"/>
      <c r="MD70" s="23"/>
      <c r="ME70" s="23"/>
      <c r="MF70" s="23"/>
      <c r="MG70" s="23"/>
      <c r="MH70" s="23"/>
      <c r="MI70" s="23"/>
      <c r="MJ70" s="23"/>
      <c r="MK70" s="23"/>
      <c r="ML70" s="23"/>
      <c r="MM70" s="23"/>
      <c r="MN70" s="23"/>
      <c r="MO70" s="23"/>
      <c r="MP70" s="23"/>
      <c r="MQ70" s="23"/>
      <c r="MR70" s="23"/>
      <c r="MS70" s="23"/>
      <c r="MT70" s="23"/>
      <c r="MU70" s="23"/>
      <c r="MV70" s="23"/>
      <c r="MW70" s="23"/>
      <c r="MX70" s="23"/>
      <c r="MY70" s="23"/>
      <c r="MZ70" s="23"/>
      <c r="NA70" s="23"/>
      <c r="NB70" s="23"/>
      <c r="NC70" s="23"/>
      <c r="ND70" s="23"/>
      <c r="NE70" s="23"/>
      <c r="NF70" s="23"/>
      <c r="NG70" s="23">
        <v>-0.000136</v>
      </c>
      <c r="NH70" s="23"/>
      <c r="NI70" s="23"/>
      <c r="NJ70" s="23"/>
      <c r="NK70" s="23"/>
      <c r="NL70" s="23"/>
      <c r="NM70" s="23"/>
      <c r="NN70" s="23"/>
      <c r="NO70" s="23"/>
      <c r="NP70" s="23"/>
      <c r="NQ70" s="23"/>
      <c r="NR70" s="23"/>
      <c r="NS70" s="23"/>
      <c r="NT70" s="23"/>
      <c r="NU70" s="23"/>
      <c r="NV70" s="23"/>
      <c r="NW70" s="23"/>
      <c r="NX70" s="23"/>
      <c r="NY70" s="23"/>
      <c r="NZ70" s="23"/>
      <c r="OA70" s="23"/>
      <c r="OB70" s="23"/>
      <c r="OC70" s="23"/>
      <c r="OD70" s="23"/>
      <c r="OE70" s="23"/>
      <c r="OF70" s="23"/>
      <c r="OG70" s="23"/>
      <c r="OH70" s="23"/>
      <c r="OI70" s="23"/>
      <c r="OJ70" s="23"/>
      <c r="OK70" s="23"/>
      <c r="OL70" s="23">
        <v>-0.029127</v>
      </c>
      <c r="OM70" s="23"/>
      <c r="ON70" s="23"/>
      <c r="OO70" s="23"/>
      <c r="OP70" s="23"/>
      <c r="OQ70" s="23"/>
      <c r="OR70" s="23"/>
      <c r="OS70" s="23"/>
      <c r="OT70" s="23"/>
      <c r="OU70" s="23"/>
      <c r="OV70" s="23"/>
      <c r="OW70" s="23"/>
      <c r="OX70" s="23"/>
      <c r="OY70" s="23"/>
      <c r="OZ70" s="23"/>
      <c r="PA70" s="23"/>
      <c r="PB70" s="23"/>
      <c r="PC70" s="23"/>
      <c r="PD70" s="23"/>
      <c r="PE70" s="23"/>
      <c r="PF70" s="23"/>
      <c r="PG70" s="23"/>
      <c r="PH70" s="23"/>
      <c r="PI70" s="23"/>
      <c r="PJ70" s="23"/>
      <c r="PK70" s="23"/>
      <c r="PL70" s="23"/>
      <c r="PM70" s="23"/>
      <c r="PN70" s="23">
        <v>0.922392</v>
      </c>
      <c r="PO70" s="23"/>
      <c r="PP70" s="23"/>
      <c r="PQ70" s="23"/>
      <c r="PR70" s="23"/>
      <c r="PS70" s="23"/>
      <c r="PT70" s="23"/>
      <c r="PU70" s="23"/>
      <c r="PV70" s="23"/>
      <c r="PW70" s="23"/>
      <c r="PX70" s="23"/>
      <c r="PY70" s="23"/>
      <c r="PZ70" s="23"/>
      <c r="QA70" s="23"/>
      <c r="QB70" s="23"/>
      <c r="QC70" s="23"/>
      <c r="QD70" s="23"/>
      <c r="QE70" s="23"/>
      <c r="QF70" s="23"/>
      <c r="QG70" s="23"/>
      <c r="QH70" s="23"/>
      <c r="QI70" s="23"/>
      <c r="QJ70" s="23"/>
      <c r="QK70" s="23"/>
      <c r="QL70" s="23"/>
      <c r="QM70" s="23"/>
      <c r="QN70" s="23"/>
      <c r="QO70" s="23"/>
      <c r="QP70" s="23"/>
      <c r="QQ70" s="23"/>
      <c r="QR70" s="23"/>
      <c r="QS70" s="23">
        <v>1.717979</v>
      </c>
      <c r="QT70" s="23"/>
      <c r="QU70" s="23"/>
      <c r="QV70" s="23"/>
      <c r="QW70" s="23"/>
      <c r="QX70" s="23"/>
      <c r="QY70" s="23"/>
      <c r="QZ70" s="23"/>
      <c r="RA70" s="23"/>
      <c r="RB70" s="23"/>
      <c r="RC70" s="23"/>
      <c r="RD70" s="23"/>
      <c r="RE70" s="23"/>
      <c r="RF70" s="23"/>
      <c r="RG70" s="23"/>
      <c r="RH70" s="23"/>
      <c r="RI70" s="23"/>
      <c r="RJ70" s="23"/>
      <c r="RK70" s="23"/>
      <c r="RL70" s="23"/>
      <c r="RM70" s="23"/>
      <c r="RN70" s="23"/>
      <c r="RO70" s="23"/>
      <c r="RP70" s="23"/>
      <c r="RQ70" s="23"/>
      <c r="RR70" s="23"/>
      <c r="RS70" s="23"/>
      <c r="RT70" s="23"/>
      <c r="RU70" s="23"/>
      <c r="RV70" s="23"/>
      <c r="RW70" s="23">
        <v>0.400921</v>
      </c>
      <c r="RX70" s="23"/>
      <c r="RY70" s="23"/>
      <c r="RZ70" s="23"/>
      <c r="SA70" s="23"/>
      <c r="SB70" s="23"/>
      <c r="SC70" s="23"/>
      <c r="SD70" s="23"/>
      <c r="SE70" s="23"/>
      <c r="SF70" s="23"/>
      <c r="SG70" s="23"/>
      <c r="SH70" s="23"/>
      <c r="SI70" s="23"/>
      <c r="SJ70" s="23"/>
      <c r="SK70" s="23"/>
      <c r="SL70" s="23"/>
      <c r="SM70" s="23"/>
      <c r="SN70" s="23"/>
      <c r="SO70" s="23"/>
      <c r="SP70" s="23"/>
      <c r="SQ70" s="23"/>
      <c r="SR70" s="23"/>
      <c r="SS70" s="23"/>
      <c r="ST70" s="23"/>
      <c r="SU70" s="23"/>
      <c r="SV70" s="23"/>
      <c r="SW70" s="23"/>
      <c r="SX70" s="23"/>
      <c r="SY70" s="23"/>
      <c r="SZ70" s="23"/>
      <c r="TA70" s="23"/>
      <c r="TB70" s="23">
        <v>0.880936</v>
      </c>
      <c r="TC70" s="23"/>
      <c r="TD70" s="23"/>
      <c r="TE70" s="23"/>
      <c r="TF70" s="23"/>
      <c r="TG70" s="23"/>
      <c r="TH70" s="23"/>
      <c r="TI70" s="23"/>
      <c r="TJ70" s="23"/>
      <c r="TK70" s="23"/>
      <c r="TL70" s="23"/>
      <c r="TM70" s="23"/>
      <c r="TN70" s="23"/>
      <c r="TO70" s="23"/>
      <c r="TP70" s="23"/>
      <c r="TQ70" s="23"/>
      <c r="TR70" s="23"/>
      <c r="TS70" s="23"/>
      <c r="TT70" s="23"/>
      <c r="TU70" s="23"/>
      <c r="TV70" s="23"/>
      <c r="TW70" s="23"/>
      <c r="TX70" s="23"/>
      <c r="TY70" s="23"/>
      <c r="TZ70" s="23"/>
      <c r="UA70" s="23"/>
      <c r="UB70" s="23"/>
      <c r="UC70" s="23"/>
      <c r="UD70" s="23"/>
      <c r="UE70" s="23"/>
      <c r="UF70" s="23"/>
      <c r="UG70" s="23"/>
      <c r="UH70" s="23"/>
      <c r="UI70" s="23"/>
      <c r="UJ70" s="23"/>
      <c r="UK70" s="23"/>
      <c r="UL70" s="23"/>
      <c r="UM70" s="23"/>
      <c r="UN70" s="23"/>
      <c r="UO70" s="23"/>
      <c r="UP70" s="23"/>
      <c r="UQ70" s="23"/>
      <c r="UR70" s="23"/>
      <c r="US70" s="23"/>
      <c r="UT70" s="23"/>
    </row>
    <row r="71" ht="16.5" customHeight="1" spans="4:566">
      <c r="D71" s="19" t="s">
        <v>304</v>
      </c>
      <c r="E71" s="21" t="s">
        <v>305</v>
      </c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>
        <v>71.7</v>
      </c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>
        <v>64.7</v>
      </c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>
        <v>57</v>
      </c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3"/>
      <c r="DV71" s="23">
        <v>52.2</v>
      </c>
      <c r="DW71" s="23"/>
      <c r="DX71" s="23"/>
      <c r="DY71" s="23"/>
      <c r="DZ71" s="23"/>
      <c r="EA71" s="23"/>
      <c r="EB71" s="23"/>
      <c r="EC71" s="23"/>
      <c r="ED71" s="23"/>
      <c r="EE71" s="23"/>
      <c r="EF71" s="23"/>
      <c r="EG71" s="23"/>
      <c r="EH71" s="23"/>
      <c r="EI71" s="23"/>
      <c r="EJ71" s="23"/>
      <c r="EK71" s="23"/>
      <c r="EL71" s="23"/>
      <c r="EM71" s="23"/>
      <c r="EN71" s="23"/>
      <c r="EO71" s="23"/>
      <c r="EP71" s="23"/>
      <c r="EQ71" s="23"/>
      <c r="ER71" s="23"/>
      <c r="ES71" s="23"/>
      <c r="ET71" s="23"/>
      <c r="EU71" s="23"/>
      <c r="EV71" s="23"/>
      <c r="EW71" s="23"/>
      <c r="EX71" s="23"/>
      <c r="EY71" s="23"/>
      <c r="EZ71" s="23"/>
      <c r="FA71" s="23">
        <v>52.2</v>
      </c>
      <c r="FB71" s="23"/>
      <c r="FC71" s="23"/>
      <c r="FD71" s="23"/>
      <c r="FE71" s="23"/>
      <c r="FF71" s="23"/>
      <c r="FG71" s="23"/>
      <c r="FH71" s="23"/>
      <c r="FI71" s="23"/>
      <c r="FJ71" s="23"/>
      <c r="FK71" s="23"/>
      <c r="FL71" s="23"/>
      <c r="FM71" s="23"/>
      <c r="FN71" s="23"/>
      <c r="FO71" s="23"/>
      <c r="FP71" s="23"/>
      <c r="FQ71" s="23"/>
      <c r="FR71" s="23"/>
      <c r="FS71" s="23"/>
      <c r="FT71" s="23"/>
      <c r="FU71" s="23"/>
      <c r="FV71" s="23"/>
      <c r="FW71" s="23"/>
      <c r="FX71" s="23"/>
      <c r="FY71" s="23"/>
      <c r="FZ71" s="23"/>
      <c r="GA71" s="23"/>
      <c r="GB71" s="23"/>
      <c r="GC71" s="23"/>
      <c r="GD71" s="23"/>
      <c r="GE71" s="23">
        <v>60.7</v>
      </c>
      <c r="GF71" s="23"/>
      <c r="GG71" s="23"/>
      <c r="GH71" s="23"/>
      <c r="GI71" s="23"/>
      <c r="GJ71" s="23"/>
      <c r="GK71" s="23"/>
      <c r="GL71" s="23"/>
      <c r="GM71" s="23"/>
      <c r="GN71" s="23"/>
      <c r="GO71" s="23"/>
      <c r="GP71" s="23"/>
      <c r="GQ71" s="23"/>
      <c r="GR71" s="23"/>
      <c r="GS71" s="23"/>
      <c r="GT71" s="23"/>
      <c r="GU71" s="23"/>
      <c r="GV71" s="23"/>
      <c r="GW71" s="23"/>
      <c r="GX71" s="23"/>
      <c r="GY71" s="23"/>
      <c r="GZ71" s="23"/>
      <c r="HA71" s="23"/>
      <c r="HB71" s="23"/>
      <c r="HC71" s="23"/>
      <c r="HD71" s="23"/>
      <c r="HE71" s="23"/>
      <c r="HF71" s="23"/>
      <c r="HG71" s="23"/>
      <c r="HH71" s="23"/>
      <c r="HI71" s="23"/>
      <c r="HJ71" s="23">
        <v>61.7</v>
      </c>
      <c r="HK71" s="23"/>
      <c r="HL71" s="23"/>
      <c r="HM71" s="23"/>
      <c r="HN71" s="23"/>
      <c r="HO71" s="23"/>
      <c r="HP71" s="23"/>
      <c r="HQ71" s="23"/>
      <c r="HR71" s="23"/>
      <c r="HS71" s="23"/>
      <c r="HT71" s="23"/>
      <c r="HU71" s="23"/>
      <c r="HV71" s="23"/>
      <c r="HW71" s="23"/>
      <c r="HX71" s="23"/>
      <c r="HY71" s="23"/>
      <c r="HZ71" s="23"/>
      <c r="IA71" s="23"/>
      <c r="IB71" s="23"/>
      <c r="IC71" s="23"/>
      <c r="ID71" s="23"/>
      <c r="IE71" s="23"/>
      <c r="IF71" s="23"/>
      <c r="IG71" s="23"/>
      <c r="IH71" s="23"/>
      <c r="II71" s="23"/>
      <c r="IJ71" s="23"/>
      <c r="IK71" s="23"/>
      <c r="IL71" s="23"/>
      <c r="IM71" s="23"/>
      <c r="IN71" s="23"/>
      <c r="IO71" s="23">
        <v>58.2</v>
      </c>
      <c r="IP71" s="31"/>
      <c r="IQ71" s="31"/>
      <c r="IR71" s="31"/>
      <c r="IS71" s="31"/>
      <c r="IT71" s="31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  <c r="JN71" s="31"/>
      <c r="JO71" s="31"/>
      <c r="JP71" s="31"/>
      <c r="JQ71" s="31"/>
      <c r="JR71" s="31"/>
      <c r="JS71" s="31">
        <v>55.1</v>
      </c>
      <c r="JT71" s="31"/>
      <c r="JU71" s="31"/>
      <c r="JV71" s="31"/>
      <c r="JW71" s="31"/>
      <c r="JX71" s="31"/>
      <c r="JY71" s="31"/>
      <c r="JZ71" s="23"/>
      <c r="KA71" s="23"/>
      <c r="KB71" s="23"/>
      <c r="KC71" s="23"/>
      <c r="KD71" s="23"/>
      <c r="KE71" s="23"/>
      <c r="KF71" s="23"/>
      <c r="KG71" s="23"/>
      <c r="KH71" s="23"/>
      <c r="KI71" s="23"/>
      <c r="KJ71" s="23"/>
      <c r="KK71" s="23"/>
      <c r="KL71" s="23"/>
      <c r="KM71" s="23"/>
      <c r="KN71" s="23"/>
      <c r="KO71" s="23"/>
      <c r="KP71" s="23"/>
      <c r="KQ71" s="23"/>
      <c r="KR71" s="23"/>
      <c r="KS71" s="23"/>
      <c r="KT71" s="23"/>
      <c r="KU71" s="23"/>
      <c r="KV71" s="23"/>
      <c r="KW71" s="23"/>
      <c r="KX71" s="23">
        <v>53.6</v>
      </c>
      <c r="KY71" s="23"/>
      <c r="KZ71" s="23"/>
      <c r="LA71" s="23"/>
      <c r="LB71" s="23"/>
      <c r="LC71" s="23"/>
      <c r="LD71" s="23"/>
      <c r="LE71" s="23"/>
      <c r="LF71" s="23"/>
      <c r="LG71" s="23"/>
      <c r="LH71" s="23"/>
      <c r="LI71" s="23"/>
      <c r="LJ71" s="23"/>
      <c r="LK71" s="23"/>
      <c r="LL71" s="23"/>
      <c r="LM71" s="23"/>
      <c r="LN71" s="23"/>
      <c r="LO71" s="23"/>
      <c r="LP71" s="23"/>
      <c r="LQ71" s="23"/>
      <c r="LR71" s="23"/>
      <c r="LS71" s="23"/>
      <c r="LT71" s="23"/>
      <c r="LU71" s="23"/>
      <c r="LV71" s="23"/>
      <c r="LW71" s="23"/>
      <c r="LX71" s="23"/>
      <c r="LY71" s="23"/>
      <c r="LZ71" s="23"/>
      <c r="MA71" s="23"/>
      <c r="MB71" s="23">
        <v>51</v>
      </c>
      <c r="MC71" s="23"/>
      <c r="MD71" s="23"/>
      <c r="ME71" s="23"/>
      <c r="MF71" s="23"/>
      <c r="MG71" s="23"/>
      <c r="MH71" s="23"/>
      <c r="MI71" s="23"/>
      <c r="MJ71" s="23"/>
      <c r="MK71" s="23"/>
      <c r="ML71" s="23"/>
      <c r="MM71" s="23"/>
      <c r="MN71" s="23"/>
      <c r="MO71" s="23"/>
      <c r="MP71" s="23"/>
      <c r="MQ71" s="23"/>
      <c r="MR71" s="23"/>
      <c r="MS71" s="23"/>
      <c r="MT71" s="23"/>
      <c r="MU71" s="23"/>
      <c r="MV71" s="23"/>
      <c r="MW71" s="23"/>
      <c r="MX71" s="23"/>
      <c r="MY71" s="23"/>
      <c r="MZ71" s="23"/>
      <c r="NA71" s="23"/>
      <c r="NB71" s="23"/>
      <c r="NC71" s="23"/>
      <c r="ND71" s="23"/>
      <c r="NE71" s="23"/>
      <c r="NF71" s="23"/>
      <c r="NG71" s="23">
        <v>52.9</v>
      </c>
      <c r="NH71" s="23"/>
      <c r="NI71" s="23"/>
      <c r="NJ71" s="23"/>
      <c r="NK71" s="23"/>
      <c r="NL71" s="23"/>
      <c r="NM71" s="23"/>
      <c r="NN71" s="23"/>
      <c r="NO71" s="23"/>
      <c r="NP71" s="23"/>
      <c r="NQ71" s="23"/>
      <c r="NR71" s="23"/>
      <c r="NS71" s="23"/>
      <c r="NT71" s="23"/>
      <c r="NU71" s="23"/>
      <c r="NV71" s="23"/>
      <c r="NW71" s="23"/>
      <c r="NX71" s="23"/>
      <c r="NY71" s="23"/>
      <c r="NZ71" s="23"/>
      <c r="OA71" s="23"/>
      <c r="OB71" s="23"/>
      <c r="OC71" s="23"/>
      <c r="OD71" s="23"/>
      <c r="OE71" s="23"/>
      <c r="OF71" s="23"/>
      <c r="OG71" s="23"/>
      <c r="OH71" s="23"/>
      <c r="OI71" s="23"/>
      <c r="OJ71" s="23"/>
      <c r="OK71" s="23"/>
      <c r="OL71" s="23">
        <v>56.4</v>
      </c>
      <c r="OM71" s="23"/>
      <c r="ON71" s="23"/>
      <c r="OO71" s="23"/>
      <c r="OP71" s="23"/>
      <c r="OQ71" s="23"/>
      <c r="OR71" s="23"/>
      <c r="OS71" s="23"/>
      <c r="OT71" s="23"/>
      <c r="OU71" s="23"/>
      <c r="OV71" s="23"/>
      <c r="OW71" s="23"/>
      <c r="OX71" s="23"/>
      <c r="OY71" s="23"/>
      <c r="OZ71" s="23"/>
      <c r="PA71" s="23"/>
      <c r="PB71" s="23"/>
      <c r="PC71" s="23"/>
      <c r="PD71" s="23"/>
      <c r="PE71" s="23"/>
      <c r="PF71" s="23"/>
      <c r="PG71" s="23"/>
      <c r="PH71" s="23"/>
      <c r="PI71" s="23"/>
      <c r="PJ71" s="23"/>
      <c r="PK71" s="23"/>
      <c r="PL71" s="23"/>
      <c r="PM71" s="23"/>
      <c r="PN71" s="23">
        <v>56.6</v>
      </c>
      <c r="PO71" s="23"/>
      <c r="PP71" s="23"/>
      <c r="PQ71" s="23"/>
      <c r="PR71" s="23"/>
      <c r="PS71" s="23"/>
      <c r="PT71" s="23"/>
      <c r="PU71" s="23"/>
      <c r="PV71" s="23"/>
      <c r="PW71" s="23"/>
      <c r="PX71" s="23"/>
      <c r="PY71" s="23"/>
      <c r="PZ71" s="23"/>
      <c r="QA71" s="23"/>
      <c r="QB71" s="23"/>
      <c r="QC71" s="23"/>
      <c r="QD71" s="23"/>
      <c r="QE71" s="23"/>
      <c r="QF71" s="23"/>
      <c r="QG71" s="23"/>
      <c r="QH71" s="23"/>
      <c r="QI71" s="23"/>
      <c r="QJ71" s="23"/>
      <c r="QK71" s="23"/>
      <c r="QL71" s="23"/>
      <c r="QM71" s="23"/>
      <c r="QN71" s="23"/>
      <c r="QO71" s="23"/>
      <c r="QP71" s="23"/>
      <c r="QQ71" s="23"/>
      <c r="QR71" s="23"/>
      <c r="QS71" s="23">
        <v>53.3</v>
      </c>
      <c r="QT71" s="23"/>
      <c r="QU71" s="23"/>
      <c r="QV71" s="23"/>
      <c r="QW71" s="23"/>
      <c r="QX71" s="23"/>
      <c r="QY71" s="23"/>
      <c r="QZ71" s="23"/>
      <c r="RA71" s="23"/>
      <c r="RB71" s="23"/>
      <c r="RC71" s="23"/>
      <c r="RD71" s="23"/>
      <c r="RE71" s="23"/>
      <c r="RF71" s="23"/>
      <c r="RG71" s="23"/>
      <c r="RH71" s="23"/>
      <c r="RI71" s="23"/>
      <c r="RJ71" s="23"/>
      <c r="RK71" s="23"/>
      <c r="RL71" s="23"/>
      <c r="RM71" s="23"/>
      <c r="RN71" s="23"/>
      <c r="RO71" s="23"/>
      <c r="RP71" s="23"/>
      <c r="RQ71" s="23"/>
      <c r="RR71" s="23"/>
      <c r="RS71" s="23"/>
      <c r="RT71" s="23"/>
      <c r="RU71" s="23"/>
      <c r="RV71" s="23"/>
      <c r="RW71" s="23">
        <v>49.8</v>
      </c>
      <c r="RX71" s="23"/>
      <c r="RY71" s="23"/>
      <c r="RZ71" s="23"/>
      <c r="SA71" s="23"/>
      <c r="SB71" s="23"/>
      <c r="SC71" s="23"/>
      <c r="SD71" s="23"/>
      <c r="SE71" s="23"/>
      <c r="SF71" s="23"/>
      <c r="SG71" s="23"/>
      <c r="SH71" s="23"/>
      <c r="SI71" s="23"/>
      <c r="SJ71" s="23"/>
      <c r="SK71" s="23"/>
      <c r="SL71" s="23"/>
      <c r="SM71" s="23"/>
      <c r="SN71" s="23"/>
      <c r="SO71" s="23"/>
      <c r="SP71" s="23"/>
      <c r="SQ71" s="23"/>
      <c r="SR71" s="23"/>
      <c r="SS71" s="23"/>
      <c r="ST71" s="23"/>
      <c r="SU71" s="23"/>
      <c r="SV71" s="23"/>
      <c r="SW71" s="23"/>
      <c r="SX71" s="23"/>
      <c r="SY71" s="23"/>
      <c r="SZ71" s="23"/>
      <c r="TA71" s="23"/>
      <c r="TB71" s="23">
        <v>44.8</v>
      </c>
      <c r="TC71" s="23"/>
      <c r="TD71" s="23"/>
      <c r="TE71" s="23"/>
      <c r="TF71" s="23"/>
      <c r="TG71" s="23"/>
      <c r="TH71" s="23"/>
      <c r="TI71" s="23"/>
      <c r="TJ71" s="23"/>
      <c r="TK71" s="23"/>
      <c r="TL71" s="23"/>
      <c r="TM71" s="23"/>
      <c r="TN71" s="23"/>
      <c r="TO71" s="23"/>
      <c r="TP71" s="23"/>
      <c r="TQ71" s="23"/>
      <c r="TR71" s="23"/>
      <c r="TS71" s="23"/>
      <c r="TT71" s="23"/>
      <c r="TU71" s="23"/>
      <c r="TV71" s="23"/>
      <c r="TW71" s="23"/>
      <c r="TX71" s="23"/>
      <c r="TY71" s="23"/>
      <c r="TZ71" s="23"/>
      <c r="UA71" s="23"/>
      <c r="UB71" s="23"/>
      <c r="UC71" s="23"/>
      <c r="UD71" s="23"/>
      <c r="UE71" s="23"/>
      <c r="UF71" s="23">
        <v>49.5</v>
      </c>
      <c r="UG71" s="23"/>
      <c r="UH71" s="23"/>
      <c r="UI71" s="23"/>
      <c r="UJ71" s="23"/>
      <c r="UK71" s="23"/>
      <c r="UL71" s="23"/>
      <c r="UM71" s="23"/>
      <c r="UN71" s="23"/>
      <c r="UO71" s="23"/>
      <c r="UP71" s="23"/>
      <c r="UQ71" s="23"/>
      <c r="UR71" s="23"/>
      <c r="US71" s="23"/>
      <c r="UT71" s="23"/>
    </row>
    <row r="72" ht="16.5" customHeight="1" spans="4:566">
      <c r="D72" s="19" t="s">
        <v>306</v>
      </c>
      <c r="E72" s="21" t="s">
        <v>307</v>
      </c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>
        <v>56</v>
      </c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>
        <v>56</v>
      </c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  <c r="BZ72" s="23"/>
      <c r="CA72" s="23"/>
      <c r="CB72" s="23"/>
      <c r="CC72" s="23"/>
      <c r="CD72" s="23"/>
      <c r="CE72" s="23"/>
      <c r="CF72" s="23"/>
      <c r="CG72" s="23"/>
      <c r="CH72" s="23"/>
      <c r="CI72" s="23"/>
      <c r="CJ72" s="23"/>
      <c r="CK72" s="23"/>
      <c r="CL72" s="23"/>
      <c r="CM72" s="23"/>
      <c r="CN72" s="23"/>
      <c r="CO72" s="23"/>
      <c r="CP72" s="23"/>
      <c r="CQ72" s="23"/>
      <c r="CR72" s="23">
        <v>63</v>
      </c>
      <c r="CS72" s="23"/>
      <c r="CT72" s="23"/>
      <c r="CU72" s="23"/>
      <c r="CV72" s="23"/>
      <c r="CW72" s="23"/>
      <c r="CX72" s="23"/>
      <c r="CY72" s="23"/>
      <c r="CZ72" s="23"/>
      <c r="DA72" s="23"/>
      <c r="DB72" s="23"/>
      <c r="DC72" s="23"/>
      <c r="DD72" s="23"/>
      <c r="DE72" s="23"/>
      <c r="DF72" s="23"/>
      <c r="DG72" s="23"/>
      <c r="DH72" s="23"/>
      <c r="DI72" s="23"/>
      <c r="DJ72" s="23"/>
      <c r="DK72" s="23"/>
      <c r="DL72" s="23"/>
      <c r="DM72" s="23"/>
      <c r="DN72" s="23"/>
      <c r="DO72" s="23"/>
      <c r="DP72" s="23"/>
      <c r="DQ72" s="23"/>
      <c r="DR72" s="23"/>
      <c r="DS72" s="23"/>
      <c r="DT72" s="23"/>
      <c r="DU72" s="23"/>
      <c r="DV72" s="23">
        <v>65</v>
      </c>
      <c r="DW72" s="23"/>
      <c r="DX72" s="23"/>
      <c r="DY72" s="23"/>
      <c r="DZ72" s="23"/>
      <c r="EA72" s="23"/>
      <c r="EB72" s="23"/>
      <c r="EC72" s="23"/>
      <c r="ED72" s="23"/>
      <c r="EE72" s="23"/>
      <c r="EF72" s="23"/>
      <c r="EG72" s="23"/>
      <c r="EH72" s="23"/>
      <c r="EI72" s="23"/>
      <c r="EJ72" s="23"/>
      <c r="EK72" s="23"/>
      <c r="EL72" s="23"/>
      <c r="EM72" s="23"/>
      <c r="EN72" s="23"/>
      <c r="EO72" s="23"/>
      <c r="EP72" s="23"/>
      <c r="EQ72" s="23"/>
      <c r="ER72" s="23"/>
      <c r="ES72" s="23"/>
      <c r="ET72" s="23"/>
      <c r="EU72" s="23"/>
      <c r="EV72" s="23"/>
      <c r="EW72" s="23"/>
      <c r="EX72" s="23"/>
      <c r="EY72" s="23"/>
      <c r="EZ72" s="23"/>
      <c r="FA72" s="23">
        <v>56</v>
      </c>
      <c r="FB72" s="23"/>
      <c r="FC72" s="23"/>
      <c r="FD72" s="23"/>
      <c r="FE72" s="23"/>
      <c r="FF72" s="23"/>
      <c r="FG72" s="23"/>
      <c r="FH72" s="23"/>
      <c r="FI72" s="23"/>
      <c r="FJ72" s="23"/>
      <c r="FK72" s="23"/>
      <c r="FL72" s="23"/>
      <c r="FM72" s="23"/>
      <c r="FN72" s="23"/>
      <c r="FO72" s="23"/>
      <c r="FP72" s="23"/>
      <c r="FQ72" s="23"/>
      <c r="FR72" s="23"/>
      <c r="FS72" s="23"/>
      <c r="FT72" s="23"/>
      <c r="FU72" s="23"/>
      <c r="FV72" s="23"/>
      <c r="FW72" s="23"/>
      <c r="FX72" s="23"/>
      <c r="FY72" s="23"/>
      <c r="FZ72" s="23"/>
      <c r="GA72" s="23"/>
      <c r="GB72" s="23"/>
      <c r="GC72" s="23"/>
      <c r="GD72" s="23"/>
      <c r="GE72" s="23">
        <v>57</v>
      </c>
      <c r="GF72" s="23"/>
      <c r="GG72" s="23"/>
      <c r="GH72" s="23"/>
      <c r="GI72" s="23"/>
      <c r="GJ72" s="23"/>
      <c r="GK72" s="23"/>
      <c r="GL72" s="23"/>
      <c r="GM72" s="23"/>
      <c r="GN72" s="23"/>
      <c r="GO72" s="23"/>
      <c r="GP72" s="23"/>
      <c r="GQ72" s="23"/>
      <c r="GR72" s="23"/>
      <c r="GS72" s="23"/>
      <c r="GT72" s="23"/>
      <c r="GU72" s="23"/>
      <c r="GV72" s="23"/>
      <c r="GW72" s="23"/>
      <c r="GX72" s="23"/>
      <c r="GY72" s="23"/>
      <c r="GZ72" s="23"/>
      <c r="HA72" s="23"/>
      <c r="HB72" s="23"/>
      <c r="HC72" s="23"/>
      <c r="HD72" s="23"/>
      <c r="HE72" s="23"/>
      <c r="HF72" s="23"/>
      <c r="HG72" s="23"/>
      <c r="HH72" s="23"/>
      <c r="HI72" s="23"/>
      <c r="HJ72" s="23">
        <v>53</v>
      </c>
      <c r="HK72" s="23"/>
      <c r="HL72" s="23"/>
      <c r="HM72" s="23"/>
      <c r="HN72" s="23"/>
      <c r="HO72" s="23"/>
      <c r="HP72" s="23"/>
      <c r="HQ72" s="23"/>
      <c r="HR72" s="23"/>
      <c r="HS72" s="23"/>
      <c r="HT72" s="23"/>
      <c r="HU72" s="23"/>
      <c r="HV72" s="23"/>
      <c r="HW72" s="23"/>
      <c r="HX72" s="23"/>
      <c r="HY72" s="23"/>
      <c r="HZ72" s="23"/>
      <c r="IA72" s="23"/>
      <c r="IB72" s="23"/>
      <c r="IC72" s="23"/>
      <c r="ID72" s="23"/>
      <c r="IE72" s="23"/>
      <c r="IF72" s="23"/>
      <c r="IG72" s="23"/>
      <c r="IH72" s="23"/>
      <c r="II72" s="23"/>
      <c r="IJ72" s="23"/>
      <c r="IK72" s="23"/>
      <c r="IL72" s="23"/>
      <c r="IM72" s="23"/>
      <c r="IN72" s="23"/>
      <c r="IO72" s="23">
        <v>57</v>
      </c>
      <c r="IP72" s="31"/>
      <c r="IQ72" s="31"/>
      <c r="IR72" s="31"/>
      <c r="IS72" s="31"/>
      <c r="IT72" s="31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  <c r="JH72" s="31"/>
      <c r="JI72" s="31"/>
      <c r="JJ72" s="31"/>
      <c r="JK72" s="31"/>
      <c r="JL72" s="31"/>
      <c r="JM72" s="31"/>
      <c r="JN72" s="31"/>
      <c r="JO72" s="31"/>
      <c r="JP72" s="31"/>
      <c r="JQ72" s="31"/>
      <c r="JR72" s="31"/>
      <c r="JS72" s="31">
        <v>58</v>
      </c>
      <c r="JT72" s="31"/>
      <c r="JU72" s="31"/>
      <c r="JV72" s="31"/>
      <c r="JW72" s="31"/>
      <c r="JX72" s="31"/>
      <c r="JY72" s="31"/>
      <c r="JZ72" s="23"/>
      <c r="KA72" s="23"/>
      <c r="KB72" s="23"/>
      <c r="KC72" s="23"/>
      <c r="KD72" s="23"/>
      <c r="KE72" s="23"/>
      <c r="KF72" s="23"/>
      <c r="KG72" s="23"/>
      <c r="KH72" s="23"/>
      <c r="KI72" s="23"/>
      <c r="KJ72" s="23"/>
      <c r="KK72" s="23"/>
      <c r="KL72" s="23"/>
      <c r="KM72" s="23"/>
      <c r="KN72" s="23"/>
      <c r="KO72" s="23"/>
      <c r="KP72" s="23"/>
      <c r="KQ72" s="23"/>
      <c r="KR72" s="23"/>
      <c r="KS72" s="23"/>
      <c r="KT72" s="23"/>
      <c r="KU72" s="23"/>
      <c r="KV72" s="23"/>
      <c r="KW72" s="23"/>
      <c r="KX72" s="23">
        <v>48</v>
      </c>
      <c r="KY72" s="23"/>
      <c r="KZ72" s="23"/>
      <c r="LA72" s="23"/>
      <c r="LB72" s="23"/>
      <c r="LC72" s="23"/>
      <c r="LD72" s="23"/>
      <c r="LE72" s="23"/>
      <c r="LF72" s="23"/>
      <c r="LG72" s="23"/>
      <c r="LH72" s="23"/>
      <c r="LI72" s="23"/>
      <c r="LJ72" s="23"/>
      <c r="LK72" s="23"/>
      <c r="LL72" s="23"/>
      <c r="LM72" s="23"/>
      <c r="LN72" s="23"/>
      <c r="LO72" s="23"/>
      <c r="LP72" s="23"/>
      <c r="LQ72" s="23"/>
      <c r="LR72" s="23"/>
      <c r="LS72" s="23"/>
      <c r="LT72" s="23"/>
      <c r="LU72" s="23"/>
      <c r="LV72" s="23"/>
      <c r="LW72" s="23"/>
      <c r="LX72" s="23"/>
      <c r="LY72" s="23"/>
      <c r="LZ72" s="23"/>
      <c r="MA72" s="23"/>
      <c r="MB72" s="23">
        <v>52</v>
      </c>
      <c r="MC72" s="23"/>
      <c r="MD72" s="23"/>
      <c r="ME72" s="23"/>
      <c r="MF72" s="23"/>
      <c r="MG72" s="23"/>
      <c r="MH72" s="23"/>
      <c r="MI72" s="23"/>
      <c r="MJ72" s="23"/>
      <c r="MK72" s="23"/>
      <c r="ML72" s="23"/>
      <c r="MM72" s="23"/>
      <c r="MN72" s="23"/>
      <c r="MO72" s="23"/>
      <c r="MP72" s="23"/>
      <c r="MQ72" s="23"/>
      <c r="MR72" s="23"/>
      <c r="MS72" s="23"/>
      <c r="MT72" s="23"/>
      <c r="MU72" s="23"/>
      <c r="MV72" s="23"/>
      <c r="MW72" s="23"/>
      <c r="MX72" s="23"/>
      <c r="MY72" s="23"/>
      <c r="MZ72" s="23"/>
      <c r="NA72" s="23"/>
      <c r="NB72" s="23"/>
      <c r="NC72" s="23"/>
      <c r="ND72" s="23"/>
      <c r="NE72" s="23"/>
      <c r="NF72" s="23"/>
      <c r="NG72" s="23">
        <v>56</v>
      </c>
      <c r="NH72" s="23"/>
      <c r="NI72" s="23"/>
      <c r="NJ72" s="23"/>
      <c r="NK72" s="23"/>
      <c r="NL72" s="23"/>
      <c r="NM72" s="23"/>
      <c r="NN72" s="23"/>
      <c r="NO72" s="23"/>
      <c r="NP72" s="23"/>
      <c r="NQ72" s="23"/>
      <c r="NR72" s="23"/>
      <c r="NS72" s="23"/>
      <c r="NT72" s="23"/>
      <c r="NU72" s="23"/>
      <c r="NV72" s="23"/>
      <c r="NW72" s="23"/>
      <c r="NX72" s="23"/>
      <c r="NY72" s="23"/>
      <c r="NZ72" s="23"/>
      <c r="OA72" s="23"/>
      <c r="OB72" s="23"/>
      <c r="OC72" s="23"/>
      <c r="OD72" s="23"/>
      <c r="OE72" s="23"/>
      <c r="OF72" s="23"/>
      <c r="OG72" s="23"/>
      <c r="OH72" s="23"/>
      <c r="OI72" s="23"/>
      <c r="OJ72" s="23"/>
      <c r="OK72" s="23"/>
      <c r="OL72" s="23">
        <v>47</v>
      </c>
      <c r="OM72" s="23"/>
      <c r="ON72" s="23"/>
      <c r="OO72" s="23"/>
      <c r="OP72" s="23"/>
      <c r="OQ72" s="23"/>
      <c r="OR72" s="23"/>
      <c r="OS72" s="23"/>
      <c r="OT72" s="23"/>
      <c r="OU72" s="23"/>
      <c r="OV72" s="23"/>
      <c r="OW72" s="23"/>
      <c r="OX72" s="23"/>
      <c r="OY72" s="23"/>
      <c r="OZ72" s="23"/>
      <c r="PA72" s="23"/>
      <c r="PB72" s="23"/>
      <c r="PC72" s="23"/>
      <c r="PD72" s="23"/>
      <c r="PE72" s="23"/>
      <c r="PF72" s="23"/>
      <c r="PG72" s="23"/>
      <c r="PH72" s="23"/>
      <c r="PI72" s="23"/>
      <c r="PJ72" s="23"/>
      <c r="PK72" s="23"/>
      <c r="PL72" s="23"/>
      <c r="PM72" s="23"/>
      <c r="PN72" s="23">
        <v>55</v>
      </c>
      <c r="PO72" s="23"/>
      <c r="PP72" s="23"/>
      <c r="PQ72" s="23"/>
      <c r="PR72" s="23"/>
      <c r="PS72" s="23"/>
      <c r="PT72" s="23"/>
      <c r="PU72" s="23"/>
      <c r="PV72" s="23"/>
      <c r="PW72" s="23"/>
      <c r="PX72" s="23"/>
      <c r="PY72" s="23"/>
      <c r="PZ72" s="23"/>
      <c r="QA72" s="23"/>
      <c r="QB72" s="23"/>
      <c r="QC72" s="23"/>
      <c r="QD72" s="23"/>
      <c r="QE72" s="23"/>
      <c r="QF72" s="23"/>
      <c r="QG72" s="23"/>
      <c r="QH72" s="23"/>
      <c r="QI72" s="23"/>
      <c r="QJ72" s="23"/>
      <c r="QK72" s="23"/>
      <c r="QL72" s="23"/>
      <c r="QM72" s="23"/>
      <c r="QN72" s="23"/>
      <c r="QO72" s="23"/>
      <c r="QP72" s="23"/>
      <c r="QQ72" s="23"/>
      <c r="QR72" s="23"/>
      <c r="QS72" s="23">
        <v>63</v>
      </c>
      <c r="QT72" s="23"/>
      <c r="QU72" s="23"/>
      <c r="QV72" s="23"/>
      <c r="QW72" s="23"/>
      <c r="QX72" s="23"/>
      <c r="QY72" s="23"/>
      <c r="QZ72" s="23"/>
      <c r="RA72" s="23"/>
      <c r="RB72" s="23"/>
      <c r="RC72" s="23"/>
      <c r="RD72" s="23"/>
      <c r="RE72" s="23"/>
      <c r="RF72" s="23"/>
      <c r="RG72" s="23"/>
      <c r="RH72" s="23"/>
      <c r="RI72" s="23"/>
      <c r="RJ72" s="23"/>
      <c r="RK72" s="23"/>
      <c r="RL72" s="23"/>
      <c r="RM72" s="23"/>
      <c r="RN72" s="23"/>
      <c r="RO72" s="23"/>
      <c r="RP72" s="23"/>
      <c r="RQ72" s="23"/>
      <c r="RR72" s="23"/>
      <c r="RS72" s="23"/>
      <c r="RT72" s="23"/>
      <c r="RU72" s="23"/>
      <c r="RV72" s="23"/>
      <c r="RW72" s="23">
        <v>59</v>
      </c>
      <c r="RX72" s="23"/>
      <c r="RY72" s="23"/>
      <c r="RZ72" s="23"/>
      <c r="SA72" s="23"/>
      <c r="SB72" s="23"/>
      <c r="SC72" s="23"/>
      <c r="SD72" s="23"/>
      <c r="SE72" s="23"/>
      <c r="SF72" s="23"/>
      <c r="SG72" s="23"/>
      <c r="SH72" s="23"/>
      <c r="SI72" s="23"/>
      <c r="SJ72" s="23"/>
      <c r="SK72" s="23"/>
      <c r="SL72" s="23"/>
      <c r="SM72" s="23"/>
      <c r="SN72" s="23"/>
      <c r="SO72" s="23"/>
      <c r="SP72" s="23"/>
      <c r="SQ72" s="23"/>
      <c r="SR72" s="23"/>
      <c r="SS72" s="23"/>
      <c r="ST72" s="23"/>
      <c r="SU72" s="23"/>
      <c r="SV72" s="23"/>
      <c r="SW72" s="23"/>
      <c r="SX72" s="23"/>
      <c r="SY72" s="23"/>
      <c r="SZ72" s="23"/>
      <c r="TA72" s="23"/>
      <c r="TB72" s="23">
        <v>51</v>
      </c>
      <c r="TC72" s="23"/>
      <c r="TD72" s="23"/>
      <c r="TE72" s="23"/>
      <c r="TF72" s="23"/>
      <c r="TG72" s="23"/>
      <c r="TH72" s="23"/>
      <c r="TI72" s="23"/>
      <c r="TJ72" s="23"/>
      <c r="TK72" s="23"/>
      <c r="TL72" s="23"/>
      <c r="TM72" s="23"/>
      <c r="TN72" s="23"/>
      <c r="TO72" s="23"/>
      <c r="TP72" s="23"/>
      <c r="TQ72" s="23"/>
      <c r="TR72" s="23"/>
      <c r="TS72" s="23"/>
      <c r="TT72" s="23"/>
      <c r="TU72" s="23"/>
      <c r="TV72" s="23"/>
      <c r="TW72" s="23"/>
      <c r="TX72" s="23"/>
      <c r="TY72" s="23"/>
      <c r="TZ72" s="23"/>
      <c r="UA72" s="23"/>
      <c r="UB72" s="23"/>
      <c r="UC72" s="23"/>
      <c r="UD72" s="23"/>
      <c r="UE72" s="23"/>
      <c r="UF72" s="23"/>
      <c r="UG72" s="23"/>
      <c r="UH72" s="23"/>
      <c r="UI72" s="23"/>
      <c r="UJ72" s="23"/>
      <c r="UK72" s="23"/>
      <c r="UL72" s="23"/>
      <c r="UM72" s="23"/>
      <c r="UN72" s="23"/>
      <c r="UO72" s="23"/>
      <c r="UP72" s="23"/>
      <c r="UQ72" s="23"/>
      <c r="UR72" s="23"/>
      <c r="US72" s="23"/>
      <c r="UT72" s="23"/>
    </row>
    <row r="73" ht="16.5" customHeight="1" spans="4:566">
      <c r="D73" s="19" t="s">
        <v>308</v>
      </c>
      <c r="E73" s="21" t="s">
        <v>309</v>
      </c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>
        <v>161483</v>
      </c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>
        <v>162437</v>
      </c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3"/>
      <c r="CA73" s="23"/>
      <c r="CB73" s="23"/>
      <c r="CC73" s="23"/>
      <c r="CD73" s="23"/>
      <c r="CE73" s="23"/>
      <c r="CF73" s="23"/>
      <c r="CG73" s="23"/>
      <c r="CH73" s="23"/>
      <c r="CI73" s="23"/>
      <c r="CJ73" s="23"/>
      <c r="CK73" s="23"/>
      <c r="CL73" s="23"/>
      <c r="CM73" s="23"/>
      <c r="CN73" s="23"/>
      <c r="CO73" s="23"/>
      <c r="CP73" s="23"/>
      <c r="CQ73" s="23"/>
      <c r="CR73" s="23">
        <v>176472</v>
      </c>
      <c r="CS73" s="23"/>
      <c r="CT73" s="23"/>
      <c r="CU73" s="23"/>
      <c r="CV73" s="23"/>
      <c r="CW73" s="23"/>
      <c r="CX73" s="23"/>
      <c r="CY73" s="23"/>
      <c r="CZ73" s="23"/>
      <c r="DA73" s="23"/>
      <c r="DB73" s="23"/>
      <c r="DC73" s="23"/>
      <c r="DD73" s="23"/>
      <c r="DE73" s="23"/>
      <c r="DF73" s="23"/>
      <c r="DG73" s="23"/>
      <c r="DH73" s="23"/>
      <c r="DI73" s="23"/>
      <c r="DJ73" s="23"/>
      <c r="DK73" s="23"/>
      <c r="DL73" s="23"/>
      <c r="DM73" s="23"/>
      <c r="DN73" s="23"/>
      <c r="DO73" s="23"/>
      <c r="DP73" s="23"/>
      <c r="DQ73" s="23"/>
      <c r="DR73" s="23"/>
      <c r="DS73" s="23"/>
      <c r="DT73" s="23"/>
      <c r="DU73" s="23"/>
      <c r="DV73" s="23">
        <v>186717</v>
      </c>
      <c r="DW73" s="23"/>
      <c r="DX73" s="23"/>
      <c r="DY73" s="23"/>
      <c r="DZ73" s="23"/>
      <c r="EA73" s="23"/>
      <c r="EB73" s="23"/>
      <c r="EC73" s="23"/>
      <c r="ED73" s="23"/>
      <c r="EE73" s="23"/>
      <c r="EF73" s="23"/>
      <c r="EG73" s="23"/>
      <c r="EH73" s="23"/>
      <c r="EI73" s="23"/>
      <c r="EJ73" s="23"/>
      <c r="EK73" s="23"/>
      <c r="EL73" s="23"/>
      <c r="EM73" s="23"/>
      <c r="EN73" s="23"/>
      <c r="EO73" s="23"/>
      <c r="EP73" s="23"/>
      <c r="EQ73" s="23"/>
      <c r="ER73" s="23"/>
      <c r="ES73" s="23"/>
      <c r="ET73" s="23"/>
      <c r="EU73" s="23"/>
      <c r="EV73" s="23"/>
      <c r="EW73" s="23"/>
      <c r="EX73" s="23"/>
      <c r="EY73" s="23"/>
      <c r="EZ73" s="23"/>
      <c r="FA73" s="23">
        <v>195045</v>
      </c>
      <c r="FB73" s="23"/>
      <c r="FC73" s="23"/>
      <c r="FD73" s="23"/>
      <c r="FE73" s="23"/>
      <c r="FF73" s="23"/>
      <c r="FG73" s="23"/>
      <c r="FH73" s="23"/>
      <c r="FI73" s="23"/>
      <c r="FJ73" s="23"/>
      <c r="FK73" s="23"/>
      <c r="FL73" s="23"/>
      <c r="FM73" s="23"/>
      <c r="FN73" s="23"/>
      <c r="FO73" s="23"/>
      <c r="FP73" s="23"/>
      <c r="FQ73" s="23"/>
      <c r="FR73" s="23"/>
      <c r="FS73" s="23"/>
      <c r="FT73" s="23"/>
      <c r="FU73" s="23"/>
      <c r="FV73" s="23"/>
      <c r="FW73" s="23"/>
      <c r="FX73" s="23"/>
      <c r="FY73" s="23"/>
      <c r="FZ73" s="23"/>
      <c r="GA73" s="23"/>
      <c r="GB73" s="23"/>
      <c r="GC73" s="23"/>
      <c r="GD73" s="23"/>
      <c r="GE73" s="23">
        <v>202329</v>
      </c>
      <c r="GF73" s="23"/>
      <c r="GG73" s="23"/>
      <c r="GH73" s="23"/>
      <c r="GI73" s="23"/>
      <c r="GJ73" s="23"/>
      <c r="GK73" s="23"/>
      <c r="GL73" s="23"/>
      <c r="GM73" s="23"/>
      <c r="GN73" s="23"/>
      <c r="GO73" s="23"/>
      <c r="GP73" s="23"/>
      <c r="GQ73" s="23"/>
      <c r="GR73" s="23"/>
      <c r="GS73" s="23"/>
      <c r="GT73" s="23"/>
      <c r="GU73" s="23"/>
      <c r="GV73" s="23"/>
      <c r="GW73" s="23"/>
      <c r="GX73" s="23"/>
      <c r="GY73" s="23"/>
      <c r="GZ73" s="23"/>
      <c r="HA73" s="23"/>
      <c r="HB73" s="23"/>
      <c r="HC73" s="23"/>
      <c r="HD73" s="23"/>
      <c r="HE73" s="23"/>
      <c r="HF73" s="23"/>
      <c r="HG73" s="23"/>
      <c r="HH73" s="23"/>
      <c r="HI73" s="23"/>
      <c r="HJ73" s="23">
        <v>205232</v>
      </c>
      <c r="HK73" s="23"/>
      <c r="HL73" s="23"/>
      <c r="HM73" s="23"/>
      <c r="HN73" s="23"/>
      <c r="HO73" s="23"/>
      <c r="HP73" s="23"/>
      <c r="HQ73" s="23"/>
      <c r="HR73" s="23"/>
      <c r="HS73" s="23"/>
      <c r="HT73" s="23"/>
      <c r="HU73" s="23"/>
      <c r="HV73" s="23"/>
      <c r="HW73" s="23"/>
      <c r="HX73" s="23"/>
      <c r="HY73" s="23"/>
      <c r="HZ73" s="23"/>
      <c r="IA73" s="23"/>
      <c r="IB73" s="23"/>
      <c r="IC73" s="23"/>
      <c r="ID73" s="23"/>
      <c r="IE73" s="23"/>
      <c r="IF73" s="23"/>
      <c r="IG73" s="23"/>
      <c r="IH73" s="23"/>
      <c r="II73" s="23"/>
      <c r="IJ73" s="23"/>
      <c r="IK73" s="23"/>
      <c r="IL73" s="23"/>
      <c r="IM73" s="23"/>
      <c r="IN73" s="23"/>
      <c r="IO73" s="23">
        <v>206857</v>
      </c>
      <c r="IP73" s="31"/>
      <c r="IQ73" s="31"/>
      <c r="IR73" s="31"/>
      <c r="IS73" s="31"/>
      <c r="IT73" s="31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  <c r="JN73" s="31"/>
      <c r="JO73" s="31"/>
      <c r="JP73" s="31"/>
      <c r="JQ73" s="31"/>
      <c r="JR73" s="31"/>
      <c r="JS73" s="31">
        <v>202041</v>
      </c>
      <c r="JT73" s="31"/>
      <c r="JU73" s="31"/>
      <c r="JV73" s="31"/>
      <c r="JW73" s="31"/>
      <c r="JX73" s="31"/>
      <c r="JY73" s="31"/>
      <c r="JZ73" s="23"/>
      <c r="KA73" s="23"/>
      <c r="KB73" s="23"/>
      <c r="KC73" s="23"/>
      <c r="KD73" s="23"/>
      <c r="KE73" s="23"/>
      <c r="KF73" s="23"/>
      <c r="KG73" s="23"/>
      <c r="KH73" s="23"/>
      <c r="KI73" s="23"/>
      <c r="KJ73" s="23"/>
      <c r="KK73" s="23"/>
      <c r="KL73" s="23"/>
      <c r="KM73" s="23"/>
      <c r="KN73" s="23"/>
      <c r="KO73" s="23"/>
      <c r="KP73" s="23"/>
      <c r="KQ73" s="23"/>
      <c r="KR73" s="23"/>
      <c r="KS73" s="23"/>
      <c r="KT73" s="23"/>
      <c r="KU73" s="23"/>
      <c r="KV73" s="23"/>
      <c r="KW73" s="23"/>
      <c r="KX73" s="23">
        <v>196874</v>
      </c>
      <c r="KY73" s="23"/>
      <c r="KZ73" s="23"/>
      <c r="LA73" s="23"/>
      <c r="LB73" s="23"/>
      <c r="LC73" s="23"/>
      <c r="LD73" s="23"/>
      <c r="LE73" s="23"/>
      <c r="LF73" s="23"/>
      <c r="LG73" s="23"/>
      <c r="LH73" s="23"/>
      <c r="LI73" s="23"/>
      <c r="LJ73" s="23"/>
      <c r="LK73" s="23"/>
      <c r="LL73" s="23"/>
      <c r="LM73" s="23"/>
      <c r="LN73" s="23"/>
      <c r="LO73" s="23"/>
      <c r="LP73" s="23"/>
      <c r="LQ73" s="23"/>
      <c r="LR73" s="23"/>
      <c r="LS73" s="23"/>
      <c r="LT73" s="23"/>
      <c r="LU73" s="23"/>
      <c r="LV73" s="23"/>
      <c r="LW73" s="23"/>
      <c r="LX73" s="23"/>
      <c r="LY73" s="23"/>
      <c r="LZ73" s="23"/>
      <c r="MA73" s="23"/>
      <c r="MB73" s="23">
        <v>181810</v>
      </c>
      <c r="MC73" s="23"/>
      <c r="MD73" s="23"/>
      <c r="ME73" s="23"/>
      <c r="MF73" s="23"/>
      <c r="MG73" s="23"/>
      <c r="MH73" s="23"/>
      <c r="MI73" s="23"/>
      <c r="MJ73" s="23"/>
      <c r="MK73" s="23"/>
      <c r="ML73" s="23"/>
      <c r="MM73" s="23"/>
      <c r="MN73" s="23"/>
      <c r="MO73" s="23"/>
      <c r="MP73" s="23"/>
      <c r="MQ73" s="23"/>
      <c r="MR73" s="23"/>
      <c r="MS73" s="23"/>
      <c r="MT73" s="23"/>
      <c r="MU73" s="23"/>
      <c r="MV73" s="23"/>
      <c r="MW73" s="23"/>
      <c r="MX73" s="23"/>
      <c r="MY73" s="23"/>
      <c r="MZ73" s="23"/>
      <c r="NA73" s="23"/>
      <c r="NB73" s="23"/>
      <c r="NC73" s="23"/>
      <c r="ND73" s="23"/>
      <c r="NE73" s="23"/>
      <c r="NF73" s="23"/>
      <c r="NG73" s="23">
        <v>166732</v>
      </c>
      <c r="NH73" s="23"/>
      <c r="NI73" s="23"/>
      <c r="NJ73" s="23"/>
      <c r="NK73" s="23"/>
      <c r="NL73" s="23"/>
      <c r="NM73" s="23"/>
      <c r="NN73" s="23"/>
      <c r="NO73" s="23"/>
      <c r="NP73" s="23"/>
      <c r="NQ73" s="23"/>
      <c r="NR73" s="23"/>
      <c r="NS73" s="23"/>
      <c r="NT73" s="23"/>
      <c r="NU73" s="23"/>
      <c r="NV73" s="23"/>
      <c r="NW73" s="23"/>
      <c r="NX73" s="23"/>
      <c r="NY73" s="23"/>
      <c r="NZ73" s="23"/>
      <c r="OA73" s="23"/>
      <c r="OB73" s="23"/>
      <c r="OC73" s="23"/>
      <c r="OD73" s="23"/>
      <c r="OE73" s="23"/>
      <c r="OF73" s="23"/>
      <c r="OG73" s="23"/>
      <c r="OH73" s="23"/>
      <c r="OI73" s="23"/>
      <c r="OJ73" s="23"/>
      <c r="OK73" s="23"/>
      <c r="OL73" s="23">
        <v>155501</v>
      </c>
      <c r="OM73" s="23"/>
      <c r="ON73" s="23"/>
      <c r="OO73" s="23"/>
      <c r="OP73" s="23"/>
      <c r="OQ73" s="23"/>
      <c r="OR73" s="23"/>
      <c r="OS73" s="23"/>
      <c r="OT73" s="23"/>
      <c r="OU73" s="23"/>
      <c r="OV73" s="23"/>
      <c r="OW73" s="23"/>
      <c r="OX73" s="23"/>
      <c r="OY73" s="23"/>
      <c r="OZ73" s="23"/>
      <c r="PA73" s="23"/>
      <c r="PB73" s="23"/>
      <c r="PC73" s="23"/>
      <c r="PD73" s="23"/>
      <c r="PE73" s="23"/>
      <c r="PF73" s="23"/>
      <c r="PG73" s="23"/>
      <c r="PH73" s="23"/>
      <c r="PI73" s="23"/>
      <c r="PJ73" s="23"/>
      <c r="PK73" s="23"/>
      <c r="PL73" s="23"/>
      <c r="PM73" s="23"/>
      <c r="PN73" s="23">
        <v>156541</v>
      </c>
      <c r="PO73" s="23"/>
      <c r="PP73" s="23"/>
      <c r="PQ73" s="23"/>
      <c r="PR73" s="23"/>
      <c r="PS73" s="23"/>
      <c r="PT73" s="23"/>
      <c r="PU73" s="23"/>
      <c r="PV73" s="23"/>
      <c r="PW73" s="23"/>
      <c r="PX73" s="23"/>
      <c r="PY73" s="23"/>
      <c r="PZ73" s="23"/>
      <c r="QA73" s="23"/>
      <c r="QB73" s="23"/>
      <c r="QC73" s="23"/>
      <c r="QD73" s="23"/>
      <c r="QE73" s="23"/>
      <c r="QF73" s="23"/>
      <c r="QG73" s="23"/>
      <c r="QH73" s="23"/>
      <c r="QI73" s="23"/>
      <c r="QJ73" s="23"/>
      <c r="QK73" s="23"/>
      <c r="QL73" s="23"/>
      <c r="QM73" s="23"/>
      <c r="QN73" s="23"/>
      <c r="QO73" s="23"/>
      <c r="QP73" s="23"/>
      <c r="QQ73" s="23"/>
      <c r="QR73" s="23"/>
      <c r="QS73" s="23">
        <v>172431</v>
      </c>
      <c r="QT73" s="23"/>
      <c r="QU73" s="23"/>
      <c r="QV73" s="23"/>
      <c r="QW73" s="23"/>
      <c r="QX73" s="23"/>
      <c r="QY73" s="23"/>
      <c r="QZ73" s="23"/>
      <c r="RA73" s="23"/>
      <c r="RB73" s="23"/>
      <c r="RC73" s="23"/>
      <c r="RD73" s="23"/>
      <c r="RE73" s="23"/>
      <c r="RF73" s="23"/>
      <c r="RG73" s="23"/>
      <c r="RH73" s="23"/>
      <c r="RI73" s="23"/>
      <c r="RJ73" s="23"/>
      <c r="RK73" s="23"/>
      <c r="RL73" s="23"/>
      <c r="RM73" s="23"/>
      <c r="RN73" s="23"/>
      <c r="RO73" s="23"/>
      <c r="RP73" s="23"/>
      <c r="RQ73" s="23"/>
      <c r="RR73" s="23"/>
      <c r="RS73" s="23"/>
      <c r="RT73" s="23"/>
      <c r="RU73" s="23"/>
      <c r="RV73" s="23"/>
      <c r="RW73" s="23">
        <v>182009</v>
      </c>
      <c r="RX73" s="23"/>
      <c r="RY73" s="23"/>
      <c r="RZ73" s="23"/>
      <c r="SA73" s="23"/>
      <c r="SB73" s="23"/>
      <c r="SC73" s="23"/>
      <c r="SD73" s="23"/>
      <c r="SE73" s="23"/>
      <c r="SF73" s="23"/>
      <c r="SG73" s="23"/>
      <c r="SH73" s="23"/>
      <c r="SI73" s="23"/>
      <c r="SJ73" s="23"/>
      <c r="SK73" s="23"/>
      <c r="SL73" s="23"/>
      <c r="SM73" s="23"/>
      <c r="SN73" s="23"/>
      <c r="SO73" s="23"/>
      <c r="SP73" s="23"/>
      <c r="SQ73" s="23"/>
      <c r="SR73" s="23"/>
      <c r="SS73" s="23"/>
      <c r="ST73" s="23"/>
      <c r="SU73" s="23"/>
      <c r="SV73" s="23"/>
      <c r="SW73" s="23"/>
      <c r="SX73" s="23"/>
      <c r="SY73" s="23"/>
      <c r="SZ73" s="23"/>
      <c r="TA73" s="23"/>
      <c r="TB73" s="23">
        <v>191951</v>
      </c>
      <c r="TC73" s="23"/>
      <c r="TD73" s="23"/>
      <c r="TE73" s="23"/>
      <c r="TF73" s="23"/>
      <c r="TG73" s="23"/>
      <c r="TH73" s="23"/>
      <c r="TI73" s="23"/>
      <c r="TJ73" s="23"/>
      <c r="TK73" s="23"/>
      <c r="TL73" s="23"/>
      <c r="TM73" s="23"/>
      <c r="TN73" s="23"/>
      <c r="TO73" s="23"/>
      <c r="TP73" s="23"/>
      <c r="TQ73" s="23"/>
      <c r="TR73" s="23"/>
      <c r="TS73" s="23"/>
      <c r="TT73" s="23"/>
      <c r="TU73" s="23"/>
      <c r="TV73" s="23"/>
      <c r="TW73" s="23"/>
      <c r="TX73" s="23"/>
      <c r="TY73" s="23"/>
      <c r="TZ73" s="23"/>
      <c r="UA73" s="23"/>
      <c r="UB73" s="23"/>
      <c r="UC73" s="23"/>
      <c r="UD73" s="23"/>
      <c r="UE73" s="23"/>
      <c r="UF73" s="23"/>
      <c r="UG73" s="23"/>
      <c r="UH73" s="23"/>
      <c r="UI73" s="23"/>
      <c r="UJ73" s="23"/>
      <c r="UK73" s="23"/>
      <c r="UL73" s="23"/>
      <c r="UM73" s="23"/>
      <c r="UN73" s="23"/>
      <c r="UO73" s="23"/>
      <c r="UP73" s="23"/>
      <c r="UQ73" s="23"/>
      <c r="UR73" s="23"/>
      <c r="US73" s="23"/>
      <c r="UT73" s="23"/>
    </row>
    <row r="74" ht="16.5" customHeight="1" spans="4:566">
      <c r="D74" s="19" t="s">
        <v>310</v>
      </c>
      <c r="E74" s="21" t="s">
        <v>311</v>
      </c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>
        <v>51.3</v>
      </c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>
        <v>52.2</v>
      </c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23"/>
      <c r="CI74" s="23"/>
      <c r="CJ74" s="23"/>
      <c r="CK74" s="23"/>
      <c r="CL74" s="23"/>
      <c r="CM74" s="23"/>
      <c r="CN74" s="23"/>
      <c r="CO74" s="23"/>
      <c r="CP74" s="23"/>
      <c r="CQ74" s="23"/>
      <c r="CR74" s="23">
        <v>50.4</v>
      </c>
      <c r="CS74" s="23"/>
      <c r="CT74" s="23"/>
      <c r="CU74" s="23"/>
      <c r="CV74" s="23"/>
      <c r="CW74" s="23"/>
      <c r="CX74" s="23"/>
      <c r="CY74" s="23"/>
      <c r="CZ74" s="23"/>
      <c r="DA74" s="23"/>
      <c r="DB74" s="23"/>
      <c r="DC74" s="23"/>
      <c r="DD74" s="23"/>
      <c r="DE74" s="23"/>
      <c r="DF74" s="23"/>
      <c r="DG74" s="23"/>
      <c r="DH74" s="23"/>
      <c r="DI74" s="23"/>
      <c r="DJ74" s="23"/>
      <c r="DK74" s="23"/>
      <c r="DL74" s="23"/>
      <c r="DM74" s="23"/>
      <c r="DN74" s="23"/>
      <c r="DO74" s="23"/>
      <c r="DP74" s="23"/>
      <c r="DQ74" s="23"/>
      <c r="DR74" s="23"/>
      <c r="DS74" s="23"/>
      <c r="DT74" s="23"/>
      <c r="DU74" s="23"/>
      <c r="DV74" s="23">
        <v>52.3</v>
      </c>
      <c r="DW74" s="23"/>
      <c r="DX74" s="23"/>
      <c r="DY74" s="23"/>
      <c r="DZ74" s="23"/>
      <c r="EA74" s="23"/>
      <c r="EB74" s="23"/>
      <c r="EC74" s="23"/>
      <c r="ED74" s="23"/>
      <c r="EE74" s="23"/>
      <c r="EF74" s="23"/>
      <c r="EG74" s="23"/>
      <c r="EH74" s="23"/>
      <c r="EI74" s="23"/>
      <c r="EJ74" s="23"/>
      <c r="EK74" s="23"/>
      <c r="EL74" s="23"/>
      <c r="EM74" s="23"/>
      <c r="EN74" s="23"/>
      <c r="EO74" s="23"/>
      <c r="EP74" s="23"/>
      <c r="EQ74" s="23"/>
      <c r="ER74" s="23"/>
      <c r="ES74" s="23"/>
      <c r="ET74" s="23"/>
      <c r="EU74" s="23"/>
      <c r="EV74" s="23"/>
      <c r="EW74" s="23"/>
      <c r="EX74" s="23"/>
      <c r="EY74" s="23"/>
      <c r="EZ74" s="23"/>
      <c r="FA74" s="23">
        <v>46.4</v>
      </c>
      <c r="FB74" s="23"/>
      <c r="FC74" s="23"/>
      <c r="FD74" s="23"/>
      <c r="FE74" s="23"/>
      <c r="FF74" s="23"/>
      <c r="FG74" s="23"/>
      <c r="FH74" s="23"/>
      <c r="FI74" s="23"/>
      <c r="FJ74" s="23"/>
      <c r="FK74" s="23"/>
      <c r="FL74" s="23"/>
      <c r="FM74" s="23"/>
      <c r="FN74" s="23"/>
      <c r="FO74" s="23"/>
      <c r="FP74" s="23"/>
      <c r="FQ74" s="23"/>
      <c r="FR74" s="23"/>
      <c r="FS74" s="23"/>
      <c r="FT74" s="23"/>
      <c r="FU74" s="23"/>
      <c r="FV74" s="23"/>
      <c r="FW74" s="23"/>
      <c r="FX74" s="23"/>
      <c r="FY74" s="23"/>
      <c r="FZ74" s="23"/>
      <c r="GA74" s="23"/>
      <c r="GB74" s="23"/>
      <c r="GC74" s="23"/>
      <c r="GD74" s="23"/>
      <c r="GE74" s="23">
        <v>51.3</v>
      </c>
      <c r="GF74" s="23"/>
      <c r="GG74" s="23"/>
      <c r="GH74" s="23"/>
      <c r="GI74" s="23"/>
      <c r="GJ74" s="23"/>
      <c r="GK74" s="23"/>
      <c r="GL74" s="23"/>
      <c r="GM74" s="23"/>
      <c r="GN74" s="23"/>
      <c r="GO74" s="23"/>
      <c r="GP74" s="23"/>
      <c r="GQ74" s="23"/>
      <c r="GR74" s="23"/>
      <c r="GS74" s="23"/>
      <c r="GT74" s="23"/>
      <c r="GU74" s="23"/>
      <c r="GV74" s="23"/>
      <c r="GW74" s="23"/>
      <c r="GX74" s="23"/>
      <c r="GY74" s="23"/>
      <c r="GZ74" s="23"/>
      <c r="HA74" s="23"/>
      <c r="HB74" s="23"/>
      <c r="HC74" s="23"/>
      <c r="HD74" s="23"/>
      <c r="HE74" s="23"/>
      <c r="HF74" s="23"/>
      <c r="HG74" s="23"/>
      <c r="HH74" s="23"/>
      <c r="HI74" s="23"/>
      <c r="HJ74" s="23">
        <v>50.3</v>
      </c>
      <c r="HK74" s="23"/>
      <c r="HL74" s="23"/>
      <c r="HM74" s="23"/>
      <c r="HN74" s="23"/>
      <c r="HO74" s="23"/>
      <c r="HP74" s="23"/>
      <c r="HQ74" s="23"/>
      <c r="HR74" s="23"/>
      <c r="HS74" s="23"/>
      <c r="HT74" s="23"/>
      <c r="HU74" s="23"/>
      <c r="HV74" s="23"/>
      <c r="HW74" s="23"/>
      <c r="HX74" s="23"/>
      <c r="HY74" s="23"/>
      <c r="HZ74" s="23"/>
      <c r="IA74" s="23"/>
      <c r="IB74" s="23"/>
      <c r="IC74" s="23"/>
      <c r="ID74" s="23"/>
      <c r="IE74" s="23"/>
      <c r="IF74" s="23"/>
      <c r="IG74" s="23"/>
      <c r="IH74" s="23"/>
      <c r="II74" s="23"/>
      <c r="IJ74" s="23"/>
      <c r="IK74" s="23"/>
      <c r="IL74" s="23"/>
      <c r="IM74" s="23"/>
      <c r="IN74" s="23"/>
      <c r="IO74" s="23">
        <v>56</v>
      </c>
      <c r="IP74" s="31"/>
      <c r="IQ74" s="31"/>
      <c r="IR74" s="31"/>
      <c r="IS74" s="31"/>
      <c r="IT74" s="31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  <c r="JH74" s="31"/>
      <c r="JI74" s="31"/>
      <c r="JJ74" s="31"/>
      <c r="JK74" s="31"/>
      <c r="JL74" s="31"/>
      <c r="JM74" s="31"/>
      <c r="JN74" s="31"/>
      <c r="JO74" s="31"/>
      <c r="JP74" s="31"/>
      <c r="JQ74" s="31"/>
      <c r="JR74" s="31"/>
      <c r="JS74" s="31">
        <v>50.4</v>
      </c>
      <c r="JT74" s="31"/>
      <c r="JU74" s="31"/>
      <c r="JV74" s="31"/>
      <c r="JW74" s="31"/>
      <c r="JX74" s="31"/>
      <c r="JY74" s="31"/>
      <c r="JZ74" s="23"/>
      <c r="KA74" s="23"/>
      <c r="KB74" s="23"/>
      <c r="KC74" s="23"/>
      <c r="KD74" s="23"/>
      <c r="KE74" s="23"/>
      <c r="KF74" s="23"/>
      <c r="KG74" s="23"/>
      <c r="KH74" s="23"/>
      <c r="KI74" s="23"/>
      <c r="KJ74" s="23"/>
      <c r="KK74" s="23"/>
      <c r="KL74" s="23"/>
      <c r="KM74" s="23"/>
      <c r="KN74" s="23"/>
      <c r="KO74" s="23"/>
      <c r="KP74" s="23"/>
      <c r="KQ74" s="23"/>
      <c r="KR74" s="23"/>
      <c r="KS74" s="23"/>
      <c r="KT74" s="23"/>
      <c r="KU74" s="23"/>
      <c r="KV74" s="23"/>
      <c r="KW74" s="23"/>
      <c r="KX74" s="23">
        <v>56.2</v>
      </c>
      <c r="KY74" s="23"/>
      <c r="KZ74" s="23"/>
      <c r="LA74" s="23"/>
      <c r="LB74" s="23"/>
      <c r="LC74" s="23"/>
      <c r="LD74" s="23"/>
      <c r="LE74" s="23"/>
      <c r="LF74" s="23"/>
      <c r="LG74" s="23"/>
      <c r="LH74" s="23"/>
      <c r="LI74" s="23"/>
      <c r="LJ74" s="23"/>
      <c r="LK74" s="23"/>
      <c r="LL74" s="23"/>
      <c r="LM74" s="23"/>
      <c r="LN74" s="23"/>
      <c r="LO74" s="23"/>
      <c r="LP74" s="23"/>
      <c r="LQ74" s="23"/>
      <c r="LR74" s="23"/>
      <c r="LS74" s="23"/>
      <c r="LT74" s="23"/>
      <c r="LU74" s="23"/>
      <c r="LV74" s="23"/>
      <c r="LW74" s="23"/>
      <c r="LX74" s="23"/>
      <c r="LY74" s="23"/>
      <c r="LZ74" s="23"/>
      <c r="MA74" s="23"/>
      <c r="MB74" s="23">
        <v>52.9</v>
      </c>
      <c r="MC74" s="23"/>
      <c r="MD74" s="23"/>
      <c r="ME74" s="23"/>
      <c r="MF74" s="23"/>
      <c r="MG74" s="23"/>
      <c r="MH74" s="23"/>
      <c r="MI74" s="23"/>
      <c r="MJ74" s="23"/>
      <c r="MK74" s="23"/>
      <c r="ML74" s="23"/>
      <c r="MM74" s="23"/>
      <c r="MN74" s="23"/>
      <c r="MO74" s="23"/>
      <c r="MP74" s="23"/>
      <c r="MQ74" s="23"/>
      <c r="MR74" s="23"/>
      <c r="MS74" s="23"/>
      <c r="MT74" s="23"/>
      <c r="MU74" s="23"/>
      <c r="MV74" s="23"/>
      <c r="MW74" s="23"/>
      <c r="MX74" s="23"/>
      <c r="MY74" s="23"/>
      <c r="MZ74" s="23"/>
      <c r="NA74" s="23"/>
      <c r="NB74" s="23"/>
      <c r="NC74" s="23"/>
      <c r="ND74" s="23"/>
      <c r="NE74" s="23"/>
      <c r="NF74" s="23"/>
      <c r="NG74" s="23">
        <v>57.9</v>
      </c>
      <c r="NH74" s="23"/>
      <c r="NI74" s="23"/>
      <c r="NJ74" s="23"/>
      <c r="NK74" s="23"/>
      <c r="NL74" s="23"/>
      <c r="NM74" s="23"/>
      <c r="NN74" s="23"/>
      <c r="NO74" s="23"/>
      <c r="NP74" s="23"/>
      <c r="NQ74" s="23"/>
      <c r="NR74" s="23"/>
      <c r="NS74" s="23"/>
      <c r="NT74" s="23"/>
      <c r="NU74" s="23"/>
      <c r="NV74" s="23"/>
      <c r="NW74" s="23"/>
      <c r="NX74" s="23"/>
      <c r="NY74" s="23"/>
      <c r="NZ74" s="23"/>
      <c r="OA74" s="23"/>
      <c r="OB74" s="23"/>
      <c r="OC74" s="23"/>
      <c r="OD74" s="23"/>
      <c r="OE74" s="23"/>
      <c r="OF74" s="23"/>
      <c r="OG74" s="23"/>
      <c r="OH74" s="23"/>
      <c r="OI74" s="23"/>
      <c r="OJ74" s="23"/>
      <c r="OK74" s="23"/>
      <c r="OL74" s="23">
        <v>53.1</v>
      </c>
      <c r="OM74" s="23"/>
      <c r="ON74" s="23"/>
      <c r="OO74" s="23"/>
      <c r="OP74" s="23"/>
      <c r="OQ74" s="23"/>
      <c r="OR74" s="23"/>
      <c r="OS74" s="23"/>
      <c r="OT74" s="23"/>
      <c r="OU74" s="23"/>
      <c r="OV74" s="23"/>
      <c r="OW74" s="23"/>
      <c r="OX74" s="23"/>
      <c r="OY74" s="23"/>
      <c r="OZ74" s="23"/>
      <c r="PA74" s="23"/>
      <c r="PB74" s="23"/>
      <c r="PC74" s="23"/>
      <c r="PD74" s="23"/>
      <c r="PE74" s="23"/>
      <c r="PF74" s="23"/>
      <c r="PG74" s="23"/>
      <c r="PH74" s="23"/>
      <c r="PI74" s="23"/>
      <c r="PJ74" s="23"/>
      <c r="PK74" s="23"/>
      <c r="PL74" s="23"/>
      <c r="PM74" s="23"/>
      <c r="PN74" s="23">
        <v>58.6</v>
      </c>
      <c r="PO74" s="23"/>
      <c r="PP74" s="23"/>
      <c r="PQ74" s="23"/>
      <c r="PR74" s="23"/>
      <c r="PS74" s="23"/>
      <c r="PT74" s="23"/>
      <c r="PU74" s="23"/>
      <c r="PV74" s="23"/>
      <c r="PW74" s="23"/>
      <c r="PX74" s="23"/>
      <c r="PY74" s="23"/>
      <c r="PZ74" s="23"/>
      <c r="QA74" s="23"/>
      <c r="QB74" s="23"/>
      <c r="QC74" s="23"/>
      <c r="QD74" s="23"/>
      <c r="QE74" s="23"/>
      <c r="QF74" s="23"/>
      <c r="QG74" s="23"/>
      <c r="QH74" s="23"/>
      <c r="QI74" s="23"/>
      <c r="QJ74" s="23"/>
      <c r="QK74" s="23"/>
      <c r="QL74" s="23"/>
      <c r="QM74" s="23"/>
      <c r="QN74" s="23"/>
      <c r="QO74" s="23"/>
      <c r="QP74" s="23"/>
      <c r="QQ74" s="23"/>
      <c r="QR74" s="23"/>
      <c r="QS74" s="23">
        <v>60.6</v>
      </c>
      <c r="QT74" s="23"/>
      <c r="QU74" s="23"/>
      <c r="QV74" s="23"/>
      <c r="QW74" s="23"/>
      <c r="QX74" s="23"/>
      <c r="QY74" s="23"/>
      <c r="QZ74" s="23"/>
      <c r="RA74" s="23"/>
      <c r="RB74" s="23"/>
      <c r="RC74" s="23"/>
      <c r="RD74" s="23"/>
      <c r="RE74" s="23"/>
      <c r="RF74" s="23"/>
      <c r="RG74" s="23"/>
      <c r="RH74" s="23"/>
      <c r="RI74" s="23"/>
      <c r="RJ74" s="23"/>
      <c r="RK74" s="23"/>
      <c r="RL74" s="23"/>
      <c r="RM74" s="23"/>
      <c r="RN74" s="23"/>
      <c r="RO74" s="23"/>
      <c r="RP74" s="23"/>
      <c r="RQ74" s="23"/>
      <c r="RR74" s="23"/>
      <c r="RS74" s="23"/>
      <c r="RT74" s="23"/>
      <c r="RU74" s="23"/>
      <c r="RV74" s="23"/>
      <c r="RW74" s="23">
        <v>53.5</v>
      </c>
      <c r="RX74" s="23"/>
      <c r="RY74" s="23"/>
      <c r="RZ74" s="23"/>
      <c r="SA74" s="23"/>
      <c r="SB74" s="23"/>
      <c r="SC74" s="23"/>
      <c r="SD74" s="23"/>
      <c r="SE74" s="23"/>
      <c r="SF74" s="23"/>
      <c r="SG74" s="23"/>
      <c r="SH74" s="23"/>
      <c r="SI74" s="23"/>
      <c r="SJ74" s="23"/>
      <c r="SK74" s="23"/>
      <c r="SL74" s="23"/>
      <c r="SM74" s="23"/>
      <c r="SN74" s="23"/>
      <c r="SO74" s="23"/>
      <c r="SP74" s="23"/>
      <c r="SQ74" s="23"/>
      <c r="SR74" s="23"/>
      <c r="SS74" s="23"/>
      <c r="ST74" s="23"/>
      <c r="SU74" s="23"/>
      <c r="SV74" s="23"/>
      <c r="SW74" s="23"/>
      <c r="SX74" s="23"/>
      <c r="SY74" s="23"/>
      <c r="SZ74" s="23"/>
      <c r="TA74" s="23"/>
      <c r="TB74" s="23">
        <v>57.3</v>
      </c>
      <c r="TC74" s="23"/>
      <c r="TD74" s="23"/>
      <c r="TE74" s="23"/>
      <c r="TF74" s="23"/>
      <c r="TG74" s="23"/>
      <c r="TH74" s="23"/>
      <c r="TI74" s="23"/>
      <c r="TJ74" s="23"/>
      <c r="TK74" s="23"/>
      <c r="TL74" s="23"/>
      <c r="TM74" s="23"/>
      <c r="TN74" s="23"/>
      <c r="TO74" s="23"/>
      <c r="TP74" s="23"/>
      <c r="TQ74" s="23"/>
      <c r="TR74" s="23"/>
      <c r="TS74" s="23"/>
      <c r="TT74" s="23"/>
      <c r="TU74" s="23"/>
      <c r="TV74" s="23"/>
      <c r="TW74" s="23"/>
      <c r="TX74" s="23"/>
      <c r="TY74" s="23"/>
      <c r="TZ74" s="23"/>
      <c r="UA74" s="23"/>
      <c r="UB74" s="23"/>
      <c r="UC74" s="23"/>
      <c r="UD74" s="23"/>
      <c r="UE74" s="23"/>
      <c r="UF74" s="23"/>
      <c r="UG74" s="23"/>
      <c r="UH74" s="23"/>
      <c r="UI74" s="23"/>
      <c r="UJ74" s="23"/>
      <c r="UK74" s="23"/>
      <c r="UL74" s="23"/>
      <c r="UM74" s="23"/>
      <c r="UN74" s="23"/>
      <c r="UO74" s="23"/>
      <c r="UP74" s="23"/>
      <c r="UQ74" s="23"/>
      <c r="UR74" s="23"/>
      <c r="US74" s="23"/>
      <c r="UT74" s="23"/>
    </row>
    <row r="75" ht="16.5" customHeight="1" spans="4:566">
      <c r="D75" s="19" t="s">
        <v>312</v>
      </c>
      <c r="E75" s="21" t="s">
        <v>313</v>
      </c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>
        <v>5.05</v>
      </c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>
        <v>4.49</v>
      </c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>
        <v>6.74</v>
      </c>
      <c r="CS75" s="23"/>
      <c r="CT75" s="23"/>
      <c r="CU75" s="23"/>
      <c r="CV75" s="23"/>
      <c r="CW75" s="23"/>
      <c r="CX75" s="23"/>
      <c r="CY75" s="23"/>
      <c r="CZ75" s="23"/>
      <c r="DA75" s="23"/>
      <c r="DB75" s="23"/>
      <c r="DC75" s="23"/>
      <c r="DD75" s="23"/>
      <c r="DE75" s="23"/>
      <c r="DF75" s="23"/>
      <c r="DG75" s="23"/>
      <c r="DH75" s="23"/>
      <c r="DI75" s="23"/>
      <c r="DJ75" s="23"/>
      <c r="DK75" s="23"/>
      <c r="DL75" s="23"/>
      <c r="DM75" s="23"/>
      <c r="DN75" s="23"/>
      <c r="DO75" s="23"/>
      <c r="DP75" s="23"/>
      <c r="DQ75" s="23"/>
      <c r="DR75" s="23"/>
      <c r="DS75" s="23"/>
      <c r="DT75" s="23"/>
      <c r="DU75" s="23"/>
      <c r="DV75" s="23">
        <v>8.59</v>
      </c>
      <c r="DW75" s="23"/>
      <c r="DX75" s="23"/>
      <c r="DY75" s="23"/>
      <c r="DZ75" s="23"/>
      <c r="EA75" s="23"/>
      <c r="EB75" s="23"/>
      <c r="EC75" s="23"/>
      <c r="ED75" s="23"/>
      <c r="EE75" s="23"/>
      <c r="EF75" s="23"/>
      <c r="EG75" s="23"/>
      <c r="EH75" s="23"/>
      <c r="EI75" s="23"/>
      <c r="EJ75" s="23"/>
      <c r="EK75" s="23"/>
      <c r="EL75" s="23"/>
      <c r="EM75" s="23"/>
      <c r="EN75" s="23"/>
      <c r="EO75" s="23"/>
      <c r="EP75" s="23"/>
      <c r="EQ75" s="23"/>
      <c r="ER75" s="23"/>
      <c r="ES75" s="23"/>
      <c r="ET75" s="23"/>
      <c r="EU75" s="23"/>
      <c r="EV75" s="23"/>
      <c r="EW75" s="23"/>
      <c r="EX75" s="23"/>
      <c r="EY75" s="23"/>
      <c r="EZ75" s="23"/>
      <c r="FA75" s="23">
        <v>5.92</v>
      </c>
      <c r="FB75" s="23"/>
      <c r="FC75" s="23"/>
      <c r="FD75" s="23"/>
      <c r="FE75" s="23"/>
      <c r="FF75" s="23"/>
      <c r="FG75" s="23"/>
      <c r="FH75" s="23"/>
      <c r="FI75" s="23"/>
      <c r="FJ75" s="23"/>
      <c r="FK75" s="23"/>
      <c r="FL75" s="23"/>
      <c r="FM75" s="23"/>
      <c r="FN75" s="23"/>
      <c r="FO75" s="23"/>
      <c r="FP75" s="23"/>
      <c r="FQ75" s="23"/>
      <c r="FR75" s="23"/>
      <c r="FS75" s="23"/>
      <c r="FT75" s="23"/>
      <c r="FU75" s="23"/>
      <c r="FV75" s="23"/>
      <c r="FW75" s="23"/>
      <c r="FX75" s="23"/>
      <c r="FY75" s="23"/>
      <c r="FZ75" s="23"/>
      <c r="GA75" s="23"/>
      <c r="GB75" s="23"/>
      <c r="GC75" s="23"/>
      <c r="GD75" s="23"/>
      <c r="GE75" s="23">
        <v>4.37</v>
      </c>
      <c r="GF75" s="23"/>
      <c r="GG75" s="23"/>
      <c r="GH75" s="23"/>
      <c r="GI75" s="23"/>
      <c r="GJ75" s="23"/>
      <c r="GK75" s="23"/>
      <c r="GL75" s="23"/>
      <c r="GM75" s="23"/>
      <c r="GN75" s="23"/>
      <c r="GO75" s="23"/>
      <c r="GP75" s="23"/>
      <c r="GQ75" s="23"/>
      <c r="GR75" s="23"/>
      <c r="GS75" s="23"/>
      <c r="GT75" s="23"/>
      <c r="GU75" s="23"/>
      <c r="GV75" s="23"/>
      <c r="GW75" s="23"/>
      <c r="GX75" s="23"/>
      <c r="GY75" s="23"/>
      <c r="GZ75" s="23"/>
      <c r="HA75" s="23"/>
      <c r="HB75" s="23"/>
      <c r="HC75" s="23"/>
      <c r="HD75" s="23"/>
      <c r="HE75" s="23"/>
      <c r="HF75" s="23"/>
      <c r="HG75" s="23"/>
      <c r="HH75" s="23"/>
      <c r="HI75" s="23"/>
      <c r="HJ75" s="23">
        <v>4.75</v>
      </c>
      <c r="HK75" s="23"/>
      <c r="HL75" s="23"/>
      <c r="HM75" s="23"/>
      <c r="HN75" s="23"/>
      <c r="HO75" s="23"/>
      <c r="HP75" s="23"/>
      <c r="HQ75" s="23"/>
      <c r="HR75" s="23"/>
      <c r="HS75" s="23"/>
      <c r="HT75" s="23"/>
      <c r="HU75" s="23"/>
      <c r="HV75" s="23"/>
      <c r="HW75" s="23"/>
      <c r="HX75" s="23"/>
      <c r="HY75" s="23"/>
      <c r="HZ75" s="23"/>
      <c r="IA75" s="23"/>
      <c r="IB75" s="23"/>
      <c r="IC75" s="23"/>
      <c r="ID75" s="23"/>
      <c r="IE75" s="23"/>
      <c r="IF75" s="23"/>
      <c r="IG75" s="23"/>
      <c r="IH75" s="23"/>
      <c r="II75" s="23"/>
      <c r="IJ75" s="23"/>
      <c r="IK75" s="23"/>
      <c r="IL75" s="23"/>
      <c r="IM75" s="23"/>
      <c r="IN75" s="23"/>
      <c r="IO75" s="23">
        <v>3.24</v>
      </c>
      <c r="IP75" s="31"/>
      <c r="IQ75" s="31"/>
      <c r="IR75" s="31"/>
      <c r="IS75" s="31"/>
      <c r="IT75" s="31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  <c r="JN75" s="31"/>
      <c r="JO75" s="31"/>
      <c r="JP75" s="31"/>
      <c r="JQ75" s="31"/>
      <c r="JR75" s="31"/>
      <c r="JS75" s="31">
        <v>6.97</v>
      </c>
      <c r="JT75" s="31"/>
      <c r="JU75" s="31"/>
      <c r="JV75" s="31"/>
      <c r="JW75" s="31"/>
      <c r="JX75" s="31"/>
      <c r="JY75" s="31"/>
      <c r="JZ75" s="23"/>
      <c r="KA75" s="23"/>
      <c r="KB75" s="23"/>
      <c r="KC75" s="23"/>
      <c r="KD75" s="23"/>
      <c r="KE75" s="23"/>
      <c r="KF75" s="23"/>
      <c r="KG75" s="23"/>
      <c r="KH75" s="23"/>
      <c r="KI75" s="23"/>
      <c r="KJ75" s="23"/>
      <c r="KK75" s="23"/>
      <c r="KL75" s="23"/>
      <c r="KM75" s="23"/>
      <c r="KN75" s="23"/>
      <c r="KO75" s="23"/>
      <c r="KP75" s="23"/>
      <c r="KQ75" s="23"/>
      <c r="KR75" s="23"/>
      <c r="KS75" s="23"/>
      <c r="KT75" s="23"/>
      <c r="KU75" s="23"/>
      <c r="KV75" s="23"/>
      <c r="KW75" s="23"/>
      <c r="KX75" s="23">
        <v>11.62</v>
      </c>
      <c r="KY75" s="23"/>
      <c r="KZ75" s="23"/>
      <c r="LA75" s="23"/>
      <c r="LB75" s="23"/>
      <c r="LC75" s="23"/>
      <c r="LD75" s="23"/>
      <c r="LE75" s="23"/>
      <c r="LF75" s="23"/>
      <c r="LG75" s="23"/>
      <c r="LH75" s="23"/>
      <c r="LI75" s="23"/>
      <c r="LJ75" s="23"/>
      <c r="LK75" s="23"/>
      <c r="LL75" s="23"/>
      <c r="LM75" s="23"/>
      <c r="LN75" s="23"/>
      <c r="LO75" s="23"/>
      <c r="LP75" s="23"/>
      <c r="LQ75" s="23"/>
      <c r="LR75" s="23"/>
      <c r="LS75" s="23"/>
      <c r="LT75" s="23"/>
      <c r="LU75" s="23"/>
      <c r="LV75" s="23"/>
      <c r="LW75" s="23"/>
      <c r="LX75" s="23"/>
      <c r="LY75" s="23"/>
      <c r="LZ75" s="23"/>
      <c r="MA75" s="23"/>
      <c r="MB75" s="23">
        <v>4.64</v>
      </c>
      <c r="MC75" s="23"/>
      <c r="MD75" s="23"/>
      <c r="ME75" s="23"/>
      <c r="MF75" s="23"/>
      <c r="MG75" s="23"/>
      <c r="MH75" s="23"/>
      <c r="MI75" s="23"/>
      <c r="MJ75" s="23"/>
      <c r="MK75" s="23"/>
      <c r="ML75" s="23"/>
      <c r="MM75" s="23"/>
      <c r="MN75" s="23"/>
      <c r="MO75" s="23"/>
      <c r="MP75" s="23"/>
      <c r="MQ75" s="23"/>
      <c r="MR75" s="23"/>
      <c r="MS75" s="23"/>
      <c r="MT75" s="23"/>
      <c r="MU75" s="23"/>
      <c r="MV75" s="23"/>
      <c r="MW75" s="23"/>
      <c r="MX75" s="23"/>
      <c r="MY75" s="23"/>
      <c r="MZ75" s="23"/>
      <c r="NA75" s="23"/>
      <c r="NB75" s="23"/>
      <c r="NC75" s="23"/>
      <c r="ND75" s="23"/>
      <c r="NE75" s="23"/>
      <c r="NF75" s="23"/>
      <c r="NG75" s="23">
        <v>5.42</v>
      </c>
      <c r="NH75" s="23"/>
      <c r="NI75" s="23"/>
      <c r="NJ75" s="23"/>
      <c r="NK75" s="23"/>
      <c r="NL75" s="23"/>
      <c r="NM75" s="23"/>
      <c r="NN75" s="23"/>
      <c r="NO75" s="23"/>
      <c r="NP75" s="23"/>
      <c r="NQ75" s="23"/>
      <c r="NR75" s="23"/>
      <c r="NS75" s="23"/>
      <c r="NT75" s="23"/>
      <c r="NU75" s="23"/>
      <c r="NV75" s="23"/>
      <c r="NW75" s="23"/>
      <c r="NX75" s="23"/>
      <c r="NY75" s="23"/>
      <c r="NZ75" s="23"/>
      <c r="OA75" s="23"/>
      <c r="OB75" s="23"/>
      <c r="OC75" s="23"/>
      <c r="OD75" s="23"/>
      <c r="OE75" s="23"/>
      <c r="OF75" s="23"/>
      <c r="OG75" s="23"/>
      <c r="OH75" s="23"/>
      <c r="OI75" s="23"/>
      <c r="OJ75" s="23"/>
      <c r="OK75" s="23"/>
      <c r="OL75" s="23">
        <v>9.09</v>
      </c>
      <c r="OM75" s="23"/>
      <c r="ON75" s="23"/>
      <c r="OO75" s="23"/>
      <c r="OP75" s="23"/>
      <c r="OQ75" s="23"/>
      <c r="OR75" s="23"/>
      <c r="OS75" s="23"/>
      <c r="OT75" s="23"/>
      <c r="OU75" s="23"/>
      <c r="OV75" s="23"/>
      <c r="OW75" s="23"/>
      <c r="OX75" s="23"/>
      <c r="OY75" s="23"/>
      <c r="OZ75" s="23"/>
      <c r="PA75" s="23"/>
      <c r="PB75" s="23"/>
      <c r="PC75" s="23"/>
      <c r="PD75" s="23"/>
      <c r="PE75" s="23"/>
      <c r="PF75" s="23"/>
      <c r="PG75" s="23"/>
      <c r="PH75" s="23"/>
      <c r="PI75" s="23"/>
      <c r="PJ75" s="23"/>
      <c r="PK75" s="23"/>
      <c r="PL75" s="23"/>
      <c r="PM75" s="23"/>
      <c r="PN75" s="23">
        <v>11.15</v>
      </c>
      <c r="PO75" s="23"/>
      <c r="PP75" s="23"/>
      <c r="PQ75" s="23"/>
      <c r="PR75" s="23"/>
      <c r="PS75" s="23"/>
      <c r="PT75" s="23"/>
      <c r="PU75" s="23"/>
      <c r="PV75" s="23"/>
      <c r="PW75" s="23"/>
      <c r="PX75" s="23"/>
      <c r="PY75" s="23"/>
      <c r="PZ75" s="23"/>
      <c r="QA75" s="23"/>
      <c r="QB75" s="23"/>
      <c r="QC75" s="23"/>
      <c r="QD75" s="23"/>
      <c r="QE75" s="23"/>
      <c r="QF75" s="23"/>
      <c r="QG75" s="23"/>
      <c r="QH75" s="23"/>
      <c r="QI75" s="23"/>
      <c r="QJ75" s="23"/>
      <c r="QK75" s="23"/>
      <c r="QL75" s="23"/>
      <c r="QM75" s="23"/>
      <c r="QN75" s="23"/>
      <c r="QO75" s="23"/>
      <c r="QP75" s="23"/>
      <c r="QQ75" s="23"/>
      <c r="QR75" s="23"/>
      <c r="QS75" s="23">
        <v>12.5</v>
      </c>
      <c r="QT75" s="23"/>
      <c r="QU75" s="23"/>
      <c r="QV75" s="23"/>
      <c r="QW75" s="23"/>
      <c r="QX75" s="23"/>
      <c r="QY75" s="23"/>
      <c r="QZ75" s="23"/>
      <c r="RA75" s="23"/>
      <c r="RB75" s="23"/>
      <c r="RC75" s="23"/>
      <c r="RD75" s="23"/>
      <c r="RE75" s="23"/>
      <c r="RF75" s="23"/>
      <c r="RG75" s="23"/>
      <c r="RH75" s="23"/>
      <c r="RI75" s="23"/>
      <c r="RJ75" s="23"/>
      <c r="RK75" s="23"/>
      <c r="RL75" s="23"/>
      <c r="RM75" s="23"/>
      <c r="RN75" s="23"/>
      <c r="RO75" s="23"/>
      <c r="RP75" s="23"/>
      <c r="RQ75" s="23"/>
      <c r="RR75" s="23"/>
      <c r="RS75" s="23"/>
      <c r="RT75" s="23"/>
      <c r="RU75" s="23"/>
      <c r="RV75" s="23"/>
      <c r="RW75" s="23">
        <v>12.56</v>
      </c>
      <c r="RX75" s="23"/>
      <c r="RY75" s="23"/>
      <c r="RZ75" s="23"/>
      <c r="SA75" s="23"/>
      <c r="SB75" s="23"/>
      <c r="SC75" s="23"/>
      <c r="SD75" s="23"/>
      <c r="SE75" s="23"/>
      <c r="SF75" s="23"/>
      <c r="SG75" s="23"/>
      <c r="SH75" s="23"/>
      <c r="SI75" s="23"/>
      <c r="SJ75" s="23"/>
      <c r="SK75" s="23"/>
      <c r="SL75" s="23"/>
      <c r="SM75" s="23"/>
      <c r="SN75" s="23"/>
      <c r="SO75" s="23"/>
      <c r="SP75" s="23"/>
      <c r="SQ75" s="23"/>
      <c r="SR75" s="23"/>
      <c r="SS75" s="23"/>
      <c r="ST75" s="23"/>
      <c r="SU75" s="23"/>
      <c r="SV75" s="23"/>
      <c r="SW75" s="23"/>
      <c r="SX75" s="23"/>
      <c r="SY75" s="23"/>
      <c r="SZ75" s="23"/>
      <c r="TA75" s="23"/>
      <c r="TB75" s="23"/>
      <c r="TC75" s="23"/>
      <c r="TD75" s="23"/>
      <c r="TE75" s="23"/>
      <c r="TF75" s="23"/>
      <c r="TG75" s="23"/>
      <c r="TH75" s="23"/>
      <c r="TI75" s="23"/>
      <c r="TJ75" s="23"/>
      <c r="TK75" s="23"/>
      <c r="TL75" s="23"/>
      <c r="TM75" s="23"/>
      <c r="TN75" s="23"/>
      <c r="TO75" s="23"/>
      <c r="TP75" s="23"/>
      <c r="TQ75" s="23"/>
      <c r="TR75" s="23"/>
      <c r="TS75" s="23"/>
      <c r="TT75" s="23"/>
      <c r="TU75" s="23"/>
      <c r="TV75" s="23"/>
      <c r="TW75" s="23"/>
      <c r="TX75" s="23"/>
      <c r="TY75" s="23"/>
      <c r="TZ75" s="23"/>
      <c r="UA75" s="23"/>
      <c r="UB75" s="23"/>
      <c r="UC75" s="23"/>
      <c r="UD75" s="23"/>
      <c r="UE75" s="23"/>
      <c r="UF75" s="23"/>
      <c r="UG75" s="23"/>
      <c r="UH75" s="23"/>
      <c r="UI75" s="23"/>
      <c r="UJ75" s="23"/>
      <c r="UK75" s="23"/>
      <c r="UL75" s="23"/>
      <c r="UM75" s="23"/>
      <c r="UN75" s="23"/>
      <c r="UO75" s="23"/>
      <c r="UP75" s="23"/>
      <c r="UQ75" s="23"/>
      <c r="UR75" s="23"/>
      <c r="US75" s="23"/>
      <c r="UT75" s="23"/>
    </row>
    <row r="76" ht="16.5" customHeight="1" spans="4:566">
      <c r="D76" s="19" t="s">
        <v>314</v>
      </c>
      <c r="E76" s="21" t="s">
        <v>315</v>
      </c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>
        <v>4</v>
      </c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>
        <v>4.2</v>
      </c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>
        <v>4.2</v>
      </c>
      <c r="CS76" s="23"/>
      <c r="CT76" s="23"/>
      <c r="CU76" s="23"/>
      <c r="CV76" s="23"/>
      <c r="CW76" s="23"/>
      <c r="CX76" s="23"/>
      <c r="CY76" s="23"/>
      <c r="CZ76" s="23"/>
      <c r="DA76" s="23"/>
      <c r="DB76" s="23"/>
      <c r="DC76" s="23"/>
      <c r="DD76" s="23"/>
      <c r="DE76" s="23"/>
      <c r="DF76" s="23"/>
      <c r="DG76" s="23"/>
      <c r="DH76" s="23"/>
      <c r="DI76" s="23"/>
      <c r="DJ76" s="23"/>
      <c r="DK76" s="23"/>
      <c r="DL76" s="23"/>
      <c r="DM76" s="23"/>
      <c r="DN76" s="23"/>
      <c r="DO76" s="23"/>
      <c r="DP76" s="23"/>
      <c r="DQ76" s="23"/>
      <c r="DR76" s="23"/>
      <c r="DS76" s="23"/>
      <c r="DT76" s="23"/>
      <c r="DU76" s="23"/>
      <c r="DV76" s="23">
        <v>4.2</v>
      </c>
      <c r="DW76" s="23"/>
      <c r="DX76" s="23"/>
      <c r="DY76" s="23"/>
      <c r="DZ76" s="23"/>
      <c r="EA76" s="23"/>
      <c r="EB76" s="23"/>
      <c r="EC76" s="23"/>
      <c r="ED76" s="23"/>
      <c r="EE76" s="23"/>
      <c r="EF76" s="23"/>
      <c r="EG76" s="23"/>
      <c r="EH76" s="23"/>
      <c r="EI76" s="23"/>
      <c r="EJ76" s="23"/>
      <c r="EK76" s="23"/>
      <c r="EL76" s="23"/>
      <c r="EM76" s="23"/>
      <c r="EN76" s="23"/>
      <c r="EO76" s="23"/>
      <c r="EP76" s="23"/>
      <c r="EQ76" s="23"/>
      <c r="ER76" s="23"/>
      <c r="ES76" s="23"/>
      <c r="ET76" s="23"/>
      <c r="EU76" s="23"/>
      <c r="EV76" s="23"/>
      <c r="EW76" s="23"/>
      <c r="EX76" s="23"/>
      <c r="EY76" s="23"/>
      <c r="EZ76" s="23"/>
      <c r="FA76" s="23">
        <v>4.3</v>
      </c>
      <c r="FB76" s="23"/>
      <c r="FC76" s="23"/>
      <c r="FD76" s="23"/>
      <c r="FE76" s="23"/>
      <c r="FF76" s="23"/>
      <c r="FG76" s="23"/>
      <c r="FH76" s="23"/>
      <c r="FI76" s="23"/>
      <c r="FJ76" s="23"/>
      <c r="FK76" s="23"/>
      <c r="FL76" s="23"/>
      <c r="FM76" s="23"/>
      <c r="FN76" s="23"/>
      <c r="FO76" s="23"/>
      <c r="FP76" s="23"/>
      <c r="FQ76" s="23"/>
      <c r="FR76" s="23"/>
      <c r="FS76" s="23"/>
      <c r="FT76" s="23"/>
      <c r="FU76" s="23"/>
      <c r="FV76" s="23"/>
      <c r="FW76" s="23"/>
      <c r="FX76" s="23"/>
      <c r="FY76" s="23"/>
      <c r="FZ76" s="23"/>
      <c r="GA76" s="23"/>
      <c r="GB76" s="23"/>
      <c r="GC76" s="23"/>
      <c r="GD76" s="23"/>
      <c r="GE76" s="23">
        <v>4.1</v>
      </c>
      <c r="GF76" s="23"/>
      <c r="GG76" s="23"/>
      <c r="GH76" s="23"/>
      <c r="GI76" s="23"/>
      <c r="GJ76" s="23"/>
      <c r="GK76" s="23"/>
      <c r="GL76" s="23"/>
      <c r="GM76" s="23"/>
      <c r="GN76" s="23"/>
      <c r="GO76" s="23"/>
      <c r="GP76" s="23"/>
      <c r="GQ76" s="23"/>
      <c r="GR76" s="23"/>
      <c r="GS76" s="23"/>
      <c r="GT76" s="23"/>
      <c r="GU76" s="23"/>
      <c r="GV76" s="23"/>
      <c r="GW76" s="23"/>
      <c r="GX76" s="23"/>
      <c r="GY76" s="23"/>
      <c r="GZ76" s="23"/>
      <c r="HA76" s="23"/>
      <c r="HB76" s="23"/>
      <c r="HC76" s="23"/>
      <c r="HD76" s="23"/>
      <c r="HE76" s="23"/>
      <c r="HF76" s="23"/>
      <c r="HG76" s="23"/>
      <c r="HH76" s="23"/>
      <c r="HI76" s="23"/>
      <c r="HJ76" s="23">
        <v>4.3</v>
      </c>
      <c r="HK76" s="23"/>
      <c r="HL76" s="23"/>
      <c r="HM76" s="23"/>
      <c r="HN76" s="23"/>
      <c r="HO76" s="23"/>
      <c r="HP76" s="23"/>
      <c r="HQ76" s="23"/>
      <c r="HR76" s="23"/>
      <c r="HS76" s="23"/>
      <c r="HT76" s="23"/>
      <c r="HU76" s="23"/>
      <c r="HV76" s="23"/>
      <c r="HW76" s="23"/>
      <c r="HX76" s="23"/>
      <c r="HY76" s="23"/>
      <c r="HZ76" s="23"/>
      <c r="IA76" s="23"/>
      <c r="IB76" s="23"/>
      <c r="IC76" s="23"/>
      <c r="ID76" s="23"/>
      <c r="IE76" s="23"/>
      <c r="IF76" s="23"/>
      <c r="IG76" s="23"/>
      <c r="IH76" s="23"/>
      <c r="II76" s="23"/>
      <c r="IJ76" s="23"/>
      <c r="IK76" s="23"/>
      <c r="IL76" s="23"/>
      <c r="IM76" s="23"/>
      <c r="IN76" s="23"/>
      <c r="IO76" s="23">
        <v>4.3</v>
      </c>
      <c r="IP76" s="31"/>
      <c r="IQ76" s="31"/>
      <c r="IR76" s="31"/>
      <c r="IS76" s="31"/>
      <c r="IT76" s="31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  <c r="JH76" s="31"/>
      <c r="JI76" s="31"/>
      <c r="JJ76" s="31"/>
      <c r="JK76" s="31"/>
      <c r="JL76" s="31"/>
      <c r="JM76" s="31"/>
      <c r="JN76" s="31"/>
      <c r="JO76" s="31"/>
      <c r="JP76" s="31"/>
      <c r="JQ76" s="31"/>
      <c r="JR76" s="31"/>
      <c r="JS76" s="31">
        <v>4.4</v>
      </c>
      <c r="JT76" s="31"/>
      <c r="JU76" s="31"/>
      <c r="JV76" s="31"/>
      <c r="JW76" s="31"/>
      <c r="JX76" s="31"/>
      <c r="JY76" s="31"/>
      <c r="JZ76" s="23"/>
      <c r="KA76" s="23"/>
      <c r="KB76" s="23"/>
      <c r="KC76" s="23"/>
      <c r="KD76" s="23"/>
      <c r="KE76" s="23"/>
      <c r="KF76" s="23"/>
      <c r="KG76" s="23"/>
      <c r="KH76" s="23"/>
      <c r="KI76" s="23"/>
      <c r="KJ76" s="23"/>
      <c r="KK76" s="23"/>
      <c r="KL76" s="23"/>
      <c r="KM76" s="23"/>
      <c r="KN76" s="23"/>
      <c r="KO76" s="23"/>
      <c r="KP76" s="23"/>
      <c r="KQ76" s="23"/>
      <c r="KR76" s="23"/>
      <c r="KS76" s="23"/>
      <c r="KT76" s="23"/>
      <c r="KU76" s="23"/>
      <c r="KV76" s="23"/>
      <c r="KW76" s="23"/>
      <c r="KX76" s="23"/>
      <c r="KY76" s="23"/>
      <c r="KZ76" s="23"/>
      <c r="LA76" s="23"/>
      <c r="LB76" s="23"/>
      <c r="LC76" s="23"/>
      <c r="LD76" s="23"/>
      <c r="LE76" s="23"/>
      <c r="LF76" s="23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>
        <v>4.5</v>
      </c>
      <c r="MC76" s="23"/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>
        <v>4.4</v>
      </c>
      <c r="NH76" s="23"/>
      <c r="NI76" s="23"/>
      <c r="NJ76" s="23"/>
      <c r="NK76" s="23"/>
      <c r="NL76" s="23"/>
      <c r="NM76" s="23"/>
      <c r="NN76" s="23"/>
      <c r="NO76" s="23"/>
      <c r="NP76" s="23"/>
      <c r="NQ76" s="23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>
        <v>4.3</v>
      </c>
      <c r="OM76" s="23"/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>
        <v>4.4</v>
      </c>
      <c r="PO76" s="23"/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>
        <v>4.3</v>
      </c>
      <c r="QT76" s="23"/>
      <c r="QU76" s="23"/>
      <c r="QV76" s="23"/>
      <c r="QW76" s="23"/>
      <c r="QX76" s="23"/>
      <c r="QY76" s="23"/>
      <c r="QZ76" s="23"/>
      <c r="RA76" s="23"/>
      <c r="RB76" s="23"/>
      <c r="RC76" s="23"/>
      <c r="RD76" s="23"/>
      <c r="RE76" s="23"/>
      <c r="RF76" s="23"/>
      <c r="RG76" s="23"/>
      <c r="RH76" s="23"/>
      <c r="RI76" s="23"/>
      <c r="RJ76" s="23"/>
      <c r="RK76" s="23"/>
      <c r="RL76" s="23"/>
      <c r="RM76" s="23"/>
      <c r="RN76" s="23"/>
      <c r="RO76" s="23"/>
      <c r="RP76" s="23"/>
      <c r="RQ76" s="23"/>
      <c r="RR76" s="23"/>
      <c r="RS76" s="23"/>
      <c r="RT76" s="23"/>
      <c r="RU76" s="23"/>
      <c r="RV76" s="23"/>
      <c r="RW76" s="23">
        <v>4.3</v>
      </c>
      <c r="RX76" s="23"/>
      <c r="RY76" s="23"/>
      <c r="RZ76" s="23"/>
      <c r="SA76" s="23"/>
      <c r="SB76" s="23"/>
      <c r="SC76" s="23"/>
      <c r="SD76" s="23"/>
      <c r="SE76" s="23"/>
      <c r="SF76" s="23"/>
      <c r="SG76" s="23"/>
      <c r="SH76" s="23"/>
      <c r="SI76" s="23"/>
      <c r="SJ76" s="23"/>
      <c r="SK76" s="23"/>
      <c r="SL76" s="23"/>
      <c r="SM76" s="23"/>
      <c r="SN76" s="23"/>
      <c r="SO76" s="23"/>
      <c r="SP76" s="23"/>
      <c r="SQ76" s="23"/>
      <c r="SR76" s="23"/>
      <c r="SS76" s="23"/>
      <c r="ST76" s="23"/>
      <c r="SU76" s="23"/>
      <c r="SV76" s="23"/>
      <c r="SW76" s="23"/>
      <c r="SX76" s="23"/>
      <c r="SY76" s="23"/>
      <c r="SZ76" s="23"/>
      <c r="TA76" s="23"/>
      <c r="TB76" s="23">
        <v>4.3</v>
      </c>
      <c r="TC76" s="23"/>
      <c r="TD76" s="23"/>
      <c r="TE76" s="23"/>
      <c r="TF76" s="23"/>
      <c r="TG76" s="23"/>
      <c r="TH76" s="23"/>
      <c r="TI76" s="23"/>
      <c r="TJ76" s="23"/>
      <c r="TK76" s="23"/>
      <c r="TL76" s="23"/>
      <c r="TM76" s="23"/>
      <c r="TN76" s="23"/>
      <c r="TO76" s="23"/>
      <c r="TP76" s="23"/>
      <c r="TQ76" s="23"/>
      <c r="TR76" s="23"/>
      <c r="TS76" s="23"/>
      <c r="TT76" s="23"/>
      <c r="TU76" s="23"/>
      <c r="TV76" s="23"/>
      <c r="TW76" s="23"/>
      <c r="TX76" s="23"/>
      <c r="TY76" s="23"/>
      <c r="TZ76" s="23"/>
      <c r="UA76" s="23"/>
      <c r="UB76" s="23"/>
      <c r="UC76" s="23"/>
      <c r="UD76" s="23"/>
      <c r="UE76" s="23"/>
      <c r="UF76" s="23">
        <v>4.2</v>
      </c>
      <c r="UG76" s="23"/>
      <c r="UH76" s="23"/>
      <c r="UI76" s="23"/>
      <c r="UJ76" s="23"/>
      <c r="UK76" s="23"/>
      <c r="UL76" s="23"/>
      <c r="UM76" s="23"/>
      <c r="UN76" s="23"/>
      <c r="UO76" s="23"/>
      <c r="UP76" s="23"/>
      <c r="UQ76" s="23"/>
      <c r="UR76" s="23"/>
      <c r="US76" s="23"/>
      <c r="UT76" s="23"/>
    </row>
    <row r="77" ht="16.5" customHeight="1" spans="4:566">
      <c r="D77" s="19" t="s">
        <v>316</v>
      </c>
      <c r="E77" s="21" t="s">
        <v>317</v>
      </c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>
        <v>140000</v>
      </c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>
        <v>14000</v>
      </c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>
        <v>-53000</v>
      </c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  <c r="DP77" s="23"/>
      <c r="DQ77" s="23"/>
      <c r="DR77" s="23"/>
      <c r="DS77" s="23"/>
      <c r="DT77" s="23"/>
      <c r="DU77" s="23"/>
      <c r="DV77" s="23">
        <v>-23000</v>
      </c>
      <c r="DW77" s="23"/>
      <c r="DX77" s="23"/>
      <c r="DY77" s="23"/>
      <c r="DZ77" s="23"/>
      <c r="EA77" s="23"/>
      <c r="EB77" s="23"/>
      <c r="EC77" s="23"/>
      <c r="ED77" s="23"/>
      <c r="EE77" s="23"/>
      <c r="EF77" s="23"/>
      <c r="EG77" s="23"/>
      <c r="EH77" s="23"/>
      <c r="EI77" s="23"/>
      <c r="EJ77" s="23"/>
      <c r="EK77" s="23"/>
      <c r="EL77" s="23"/>
      <c r="EM77" s="23"/>
      <c r="EN77" s="23"/>
      <c r="EO77" s="23"/>
      <c r="EP77" s="23"/>
      <c r="EQ77" s="23"/>
      <c r="ER77" s="23"/>
      <c r="ES77" s="23"/>
      <c r="ET77" s="23"/>
      <c r="EU77" s="23"/>
      <c r="EV77" s="23"/>
      <c r="EW77" s="23"/>
      <c r="EX77" s="23"/>
      <c r="EY77" s="23"/>
      <c r="EZ77" s="23"/>
      <c r="FA77" s="23">
        <v>-24000</v>
      </c>
      <c r="FB77" s="23"/>
      <c r="FC77" s="23"/>
      <c r="FD77" s="23"/>
      <c r="FE77" s="23"/>
      <c r="FF77" s="23"/>
      <c r="FG77" s="23"/>
      <c r="FH77" s="23"/>
      <c r="FI77" s="23"/>
      <c r="FJ77" s="23"/>
      <c r="FK77" s="23"/>
      <c r="FL77" s="23"/>
      <c r="FM77" s="23"/>
      <c r="FN77" s="23"/>
      <c r="FO77" s="23"/>
      <c r="FP77" s="23"/>
      <c r="FQ77" s="23"/>
      <c r="FR77" s="23"/>
      <c r="FS77" s="23"/>
      <c r="FT77" s="23"/>
      <c r="FU77" s="23"/>
      <c r="FV77" s="23"/>
      <c r="FW77" s="23"/>
      <c r="FX77" s="23"/>
      <c r="FY77" s="23"/>
      <c r="FZ77" s="23"/>
      <c r="GA77" s="23"/>
      <c r="GB77" s="23"/>
      <c r="GC77" s="23"/>
      <c r="GD77" s="23"/>
      <c r="GE77" s="23">
        <v>-1000</v>
      </c>
      <c r="GF77" s="23"/>
      <c r="GG77" s="23"/>
      <c r="GH77" s="23"/>
      <c r="GI77" s="23"/>
      <c r="GJ77" s="23"/>
      <c r="GK77" s="23"/>
      <c r="GL77" s="23"/>
      <c r="GM77" s="23"/>
      <c r="GN77" s="23"/>
      <c r="GO77" s="23"/>
      <c r="GP77" s="23"/>
      <c r="GQ77" s="23"/>
      <c r="GR77" s="23"/>
      <c r="GS77" s="23"/>
      <c r="GT77" s="23"/>
      <c r="GU77" s="23"/>
      <c r="GV77" s="23"/>
      <c r="GW77" s="23"/>
      <c r="GX77" s="23"/>
      <c r="GY77" s="23"/>
      <c r="GZ77" s="23"/>
      <c r="HA77" s="23"/>
      <c r="HB77" s="23"/>
      <c r="HC77" s="23"/>
      <c r="HD77" s="23"/>
      <c r="HE77" s="23"/>
      <c r="HF77" s="23"/>
      <c r="HG77" s="23"/>
      <c r="HH77" s="23"/>
      <c r="HI77" s="23"/>
      <c r="HJ77" s="23">
        <v>77000</v>
      </c>
      <c r="HK77" s="23"/>
      <c r="HL77" s="23"/>
      <c r="HM77" s="23"/>
      <c r="HN77" s="23"/>
      <c r="HO77" s="23"/>
      <c r="HP77" s="23"/>
      <c r="HQ77" s="23"/>
      <c r="HR77" s="23"/>
      <c r="HS77" s="23"/>
      <c r="HT77" s="23"/>
      <c r="HU77" s="23"/>
      <c r="HV77" s="23"/>
      <c r="HW77" s="23"/>
      <c r="HX77" s="23"/>
      <c r="HY77" s="23"/>
      <c r="HZ77" s="23"/>
      <c r="IA77" s="23"/>
      <c r="IB77" s="23"/>
      <c r="IC77" s="23"/>
      <c r="ID77" s="23"/>
      <c r="IE77" s="23"/>
      <c r="IF77" s="23"/>
      <c r="IG77" s="23"/>
      <c r="IH77" s="23"/>
      <c r="II77" s="23"/>
      <c r="IJ77" s="23"/>
      <c r="IK77" s="23"/>
      <c r="IL77" s="23"/>
      <c r="IM77" s="23"/>
      <c r="IN77" s="23"/>
      <c r="IO77" s="23">
        <v>49000</v>
      </c>
      <c r="IP77" s="31"/>
      <c r="IQ77" s="31"/>
      <c r="IR77" s="31"/>
      <c r="IS77" s="31"/>
      <c r="IT77" s="31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  <c r="JN77" s="31"/>
      <c r="JO77" s="31"/>
      <c r="JP77" s="31"/>
      <c r="JQ77" s="31"/>
      <c r="JR77" s="31"/>
      <c r="JS77" s="31">
        <v>88000</v>
      </c>
      <c r="JT77" s="31"/>
      <c r="JU77" s="31"/>
      <c r="JV77" s="31"/>
      <c r="JW77" s="31"/>
      <c r="JX77" s="31"/>
      <c r="JY77" s="31"/>
      <c r="JZ77" s="23"/>
      <c r="KA77" s="23"/>
      <c r="KB77" s="23"/>
      <c r="KC77" s="23"/>
      <c r="KD77" s="23"/>
      <c r="KE77" s="23"/>
      <c r="KF77" s="23"/>
      <c r="KG77" s="23"/>
      <c r="KH77" s="23"/>
      <c r="KI77" s="23"/>
      <c r="KJ77" s="23"/>
      <c r="KK77" s="23"/>
      <c r="KL77" s="23"/>
      <c r="KM77" s="23"/>
      <c r="KN77" s="23"/>
      <c r="KO77" s="23"/>
      <c r="KP77" s="23"/>
      <c r="KQ77" s="23"/>
      <c r="KR77" s="23"/>
      <c r="KS77" s="23"/>
      <c r="KT77" s="23"/>
      <c r="KU77" s="23"/>
      <c r="KV77" s="23"/>
      <c r="KW77" s="23"/>
      <c r="KX77" s="23">
        <v>20000</v>
      </c>
      <c r="KY77" s="23"/>
      <c r="KZ77" s="23"/>
      <c r="LA77" s="23"/>
      <c r="LB77" s="23"/>
      <c r="LC77" s="23"/>
      <c r="LD77" s="23"/>
      <c r="LE77" s="23"/>
      <c r="LF77" s="23"/>
      <c r="LG77" s="23"/>
      <c r="LH77" s="23"/>
      <c r="LI77" s="23"/>
      <c r="LJ77" s="23"/>
      <c r="LK77" s="23"/>
      <c r="LL77" s="23"/>
      <c r="LM77" s="23"/>
      <c r="LN77" s="23"/>
      <c r="LO77" s="23"/>
      <c r="LP77" s="23"/>
      <c r="LQ77" s="23"/>
      <c r="LR77" s="23"/>
      <c r="LS77" s="23"/>
      <c r="LT77" s="23"/>
      <c r="LU77" s="23"/>
      <c r="LV77" s="23"/>
      <c r="LW77" s="23"/>
      <c r="LX77" s="23"/>
      <c r="LY77" s="23"/>
      <c r="LZ77" s="23"/>
      <c r="MA77" s="23"/>
      <c r="MB77" s="23">
        <v>74000</v>
      </c>
      <c r="MC77" s="23"/>
      <c r="MD77" s="23"/>
      <c r="ME77" s="23"/>
      <c r="MF77" s="23"/>
      <c r="MG77" s="23"/>
      <c r="MH77" s="23"/>
      <c r="MI77" s="23"/>
      <c r="MJ77" s="23"/>
      <c r="MK77" s="23"/>
      <c r="ML77" s="23"/>
      <c r="MM77" s="23"/>
      <c r="MN77" s="23"/>
      <c r="MO77" s="23"/>
      <c r="MP77" s="23"/>
      <c r="MQ77" s="23"/>
      <c r="MR77" s="23"/>
      <c r="MS77" s="23"/>
      <c r="MT77" s="23"/>
      <c r="MU77" s="23"/>
      <c r="MV77" s="23"/>
      <c r="MW77" s="23"/>
      <c r="MX77" s="23"/>
      <c r="MY77" s="23"/>
      <c r="MZ77" s="23"/>
      <c r="NA77" s="23"/>
      <c r="NB77" s="23"/>
      <c r="NC77" s="23"/>
      <c r="ND77" s="23"/>
      <c r="NE77" s="23"/>
      <c r="NF77" s="23"/>
      <c r="NG77" s="23">
        <v>37000</v>
      </c>
      <c r="NH77" s="23"/>
      <c r="NI77" s="23"/>
      <c r="NJ77" s="23"/>
      <c r="NK77" s="23"/>
      <c r="NL77" s="23"/>
      <c r="NM77" s="23"/>
      <c r="NN77" s="23"/>
      <c r="NO77" s="23"/>
      <c r="NP77" s="23"/>
      <c r="NQ77" s="23"/>
      <c r="NR77" s="23"/>
      <c r="NS77" s="23"/>
      <c r="NT77" s="23"/>
      <c r="NU77" s="23"/>
      <c r="NV77" s="23"/>
      <c r="NW77" s="23"/>
      <c r="NX77" s="23"/>
      <c r="NY77" s="23"/>
      <c r="NZ77" s="23"/>
      <c r="OA77" s="23"/>
      <c r="OB77" s="23"/>
      <c r="OC77" s="23"/>
      <c r="OD77" s="23"/>
      <c r="OE77" s="23"/>
      <c r="OF77" s="23"/>
      <c r="OG77" s="23"/>
      <c r="OH77" s="23"/>
      <c r="OI77" s="23"/>
      <c r="OJ77" s="23"/>
      <c r="OK77" s="23"/>
      <c r="OL77" s="23">
        <v>11000</v>
      </c>
      <c r="OM77" s="23"/>
      <c r="ON77" s="23"/>
      <c r="OO77" s="23"/>
      <c r="OP77" s="23"/>
      <c r="OQ77" s="23"/>
      <c r="OR77" s="23"/>
      <c r="OS77" s="23"/>
      <c r="OT77" s="23"/>
      <c r="OU77" s="23"/>
      <c r="OV77" s="23"/>
      <c r="OW77" s="23"/>
      <c r="OX77" s="23"/>
      <c r="OY77" s="23"/>
      <c r="OZ77" s="23"/>
      <c r="PA77" s="23"/>
      <c r="PB77" s="23"/>
      <c r="PC77" s="23"/>
      <c r="PD77" s="23"/>
      <c r="PE77" s="23"/>
      <c r="PF77" s="23"/>
      <c r="PG77" s="23"/>
      <c r="PH77" s="23"/>
      <c r="PI77" s="23"/>
      <c r="PJ77" s="23"/>
      <c r="PK77" s="23"/>
      <c r="PL77" s="23"/>
      <c r="PM77" s="23"/>
      <c r="PN77" s="23">
        <v>66000</v>
      </c>
      <c r="PO77" s="23"/>
      <c r="PP77" s="23"/>
      <c r="PQ77" s="23"/>
      <c r="PR77" s="23"/>
      <c r="PS77" s="23"/>
      <c r="PT77" s="23"/>
      <c r="PU77" s="23"/>
      <c r="PV77" s="23"/>
      <c r="PW77" s="23"/>
      <c r="PX77" s="23"/>
      <c r="PY77" s="23"/>
      <c r="PZ77" s="23"/>
      <c r="QA77" s="23"/>
      <c r="QB77" s="23"/>
      <c r="QC77" s="23"/>
      <c r="QD77" s="23"/>
      <c r="QE77" s="23"/>
      <c r="QF77" s="23"/>
      <c r="QG77" s="23"/>
      <c r="QH77" s="23"/>
      <c r="QI77" s="23"/>
      <c r="QJ77" s="23"/>
      <c r="QK77" s="23"/>
      <c r="QL77" s="23"/>
      <c r="QM77" s="23"/>
      <c r="QN77" s="23"/>
      <c r="QO77" s="23"/>
      <c r="QP77" s="23"/>
      <c r="QQ77" s="23"/>
      <c r="QR77" s="23"/>
      <c r="QS77" s="23">
        <v>61000</v>
      </c>
      <c r="QT77" s="23"/>
      <c r="QU77" s="23"/>
      <c r="QV77" s="23"/>
      <c r="QW77" s="23"/>
      <c r="QX77" s="23"/>
      <c r="QY77" s="23"/>
      <c r="QZ77" s="23"/>
      <c r="RA77" s="23"/>
      <c r="RB77" s="23"/>
      <c r="RC77" s="23"/>
      <c r="RD77" s="23"/>
      <c r="RE77" s="23"/>
      <c r="RF77" s="23"/>
      <c r="RG77" s="23"/>
      <c r="RH77" s="23"/>
      <c r="RI77" s="23"/>
      <c r="RJ77" s="23"/>
      <c r="RK77" s="23"/>
      <c r="RL77" s="23"/>
      <c r="RM77" s="23"/>
      <c r="RN77" s="23"/>
      <c r="RO77" s="23"/>
      <c r="RP77" s="23"/>
      <c r="RQ77" s="23"/>
      <c r="RR77" s="23"/>
      <c r="RS77" s="23"/>
      <c r="RT77" s="23"/>
      <c r="RU77" s="23"/>
      <c r="RV77" s="23"/>
      <c r="RW77" s="23">
        <v>105000</v>
      </c>
      <c r="RX77" s="23"/>
      <c r="RY77" s="23"/>
      <c r="RZ77" s="23"/>
      <c r="SA77" s="23"/>
      <c r="SB77" s="23"/>
      <c r="SC77" s="23"/>
      <c r="SD77" s="23"/>
      <c r="SE77" s="23"/>
      <c r="SF77" s="23"/>
      <c r="SG77" s="23"/>
      <c r="SH77" s="23"/>
      <c r="SI77" s="23"/>
      <c r="SJ77" s="23"/>
      <c r="SK77" s="23"/>
      <c r="SL77" s="23"/>
      <c r="SM77" s="23"/>
      <c r="SN77" s="23"/>
      <c r="SO77" s="23"/>
      <c r="SP77" s="23"/>
      <c r="SQ77" s="23"/>
      <c r="SR77" s="23"/>
      <c r="SS77" s="23"/>
      <c r="ST77" s="23"/>
      <c r="SU77" s="23"/>
      <c r="SV77" s="23"/>
      <c r="SW77" s="23"/>
      <c r="SX77" s="23"/>
      <c r="SY77" s="23"/>
      <c r="SZ77" s="23"/>
      <c r="TA77" s="23"/>
      <c r="TB77" s="23">
        <v>122000</v>
      </c>
      <c r="TC77" s="23"/>
      <c r="TD77" s="23"/>
      <c r="TE77" s="23"/>
      <c r="TF77" s="23"/>
      <c r="TG77" s="23"/>
      <c r="TH77" s="23"/>
      <c r="TI77" s="23"/>
      <c r="TJ77" s="23"/>
      <c r="TK77" s="23"/>
      <c r="TL77" s="23"/>
      <c r="TM77" s="23"/>
      <c r="TN77" s="23"/>
      <c r="TO77" s="23"/>
      <c r="TP77" s="23"/>
      <c r="TQ77" s="23"/>
      <c r="TR77" s="23"/>
      <c r="TS77" s="23"/>
      <c r="TT77" s="23"/>
      <c r="TU77" s="23"/>
      <c r="TV77" s="23"/>
      <c r="TW77" s="23"/>
      <c r="TX77" s="23"/>
      <c r="TY77" s="23"/>
      <c r="TZ77" s="23"/>
      <c r="UA77" s="23"/>
      <c r="UB77" s="23"/>
      <c r="UC77" s="23"/>
      <c r="UD77" s="23"/>
      <c r="UE77" s="23"/>
      <c r="UF77" s="23">
        <v>98000</v>
      </c>
      <c r="UG77" s="23"/>
      <c r="UH77" s="23"/>
      <c r="UI77" s="23"/>
      <c r="UJ77" s="23"/>
      <c r="UK77" s="23"/>
      <c r="UL77" s="23"/>
      <c r="UM77" s="23"/>
      <c r="UN77" s="23"/>
      <c r="UO77" s="23"/>
      <c r="UP77" s="23"/>
      <c r="UQ77" s="23"/>
      <c r="UR77" s="23"/>
      <c r="US77" s="23"/>
      <c r="UT77" s="23"/>
    </row>
    <row r="78" ht="16.5" customHeight="1" spans="4:566">
      <c r="D78" s="19" t="s">
        <v>318</v>
      </c>
      <c r="E78" s="21" t="s">
        <v>319</v>
      </c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>
        <v>486.59</v>
      </c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>
        <v>3.63</v>
      </c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>
        <v>-32.14</v>
      </c>
      <c r="CS78" s="23"/>
      <c r="CT78" s="23"/>
      <c r="CU78" s="23"/>
      <c r="CV78" s="23"/>
      <c r="CW78" s="23"/>
      <c r="CX78" s="23"/>
      <c r="CY78" s="23"/>
      <c r="CZ78" s="23"/>
      <c r="DA78" s="23"/>
      <c r="DB78" s="23"/>
      <c r="DC78" s="23"/>
      <c r="DD78" s="23"/>
      <c r="DE78" s="23"/>
      <c r="DF78" s="23"/>
      <c r="DG78" s="23"/>
      <c r="DH78" s="23"/>
      <c r="DI78" s="23"/>
      <c r="DJ78" s="23"/>
      <c r="DK78" s="23"/>
      <c r="DL78" s="23"/>
      <c r="DM78" s="23"/>
      <c r="DN78" s="23"/>
      <c r="DO78" s="23"/>
      <c r="DP78" s="23"/>
      <c r="DQ78" s="23"/>
      <c r="DR78" s="23"/>
      <c r="DS78" s="23"/>
      <c r="DT78" s="23"/>
      <c r="DU78" s="23"/>
      <c r="DV78" s="23">
        <v>-23.32</v>
      </c>
      <c r="DW78" s="23"/>
      <c r="DX78" s="23"/>
      <c r="DY78" s="23"/>
      <c r="DZ78" s="23"/>
      <c r="EA78" s="23"/>
      <c r="EB78" s="23"/>
      <c r="EC78" s="23"/>
      <c r="ED78" s="23"/>
      <c r="EE78" s="23"/>
      <c r="EF78" s="23"/>
      <c r="EG78" s="23"/>
      <c r="EH78" s="23"/>
      <c r="EI78" s="23"/>
      <c r="EJ78" s="23"/>
      <c r="EK78" s="23"/>
      <c r="EL78" s="23"/>
      <c r="EM78" s="23"/>
      <c r="EN78" s="23"/>
      <c r="EO78" s="23"/>
      <c r="EP78" s="23"/>
      <c r="EQ78" s="23"/>
      <c r="ER78" s="23"/>
      <c r="ES78" s="23"/>
      <c r="ET78" s="23"/>
      <c r="EU78" s="23"/>
      <c r="EV78" s="23"/>
      <c r="EW78" s="23"/>
      <c r="EX78" s="23"/>
      <c r="EY78" s="23"/>
      <c r="EZ78" s="23"/>
      <c r="FA78" s="23">
        <v>-9.07</v>
      </c>
      <c r="FB78" s="23"/>
      <c r="FC78" s="23"/>
      <c r="FD78" s="23"/>
      <c r="FE78" s="23"/>
      <c r="FF78" s="23"/>
      <c r="FG78" s="23"/>
      <c r="FH78" s="23"/>
      <c r="FI78" s="23"/>
      <c r="FJ78" s="23"/>
      <c r="FK78" s="23"/>
      <c r="FL78" s="23"/>
      <c r="FM78" s="23"/>
      <c r="FN78" s="23"/>
      <c r="FO78" s="23"/>
      <c r="FP78" s="23"/>
      <c r="FQ78" s="23"/>
      <c r="FR78" s="23"/>
      <c r="FS78" s="23"/>
      <c r="FT78" s="23"/>
      <c r="FU78" s="23"/>
      <c r="FV78" s="23"/>
      <c r="FW78" s="23"/>
      <c r="FX78" s="23"/>
      <c r="FY78" s="23"/>
      <c r="FZ78" s="23"/>
      <c r="GA78" s="23"/>
      <c r="GB78" s="23"/>
      <c r="GC78" s="23"/>
      <c r="GD78" s="23"/>
      <c r="GE78" s="23">
        <v>-138.06</v>
      </c>
      <c r="GF78" s="23"/>
      <c r="GG78" s="23"/>
      <c r="GH78" s="23"/>
      <c r="GI78" s="23"/>
      <c r="GJ78" s="23"/>
      <c r="GK78" s="23"/>
      <c r="GL78" s="23"/>
      <c r="GM78" s="23"/>
      <c r="GN78" s="23"/>
      <c r="GO78" s="23"/>
      <c r="GP78" s="23"/>
      <c r="GQ78" s="23"/>
      <c r="GR78" s="23"/>
      <c r="GS78" s="23"/>
      <c r="GT78" s="23"/>
      <c r="GU78" s="23"/>
      <c r="GV78" s="23"/>
      <c r="GW78" s="23"/>
      <c r="GX78" s="23"/>
      <c r="GY78" s="23"/>
      <c r="GZ78" s="23"/>
      <c r="HA78" s="23"/>
      <c r="HB78" s="23"/>
      <c r="HC78" s="23"/>
      <c r="HD78" s="23"/>
      <c r="HE78" s="23"/>
      <c r="HF78" s="23"/>
      <c r="HG78" s="23"/>
      <c r="HH78" s="23"/>
      <c r="HI78" s="23"/>
      <c r="HJ78" s="23">
        <v>19.45</v>
      </c>
      <c r="HK78" s="23"/>
      <c r="HL78" s="23"/>
      <c r="HM78" s="23"/>
      <c r="HN78" s="23"/>
      <c r="HO78" s="23"/>
      <c r="HP78" s="23"/>
      <c r="HQ78" s="23"/>
      <c r="HR78" s="23"/>
      <c r="HS78" s="23"/>
      <c r="HT78" s="23"/>
      <c r="HU78" s="23"/>
      <c r="HV78" s="23"/>
      <c r="HW78" s="23"/>
      <c r="HX78" s="23"/>
      <c r="HY78" s="23"/>
      <c r="HZ78" s="23"/>
      <c r="IA78" s="23"/>
      <c r="IB78" s="23"/>
      <c r="IC78" s="23"/>
      <c r="ID78" s="23"/>
      <c r="IE78" s="23"/>
      <c r="IF78" s="23"/>
      <c r="IG78" s="23"/>
      <c r="IH78" s="23"/>
      <c r="II78" s="23"/>
      <c r="IJ78" s="23"/>
      <c r="IK78" s="23"/>
      <c r="IL78" s="23"/>
      <c r="IM78" s="23"/>
      <c r="IN78" s="23"/>
      <c r="IO78" s="23">
        <v>-9.28</v>
      </c>
      <c r="IP78" s="31"/>
      <c r="IQ78" s="31"/>
      <c r="IR78" s="31"/>
      <c r="IS78" s="31"/>
      <c r="IT78" s="31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  <c r="JH78" s="31"/>
      <c r="JI78" s="31"/>
      <c r="JJ78" s="31"/>
      <c r="JK78" s="31"/>
      <c r="JL78" s="31"/>
      <c r="JM78" s="31"/>
      <c r="JN78" s="31"/>
      <c r="JO78" s="31"/>
      <c r="JP78" s="31"/>
      <c r="JQ78" s="31"/>
      <c r="JR78" s="31"/>
      <c r="JS78" s="31">
        <v>-146.53</v>
      </c>
      <c r="JT78" s="31"/>
      <c r="JU78" s="31"/>
      <c r="JV78" s="31"/>
      <c r="JW78" s="31"/>
      <c r="JX78" s="31"/>
      <c r="JY78" s="31"/>
      <c r="JZ78" s="23"/>
      <c r="KA78" s="23"/>
      <c r="KB78" s="23"/>
      <c r="KC78" s="23"/>
      <c r="KD78" s="23"/>
      <c r="KE78" s="23"/>
      <c r="KF78" s="23"/>
      <c r="KG78" s="23"/>
      <c r="KH78" s="23"/>
      <c r="KI78" s="23"/>
      <c r="KJ78" s="23"/>
      <c r="KK78" s="23"/>
      <c r="KL78" s="23"/>
      <c r="KM78" s="23"/>
      <c r="KN78" s="23"/>
      <c r="KO78" s="23"/>
      <c r="KP78" s="23"/>
      <c r="KQ78" s="23"/>
      <c r="KR78" s="23"/>
      <c r="KS78" s="23"/>
      <c r="KT78" s="23"/>
      <c r="KU78" s="23"/>
      <c r="KV78" s="23"/>
      <c r="KW78" s="23"/>
      <c r="KX78" s="23">
        <v>10.44</v>
      </c>
      <c r="KY78" s="23"/>
      <c r="KZ78" s="23"/>
      <c r="LA78" s="23"/>
      <c r="LB78" s="23"/>
      <c r="LC78" s="23"/>
      <c r="LD78" s="23"/>
      <c r="LE78" s="23"/>
      <c r="LF78" s="23"/>
      <c r="LG78" s="23"/>
      <c r="LH78" s="23"/>
      <c r="LI78" s="23"/>
      <c r="LJ78" s="23"/>
      <c r="LK78" s="23"/>
      <c r="LL78" s="23"/>
      <c r="LM78" s="23"/>
      <c r="LN78" s="23"/>
      <c r="LO78" s="23"/>
      <c r="LP78" s="23"/>
      <c r="LQ78" s="23"/>
      <c r="LR78" s="23"/>
      <c r="LS78" s="23"/>
      <c r="LT78" s="23"/>
      <c r="LU78" s="23"/>
      <c r="LV78" s="23"/>
      <c r="LW78" s="23"/>
      <c r="LX78" s="23"/>
      <c r="LY78" s="23"/>
      <c r="LZ78" s="23"/>
      <c r="MA78" s="23"/>
      <c r="MB78" s="23">
        <v>-52.76</v>
      </c>
      <c r="MC78" s="23"/>
      <c r="MD78" s="23"/>
      <c r="ME78" s="23"/>
      <c r="MF78" s="23"/>
      <c r="MG78" s="23"/>
      <c r="MH78" s="23"/>
      <c r="MI78" s="23"/>
      <c r="MJ78" s="23"/>
      <c r="MK78" s="23"/>
      <c r="ML78" s="23"/>
      <c r="MM78" s="23"/>
      <c r="MN78" s="23"/>
      <c r="MO78" s="23"/>
      <c r="MP78" s="23"/>
      <c r="MQ78" s="23"/>
      <c r="MR78" s="23"/>
      <c r="MS78" s="23"/>
      <c r="MT78" s="23"/>
      <c r="MU78" s="23"/>
      <c r="MV78" s="23"/>
      <c r="MW78" s="23"/>
      <c r="MX78" s="23"/>
      <c r="MY78" s="23"/>
      <c r="MZ78" s="23"/>
      <c r="NA78" s="23"/>
      <c r="NB78" s="23"/>
      <c r="NC78" s="23"/>
      <c r="ND78" s="23"/>
      <c r="NE78" s="23"/>
      <c r="NF78" s="23"/>
      <c r="NG78" s="23">
        <v>66.9</v>
      </c>
      <c r="NH78" s="23"/>
      <c r="NI78" s="23"/>
      <c r="NJ78" s="23"/>
      <c r="NK78" s="23"/>
      <c r="NL78" s="23"/>
      <c r="NM78" s="23"/>
      <c r="NN78" s="23"/>
      <c r="NO78" s="23"/>
      <c r="NP78" s="23"/>
      <c r="NQ78" s="23"/>
      <c r="NR78" s="23"/>
      <c r="NS78" s="23"/>
      <c r="NT78" s="23"/>
      <c r="NU78" s="23"/>
      <c r="NV78" s="23"/>
      <c r="NW78" s="23"/>
      <c r="NX78" s="23"/>
      <c r="NY78" s="23"/>
      <c r="NZ78" s="23"/>
      <c r="OA78" s="23"/>
      <c r="OB78" s="23"/>
      <c r="OC78" s="23"/>
      <c r="OD78" s="23"/>
      <c r="OE78" s="23"/>
      <c r="OF78" s="23"/>
      <c r="OG78" s="23"/>
      <c r="OH78" s="23"/>
      <c r="OI78" s="23"/>
      <c r="OJ78" s="23"/>
      <c r="OK78" s="23"/>
      <c r="OL78" s="23">
        <v>-26.45</v>
      </c>
      <c r="OM78" s="23"/>
      <c r="ON78" s="23"/>
      <c r="OO78" s="23"/>
      <c r="OP78" s="23"/>
      <c r="OQ78" s="23"/>
      <c r="OR78" s="23"/>
      <c r="OS78" s="23"/>
      <c r="OT78" s="23"/>
      <c r="OU78" s="23"/>
      <c r="OV78" s="23"/>
      <c r="OW78" s="23"/>
      <c r="OX78" s="23"/>
      <c r="OY78" s="23"/>
      <c r="OZ78" s="23"/>
      <c r="PA78" s="23"/>
      <c r="PB78" s="23"/>
      <c r="PC78" s="23"/>
      <c r="PD78" s="23"/>
      <c r="PE78" s="23"/>
      <c r="PF78" s="23"/>
      <c r="PG78" s="23"/>
      <c r="PH78" s="23"/>
      <c r="PI78" s="23"/>
      <c r="PJ78" s="23"/>
      <c r="PK78" s="23"/>
      <c r="PL78" s="23"/>
      <c r="PM78" s="23"/>
      <c r="PN78" s="23">
        <v>0.16</v>
      </c>
      <c r="PO78" s="23"/>
      <c r="PP78" s="23"/>
      <c r="PQ78" s="23"/>
      <c r="PR78" s="23"/>
      <c r="PS78" s="23"/>
      <c r="PT78" s="23"/>
      <c r="PU78" s="23"/>
      <c r="PV78" s="23"/>
      <c r="PW78" s="23"/>
      <c r="PX78" s="23"/>
      <c r="PY78" s="23"/>
      <c r="PZ78" s="23"/>
      <c r="QA78" s="23"/>
      <c r="QB78" s="23"/>
      <c r="QC78" s="23"/>
      <c r="QD78" s="23"/>
      <c r="QE78" s="23"/>
      <c r="QF78" s="23"/>
      <c r="QG78" s="23"/>
      <c r="QH78" s="23"/>
      <c r="QI78" s="23"/>
      <c r="QJ78" s="23"/>
      <c r="QK78" s="23"/>
      <c r="QL78" s="23"/>
      <c r="QM78" s="23"/>
      <c r="QN78" s="23"/>
      <c r="QO78" s="23"/>
      <c r="QP78" s="23"/>
      <c r="QQ78" s="23"/>
      <c r="QR78" s="23"/>
      <c r="QS78" s="23">
        <v>2.22</v>
      </c>
      <c r="QT78" s="23"/>
      <c r="QU78" s="23"/>
      <c r="QV78" s="23"/>
      <c r="QW78" s="23"/>
      <c r="QX78" s="23"/>
      <c r="QY78" s="23"/>
      <c r="QZ78" s="23"/>
      <c r="RA78" s="23"/>
      <c r="RB78" s="23"/>
      <c r="RC78" s="23"/>
      <c r="RD78" s="23"/>
      <c r="RE78" s="23"/>
      <c r="RF78" s="23"/>
      <c r="RG78" s="23"/>
      <c r="RH78" s="23"/>
      <c r="RI78" s="23"/>
      <c r="RJ78" s="23"/>
      <c r="RK78" s="23"/>
      <c r="RL78" s="23"/>
      <c r="RM78" s="23"/>
      <c r="RN78" s="23"/>
      <c r="RO78" s="23"/>
      <c r="RP78" s="23"/>
      <c r="RQ78" s="23"/>
      <c r="RR78" s="23"/>
      <c r="RS78" s="23"/>
      <c r="RT78" s="23"/>
      <c r="RU78" s="23"/>
      <c r="RV78" s="23"/>
      <c r="RW78" s="23">
        <v>16.79</v>
      </c>
      <c r="RX78" s="23"/>
      <c r="RY78" s="23"/>
      <c r="RZ78" s="23"/>
      <c r="SA78" s="23"/>
      <c r="SB78" s="23"/>
      <c r="SC78" s="23"/>
      <c r="SD78" s="23"/>
      <c r="SE78" s="23"/>
      <c r="SF78" s="23"/>
      <c r="SG78" s="23"/>
      <c r="SH78" s="23"/>
      <c r="SI78" s="23"/>
      <c r="SJ78" s="23"/>
      <c r="SK78" s="23"/>
      <c r="SL78" s="23"/>
      <c r="SM78" s="23"/>
      <c r="SN78" s="23"/>
      <c r="SO78" s="23"/>
      <c r="SP78" s="23"/>
      <c r="SQ78" s="23"/>
      <c r="SR78" s="23"/>
      <c r="SS78" s="23"/>
      <c r="ST78" s="23"/>
      <c r="SU78" s="23"/>
      <c r="SV78" s="23"/>
      <c r="SW78" s="23"/>
      <c r="SX78" s="23"/>
      <c r="SY78" s="23"/>
      <c r="SZ78" s="23"/>
      <c r="TA78" s="23"/>
      <c r="TB78" s="23">
        <v>-7.29</v>
      </c>
      <c r="TC78" s="23"/>
      <c r="TD78" s="23"/>
      <c r="TE78" s="23"/>
      <c r="TF78" s="23"/>
      <c r="TG78" s="23"/>
      <c r="TH78" s="23"/>
      <c r="TI78" s="23"/>
      <c r="TJ78" s="23"/>
      <c r="TK78" s="23"/>
      <c r="TL78" s="23"/>
      <c r="TM78" s="23"/>
      <c r="TN78" s="23"/>
      <c r="TO78" s="23"/>
      <c r="TP78" s="23"/>
      <c r="TQ78" s="23"/>
      <c r="TR78" s="23"/>
      <c r="TS78" s="23"/>
      <c r="TT78" s="23"/>
      <c r="TU78" s="23"/>
      <c r="TV78" s="23"/>
      <c r="TW78" s="23"/>
      <c r="TX78" s="23"/>
      <c r="TY78" s="23"/>
      <c r="TZ78" s="23"/>
      <c r="UA78" s="23"/>
      <c r="UB78" s="23"/>
      <c r="UC78" s="23"/>
      <c r="UD78" s="23"/>
      <c r="UE78" s="23"/>
      <c r="UF78" s="23"/>
      <c r="UG78" s="23"/>
      <c r="UH78" s="23"/>
      <c r="UI78" s="23"/>
      <c r="UJ78" s="23"/>
      <c r="UK78" s="23"/>
      <c r="UL78" s="23"/>
      <c r="UM78" s="23"/>
      <c r="UN78" s="23"/>
      <c r="UO78" s="23"/>
      <c r="UP78" s="23"/>
      <c r="UQ78" s="23"/>
      <c r="UR78" s="23"/>
      <c r="US78" s="23"/>
      <c r="UT78" s="23"/>
    </row>
    <row r="79" ht="16.5" customHeight="1" spans="4:566">
      <c r="D79" s="19" t="s">
        <v>210</v>
      </c>
      <c r="E79" s="21" t="s">
        <v>107</v>
      </c>
      <c r="F79" s="23"/>
      <c r="G79" s="23"/>
      <c r="H79" s="23">
        <v>-2738</v>
      </c>
      <c r="I79" s="23">
        <v>-885</v>
      </c>
      <c r="J79" s="23"/>
      <c r="K79" s="23"/>
      <c r="L79" s="23">
        <v>-750</v>
      </c>
      <c r="M79" s="23">
        <v>-1506</v>
      </c>
      <c r="N79" s="23">
        <v>11</v>
      </c>
      <c r="O79" s="23">
        <v>-207</v>
      </c>
      <c r="P79" s="23">
        <v>-148</v>
      </c>
      <c r="Q79" s="23"/>
      <c r="R79" s="23"/>
      <c r="S79" s="23">
        <v>107</v>
      </c>
      <c r="T79" s="23">
        <v>479</v>
      </c>
      <c r="U79" s="23">
        <v>9584</v>
      </c>
      <c r="V79" s="23">
        <v>3364</v>
      </c>
      <c r="W79" s="23">
        <v>1005</v>
      </c>
      <c r="X79" s="23"/>
      <c r="Y79" s="23"/>
      <c r="Z79" s="23">
        <v>982</v>
      </c>
      <c r="AA79" s="23">
        <v>2010</v>
      </c>
      <c r="AB79" s="23">
        <v>1980</v>
      </c>
      <c r="AC79" s="23">
        <v>1395</v>
      </c>
      <c r="AD79" s="23">
        <v>1790</v>
      </c>
      <c r="AE79" s="23"/>
      <c r="AF79" s="23">
        <v>1557.2</v>
      </c>
      <c r="AG79" s="23">
        <v>1750</v>
      </c>
      <c r="AH79" s="23"/>
      <c r="AI79" s="23"/>
      <c r="AJ79" s="23"/>
      <c r="AK79" s="23"/>
      <c r="AL79" s="23"/>
      <c r="AM79" s="23"/>
      <c r="AN79" s="23"/>
      <c r="AO79" s="23"/>
      <c r="AP79" s="23">
        <v>-7165</v>
      </c>
      <c r="AQ79" s="23">
        <v>-2045</v>
      </c>
      <c r="AR79" s="23">
        <v>-1003</v>
      </c>
      <c r="AS79" s="23">
        <v>140</v>
      </c>
      <c r="AT79" s="23"/>
      <c r="AU79" s="23">
        <v>-2340</v>
      </c>
      <c r="AV79" s="23">
        <v>330</v>
      </c>
      <c r="AW79" s="23">
        <v>-1390</v>
      </c>
      <c r="AX79" s="23">
        <v>-1497</v>
      </c>
      <c r="AY79" s="23">
        <v>-852</v>
      </c>
      <c r="AZ79" s="23"/>
      <c r="BA79" s="23"/>
      <c r="BB79" s="23">
        <v>-385</v>
      </c>
      <c r="BC79" s="23">
        <v>4562</v>
      </c>
      <c r="BD79" s="23">
        <v>-191</v>
      </c>
      <c r="BE79" s="23">
        <v>-8</v>
      </c>
      <c r="BF79" s="23">
        <v>840</v>
      </c>
      <c r="BG79" s="23"/>
      <c r="BH79" s="23"/>
      <c r="BI79" s="23">
        <v>1020</v>
      </c>
      <c r="BJ79" s="23">
        <v>-1707</v>
      </c>
      <c r="BK79" s="23">
        <v>98</v>
      </c>
      <c r="BL79" s="23">
        <v>900</v>
      </c>
      <c r="BM79" s="23">
        <v>1058.7</v>
      </c>
      <c r="BN79" s="23"/>
      <c r="BO79" s="23"/>
      <c r="BP79" s="23">
        <v>-1955</v>
      </c>
      <c r="BQ79" s="23">
        <v>-2803</v>
      </c>
      <c r="BR79" s="23">
        <v>-1955</v>
      </c>
      <c r="BS79" s="23">
        <v>-1105</v>
      </c>
      <c r="BT79" s="23">
        <v>-995</v>
      </c>
      <c r="BU79" s="23"/>
      <c r="BV79" s="23"/>
      <c r="BW79" s="23">
        <v>-5</v>
      </c>
      <c r="BX79" s="23">
        <v>-5</v>
      </c>
      <c r="BY79" s="23">
        <v>-1778</v>
      </c>
      <c r="BZ79" s="23">
        <v>-686</v>
      </c>
      <c r="CA79" s="23">
        <v>-43</v>
      </c>
      <c r="CB79" s="23"/>
      <c r="CC79" s="23"/>
      <c r="CD79" s="23">
        <v>3845</v>
      </c>
      <c r="CE79" s="23">
        <v>2356</v>
      </c>
      <c r="CF79" s="23">
        <v>1205</v>
      </c>
      <c r="CG79" s="23">
        <v>2326</v>
      </c>
      <c r="CH79" s="23">
        <v>-877</v>
      </c>
      <c r="CI79" s="23"/>
      <c r="CJ79" s="23"/>
      <c r="CK79" s="23">
        <v>-3460</v>
      </c>
      <c r="CL79" s="23">
        <v>1046</v>
      </c>
      <c r="CM79" s="23">
        <v>1630</v>
      </c>
      <c r="CN79" s="23">
        <v>-500</v>
      </c>
      <c r="CO79" s="23">
        <v>-145</v>
      </c>
      <c r="CP79" s="23"/>
      <c r="CQ79" s="23"/>
      <c r="CR79" s="23">
        <v>317</v>
      </c>
      <c r="CS79" s="23">
        <v>-3130</v>
      </c>
      <c r="CT79" s="23">
        <v>-2255</v>
      </c>
      <c r="CU79" s="23">
        <v>49</v>
      </c>
      <c r="CV79" s="23"/>
      <c r="CW79" s="23"/>
      <c r="CX79" s="23"/>
      <c r="CY79" s="23">
        <v>-1517</v>
      </c>
      <c r="CZ79" s="23">
        <v>1025</v>
      </c>
      <c r="DA79" s="23">
        <v>-1110</v>
      </c>
      <c r="DB79" s="23">
        <v>-1575</v>
      </c>
      <c r="DC79" s="23">
        <v>285</v>
      </c>
      <c r="DD79" s="23"/>
      <c r="DE79" s="23"/>
      <c r="DF79" s="23">
        <v>-505</v>
      </c>
      <c r="DG79" s="23">
        <v>-29</v>
      </c>
      <c r="DH79" s="23">
        <v>-144</v>
      </c>
      <c r="DI79" s="23">
        <v>1796</v>
      </c>
      <c r="DJ79" s="23">
        <v>2220</v>
      </c>
      <c r="DK79" s="23"/>
      <c r="DL79" s="23"/>
      <c r="DM79" s="23">
        <v>1330</v>
      </c>
      <c r="DN79" s="23">
        <v>560</v>
      </c>
      <c r="DO79" s="23">
        <v>35</v>
      </c>
      <c r="DP79" s="23">
        <v>-275</v>
      </c>
      <c r="DQ79" s="23">
        <v>-910</v>
      </c>
      <c r="DR79" s="23"/>
      <c r="DS79" s="23">
        <v>900</v>
      </c>
      <c r="DT79" s="23">
        <v>1030</v>
      </c>
      <c r="DU79" s="23">
        <v>1200</v>
      </c>
      <c r="DV79" s="23">
        <v>4228</v>
      </c>
      <c r="DW79" s="23"/>
      <c r="DX79" s="23"/>
      <c r="DY79" s="23"/>
      <c r="DZ79" s="23"/>
      <c r="EA79" s="23"/>
      <c r="EB79" s="23">
        <v>-6820</v>
      </c>
      <c r="EC79" s="23">
        <v>-3353</v>
      </c>
      <c r="ED79" s="23">
        <v>1586</v>
      </c>
      <c r="EE79" s="23">
        <v>770</v>
      </c>
      <c r="EF79" s="23"/>
      <c r="EG79" s="23"/>
      <c r="EH79" s="23">
        <v>430</v>
      </c>
      <c r="EI79" s="23">
        <v>-2250</v>
      </c>
      <c r="EJ79" s="23">
        <v>-1035</v>
      </c>
      <c r="EK79" s="23">
        <v>-941</v>
      </c>
      <c r="EL79" s="23">
        <v>295</v>
      </c>
      <c r="EM79" s="23"/>
      <c r="EN79" s="23"/>
      <c r="EO79" s="23">
        <v>920</v>
      </c>
      <c r="EP79" s="23">
        <v>1770</v>
      </c>
      <c r="EQ79" s="23">
        <v>650</v>
      </c>
      <c r="ER79" s="23">
        <v>900</v>
      </c>
      <c r="ES79" s="23">
        <v>360</v>
      </c>
      <c r="ET79" s="23"/>
      <c r="EU79" s="23"/>
      <c r="EV79" s="23">
        <v>2470</v>
      </c>
      <c r="EW79" s="23">
        <v>910</v>
      </c>
      <c r="EX79" s="23">
        <v>585</v>
      </c>
      <c r="EY79" s="23">
        <v>1115</v>
      </c>
      <c r="EZ79" s="23">
        <v>1486</v>
      </c>
      <c r="FA79" s="23"/>
      <c r="FB79" s="23"/>
      <c r="FC79" s="23"/>
      <c r="FD79" s="23">
        <v>-3755</v>
      </c>
      <c r="FE79" s="23">
        <v>-6</v>
      </c>
      <c r="FF79" s="23">
        <v>-1395</v>
      </c>
      <c r="FG79" s="23">
        <v>-1561</v>
      </c>
      <c r="FH79" s="23"/>
      <c r="FI79" s="23"/>
      <c r="FJ79" s="23">
        <v>1738</v>
      </c>
      <c r="FK79" s="23">
        <v>-2559</v>
      </c>
      <c r="FL79" s="23">
        <v>-509</v>
      </c>
      <c r="FM79" s="23">
        <v>-72</v>
      </c>
      <c r="FN79" s="23">
        <v>675</v>
      </c>
      <c r="FO79" s="23"/>
      <c r="FP79" s="23"/>
      <c r="FQ79" s="23">
        <v>682</v>
      </c>
      <c r="FR79" s="23">
        <v>-13</v>
      </c>
      <c r="FS79" s="23">
        <v>-77</v>
      </c>
      <c r="FT79" s="23">
        <v>842</v>
      </c>
      <c r="FU79" s="23">
        <v>-413</v>
      </c>
      <c r="FV79" s="23"/>
      <c r="FW79" s="23"/>
      <c r="FX79" s="23">
        <v>-215</v>
      </c>
      <c r="FY79" s="23">
        <v>2092</v>
      </c>
      <c r="FZ79" s="23">
        <v>2090</v>
      </c>
      <c r="GA79" s="23">
        <v>3058</v>
      </c>
      <c r="GB79" s="23">
        <v>3647</v>
      </c>
      <c r="GC79" s="23"/>
      <c r="GD79" s="23"/>
      <c r="GE79" s="23">
        <v>1110</v>
      </c>
      <c r="GF79" s="23">
        <v>-2755</v>
      </c>
      <c r="GG79" s="23">
        <v>-2668</v>
      </c>
      <c r="GH79" s="23">
        <v>-4521</v>
      </c>
      <c r="GI79" s="23">
        <v>-4919</v>
      </c>
      <c r="GJ79" s="23"/>
      <c r="GK79" s="23"/>
      <c r="GL79" s="23">
        <v>-2250</v>
      </c>
      <c r="GM79" s="23">
        <v>-620</v>
      </c>
      <c r="GN79" s="23">
        <v>-230</v>
      </c>
      <c r="GO79" s="23">
        <v>328</v>
      </c>
      <c r="GP79" s="23">
        <v>507</v>
      </c>
      <c r="GQ79" s="23"/>
      <c r="GR79" s="23"/>
      <c r="GS79" s="23">
        <v>1197</v>
      </c>
      <c r="GT79" s="23">
        <v>2735</v>
      </c>
      <c r="GU79" s="23">
        <v>4446</v>
      </c>
      <c r="GV79" s="23">
        <v>3605</v>
      </c>
      <c r="GW79" s="23">
        <v>1028</v>
      </c>
      <c r="GX79" s="23"/>
      <c r="GY79" s="23"/>
      <c r="GZ79" s="23">
        <v>-555</v>
      </c>
      <c r="HA79" s="23">
        <v>-1277</v>
      </c>
      <c r="HB79" s="23">
        <v>-3696</v>
      </c>
      <c r="HC79" s="23">
        <v>-1195</v>
      </c>
      <c r="HD79" s="23">
        <v>6018</v>
      </c>
      <c r="HE79" s="23"/>
      <c r="HF79" s="23"/>
      <c r="HG79" s="23">
        <v>3251</v>
      </c>
      <c r="HH79" s="23">
        <v>2344</v>
      </c>
      <c r="HI79" s="23">
        <v>1585</v>
      </c>
      <c r="HJ79" s="23">
        <v>-478</v>
      </c>
      <c r="HK79" s="23">
        <v>-6633</v>
      </c>
      <c r="HL79" s="23"/>
      <c r="HM79" s="23"/>
      <c r="HN79" s="23">
        <v>490</v>
      </c>
      <c r="HO79" s="23">
        <v>-2885</v>
      </c>
      <c r="HP79" s="23">
        <v>-1705</v>
      </c>
      <c r="HQ79" s="23">
        <v>-1225</v>
      </c>
      <c r="HR79" s="23">
        <v>-40</v>
      </c>
      <c r="HS79" s="23"/>
      <c r="HT79" s="23"/>
      <c r="HU79" s="23">
        <v>-4328</v>
      </c>
      <c r="HV79" s="23">
        <v>-461</v>
      </c>
      <c r="HW79" s="23">
        <v>-200</v>
      </c>
      <c r="HX79" s="23">
        <v>-320</v>
      </c>
      <c r="HY79" s="23">
        <v>1160</v>
      </c>
      <c r="HZ79" s="23"/>
      <c r="IA79" s="23"/>
      <c r="IB79" s="23">
        <v>1545</v>
      </c>
      <c r="IC79" s="23">
        <v>4657</v>
      </c>
      <c r="ID79" s="23">
        <v>4975</v>
      </c>
      <c r="IE79" s="23">
        <v>1243</v>
      </c>
      <c r="IF79" s="23">
        <v>1232</v>
      </c>
      <c r="IG79" s="23"/>
      <c r="IH79" s="23"/>
      <c r="II79" s="23">
        <v>219</v>
      </c>
      <c r="IJ79" s="23">
        <v>-1745</v>
      </c>
      <c r="IK79" s="23">
        <v>-2361</v>
      </c>
      <c r="IL79" s="23">
        <v>1631</v>
      </c>
      <c r="IM79" s="23">
        <v>4217</v>
      </c>
      <c r="IN79" s="23"/>
      <c r="IO79" s="23"/>
      <c r="IP79" s="31">
        <v>-1057</v>
      </c>
      <c r="IQ79" s="31">
        <v>-1501</v>
      </c>
      <c r="IR79" s="31">
        <v>-1508</v>
      </c>
      <c r="IS79" s="31">
        <v>-2035</v>
      </c>
      <c r="IT79" s="31">
        <v>-5946</v>
      </c>
      <c r="IU79" s="31"/>
      <c r="IV79" s="31"/>
      <c r="IW79" s="31">
        <v>88</v>
      </c>
      <c r="IX79" s="31">
        <v>-87</v>
      </c>
      <c r="IY79" s="31">
        <v>749</v>
      </c>
      <c r="IZ79" s="31">
        <v>794</v>
      </c>
      <c r="JA79" s="31">
        <v>417</v>
      </c>
      <c r="JB79" s="31"/>
      <c r="JC79" s="31"/>
      <c r="JD79" s="31">
        <v>885</v>
      </c>
      <c r="JE79" s="31">
        <v>400</v>
      </c>
      <c r="JF79" s="31">
        <v>1145</v>
      </c>
      <c r="JG79" s="31">
        <v>1950</v>
      </c>
      <c r="JH79" s="31">
        <v>1243</v>
      </c>
      <c r="JI79" s="31"/>
      <c r="JJ79" s="31"/>
      <c r="JK79" s="31">
        <v>2605</v>
      </c>
      <c r="JL79" s="31">
        <v>-109</v>
      </c>
      <c r="JM79" s="31">
        <v>-170</v>
      </c>
      <c r="JN79" s="31">
        <v>-35</v>
      </c>
      <c r="JO79" s="31">
        <v>4115</v>
      </c>
      <c r="JP79" s="31"/>
      <c r="JQ79" s="31">
        <v>1817</v>
      </c>
      <c r="JR79" s="31">
        <v>481</v>
      </c>
      <c r="JS79" s="31">
        <v>-339</v>
      </c>
      <c r="JT79" s="31"/>
      <c r="JU79" s="31"/>
      <c r="JV79" s="31"/>
      <c r="JW79" s="31"/>
      <c r="JX79" s="31"/>
      <c r="JY79" s="31"/>
      <c r="JZ79" s="23"/>
      <c r="KA79" s="23"/>
      <c r="KB79" s="23">
        <v>-14513</v>
      </c>
      <c r="KC79" s="23">
        <v>-1910</v>
      </c>
      <c r="KD79" s="23">
        <v>1160</v>
      </c>
      <c r="KE79" s="23"/>
      <c r="KF79" s="23">
        <v>1378</v>
      </c>
      <c r="KG79" s="23">
        <v>910</v>
      </c>
      <c r="KH79" s="23">
        <v>435</v>
      </c>
      <c r="KI79" s="23">
        <v>-3760</v>
      </c>
      <c r="KJ79" s="23">
        <v>-2442</v>
      </c>
      <c r="KK79" s="23"/>
      <c r="KL79" s="23"/>
      <c r="KM79" s="23">
        <v>-648</v>
      </c>
      <c r="KN79" s="23">
        <v>685</v>
      </c>
      <c r="KO79" s="23">
        <v>947</v>
      </c>
      <c r="KP79" s="23">
        <v>-235</v>
      </c>
      <c r="KQ79" s="23">
        <v>32</v>
      </c>
      <c r="KR79" s="23"/>
      <c r="KS79" s="23"/>
      <c r="KT79" s="23">
        <v>1483</v>
      </c>
      <c r="KU79" s="23">
        <v>3158</v>
      </c>
      <c r="KV79" s="23">
        <v>4195</v>
      </c>
      <c r="KW79" s="23">
        <v>1301</v>
      </c>
      <c r="KX79" s="23">
        <v>1871</v>
      </c>
      <c r="KY79" s="23"/>
      <c r="KZ79" s="23"/>
      <c r="LA79" s="23">
        <v>-2590</v>
      </c>
      <c r="LB79" s="23">
        <v>-3578</v>
      </c>
      <c r="LC79" s="23">
        <v>-4922</v>
      </c>
      <c r="LD79" s="23">
        <v>-2498</v>
      </c>
      <c r="LE79" s="23">
        <v>-2134</v>
      </c>
      <c r="LF79" s="23"/>
      <c r="LG79" s="23"/>
      <c r="LH79" s="23">
        <v>416</v>
      </c>
      <c r="LI79" s="23">
        <v>2863</v>
      </c>
      <c r="LJ79" s="23">
        <v>1300</v>
      </c>
      <c r="LK79" s="23">
        <v>972</v>
      </c>
      <c r="LL79" s="23">
        <v>711</v>
      </c>
      <c r="LM79" s="23"/>
      <c r="LN79" s="23"/>
      <c r="LO79" s="23">
        <v>1631</v>
      </c>
      <c r="LP79" s="23">
        <v>37</v>
      </c>
      <c r="LQ79" s="23">
        <v>1150</v>
      </c>
      <c r="LR79" s="23">
        <v>1100</v>
      </c>
      <c r="LS79" s="23">
        <v>1622</v>
      </c>
      <c r="LT79" s="23"/>
      <c r="LU79" s="23"/>
      <c r="LV79" s="23">
        <v>557</v>
      </c>
      <c r="LW79" s="23">
        <v>-1054</v>
      </c>
      <c r="LX79" s="23">
        <v>-972</v>
      </c>
      <c r="LY79" s="23">
        <v>564</v>
      </c>
      <c r="LZ79" s="23">
        <v>-737</v>
      </c>
      <c r="MA79" s="23"/>
      <c r="MB79" s="23"/>
      <c r="MC79" s="23">
        <v>-2311</v>
      </c>
      <c r="MD79" s="23">
        <v>-1458</v>
      </c>
      <c r="ME79" s="23">
        <v>-1340</v>
      </c>
      <c r="MF79" s="23">
        <v>-1756</v>
      </c>
      <c r="MG79" s="23">
        <v>-1615</v>
      </c>
      <c r="MH79" s="23"/>
      <c r="MI79" s="23"/>
      <c r="MJ79" s="23">
        <v>147</v>
      </c>
      <c r="MK79" s="23">
        <v>-390</v>
      </c>
      <c r="ML79" s="23">
        <v>1105</v>
      </c>
      <c r="MM79" s="23">
        <v>-622</v>
      </c>
      <c r="MN79" s="23">
        <v>-193</v>
      </c>
      <c r="MO79" s="23"/>
      <c r="MP79" s="23"/>
      <c r="MQ79" s="23">
        <v>86</v>
      </c>
      <c r="MR79" s="23">
        <v>180</v>
      </c>
      <c r="MS79" s="23">
        <v>-1430</v>
      </c>
      <c r="MT79" s="23">
        <v>697</v>
      </c>
      <c r="MU79" s="23">
        <v>357</v>
      </c>
      <c r="MV79" s="23"/>
      <c r="MW79" s="23"/>
      <c r="MX79" s="23">
        <v>-636</v>
      </c>
      <c r="MY79" s="23">
        <v>-760</v>
      </c>
      <c r="MZ79" s="23">
        <v>-208</v>
      </c>
      <c r="NA79" s="23">
        <v>888</v>
      </c>
      <c r="NB79" s="23">
        <v>368</v>
      </c>
      <c r="NC79" s="23"/>
      <c r="ND79" s="23"/>
      <c r="NE79" s="23">
        <v>4150</v>
      </c>
      <c r="NF79" s="23">
        <v>2532</v>
      </c>
      <c r="NG79" s="23">
        <v>5028</v>
      </c>
      <c r="NH79" s="23"/>
      <c r="NI79" s="23"/>
      <c r="NJ79" s="23"/>
      <c r="NK79" s="23">
        <v>-4336</v>
      </c>
      <c r="NL79" s="23">
        <v>-4688</v>
      </c>
      <c r="NM79" s="23">
        <v>-2963</v>
      </c>
      <c r="NN79" s="23">
        <v>-5002</v>
      </c>
      <c r="NO79" s="23">
        <v>99</v>
      </c>
      <c r="NP79" s="23">
        <v>340</v>
      </c>
      <c r="NQ79" s="23"/>
      <c r="NR79" s="23"/>
      <c r="NS79" s="23">
        <v>361</v>
      </c>
      <c r="NT79" s="23">
        <v>3424</v>
      </c>
      <c r="NU79" s="23">
        <v>2122</v>
      </c>
      <c r="NV79" s="23">
        <v>1694</v>
      </c>
      <c r="NW79" s="23">
        <v>527</v>
      </c>
      <c r="NX79" s="23"/>
      <c r="NY79" s="23"/>
      <c r="NZ79" s="23">
        <v>722</v>
      </c>
      <c r="OA79" s="23">
        <v>-346</v>
      </c>
      <c r="OB79" s="23">
        <v>1227</v>
      </c>
      <c r="OC79" s="23">
        <v>309</v>
      </c>
      <c r="OD79" s="23">
        <v>383</v>
      </c>
      <c r="OE79" s="23"/>
      <c r="OF79" s="23"/>
      <c r="OG79" s="23">
        <v>-78</v>
      </c>
      <c r="OH79" s="23">
        <v>780</v>
      </c>
      <c r="OI79" s="23">
        <v>140</v>
      </c>
      <c r="OJ79" s="23">
        <v>1438</v>
      </c>
      <c r="OK79" s="23">
        <v>3525</v>
      </c>
      <c r="OL79" s="23"/>
      <c r="OM79" s="23"/>
      <c r="ON79" s="23">
        <v>-755</v>
      </c>
      <c r="OO79" s="23">
        <v>-2965</v>
      </c>
      <c r="OP79" s="23">
        <v>-3025</v>
      </c>
      <c r="OQ79" s="23">
        <v>645</v>
      </c>
      <c r="OR79" s="23">
        <v>-1460</v>
      </c>
      <c r="OS79" s="23"/>
      <c r="OT79" s="23"/>
      <c r="OU79" s="23">
        <v>380</v>
      </c>
      <c r="OV79" s="23">
        <v>2059</v>
      </c>
      <c r="OW79" s="23">
        <v>4035</v>
      </c>
      <c r="OX79" s="23">
        <v>4480</v>
      </c>
      <c r="OY79" s="23">
        <v>1135</v>
      </c>
      <c r="OZ79" s="23">
        <v>380</v>
      </c>
      <c r="PA79" s="23"/>
      <c r="PB79" s="23"/>
      <c r="PC79" s="23"/>
      <c r="PD79" s="23"/>
      <c r="PE79" s="23"/>
      <c r="PF79" s="23"/>
      <c r="PG79" s="23"/>
      <c r="PH79" s="23"/>
      <c r="PI79" s="23"/>
      <c r="PJ79" s="23">
        <v>-9264</v>
      </c>
      <c r="PK79" s="23">
        <v>95</v>
      </c>
      <c r="PL79" s="23">
        <v>-795</v>
      </c>
      <c r="PM79" s="23">
        <v>2690</v>
      </c>
      <c r="PN79" s="23">
        <v>1160</v>
      </c>
      <c r="PO79" s="23"/>
      <c r="PP79" s="23">
        <v>190</v>
      </c>
      <c r="PQ79" s="23">
        <v>-4917</v>
      </c>
      <c r="PR79" s="23">
        <v>-3690</v>
      </c>
      <c r="PS79" s="23">
        <v>-2975</v>
      </c>
      <c r="PT79" s="23">
        <v>-2242</v>
      </c>
      <c r="PU79" s="23"/>
      <c r="PV79" s="23"/>
      <c r="PW79" s="23">
        <v>-865</v>
      </c>
      <c r="PX79" s="23">
        <v>52</v>
      </c>
      <c r="PY79" s="23">
        <v>-140</v>
      </c>
      <c r="PZ79" s="23">
        <v>15</v>
      </c>
      <c r="QA79" s="23">
        <v>-73</v>
      </c>
      <c r="QB79" s="23"/>
      <c r="QC79" s="23"/>
      <c r="QD79" s="23">
        <v>888</v>
      </c>
      <c r="QE79" s="23">
        <v>115</v>
      </c>
      <c r="QF79" s="23">
        <v>-60</v>
      </c>
      <c r="QG79" s="23">
        <v>-115</v>
      </c>
      <c r="QH79" s="23">
        <v>-170</v>
      </c>
      <c r="QI79" s="23"/>
      <c r="QJ79" s="23"/>
      <c r="QK79" s="23">
        <v>-1293</v>
      </c>
      <c r="QL79" s="23">
        <v>-335</v>
      </c>
      <c r="QM79" s="23">
        <v>580</v>
      </c>
      <c r="QN79" s="23">
        <v>2110</v>
      </c>
      <c r="QO79" s="23">
        <v>1257</v>
      </c>
      <c r="QP79" s="23"/>
      <c r="QQ79" s="23"/>
      <c r="QR79" s="23">
        <v>2615</v>
      </c>
      <c r="QS79" s="23">
        <v>150</v>
      </c>
      <c r="QT79" s="23">
        <v>-780</v>
      </c>
      <c r="QU79" s="23">
        <v>-2235</v>
      </c>
      <c r="QV79" s="23">
        <v>-1452</v>
      </c>
      <c r="QW79" s="23"/>
      <c r="QX79" s="23"/>
      <c r="QY79" s="23"/>
      <c r="QZ79" s="23">
        <v>-3015</v>
      </c>
      <c r="RA79" s="23">
        <v>0</v>
      </c>
      <c r="RB79" s="23">
        <v>0</v>
      </c>
      <c r="RC79" s="23">
        <v>10</v>
      </c>
      <c r="RD79" s="23"/>
      <c r="RE79" s="23"/>
      <c r="RF79" s="23">
        <v>5</v>
      </c>
      <c r="RG79" s="23">
        <v>5</v>
      </c>
      <c r="RH79" s="23">
        <v>0</v>
      </c>
      <c r="RI79" s="23">
        <v>0</v>
      </c>
      <c r="RJ79" s="23">
        <v>-15</v>
      </c>
      <c r="RK79" s="23"/>
      <c r="RL79" s="23"/>
      <c r="RM79" s="23">
        <v>0</v>
      </c>
      <c r="RN79" s="23">
        <v>40</v>
      </c>
      <c r="RO79" s="23">
        <v>55</v>
      </c>
      <c r="RP79" s="23">
        <v>0</v>
      </c>
      <c r="RQ79" s="23">
        <v>45</v>
      </c>
      <c r="RR79" s="23"/>
      <c r="RS79" s="23"/>
      <c r="RT79" s="23">
        <v>2180</v>
      </c>
      <c r="RU79" s="23">
        <v>385</v>
      </c>
      <c r="RV79" s="23">
        <v>199</v>
      </c>
      <c r="RW79" s="23">
        <v>1257</v>
      </c>
      <c r="RX79" s="23"/>
      <c r="RY79" s="23"/>
      <c r="RZ79" s="23"/>
      <c r="SA79" s="23"/>
      <c r="SB79" s="23"/>
      <c r="SC79" s="23">
        <v>-2669</v>
      </c>
      <c r="SD79" s="23">
        <v>-992</v>
      </c>
      <c r="SE79" s="23">
        <v>5</v>
      </c>
      <c r="SF79" s="23">
        <v>5</v>
      </c>
      <c r="SG79" s="23"/>
      <c r="SH79" s="23">
        <v>5</v>
      </c>
      <c r="SI79" s="23">
        <v>5</v>
      </c>
      <c r="SJ79" s="23">
        <v>-255</v>
      </c>
      <c r="SK79" s="23">
        <v>-265</v>
      </c>
      <c r="SL79" s="23">
        <v>0</v>
      </c>
      <c r="SM79" s="23"/>
      <c r="SN79" s="23"/>
      <c r="SO79" s="23">
        <v>0</v>
      </c>
      <c r="SP79" s="23">
        <v>0</v>
      </c>
      <c r="SQ79" s="23">
        <v>495</v>
      </c>
      <c r="SR79" s="23">
        <v>995</v>
      </c>
      <c r="SS79" s="23">
        <v>1525</v>
      </c>
      <c r="ST79" s="23"/>
      <c r="SU79" s="23"/>
      <c r="SV79" s="23">
        <v>2570</v>
      </c>
      <c r="SW79" s="23">
        <v>2485</v>
      </c>
      <c r="SX79" s="23">
        <v>1276</v>
      </c>
      <c r="SY79" s="23">
        <v>13</v>
      </c>
      <c r="SZ79" s="23">
        <v>-300</v>
      </c>
      <c r="TA79" s="23"/>
      <c r="TB79" s="23"/>
      <c r="TC79" s="23">
        <v>-2470</v>
      </c>
      <c r="TD79" s="23">
        <v>-2488</v>
      </c>
      <c r="TE79" s="23">
        <v>-1776</v>
      </c>
      <c r="TF79" s="23">
        <v>-1013</v>
      </c>
      <c r="TG79" s="23">
        <v>920</v>
      </c>
      <c r="TH79" s="23"/>
      <c r="TI79" s="23"/>
      <c r="TJ79" s="23">
        <v>2075</v>
      </c>
      <c r="TK79" s="23">
        <v>1528</v>
      </c>
      <c r="TL79" s="23">
        <v>1590</v>
      </c>
      <c r="TM79" s="23">
        <v>1885</v>
      </c>
      <c r="TN79" s="23">
        <v>1780</v>
      </c>
      <c r="TO79" s="23"/>
      <c r="TP79" s="23"/>
      <c r="TQ79" s="23">
        <v>2065</v>
      </c>
      <c r="TR79" s="23">
        <v>2965</v>
      </c>
      <c r="TS79" s="23">
        <v>2613</v>
      </c>
      <c r="TT79" s="23">
        <v>595</v>
      </c>
      <c r="TU79" s="23"/>
      <c r="TV79" s="23"/>
      <c r="TW79" s="23"/>
      <c r="TX79" s="23">
        <v>-3415</v>
      </c>
      <c r="TY79" s="23">
        <v>750</v>
      </c>
      <c r="TZ79" s="23">
        <v>2422</v>
      </c>
      <c r="UA79" s="23">
        <v>1225</v>
      </c>
      <c r="UB79" s="23">
        <v>2315</v>
      </c>
      <c r="UC79" s="23"/>
      <c r="UD79" s="23"/>
      <c r="UE79" s="23">
        <v>-190</v>
      </c>
      <c r="UF79" s="23">
        <v>-1550</v>
      </c>
      <c r="UG79" s="23">
        <v>-11625</v>
      </c>
      <c r="UH79" s="23">
        <v>-820</v>
      </c>
      <c r="UI79" s="23">
        <v>-1685</v>
      </c>
      <c r="UJ79" s="23"/>
      <c r="UK79" s="23"/>
      <c r="UL79" s="23">
        <v>495</v>
      </c>
      <c r="UM79" s="23"/>
      <c r="UN79" s="23"/>
      <c r="UO79" s="23"/>
      <c r="UP79" s="23"/>
      <c r="UQ79" s="23"/>
      <c r="UR79" s="23"/>
      <c r="US79" s="23"/>
      <c r="UT79" s="23"/>
    </row>
    <row r="80" ht="16.5" customHeight="1" spans="4:566">
      <c r="D80" s="19" t="s">
        <v>210</v>
      </c>
      <c r="E80" s="21" t="s">
        <v>211</v>
      </c>
      <c r="F80" s="23"/>
      <c r="G80" s="23"/>
      <c r="H80" s="23"/>
      <c r="I80" s="23">
        <v>-2892</v>
      </c>
      <c r="J80" s="23"/>
      <c r="K80" s="23"/>
      <c r="L80" s="23"/>
      <c r="M80" s="23"/>
      <c r="N80" s="23"/>
      <c r="O80" s="23"/>
      <c r="P80" s="23">
        <v>-2600</v>
      </c>
      <c r="Q80" s="23"/>
      <c r="R80" s="23"/>
      <c r="S80" s="23"/>
      <c r="T80" s="23"/>
      <c r="U80" s="23"/>
      <c r="V80" s="23"/>
      <c r="W80" s="23">
        <v>14539</v>
      </c>
      <c r="X80" s="23"/>
      <c r="Y80" s="23"/>
      <c r="Z80" s="23"/>
      <c r="AA80" s="23"/>
      <c r="AB80" s="23"/>
      <c r="AC80" s="23"/>
      <c r="AD80" s="23">
        <v>8157</v>
      </c>
      <c r="AE80" s="23"/>
      <c r="AF80" s="23"/>
      <c r="AG80" s="23"/>
      <c r="AH80" s="23"/>
      <c r="AI80" s="23"/>
      <c r="AJ80" s="23"/>
      <c r="AK80" s="23">
        <v>3307.2</v>
      </c>
      <c r="AL80" s="23"/>
      <c r="AM80" s="23"/>
      <c r="AN80" s="23"/>
      <c r="AO80" s="23"/>
      <c r="AP80" s="23"/>
      <c r="AQ80" s="23"/>
      <c r="AR80" s="23">
        <v>-10213</v>
      </c>
      <c r="AS80" s="23"/>
      <c r="AT80" s="23"/>
      <c r="AU80" s="23"/>
      <c r="AV80" s="23"/>
      <c r="AW80" s="23"/>
      <c r="AX80" s="23"/>
      <c r="AY80" s="23">
        <v>-5609</v>
      </c>
      <c r="AZ80" s="23"/>
      <c r="BA80" s="23"/>
      <c r="BB80" s="23"/>
      <c r="BC80" s="23"/>
      <c r="BD80" s="23"/>
      <c r="BE80" s="23"/>
      <c r="BF80" s="23">
        <v>4818</v>
      </c>
      <c r="BG80" s="23"/>
      <c r="BH80" s="23"/>
      <c r="BI80" s="23"/>
      <c r="BJ80" s="23"/>
      <c r="BK80" s="23"/>
      <c r="BL80" s="23"/>
      <c r="BM80" s="23">
        <v>1369.7</v>
      </c>
      <c r="BN80" s="23"/>
      <c r="BO80" s="23"/>
      <c r="BP80" s="23"/>
      <c r="BQ80" s="23"/>
      <c r="BR80" s="23"/>
      <c r="BS80" s="23"/>
      <c r="BT80" s="23">
        <v>-8813</v>
      </c>
      <c r="BU80" s="23"/>
      <c r="BV80" s="23"/>
      <c r="BW80" s="23"/>
      <c r="BX80" s="23"/>
      <c r="BY80" s="23"/>
      <c r="BZ80" s="23"/>
      <c r="CA80" s="23">
        <v>-2517</v>
      </c>
      <c r="CB80" s="23"/>
      <c r="CC80" s="23"/>
      <c r="CD80" s="23"/>
      <c r="CE80" s="23"/>
      <c r="CF80" s="23"/>
      <c r="CG80" s="23"/>
      <c r="CH80" s="23">
        <v>8855</v>
      </c>
      <c r="CI80" s="23"/>
      <c r="CJ80" s="23"/>
      <c r="CK80" s="23"/>
      <c r="CL80" s="23"/>
      <c r="CM80" s="23"/>
      <c r="CN80" s="23"/>
      <c r="CO80" s="23">
        <v>-1429</v>
      </c>
      <c r="CP80" s="23"/>
      <c r="CQ80" s="23"/>
      <c r="CR80" s="23"/>
      <c r="CS80" s="23"/>
      <c r="CT80" s="23"/>
      <c r="CU80" s="23"/>
      <c r="CV80" s="23">
        <v>-5019</v>
      </c>
      <c r="CW80" s="23"/>
      <c r="CX80" s="23"/>
      <c r="CY80" s="23"/>
      <c r="CZ80" s="23"/>
      <c r="DA80" s="23"/>
      <c r="DB80" s="23"/>
      <c r="DC80" s="23">
        <v>-2892</v>
      </c>
      <c r="DD80" s="23"/>
      <c r="DE80" s="23"/>
      <c r="DF80" s="23"/>
      <c r="DG80" s="23"/>
      <c r="DH80" s="23"/>
      <c r="DI80" s="23"/>
      <c r="DJ80" s="23">
        <v>3338</v>
      </c>
      <c r="DK80" s="23"/>
      <c r="DL80" s="23"/>
      <c r="DM80" s="23"/>
      <c r="DN80" s="23"/>
      <c r="DO80" s="23"/>
      <c r="DP80" s="23"/>
      <c r="DQ80" s="23">
        <v>740</v>
      </c>
      <c r="DR80" s="23"/>
      <c r="DS80" s="23"/>
      <c r="DT80" s="23"/>
      <c r="DU80" s="23"/>
      <c r="DV80" s="23"/>
      <c r="DW80" s="23"/>
      <c r="DX80" s="23">
        <v>7358</v>
      </c>
      <c r="DY80" s="23"/>
      <c r="DZ80" s="23"/>
      <c r="EA80" s="23"/>
      <c r="EB80" s="23"/>
      <c r="EC80" s="23"/>
      <c r="ED80" s="23"/>
      <c r="EE80" s="23">
        <v>-7817</v>
      </c>
      <c r="EF80" s="23"/>
      <c r="EG80" s="23"/>
      <c r="EH80" s="23"/>
      <c r="EI80" s="23"/>
      <c r="EJ80" s="23"/>
      <c r="EK80" s="23"/>
      <c r="EL80" s="23">
        <v>-3501</v>
      </c>
      <c r="EM80" s="23"/>
      <c r="EN80" s="23"/>
      <c r="EO80" s="23"/>
      <c r="EP80" s="23"/>
      <c r="EQ80" s="23"/>
      <c r="ER80" s="23"/>
      <c r="ES80" s="23">
        <v>4600</v>
      </c>
      <c r="ET80" s="23"/>
      <c r="EU80" s="23"/>
      <c r="EV80" s="23"/>
      <c r="EW80" s="23"/>
      <c r="EX80" s="23"/>
      <c r="EY80" s="23"/>
      <c r="EZ80" s="23">
        <v>6566</v>
      </c>
      <c r="FA80" s="23"/>
      <c r="FB80" s="23"/>
      <c r="FC80" s="23"/>
      <c r="FD80" s="23"/>
      <c r="FE80" s="23"/>
      <c r="FF80" s="23"/>
      <c r="FG80" s="23">
        <v>-6717</v>
      </c>
      <c r="FH80" s="23"/>
      <c r="FI80" s="23"/>
      <c r="FJ80" s="23"/>
      <c r="FK80" s="23"/>
      <c r="FL80" s="23"/>
      <c r="FM80" s="23"/>
      <c r="FN80" s="23">
        <v>-727</v>
      </c>
      <c r="FO80" s="23"/>
      <c r="FP80" s="23"/>
      <c r="FQ80" s="23"/>
      <c r="FR80" s="23"/>
      <c r="FS80" s="23"/>
      <c r="FT80" s="23"/>
      <c r="FU80" s="23">
        <v>1021</v>
      </c>
      <c r="FV80" s="23"/>
      <c r="FW80" s="23"/>
      <c r="FX80" s="23"/>
      <c r="FY80" s="23"/>
      <c r="FZ80" s="23"/>
      <c r="GA80" s="23"/>
      <c r="GB80" s="23">
        <v>10672</v>
      </c>
      <c r="GC80" s="23"/>
      <c r="GD80" s="23"/>
      <c r="GE80" s="23"/>
      <c r="GF80" s="23"/>
      <c r="GG80" s="23"/>
      <c r="GH80" s="23"/>
      <c r="GI80" s="23">
        <v>-13753</v>
      </c>
      <c r="GJ80" s="23"/>
      <c r="GK80" s="23"/>
      <c r="GL80" s="23"/>
      <c r="GM80" s="23"/>
      <c r="GN80" s="23"/>
      <c r="GO80" s="23"/>
      <c r="GP80" s="23">
        <v>-2265</v>
      </c>
      <c r="GQ80" s="23"/>
      <c r="GR80" s="23"/>
      <c r="GS80" s="23"/>
      <c r="GT80" s="23"/>
      <c r="GU80" s="23"/>
      <c r="GV80" s="23"/>
      <c r="GW80" s="23">
        <v>13011</v>
      </c>
      <c r="GX80" s="23"/>
      <c r="GY80" s="23"/>
      <c r="GZ80" s="23"/>
      <c r="HA80" s="23"/>
      <c r="HB80" s="23"/>
      <c r="HC80" s="23"/>
      <c r="HD80" s="23">
        <v>-705</v>
      </c>
      <c r="HE80" s="23"/>
      <c r="HF80" s="23"/>
      <c r="HG80" s="23"/>
      <c r="HH80" s="23"/>
      <c r="HI80" s="23"/>
      <c r="HJ80" s="23"/>
      <c r="HK80" s="23">
        <v>69</v>
      </c>
      <c r="HL80" s="23"/>
      <c r="HM80" s="23"/>
      <c r="HN80" s="23"/>
      <c r="HO80" s="23"/>
      <c r="HP80" s="23"/>
      <c r="HQ80" s="23"/>
      <c r="HR80" s="23">
        <v>-5365</v>
      </c>
      <c r="HS80" s="23"/>
      <c r="HT80" s="23"/>
      <c r="HU80" s="23"/>
      <c r="HV80" s="23"/>
      <c r="HW80" s="23"/>
      <c r="HX80" s="23"/>
      <c r="HY80" s="23">
        <v>-4149</v>
      </c>
      <c r="HZ80" s="23"/>
      <c r="IA80" s="23"/>
      <c r="IB80" s="23"/>
      <c r="IC80" s="23"/>
      <c r="ID80" s="23"/>
      <c r="IE80" s="23"/>
      <c r="IF80" s="23">
        <v>13652</v>
      </c>
      <c r="IG80" s="23"/>
      <c r="IH80" s="23"/>
      <c r="II80" s="23"/>
      <c r="IJ80" s="23"/>
      <c r="IK80" s="23"/>
      <c r="IL80" s="23"/>
      <c r="IM80" s="23">
        <v>1961</v>
      </c>
      <c r="IN80" s="23"/>
      <c r="IO80" s="23"/>
      <c r="IP80" s="31"/>
      <c r="IQ80" s="31"/>
      <c r="IR80" s="31"/>
      <c r="IS80" s="31"/>
      <c r="IT80" s="31">
        <v>-12047</v>
      </c>
      <c r="IU80" s="31"/>
      <c r="IV80" s="31"/>
      <c r="IW80" s="31"/>
      <c r="IX80" s="31"/>
      <c r="IY80" s="31"/>
      <c r="IZ80" s="31"/>
      <c r="JA80" s="31">
        <v>1961</v>
      </c>
      <c r="JB80" s="31"/>
      <c r="JC80" s="31"/>
      <c r="JD80" s="31"/>
      <c r="JE80" s="31"/>
      <c r="JF80" s="31"/>
      <c r="JG80" s="31"/>
      <c r="JH80" s="31">
        <v>5623</v>
      </c>
      <c r="JI80" s="31"/>
      <c r="JJ80" s="31"/>
      <c r="JK80" s="31"/>
      <c r="JL80" s="31"/>
      <c r="JM80" s="31"/>
      <c r="JN80" s="31"/>
      <c r="JO80" s="31">
        <v>6406</v>
      </c>
      <c r="JP80" s="31"/>
      <c r="JQ80" s="31"/>
      <c r="JR80" s="31"/>
      <c r="JS80" s="31"/>
      <c r="JT80" s="31"/>
      <c r="JU80" s="31"/>
      <c r="JV80" s="31">
        <v>1959</v>
      </c>
      <c r="JW80" s="31"/>
      <c r="JX80" s="31"/>
      <c r="JY80" s="31"/>
      <c r="JZ80" s="23"/>
      <c r="KA80" s="23"/>
      <c r="KB80" s="23"/>
      <c r="KC80" s="23">
        <v>-16423</v>
      </c>
      <c r="KD80" s="23"/>
      <c r="KE80" s="23"/>
      <c r="KF80" s="23"/>
      <c r="KG80" s="23"/>
      <c r="KH80" s="23"/>
      <c r="KI80" s="23"/>
      <c r="KJ80" s="23">
        <v>-2319</v>
      </c>
      <c r="KK80" s="23"/>
      <c r="KL80" s="23"/>
      <c r="KM80" s="23"/>
      <c r="KN80" s="23"/>
      <c r="KO80" s="23"/>
      <c r="KP80" s="23"/>
      <c r="KQ80" s="23">
        <v>781</v>
      </c>
      <c r="KR80" s="23"/>
      <c r="KS80" s="23"/>
      <c r="KT80" s="23"/>
      <c r="KU80" s="23"/>
      <c r="KV80" s="23"/>
      <c r="KW80" s="23"/>
      <c r="KX80" s="23">
        <v>12008</v>
      </c>
      <c r="KY80" s="23"/>
      <c r="KZ80" s="23"/>
      <c r="LA80" s="23"/>
      <c r="LB80" s="23"/>
      <c r="LC80" s="23"/>
      <c r="LD80" s="23"/>
      <c r="LE80" s="23">
        <v>-15722</v>
      </c>
      <c r="LF80" s="23"/>
      <c r="LG80" s="23"/>
      <c r="LH80" s="23"/>
      <c r="LI80" s="23"/>
      <c r="LJ80" s="23"/>
      <c r="LK80" s="23"/>
      <c r="LL80" s="23">
        <v>6262</v>
      </c>
      <c r="LM80" s="23"/>
      <c r="LN80" s="23"/>
      <c r="LO80" s="23"/>
      <c r="LP80" s="23"/>
      <c r="LQ80" s="23"/>
      <c r="LR80" s="23"/>
      <c r="LS80" s="23">
        <v>5540</v>
      </c>
      <c r="LT80" s="23"/>
      <c r="LU80" s="23"/>
      <c r="LV80" s="23"/>
      <c r="LW80" s="23"/>
      <c r="LX80" s="23"/>
      <c r="LY80" s="23"/>
      <c r="LZ80" s="23">
        <v>-1642</v>
      </c>
      <c r="MA80" s="23"/>
      <c r="MB80" s="23"/>
      <c r="MC80" s="23"/>
      <c r="MD80" s="23"/>
      <c r="ME80" s="23"/>
      <c r="MF80" s="23"/>
      <c r="MG80" s="23">
        <v>-8480</v>
      </c>
      <c r="MH80" s="23"/>
      <c r="MI80" s="23"/>
      <c r="MJ80" s="23"/>
      <c r="MK80" s="23"/>
      <c r="ML80" s="23"/>
      <c r="MM80" s="23"/>
      <c r="MN80" s="23">
        <v>47</v>
      </c>
      <c r="MO80" s="23"/>
      <c r="MP80" s="23"/>
      <c r="MQ80" s="23"/>
      <c r="MR80" s="23"/>
      <c r="MS80" s="23"/>
      <c r="MT80" s="23"/>
      <c r="MU80" s="23">
        <v>-110</v>
      </c>
      <c r="MV80" s="23"/>
      <c r="MW80" s="23"/>
      <c r="MX80" s="23"/>
      <c r="MY80" s="23"/>
      <c r="MZ80" s="23"/>
      <c r="NA80" s="23"/>
      <c r="NB80" s="23">
        <v>-348</v>
      </c>
      <c r="NC80" s="23"/>
      <c r="ND80" s="23"/>
      <c r="NE80" s="23"/>
      <c r="NF80" s="23"/>
      <c r="NG80" s="23"/>
      <c r="NH80" s="23"/>
      <c r="NI80" s="23">
        <v>11710</v>
      </c>
      <c r="NJ80" s="23"/>
      <c r="NK80" s="23"/>
      <c r="NL80" s="23"/>
      <c r="NM80" s="23"/>
      <c r="NN80" s="23"/>
      <c r="NO80" s="23"/>
      <c r="NP80" s="23">
        <v>-16550</v>
      </c>
      <c r="NQ80" s="23"/>
      <c r="NR80" s="23"/>
      <c r="NS80" s="23"/>
      <c r="NT80" s="23"/>
      <c r="NU80" s="23"/>
      <c r="NV80" s="23"/>
      <c r="NW80" s="23">
        <v>8128</v>
      </c>
      <c r="NX80" s="23"/>
      <c r="NY80" s="23"/>
      <c r="NZ80" s="23"/>
      <c r="OA80" s="23"/>
      <c r="OB80" s="23"/>
      <c r="OC80" s="23"/>
      <c r="OD80" s="23">
        <v>2295</v>
      </c>
      <c r="OE80" s="23"/>
      <c r="OF80" s="23"/>
      <c r="OG80" s="23"/>
      <c r="OH80" s="23"/>
      <c r="OI80" s="23"/>
      <c r="OJ80" s="23"/>
      <c r="OK80" s="23">
        <v>5805</v>
      </c>
      <c r="OL80" s="23"/>
      <c r="OM80" s="23"/>
      <c r="ON80" s="23"/>
      <c r="OO80" s="23"/>
      <c r="OP80" s="23"/>
      <c r="OQ80" s="23"/>
      <c r="OR80" s="23">
        <v>-7560</v>
      </c>
      <c r="OS80" s="23"/>
      <c r="OT80" s="23"/>
      <c r="OU80" s="23"/>
      <c r="OV80" s="23"/>
      <c r="OW80" s="23"/>
      <c r="OX80" s="23"/>
      <c r="OY80" s="23">
        <v>12089</v>
      </c>
      <c r="OZ80" s="23"/>
      <c r="PA80" s="23"/>
      <c r="PB80" s="23"/>
      <c r="PC80" s="23"/>
      <c r="PD80" s="23"/>
      <c r="PE80" s="23"/>
      <c r="PF80" s="23">
        <v>380</v>
      </c>
      <c r="PG80" s="23"/>
      <c r="PH80" s="23"/>
      <c r="PI80" s="23"/>
      <c r="PJ80" s="23"/>
      <c r="PK80" s="23"/>
      <c r="PL80" s="23"/>
      <c r="PM80" s="23">
        <v>-7274</v>
      </c>
      <c r="PN80" s="23"/>
      <c r="PO80" s="23"/>
      <c r="PP80" s="23"/>
      <c r="PQ80" s="23"/>
      <c r="PR80" s="23"/>
      <c r="PS80" s="23"/>
      <c r="PT80" s="23">
        <v>-12474</v>
      </c>
      <c r="PU80" s="23"/>
      <c r="PV80" s="23"/>
      <c r="PW80" s="23"/>
      <c r="PX80" s="23"/>
      <c r="PY80" s="23"/>
      <c r="PZ80" s="23"/>
      <c r="QA80" s="23">
        <v>-1011</v>
      </c>
      <c r="QB80" s="23"/>
      <c r="QC80" s="23"/>
      <c r="QD80" s="23"/>
      <c r="QE80" s="23"/>
      <c r="QF80" s="23"/>
      <c r="QG80" s="23"/>
      <c r="QH80" s="23">
        <v>658</v>
      </c>
      <c r="QI80" s="23"/>
      <c r="QJ80" s="23"/>
      <c r="QK80" s="23"/>
      <c r="QL80" s="23"/>
      <c r="QM80" s="23"/>
      <c r="QN80" s="23"/>
      <c r="QO80" s="23">
        <v>2319</v>
      </c>
      <c r="QP80" s="23"/>
      <c r="QQ80" s="23"/>
      <c r="QR80" s="23"/>
      <c r="QS80" s="23"/>
      <c r="QT80" s="23"/>
      <c r="QU80" s="23"/>
      <c r="QV80" s="23">
        <v>-1702</v>
      </c>
      <c r="QW80" s="23"/>
      <c r="QX80" s="23"/>
      <c r="QY80" s="23"/>
      <c r="QZ80" s="23"/>
      <c r="RA80" s="23"/>
      <c r="RB80" s="23"/>
      <c r="RC80" s="23">
        <v>-3005</v>
      </c>
      <c r="RD80" s="23"/>
      <c r="RE80" s="23"/>
      <c r="RF80" s="23"/>
      <c r="RG80" s="23"/>
      <c r="RH80" s="23"/>
      <c r="RI80" s="23"/>
      <c r="RJ80" s="23">
        <v>-5</v>
      </c>
      <c r="RK80" s="23"/>
      <c r="RL80" s="23"/>
      <c r="RM80" s="23"/>
      <c r="RN80" s="23"/>
      <c r="RO80" s="23"/>
      <c r="RP80" s="23"/>
      <c r="RQ80" s="23">
        <v>140</v>
      </c>
      <c r="RR80" s="23"/>
      <c r="RS80" s="23"/>
      <c r="RT80" s="23"/>
      <c r="RU80" s="23"/>
      <c r="RV80" s="23"/>
      <c r="RW80" s="23"/>
      <c r="RX80" s="23">
        <v>4021</v>
      </c>
      <c r="RY80" s="23"/>
      <c r="RZ80" s="23"/>
      <c r="SA80" s="23"/>
      <c r="SB80" s="23"/>
      <c r="SC80" s="23"/>
      <c r="SD80" s="23"/>
      <c r="SE80" s="23">
        <v>-3656</v>
      </c>
      <c r="SF80" s="23"/>
      <c r="SG80" s="23"/>
      <c r="SH80" s="23"/>
      <c r="SI80" s="23"/>
      <c r="SJ80" s="23"/>
      <c r="SK80" s="23"/>
      <c r="SL80" s="23">
        <v>-505</v>
      </c>
      <c r="SM80" s="23"/>
      <c r="SN80" s="23"/>
      <c r="SO80" s="23"/>
      <c r="SP80" s="23"/>
      <c r="SQ80" s="23"/>
      <c r="SR80" s="23"/>
      <c r="SS80" s="23">
        <v>3015</v>
      </c>
      <c r="ST80" s="23"/>
      <c r="SU80" s="23"/>
      <c r="SV80" s="23"/>
      <c r="SW80" s="23"/>
      <c r="SX80" s="23"/>
      <c r="SY80" s="23"/>
      <c r="SZ80" s="23">
        <v>6044</v>
      </c>
      <c r="TA80" s="23"/>
      <c r="TB80" s="23"/>
      <c r="TC80" s="23"/>
      <c r="TD80" s="23"/>
      <c r="TE80" s="23"/>
      <c r="TF80" s="23"/>
      <c r="TG80" s="23">
        <v>-6827</v>
      </c>
      <c r="TH80" s="23"/>
      <c r="TI80" s="23"/>
      <c r="TJ80" s="23"/>
      <c r="TK80" s="23"/>
      <c r="TL80" s="23"/>
      <c r="TM80" s="23"/>
      <c r="TN80" s="23">
        <v>8858</v>
      </c>
      <c r="TO80" s="23"/>
      <c r="TP80" s="23"/>
      <c r="TQ80" s="23"/>
      <c r="TR80" s="23"/>
      <c r="TS80" s="23"/>
      <c r="TT80" s="23"/>
      <c r="TU80" s="23">
        <v>8238</v>
      </c>
      <c r="TV80" s="23"/>
      <c r="TW80" s="23"/>
      <c r="TX80" s="23"/>
      <c r="TY80" s="23"/>
      <c r="TZ80" s="23"/>
      <c r="UA80" s="23"/>
      <c r="UB80" s="23">
        <v>3297</v>
      </c>
      <c r="UC80" s="23"/>
      <c r="UD80" s="23"/>
      <c r="UE80" s="23"/>
      <c r="UF80" s="23"/>
      <c r="UG80" s="23"/>
      <c r="UH80" s="23"/>
      <c r="UI80" s="23">
        <v>-15870</v>
      </c>
      <c r="UJ80" s="23"/>
      <c r="UK80" s="23"/>
      <c r="UL80" s="23"/>
      <c r="UM80" s="23"/>
      <c r="UN80" s="23"/>
      <c r="UO80" s="23"/>
      <c r="UP80" s="23"/>
      <c r="UQ80" s="23"/>
      <c r="UR80" s="23"/>
      <c r="US80" s="23"/>
      <c r="UT80" s="23"/>
    </row>
    <row r="81" ht="16.5" customHeight="1" spans="4:566">
      <c r="D81" s="19" t="s">
        <v>82</v>
      </c>
      <c r="E81" s="21" t="s">
        <v>83</v>
      </c>
      <c r="F81" s="23"/>
      <c r="G81" s="23"/>
      <c r="H81" s="23">
        <v>1.5526</v>
      </c>
      <c r="I81" s="23">
        <v>1.6181</v>
      </c>
      <c r="J81" s="23"/>
      <c r="K81" s="23"/>
      <c r="L81" s="23">
        <v>1.4479</v>
      </c>
      <c r="M81" s="23">
        <v>1.4831</v>
      </c>
      <c r="N81" s="23">
        <v>1.5242</v>
      </c>
      <c r="O81" s="23">
        <v>1.56</v>
      </c>
      <c r="P81" s="23">
        <v>1.6747</v>
      </c>
      <c r="Q81" s="23"/>
      <c r="R81" s="23"/>
      <c r="S81" s="23">
        <v>1.8675</v>
      </c>
      <c r="T81" s="23">
        <v>1.9656</v>
      </c>
      <c r="U81" s="23">
        <v>1.8623</v>
      </c>
      <c r="V81" s="23">
        <v>1.8585</v>
      </c>
      <c r="W81" s="23">
        <v>1.8592</v>
      </c>
      <c r="X81" s="23"/>
      <c r="Y81" s="23"/>
      <c r="Z81" s="23">
        <v>1.8573</v>
      </c>
      <c r="AA81" s="23">
        <v>1.7989</v>
      </c>
      <c r="AB81" s="23">
        <v>1.7999</v>
      </c>
      <c r="AC81" s="23">
        <v>1.7989</v>
      </c>
      <c r="AD81" s="23">
        <v>1.7859</v>
      </c>
      <c r="AE81" s="23"/>
      <c r="AF81" s="23">
        <v>1.6541</v>
      </c>
      <c r="AG81" s="23">
        <v>1.7037</v>
      </c>
      <c r="AH81" s="23"/>
      <c r="AI81" s="23"/>
      <c r="AJ81" s="23"/>
      <c r="AK81" s="23"/>
      <c r="AL81" s="23"/>
      <c r="AM81" s="23"/>
      <c r="AN81" s="23"/>
      <c r="AO81" s="23"/>
      <c r="AP81" s="23">
        <v>1.7976</v>
      </c>
      <c r="AQ81" s="23">
        <v>1.8012</v>
      </c>
      <c r="AR81" s="23">
        <v>1.8033</v>
      </c>
      <c r="AS81" s="23">
        <v>1.7897</v>
      </c>
      <c r="AT81" s="23"/>
      <c r="AU81" s="23">
        <v>1.8541</v>
      </c>
      <c r="AV81" s="23">
        <v>1.9103</v>
      </c>
      <c r="AW81" s="23">
        <v>1.8147</v>
      </c>
      <c r="AX81" s="23">
        <v>1.8635</v>
      </c>
      <c r="AY81" s="23">
        <v>1.9135</v>
      </c>
      <c r="AZ81" s="23"/>
      <c r="BA81" s="23"/>
      <c r="BB81" s="23">
        <v>1.9386</v>
      </c>
      <c r="BC81" s="23">
        <v>1.9655</v>
      </c>
      <c r="BD81" s="23">
        <v>1.9142</v>
      </c>
      <c r="BE81" s="23">
        <v>1.946</v>
      </c>
      <c r="BF81" s="23">
        <v>1.9499</v>
      </c>
      <c r="BG81" s="23"/>
      <c r="BH81" s="23"/>
      <c r="BI81" s="23">
        <v>1.8774</v>
      </c>
      <c r="BJ81" s="23">
        <v>1.8686</v>
      </c>
      <c r="BK81" s="23">
        <v>1.8926</v>
      </c>
      <c r="BL81" s="23">
        <v>1.8894</v>
      </c>
      <c r="BM81" s="23">
        <v>1.8552</v>
      </c>
      <c r="BN81" s="23"/>
      <c r="BO81" s="23"/>
      <c r="BP81" s="23">
        <v>1.7877</v>
      </c>
      <c r="BQ81" s="23">
        <v>1.7438</v>
      </c>
      <c r="BR81" s="23">
        <v>1.7613</v>
      </c>
      <c r="BS81" s="23">
        <v>1.7837</v>
      </c>
      <c r="BT81" s="23">
        <v>1.7941</v>
      </c>
      <c r="BU81" s="23"/>
      <c r="BV81" s="23"/>
      <c r="BW81" s="23">
        <v>1.8059</v>
      </c>
      <c r="BX81" s="23">
        <v>1.7678</v>
      </c>
      <c r="BY81" s="23">
        <v>1.7565</v>
      </c>
      <c r="BZ81" s="23">
        <v>1.7711</v>
      </c>
      <c r="CA81" s="23">
        <v>1.8001</v>
      </c>
      <c r="CB81" s="23"/>
      <c r="CC81" s="23"/>
      <c r="CD81" s="23">
        <v>1.8086</v>
      </c>
      <c r="CE81" s="23">
        <v>1.7949</v>
      </c>
      <c r="CF81" s="23">
        <v>1.7685</v>
      </c>
      <c r="CG81" s="23">
        <v>1.773</v>
      </c>
      <c r="CH81" s="23">
        <v>1.7499</v>
      </c>
      <c r="CI81" s="23"/>
      <c r="CJ81" s="23"/>
      <c r="CK81" s="23">
        <v>1.7469</v>
      </c>
      <c r="CL81" s="23">
        <v>1.7813</v>
      </c>
      <c r="CM81" s="23">
        <v>1.7843</v>
      </c>
      <c r="CN81" s="23">
        <v>1.7241</v>
      </c>
      <c r="CO81" s="23">
        <v>1.7195</v>
      </c>
      <c r="CP81" s="23"/>
      <c r="CQ81" s="23"/>
      <c r="CR81" s="23">
        <v>1.8038</v>
      </c>
      <c r="CS81" s="23">
        <v>1.8319</v>
      </c>
      <c r="CT81" s="23">
        <v>1.7392</v>
      </c>
      <c r="CU81" s="23">
        <v>1.6237</v>
      </c>
      <c r="CV81" s="23"/>
      <c r="CW81" s="23"/>
      <c r="CX81" s="23"/>
      <c r="CY81" s="23">
        <v>1.7436</v>
      </c>
      <c r="CZ81" s="23">
        <v>1.7517</v>
      </c>
      <c r="DA81" s="23">
        <v>1.7217</v>
      </c>
      <c r="DB81" s="23">
        <v>1.6538</v>
      </c>
      <c r="DC81" s="23">
        <v>1.6226</v>
      </c>
      <c r="DD81" s="23"/>
      <c r="DE81" s="23"/>
      <c r="DF81" s="23">
        <v>1.6452</v>
      </c>
      <c r="DG81" s="23">
        <v>1.6975</v>
      </c>
      <c r="DH81" s="23">
        <v>1.6919</v>
      </c>
      <c r="DI81" s="23">
        <v>1.6384</v>
      </c>
      <c r="DJ81" s="23">
        <v>1.6647</v>
      </c>
      <c r="DK81" s="23"/>
      <c r="DL81" s="23"/>
      <c r="DM81" s="23">
        <v>1.7237</v>
      </c>
      <c r="DN81" s="23">
        <v>1.7033</v>
      </c>
      <c r="DO81" s="23">
        <v>1.6255</v>
      </c>
      <c r="DP81" s="23">
        <v>1.6024</v>
      </c>
      <c r="DQ81" s="23">
        <v>1.5817</v>
      </c>
      <c r="DR81" s="23"/>
      <c r="DS81" s="23">
        <v>1.6084</v>
      </c>
      <c r="DT81" s="23">
        <v>1.5888</v>
      </c>
      <c r="DU81" s="23">
        <v>1.5378</v>
      </c>
      <c r="DV81" s="23">
        <v>1.7853</v>
      </c>
      <c r="DW81" s="23"/>
      <c r="DX81" s="23"/>
      <c r="DY81" s="23"/>
      <c r="DZ81" s="23"/>
      <c r="EA81" s="23"/>
      <c r="EB81" s="23">
        <v>1.7095</v>
      </c>
      <c r="EC81" s="23">
        <v>1.6613</v>
      </c>
      <c r="ED81" s="23">
        <v>1.5294</v>
      </c>
      <c r="EE81" s="23">
        <v>1.4908</v>
      </c>
      <c r="EF81" s="23"/>
      <c r="EG81" s="23"/>
      <c r="EH81" s="23">
        <v>1.4136</v>
      </c>
      <c r="EI81" s="23">
        <v>1.4047</v>
      </c>
      <c r="EJ81" s="23">
        <v>1.4096</v>
      </c>
      <c r="EK81" s="23">
        <v>1.412</v>
      </c>
      <c r="EL81" s="23">
        <v>1.6313</v>
      </c>
      <c r="EM81" s="23"/>
      <c r="EN81" s="23"/>
      <c r="EO81" s="23">
        <v>1.5374</v>
      </c>
      <c r="EP81" s="23">
        <v>1.5163</v>
      </c>
      <c r="EQ81" s="23">
        <v>1.5086</v>
      </c>
      <c r="ER81" s="23">
        <v>1.4768</v>
      </c>
      <c r="ES81" s="23">
        <v>1.5652</v>
      </c>
      <c r="ET81" s="23"/>
      <c r="EU81" s="23"/>
      <c r="EV81" s="23">
        <v>1.5113</v>
      </c>
      <c r="EW81" s="23">
        <v>1.448</v>
      </c>
      <c r="EX81" s="23">
        <v>1.4141</v>
      </c>
      <c r="EY81" s="23">
        <v>1.4124</v>
      </c>
      <c r="EZ81" s="23">
        <v>1.4822</v>
      </c>
      <c r="FA81" s="23"/>
      <c r="FB81" s="23"/>
      <c r="FC81" s="23"/>
      <c r="FD81" s="23">
        <v>1.4136</v>
      </c>
      <c r="FE81" s="23">
        <v>1.4133</v>
      </c>
      <c r="FF81" s="23">
        <v>1.412</v>
      </c>
      <c r="FG81" s="23">
        <v>1.4124</v>
      </c>
      <c r="FH81" s="23"/>
      <c r="FI81" s="23"/>
      <c r="FJ81" s="23">
        <v>1.377</v>
      </c>
      <c r="FK81" s="23">
        <v>1.3631</v>
      </c>
      <c r="FL81" s="23">
        <v>1.3679</v>
      </c>
      <c r="FM81" s="23">
        <v>1.3726</v>
      </c>
      <c r="FN81" s="23">
        <v>1.4122</v>
      </c>
      <c r="FO81" s="23"/>
      <c r="FP81" s="23"/>
      <c r="FQ81" s="23">
        <v>1.3906</v>
      </c>
      <c r="FR81" s="23">
        <v>1.371</v>
      </c>
      <c r="FS81" s="23">
        <v>1.3706</v>
      </c>
      <c r="FT81" s="23">
        <v>1.3713</v>
      </c>
      <c r="FU81" s="23">
        <v>1.3742</v>
      </c>
      <c r="FV81" s="23"/>
      <c r="FW81" s="23"/>
      <c r="FX81" s="23">
        <v>1.3704</v>
      </c>
      <c r="FY81" s="23">
        <v>1.3708</v>
      </c>
      <c r="FZ81" s="23">
        <v>1.3719</v>
      </c>
      <c r="GA81" s="23">
        <v>1.37</v>
      </c>
      <c r="GB81" s="23">
        <v>1.3683</v>
      </c>
      <c r="GC81" s="23"/>
      <c r="GD81" s="23"/>
      <c r="GE81" s="23">
        <v>1.5102</v>
      </c>
      <c r="GF81" s="23">
        <v>1.3673</v>
      </c>
      <c r="GG81" s="23">
        <v>1.3597</v>
      </c>
      <c r="GH81" s="23">
        <v>1.315</v>
      </c>
      <c r="GI81" s="23">
        <v>1.314</v>
      </c>
      <c r="GJ81" s="23"/>
      <c r="GK81" s="23"/>
      <c r="GL81" s="23">
        <v>1.3146</v>
      </c>
      <c r="GM81" s="23">
        <v>1.3147</v>
      </c>
      <c r="GN81" s="23">
        <v>1.3171</v>
      </c>
      <c r="GO81" s="23">
        <v>1.3227</v>
      </c>
      <c r="GP81" s="23">
        <v>1.3427</v>
      </c>
      <c r="GQ81" s="23"/>
      <c r="GR81" s="23"/>
      <c r="GS81" s="23">
        <v>1.424</v>
      </c>
      <c r="GT81" s="23">
        <v>1.53</v>
      </c>
      <c r="GU81" s="23">
        <v>1.4689</v>
      </c>
      <c r="GV81" s="23">
        <v>1.4635</v>
      </c>
      <c r="GW81" s="23">
        <v>1.4566</v>
      </c>
      <c r="GX81" s="23"/>
      <c r="GY81" s="23"/>
      <c r="GZ81" s="23">
        <v>1.3609</v>
      </c>
      <c r="HA81" s="23">
        <v>1.3144</v>
      </c>
      <c r="HB81" s="23">
        <v>1.371</v>
      </c>
      <c r="HC81" s="23">
        <v>1.6515</v>
      </c>
      <c r="HD81" s="23">
        <v>1.5174</v>
      </c>
      <c r="HE81" s="23"/>
      <c r="HF81" s="23"/>
      <c r="HG81" s="23">
        <v>1.4621</v>
      </c>
      <c r="HH81" s="23">
        <v>1.3633</v>
      </c>
      <c r="HI81" s="23">
        <v>1.3152</v>
      </c>
      <c r="HJ81" s="23">
        <v>1.3957</v>
      </c>
      <c r="HK81" s="23">
        <v>1.3139</v>
      </c>
      <c r="HL81" s="23"/>
      <c r="HM81" s="23"/>
      <c r="HN81" s="23">
        <v>1.3146</v>
      </c>
      <c r="HO81" s="23">
        <v>1.3143</v>
      </c>
      <c r="HP81" s="23">
        <v>1.3153</v>
      </c>
      <c r="HQ81" s="23">
        <v>1.3151</v>
      </c>
      <c r="HR81" s="23">
        <v>1.3116</v>
      </c>
      <c r="HS81" s="23"/>
      <c r="HT81" s="23"/>
      <c r="HU81" s="23">
        <v>1.3144</v>
      </c>
      <c r="HV81" s="23">
        <v>1.3162</v>
      </c>
      <c r="HW81" s="23">
        <v>1.3164</v>
      </c>
      <c r="HX81" s="23">
        <v>1.3173</v>
      </c>
      <c r="HY81" s="23">
        <v>1.4019</v>
      </c>
      <c r="HZ81" s="23"/>
      <c r="IA81" s="23"/>
      <c r="IB81" s="23">
        <v>1.4489</v>
      </c>
      <c r="IC81" s="23">
        <v>1.4715</v>
      </c>
      <c r="ID81" s="23">
        <v>1.4738</v>
      </c>
      <c r="IE81" s="23">
        <v>1.4639</v>
      </c>
      <c r="IF81" s="23">
        <v>1.4122</v>
      </c>
      <c r="IG81" s="23"/>
      <c r="IH81" s="23"/>
      <c r="II81" s="23">
        <v>1.3495</v>
      </c>
      <c r="IJ81" s="23">
        <v>1.3147</v>
      </c>
      <c r="IK81" s="23">
        <v>1.3145</v>
      </c>
      <c r="IL81" s="23">
        <v>1.3134</v>
      </c>
      <c r="IM81" s="23">
        <v>1.3295</v>
      </c>
      <c r="IN81" s="23"/>
      <c r="IO81" s="23"/>
      <c r="IP81" s="31">
        <v>1.3122</v>
      </c>
      <c r="IQ81" s="31">
        <v>1.3141</v>
      </c>
      <c r="IR81" s="31">
        <v>1.314</v>
      </c>
      <c r="IS81" s="31">
        <v>1.3149</v>
      </c>
      <c r="IT81" s="31">
        <v>1.3163</v>
      </c>
      <c r="IU81" s="31"/>
      <c r="IV81" s="31"/>
      <c r="IW81" s="31">
        <v>1.357</v>
      </c>
      <c r="IX81" s="31">
        <v>1.4163</v>
      </c>
      <c r="IY81" s="31">
        <v>1.4275</v>
      </c>
      <c r="IZ81" s="31">
        <v>1.3706</v>
      </c>
      <c r="JA81" s="31">
        <v>1.3646</v>
      </c>
      <c r="JB81" s="31"/>
      <c r="JC81" s="31"/>
      <c r="JD81" s="31">
        <v>1.414</v>
      </c>
      <c r="JE81" s="31">
        <v>1.4424</v>
      </c>
      <c r="JF81" s="31">
        <v>1.4867</v>
      </c>
      <c r="JG81" s="31">
        <v>1.5127</v>
      </c>
      <c r="JH81" s="31">
        <v>1.4644</v>
      </c>
      <c r="JI81" s="31"/>
      <c r="JJ81" s="31"/>
      <c r="JK81" s="31">
        <v>1.4277</v>
      </c>
      <c r="JL81" s="31">
        <v>1.4141</v>
      </c>
      <c r="JM81" s="31">
        <v>1.4373</v>
      </c>
      <c r="JN81" s="31">
        <v>1.4749</v>
      </c>
      <c r="JO81" s="31">
        <v>1.3182</v>
      </c>
      <c r="JP81" s="31"/>
      <c r="JQ81" s="31">
        <v>1.3126</v>
      </c>
      <c r="JR81" s="31">
        <v>1.3103</v>
      </c>
      <c r="JS81" s="31">
        <v>1.3855</v>
      </c>
      <c r="JT81" s="31"/>
      <c r="JU81" s="31"/>
      <c r="JV81" s="31"/>
      <c r="JW81" s="31"/>
      <c r="JX81" s="31"/>
      <c r="JY81" s="31"/>
      <c r="JZ81" s="23"/>
      <c r="KA81" s="23"/>
      <c r="KB81" s="23">
        <v>1.3271</v>
      </c>
      <c r="KC81" s="23">
        <v>1.3174</v>
      </c>
      <c r="KD81" s="23">
        <v>1.3103</v>
      </c>
      <c r="KE81" s="23"/>
      <c r="KF81" s="23">
        <v>1.3131</v>
      </c>
      <c r="KG81" s="23">
        <v>1.3141</v>
      </c>
      <c r="KH81" s="23">
        <v>1.3138</v>
      </c>
      <c r="KI81" s="23">
        <v>1.3139</v>
      </c>
      <c r="KJ81" s="23">
        <v>1.3195</v>
      </c>
      <c r="KK81" s="23"/>
      <c r="KL81" s="23"/>
      <c r="KM81" s="23">
        <v>1.314</v>
      </c>
      <c r="KN81" s="23">
        <v>1.3141</v>
      </c>
      <c r="KO81" s="23">
        <v>1.3167</v>
      </c>
      <c r="KP81" s="23">
        <v>1.3169</v>
      </c>
      <c r="KQ81" s="23">
        <v>1.3221</v>
      </c>
      <c r="KR81" s="23"/>
      <c r="KS81" s="23"/>
      <c r="KT81" s="23">
        <v>1.4529</v>
      </c>
      <c r="KU81" s="23">
        <v>1.4687</v>
      </c>
      <c r="KV81" s="23">
        <v>1.4045</v>
      </c>
      <c r="KW81" s="23">
        <v>1.3115</v>
      </c>
      <c r="KX81" s="23">
        <v>1.3184</v>
      </c>
      <c r="KY81" s="23"/>
      <c r="KZ81" s="23"/>
      <c r="LA81" s="23">
        <v>1.3127</v>
      </c>
      <c r="LB81" s="23">
        <v>1.3148</v>
      </c>
      <c r="LC81" s="23">
        <v>1.3151</v>
      </c>
      <c r="LD81" s="23">
        <v>1.3166</v>
      </c>
      <c r="LE81" s="23">
        <v>1.3321</v>
      </c>
      <c r="LF81" s="23"/>
      <c r="LG81" s="23"/>
      <c r="LH81" s="23">
        <v>1.4842</v>
      </c>
      <c r="LI81" s="23">
        <v>1.5094</v>
      </c>
      <c r="LJ81" s="23">
        <v>1.4192</v>
      </c>
      <c r="LK81" s="23">
        <v>1.3199</v>
      </c>
      <c r="LL81" s="23">
        <v>1.3729</v>
      </c>
      <c r="LM81" s="23"/>
      <c r="LN81" s="23"/>
      <c r="LO81" s="23">
        <v>1.5119</v>
      </c>
      <c r="LP81" s="23">
        <v>1.5285</v>
      </c>
      <c r="LQ81" s="23">
        <v>1.4221</v>
      </c>
      <c r="LR81" s="23">
        <v>1.3652</v>
      </c>
      <c r="LS81" s="23">
        <v>1.3209</v>
      </c>
      <c r="LT81" s="23"/>
      <c r="LU81" s="23"/>
      <c r="LV81" s="23">
        <v>1.3187</v>
      </c>
      <c r="LW81" s="23">
        <v>1.318</v>
      </c>
      <c r="LX81" s="23">
        <v>1.3127</v>
      </c>
      <c r="LY81" s="23">
        <v>1.3114</v>
      </c>
      <c r="LZ81" s="23">
        <v>1.3033</v>
      </c>
      <c r="MA81" s="23"/>
      <c r="MB81" s="23"/>
      <c r="MC81" s="23">
        <v>1.3062</v>
      </c>
      <c r="MD81" s="23">
        <v>1.2973</v>
      </c>
      <c r="ME81" s="23">
        <v>1.2992</v>
      </c>
      <c r="MF81" s="23">
        <v>1.2997</v>
      </c>
      <c r="MG81" s="23">
        <v>1.3003</v>
      </c>
      <c r="MH81" s="23"/>
      <c r="MI81" s="23"/>
      <c r="MJ81" s="23">
        <v>1.3022</v>
      </c>
      <c r="MK81" s="23">
        <v>1.2984</v>
      </c>
      <c r="ML81" s="23">
        <v>1.2882</v>
      </c>
      <c r="MM81" s="23">
        <v>1.2768</v>
      </c>
      <c r="MN81" s="23">
        <v>1.2747</v>
      </c>
      <c r="MO81" s="23"/>
      <c r="MP81" s="23"/>
      <c r="MQ81" s="23">
        <v>1.274</v>
      </c>
      <c r="MR81" s="23">
        <v>1.2744</v>
      </c>
      <c r="MS81" s="23">
        <v>1.2731</v>
      </c>
      <c r="MT81" s="23">
        <v>1.2717</v>
      </c>
      <c r="MU81" s="23">
        <v>1.2706</v>
      </c>
      <c r="MV81" s="23"/>
      <c r="MW81" s="23"/>
      <c r="MX81" s="23">
        <v>1.2705</v>
      </c>
      <c r="MY81" s="23">
        <v>1.2691</v>
      </c>
      <c r="MZ81" s="23">
        <v>1.2622</v>
      </c>
      <c r="NA81" s="23">
        <v>1.2589</v>
      </c>
      <c r="NB81" s="23">
        <v>1.2556</v>
      </c>
      <c r="NC81" s="23"/>
      <c r="ND81" s="23"/>
      <c r="NE81" s="23">
        <v>1.2417</v>
      </c>
      <c r="NF81" s="23">
        <v>1.2395</v>
      </c>
      <c r="NG81" s="23">
        <v>1.3325</v>
      </c>
      <c r="NH81" s="23"/>
      <c r="NI81" s="23"/>
      <c r="NJ81" s="23"/>
      <c r="NK81" s="23">
        <v>1.2419</v>
      </c>
      <c r="NL81" s="23">
        <v>1.2624</v>
      </c>
      <c r="NM81" s="23">
        <v>1.2628</v>
      </c>
      <c r="NN81" s="23">
        <v>1.2674</v>
      </c>
      <c r="NO81" s="23">
        <v>1.2695</v>
      </c>
      <c r="NP81" s="23">
        <v>1.2727</v>
      </c>
      <c r="NQ81" s="23"/>
      <c r="NR81" s="23"/>
      <c r="NS81" s="23">
        <v>1.327</v>
      </c>
      <c r="NT81" s="23">
        <v>1.3913</v>
      </c>
      <c r="NU81" s="23">
        <v>1.392</v>
      </c>
      <c r="NV81" s="23">
        <v>1.3672</v>
      </c>
      <c r="NW81" s="23">
        <v>1.3199</v>
      </c>
      <c r="NX81" s="23"/>
      <c r="NY81" s="23"/>
      <c r="NZ81" s="23">
        <v>1.3182</v>
      </c>
      <c r="OA81" s="23">
        <v>1.3712</v>
      </c>
      <c r="OB81" s="23">
        <v>1.3212</v>
      </c>
      <c r="OC81" s="23">
        <v>1.4171</v>
      </c>
      <c r="OD81" s="23">
        <v>1.3983</v>
      </c>
      <c r="OE81" s="23"/>
      <c r="OF81" s="23"/>
      <c r="OG81" s="23">
        <v>1.4174</v>
      </c>
      <c r="OH81" s="23">
        <v>1.3674</v>
      </c>
      <c r="OI81" s="23">
        <v>1.367</v>
      </c>
      <c r="OJ81" s="23">
        <v>1.3613</v>
      </c>
      <c r="OK81" s="23">
        <v>1.3277</v>
      </c>
      <c r="OL81" s="23"/>
      <c r="OM81" s="23"/>
      <c r="ON81" s="23">
        <v>1.3642</v>
      </c>
      <c r="OO81" s="23">
        <v>1.3166</v>
      </c>
      <c r="OP81" s="23">
        <v>1.3197</v>
      </c>
      <c r="OQ81" s="23">
        <v>1.3191</v>
      </c>
      <c r="OR81" s="23">
        <v>1.275</v>
      </c>
      <c r="OS81" s="23"/>
      <c r="OT81" s="23"/>
      <c r="OU81" s="23">
        <v>1.2735</v>
      </c>
      <c r="OV81" s="23">
        <v>1.3653</v>
      </c>
      <c r="OW81" s="23">
        <v>1.3699</v>
      </c>
      <c r="OX81" s="23">
        <v>1.362</v>
      </c>
      <c r="OY81" s="23">
        <v>1.2645</v>
      </c>
      <c r="OZ81" s="23">
        <v>1.3121</v>
      </c>
      <c r="PA81" s="23"/>
      <c r="PB81" s="23"/>
      <c r="PC81" s="23"/>
      <c r="PD81" s="23"/>
      <c r="PE81" s="23"/>
      <c r="PF81" s="23"/>
      <c r="PG81" s="23"/>
      <c r="PH81" s="23"/>
      <c r="PI81" s="23"/>
      <c r="PJ81" s="23">
        <v>1.3674</v>
      </c>
      <c r="PK81" s="23">
        <v>1.384</v>
      </c>
      <c r="PL81" s="23">
        <v>1.3667</v>
      </c>
      <c r="PM81" s="23">
        <v>1.3449</v>
      </c>
      <c r="PN81" s="23">
        <v>1.3189</v>
      </c>
      <c r="PO81" s="23"/>
      <c r="PP81" s="23">
        <v>1.3115</v>
      </c>
      <c r="PQ81" s="23">
        <v>1.2663</v>
      </c>
      <c r="PR81" s="23">
        <v>1.2679</v>
      </c>
      <c r="PS81" s="23">
        <v>1.27</v>
      </c>
      <c r="PT81" s="23">
        <v>1.3194</v>
      </c>
      <c r="PU81" s="23"/>
      <c r="PV81" s="23"/>
      <c r="PW81" s="23">
        <v>1.3235</v>
      </c>
      <c r="PX81" s="23">
        <v>1.3244</v>
      </c>
      <c r="PY81" s="23">
        <v>1.3695</v>
      </c>
      <c r="PZ81" s="23">
        <v>1.3274</v>
      </c>
      <c r="QA81" s="23">
        <v>1.3216</v>
      </c>
      <c r="QB81" s="23"/>
      <c r="QC81" s="23"/>
      <c r="QD81" s="23">
        <v>1.3217</v>
      </c>
      <c r="QE81" s="23">
        <v>1.322</v>
      </c>
      <c r="QF81" s="23">
        <v>1.3201</v>
      </c>
      <c r="QG81" s="23">
        <v>1.3204</v>
      </c>
      <c r="QH81" s="23">
        <v>1.3207</v>
      </c>
      <c r="QI81" s="23"/>
      <c r="QJ81" s="23"/>
      <c r="QK81" s="23">
        <v>1.3203</v>
      </c>
      <c r="QL81" s="23">
        <v>1.3228</v>
      </c>
      <c r="QM81" s="23">
        <v>1.3205</v>
      </c>
      <c r="QN81" s="23">
        <v>1.3205</v>
      </c>
      <c r="QO81" s="23">
        <v>1.3179</v>
      </c>
      <c r="QP81" s="23"/>
      <c r="QQ81" s="23"/>
      <c r="QR81" s="23">
        <v>1.3112</v>
      </c>
      <c r="QS81" s="23">
        <v>1.2728</v>
      </c>
      <c r="QT81" s="23">
        <v>1.2693</v>
      </c>
      <c r="QU81" s="23">
        <v>1.2674</v>
      </c>
      <c r="QV81" s="23">
        <v>1.234</v>
      </c>
      <c r="QW81" s="23"/>
      <c r="QX81" s="23"/>
      <c r="QY81" s="23"/>
      <c r="QZ81" s="23">
        <v>1.2201</v>
      </c>
      <c r="RA81" s="23">
        <v>1.2178</v>
      </c>
      <c r="RB81" s="23">
        <v>1.2209</v>
      </c>
      <c r="RC81" s="23">
        <v>1.2257</v>
      </c>
      <c r="RD81" s="23"/>
      <c r="RE81" s="23"/>
      <c r="RF81" s="23">
        <v>1.2258</v>
      </c>
      <c r="RG81" s="23">
        <v>1.2258</v>
      </c>
      <c r="RH81" s="23">
        <v>1.2228</v>
      </c>
      <c r="RI81" s="23">
        <v>1.2205</v>
      </c>
      <c r="RJ81" s="23">
        <v>1.2219</v>
      </c>
      <c r="RK81" s="23"/>
      <c r="RL81" s="23"/>
      <c r="RM81" s="23">
        <v>1.2167</v>
      </c>
      <c r="RN81" s="23">
        <v>1.217</v>
      </c>
      <c r="RO81" s="23">
        <v>1.2181</v>
      </c>
      <c r="RP81" s="23">
        <v>1.2171</v>
      </c>
      <c r="RQ81" s="23">
        <v>1.2188</v>
      </c>
      <c r="RR81" s="23"/>
      <c r="RS81" s="23"/>
      <c r="RT81" s="23">
        <v>1.2386</v>
      </c>
      <c r="RU81" s="23">
        <v>1.2397</v>
      </c>
      <c r="RV81" s="23">
        <v>1.2385</v>
      </c>
      <c r="RW81" s="23">
        <v>1.3196</v>
      </c>
      <c r="RX81" s="23"/>
      <c r="RY81" s="23"/>
      <c r="RZ81" s="23"/>
      <c r="SA81" s="23"/>
      <c r="SB81" s="23"/>
      <c r="SC81" s="23">
        <v>1.2691</v>
      </c>
      <c r="SD81" s="23">
        <v>1.272</v>
      </c>
      <c r="SE81" s="23">
        <v>1.243</v>
      </c>
      <c r="SF81" s="23">
        <v>1.2179</v>
      </c>
      <c r="SG81" s="23"/>
      <c r="SH81" s="23">
        <v>1.2188</v>
      </c>
      <c r="SI81" s="23">
        <v>1.2583</v>
      </c>
      <c r="SJ81" s="23">
        <v>1.267</v>
      </c>
      <c r="SK81" s="23">
        <v>1.2651</v>
      </c>
      <c r="SL81" s="23">
        <v>1.2646</v>
      </c>
      <c r="SM81" s="23"/>
      <c r="SN81" s="23"/>
      <c r="SO81" s="23">
        <v>1.2659</v>
      </c>
      <c r="SP81" s="23">
        <v>1.2667</v>
      </c>
      <c r="SQ81" s="23">
        <v>1.2871</v>
      </c>
      <c r="SR81" s="23">
        <v>1.2897</v>
      </c>
      <c r="SS81" s="23">
        <v>1.323</v>
      </c>
      <c r="ST81" s="23"/>
      <c r="SU81" s="23"/>
      <c r="SV81" s="23">
        <v>1.329</v>
      </c>
      <c r="SW81" s="23">
        <v>1.3189</v>
      </c>
      <c r="SX81" s="23">
        <v>1.3152</v>
      </c>
      <c r="SY81" s="23">
        <v>1.3149</v>
      </c>
      <c r="SZ81" s="23">
        <v>1.3349</v>
      </c>
      <c r="TA81" s="23"/>
      <c r="TB81" s="23"/>
      <c r="TC81" s="23">
        <v>1.3242</v>
      </c>
      <c r="TD81" s="23">
        <v>1.315</v>
      </c>
      <c r="TE81" s="23">
        <v>1.3229</v>
      </c>
      <c r="TF81" s="23">
        <v>1.3226</v>
      </c>
      <c r="TG81" s="23">
        <v>1.3408</v>
      </c>
      <c r="TH81" s="23"/>
      <c r="TI81" s="23"/>
      <c r="TJ81" s="23">
        <v>1.3675</v>
      </c>
      <c r="TK81" s="23">
        <v>1.3965</v>
      </c>
      <c r="TL81" s="23">
        <v>1.3939</v>
      </c>
      <c r="TM81" s="23">
        <v>1.4046</v>
      </c>
      <c r="TN81" s="23">
        <v>1.4162</v>
      </c>
      <c r="TO81" s="23"/>
      <c r="TP81" s="23"/>
      <c r="TQ81" s="23">
        <v>1.4356</v>
      </c>
      <c r="TR81" s="23">
        <v>1.436</v>
      </c>
      <c r="TS81" s="23">
        <v>1.4246</v>
      </c>
      <c r="TT81" s="23">
        <v>1.4317</v>
      </c>
      <c r="TU81" s="23"/>
      <c r="TV81" s="23"/>
      <c r="TW81" s="23"/>
      <c r="TX81" s="23">
        <v>1.4334</v>
      </c>
      <c r="TY81" s="23">
        <v>1.455</v>
      </c>
      <c r="TZ81" s="23">
        <v>1.4119</v>
      </c>
      <c r="UA81" s="23">
        <v>1.4003</v>
      </c>
      <c r="UB81" s="23">
        <v>1.3702</v>
      </c>
      <c r="UC81" s="23"/>
      <c r="UD81" s="23"/>
      <c r="UE81" s="23">
        <v>1.3535</v>
      </c>
      <c r="UF81" s="23">
        <v>1.3626</v>
      </c>
      <c r="UG81" s="23">
        <v>1.4153</v>
      </c>
      <c r="UH81" s="23">
        <v>1.4048</v>
      </c>
      <c r="UI81" s="23">
        <v>1.3608</v>
      </c>
      <c r="UJ81" s="23"/>
      <c r="UK81" s="23"/>
      <c r="UL81" s="23"/>
      <c r="UM81" s="23"/>
      <c r="UN81" s="23"/>
      <c r="UO81" s="23"/>
      <c r="UP81" s="23"/>
      <c r="UQ81" s="23"/>
      <c r="UR81" s="23"/>
      <c r="US81" s="23"/>
      <c r="UT81" s="23"/>
    </row>
    <row r="82" ht="13.5" customHeight="1" spans="4:566">
      <c r="D82" s="22" t="s">
        <v>84</v>
      </c>
      <c r="E82" s="21" t="s">
        <v>85</v>
      </c>
      <c r="F82" s="23"/>
      <c r="G82" s="23"/>
      <c r="H82" s="23">
        <v>1.6741</v>
      </c>
      <c r="I82" s="23">
        <v>1.6815</v>
      </c>
      <c r="J82" s="23"/>
      <c r="K82" s="23"/>
      <c r="L82" s="23">
        <v>1.6127</v>
      </c>
      <c r="M82" s="23">
        <v>1.5592</v>
      </c>
      <c r="N82" s="23">
        <v>1.6049</v>
      </c>
      <c r="O82" s="23">
        <v>1.6526</v>
      </c>
      <c r="P82" s="23">
        <v>1.7472</v>
      </c>
      <c r="Q82" s="23"/>
      <c r="R82" s="23"/>
      <c r="S82" s="23">
        <v>2.0223</v>
      </c>
      <c r="T82" s="23">
        <v>2.2972</v>
      </c>
      <c r="U82" s="23">
        <v>2.2365</v>
      </c>
      <c r="V82" s="23">
        <v>2.3391</v>
      </c>
      <c r="W82" s="23">
        <v>2.1244</v>
      </c>
      <c r="X82" s="23"/>
      <c r="Y82" s="23"/>
      <c r="Z82" s="23">
        <v>2.0995</v>
      </c>
      <c r="AA82" s="23">
        <v>2.0324</v>
      </c>
      <c r="AB82" s="23">
        <v>1.8721</v>
      </c>
      <c r="AC82" s="23">
        <v>2.1213</v>
      </c>
      <c r="AD82" s="23">
        <v>2.1113</v>
      </c>
      <c r="AE82" s="23"/>
      <c r="AF82" s="23">
        <v>1.9626</v>
      </c>
      <c r="AG82" s="23">
        <v>1.8629</v>
      </c>
      <c r="AH82" s="23"/>
      <c r="AI82" s="23"/>
      <c r="AJ82" s="23"/>
      <c r="AK82" s="23"/>
      <c r="AL82" s="23"/>
      <c r="AM82" s="23"/>
      <c r="AN82" s="23"/>
      <c r="AO82" s="23"/>
      <c r="AP82" s="23">
        <v>1.8713</v>
      </c>
      <c r="AQ82" s="23">
        <v>1.8115</v>
      </c>
      <c r="AR82" s="23">
        <v>1.7629</v>
      </c>
      <c r="AS82" s="23">
        <v>1.7304</v>
      </c>
      <c r="AT82" s="23"/>
      <c r="AU82" s="23">
        <v>1.8038</v>
      </c>
      <c r="AV82" s="23">
        <v>1.9013</v>
      </c>
      <c r="AW82" s="23">
        <v>1.85</v>
      </c>
      <c r="AX82" s="23">
        <v>1.8199</v>
      </c>
      <c r="AY82" s="23">
        <v>1.9412</v>
      </c>
      <c r="AZ82" s="23"/>
      <c r="BA82" s="23"/>
      <c r="BB82" s="23">
        <v>2.0567</v>
      </c>
      <c r="BC82" s="23">
        <v>2.3447</v>
      </c>
      <c r="BD82" s="23">
        <v>2.0587</v>
      </c>
      <c r="BE82" s="23">
        <v>2.0622</v>
      </c>
      <c r="BF82" s="23">
        <v>2.2156</v>
      </c>
      <c r="BG82" s="23"/>
      <c r="BH82" s="23"/>
      <c r="BI82" s="23">
        <v>2.055</v>
      </c>
      <c r="BJ82" s="23">
        <v>2.2161</v>
      </c>
      <c r="BK82" s="23">
        <v>2.2386</v>
      </c>
      <c r="BL82" s="23">
        <v>2.3282</v>
      </c>
      <c r="BM82" s="23">
        <v>2.1262</v>
      </c>
      <c r="BN82" s="23"/>
      <c r="BO82" s="23"/>
      <c r="BP82" s="23">
        <v>1.8599</v>
      </c>
      <c r="BQ82" s="23">
        <v>1.7659</v>
      </c>
      <c r="BR82" s="23">
        <v>1.7739</v>
      </c>
      <c r="BS82" s="23">
        <v>1.7867</v>
      </c>
      <c r="BT82" s="23">
        <v>1.8066</v>
      </c>
      <c r="BU82" s="23"/>
      <c r="BV82" s="23"/>
      <c r="BW82" s="23">
        <v>1.8149</v>
      </c>
      <c r="BX82" s="23">
        <v>1.8065</v>
      </c>
      <c r="BY82" s="23">
        <v>1.8047</v>
      </c>
      <c r="BZ82" s="23">
        <v>1.8004</v>
      </c>
      <c r="CA82" s="23">
        <v>1.8121</v>
      </c>
      <c r="CB82" s="23"/>
      <c r="CC82" s="23"/>
      <c r="CD82" s="23">
        <v>1.8978</v>
      </c>
      <c r="CE82" s="23">
        <v>1.9609</v>
      </c>
      <c r="CF82" s="23">
        <v>1.9604</v>
      </c>
      <c r="CG82" s="23">
        <v>1.8419</v>
      </c>
      <c r="CH82" s="23">
        <v>1.7688</v>
      </c>
      <c r="CI82" s="23"/>
      <c r="CJ82" s="23"/>
      <c r="CK82" s="23">
        <v>1.769</v>
      </c>
      <c r="CL82" s="23">
        <v>1.9062</v>
      </c>
      <c r="CM82" s="23">
        <v>1.9819</v>
      </c>
      <c r="CN82" s="23">
        <v>2.0933</v>
      </c>
      <c r="CO82" s="23">
        <v>2.0509</v>
      </c>
      <c r="CP82" s="23"/>
      <c r="CQ82" s="23"/>
      <c r="CR82" s="23">
        <v>2.1888</v>
      </c>
      <c r="CS82" s="23">
        <v>1.8421</v>
      </c>
      <c r="CT82" s="23">
        <v>1.8418</v>
      </c>
      <c r="CU82" s="23">
        <v>1.6981</v>
      </c>
      <c r="CV82" s="23"/>
      <c r="CW82" s="23"/>
      <c r="CX82" s="23"/>
      <c r="CY82" s="23">
        <v>1.7427</v>
      </c>
      <c r="CZ82" s="23">
        <v>1.7767</v>
      </c>
      <c r="DA82" s="23">
        <v>1.7623</v>
      </c>
      <c r="DB82" s="23">
        <v>1.7114</v>
      </c>
      <c r="DC82" s="23">
        <v>1.6534</v>
      </c>
      <c r="DD82" s="23"/>
      <c r="DE82" s="23"/>
      <c r="DF82" s="23">
        <v>1.7039</v>
      </c>
      <c r="DG82" s="23">
        <v>1.7142</v>
      </c>
      <c r="DH82" s="23">
        <v>1.7176</v>
      </c>
      <c r="DI82" s="23">
        <v>1.6837</v>
      </c>
      <c r="DJ82" s="23">
        <v>1.6925</v>
      </c>
      <c r="DK82" s="23"/>
      <c r="DL82" s="23"/>
      <c r="DM82" s="23">
        <v>1.708</v>
      </c>
      <c r="DN82" s="23">
        <v>1.7079</v>
      </c>
      <c r="DO82" s="23">
        <v>1.6508</v>
      </c>
      <c r="DP82" s="23">
        <v>1.7199</v>
      </c>
      <c r="DQ82" s="23">
        <v>1.6358</v>
      </c>
      <c r="DR82" s="23"/>
      <c r="DS82" s="23">
        <v>1.713</v>
      </c>
      <c r="DT82" s="23">
        <v>1.7489</v>
      </c>
      <c r="DU82" s="23">
        <v>1.7824</v>
      </c>
      <c r="DV82" s="23">
        <v>1.7986</v>
      </c>
      <c r="DW82" s="23"/>
      <c r="DX82" s="23"/>
      <c r="DY82" s="23"/>
      <c r="DZ82" s="23"/>
      <c r="EA82" s="23"/>
      <c r="EB82" s="23">
        <v>1.7272</v>
      </c>
      <c r="EC82" s="23">
        <v>1.6802</v>
      </c>
      <c r="ED82" s="23">
        <v>1.6112</v>
      </c>
      <c r="EE82" s="23">
        <v>1.5409</v>
      </c>
      <c r="EF82" s="23"/>
      <c r="EG82" s="23"/>
      <c r="EH82" s="23">
        <v>1.4967</v>
      </c>
      <c r="EI82" s="23">
        <v>1.5156</v>
      </c>
      <c r="EJ82" s="23">
        <v>1.5171</v>
      </c>
      <c r="EK82" s="23">
        <v>1.5245</v>
      </c>
      <c r="EL82" s="23">
        <v>1.6374</v>
      </c>
      <c r="EM82" s="23"/>
      <c r="EN82" s="23"/>
      <c r="EO82" s="23">
        <v>1.6014</v>
      </c>
      <c r="EP82" s="23">
        <v>1.5856</v>
      </c>
      <c r="EQ82" s="23">
        <v>1.5709</v>
      </c>
      <c r="ER82" s="23">
        <v>1.566</v>
      </c>
      <c r="ES82" s="23">
        <v>1.586</v>
      </c>
      <c r="ET82" s="23"/>
      <c r="EU82" s="23"/>
      <c r="EV82" s="23">
        <v>1.6545</v>
      </c>
      <c r="EW82" s="23">
        <v>1.6186</v>
      </c>
      <c r="EX82" s="23">
        <v>1.6062</v>
      </c>
      <c r="EY82" s="23">
        <v>1.633</v>
      </c>
      <c r="EZ82" s="23">
        <v>1.6645</v>
      </c>
      <c r="FA82" s="23"/>
      <c r="FB82" s="23"/>
      <c r="FC82" s="23"/>
      <c r="FD82" s="23">
        <v>1.5496</v>
      </c>
      <c r="FE82" s="23">
        <v>1.5549</v>
      </c>
      <c r="FF82" s="23">
        <v>1.5509</v>
      </c>
      <c r="FG82" s="23">
        <v>1.5323</v>
      </c>
      <c r="FH82" s="23"/>
      <c r="FI82" s="23"/>
      <c r="FJ82" s="23">
        <v>1.5126</v>
      </c>
      <c r="FK82" s="23">
        <v>1.5063</v>
      </c>
      <c r="FL82" s="23">
        <v>1.5276</v>
      </c>
      <c r="FM82" s="23">
        <v>1.5386</v>
      </c>
      <c r="FN82" s="23">
        <v>1.502</v>
      </c>
      <c r="FO82" s="23"/>
      <c r="FP82" s="23"/>
      <c r="FQ82" s="23">
        <v>1.5261</v>
      </c>
      <c r="FR82" s="23">
        <v>1.5227</v>
      </c>
      <c r="FS82" s="23">
        <v>1.5267</v>
      </c>
      <c r="FT82" s="23">
        <v>1.5441</v>
      </c>
      <c r="FU82" s="23">
        <v>1.4941</v>
      </c>
      <c r="FV82" s="23"/>
      <c r="FW82" s="23"/>
      <c r="FX82" s="23">
        <v>1.5075</v>
      </c>
      <c r="FY82" s="23">
        <v>1.6684</v>
      </c>
      <c r="FZ82" s="23">
        <v>1.6936</v>
      </c>
      <c r="GA82" s="23">
        <v>1.685</v>
      </c>
      <c r="GB82" s="23">
        <v>1.6968</v>
      </c>
      <c r="GC82" s="23"/>
      <c r="GD82" s="23"/>
      <c r="GE82" s="23">
        <v>1.9159</v>
      </c>
      <c r="GF82" s="23">
        <v>1.5457</v>
      </c>
      <c r="GG82" s="23">
        <v>1.5053</v>
      </c>
      <c r="GH82" s="23">
        <v>1.4674</v>
      </c>
      <c r="GI82" s="23">
        <v>1.4222</v>
      </c>
      <c r="GJ82" s="23"/>
      <c r="GK82" s="23"/>
      <c r="GL82" s="23">
        <v>1.466</v>
      </c>
      <c r="GM82" s="23">
        <v>1.4635</v>
      </c>
      <c r="GN82" s="23">
        <v>1.4767</v>
      </c>
      <c r="GO82" s="23">
        <v>1.4945</v>
      </c>
      <c r="GP82" s="23">
        <v>1.4718</v>
      </c>
      <c r="GQ82" s="23"/>
      <c r="GR82" s="23"/>
      <c r="GS82" s="23">
        <v>1.536</v>
      </c>
      <c r="GT82" s="23">
        <v>1.5696</v>
      </c>
      <c r="GU82" s="23">
        <v>1.5291</v>
      </c>
      <c r="GV82" s="23">
        <v>1.5223</v>
      </c>
      <c r="GW82" s="23">
        <v>1.5067</v>
      </c>
      <c r="GX82" s="23"/>
      <c r="GY82" s="23"/>
      <c r="GZ82" s="23">
        <v>1.4901</v>
      </c>
      <c r="HA82" s="23">
        <v>1.4741</v>
      </c>
      <c r="HB82" s="23">
        <v>1.4826</v>
      </c>
      <c r="HC82" s="23">
        <v>1.5759</v>
      </c>
      <c r="HD82" s="23">
        <v>1.6523</v>
      </c>
      <c r="HE82" s="23"/>
      <c r="HF82" s="23"/>
      <c r="HG82" s="23">
        <v>1.5806</v>
      </c>
      <c r="HH82" s="23">
        <v>1.5643</v>
      </c>
      <c r="HI82" s="23">
        <v>1.5176</v>
      </c>
      <c r="HJ82" s="23">
        <v>1.5542</v>
      </c>
      <c r="HK82" s="23">
        <v>1.4242</v>
      </c>
      <c r="HL82" s="23"/>
      <c r="HM82" s="23"/>
      <c r="HN82" s="23">
        <v>1.4518</v>
      </c>
      <c r="HO82" s="23">
        <v>1.4445</v>
      </c>
      <c r="HP82" s="23">
        <v>1.4557</v>
      </c>
      <c r="HQ82" s="23">
        <v>1.4515</v>
      </c>
      <c r="HR82" s="23">
        <v>1.4251</v>
      </c>
      <c r="HS82" s="23"/>
      <c r="HT82" s="23"/>
      <c r="HU82" s="23">
        <v>1.4404</v>
      </c>
      <c r="HV82" s="23">
        <v>1.4444</v>
      </c>
      <c r="HW82" s="23">
        <v>1.4522</v>
      </c>
      <c r="HX82" s="23">
        <v>1.4424</v>
      </c>
      <c r="HY82" s="23">
        <v>1.4798</v>
      </c>
      <c r="HZ82" s="23"/>
      <c r="IA82" s="23"/>
      <c r="IB82" s="23">
        <v>1.5144</v>
      </c>
      <c r="IC82" s="23">
        <v>1.5452</v>
      </c>
      <c r="ID82" s="23">
        <v>1.568</v>
      </c>
      <c r="IE82" s="23">
        <v>1.514</v>
      </c>
      <c r="IF82" s="23">
        <v>1.4669</v>
      </c>
      <c r="IG82" s="23"/>
      <c r="IH82" s="23"/>
      <c r="II82" s="23">
        <v>1.5208</v>
      </c>
      <c r="IJ82" s="23">
        <v>1.4926</v>
      </c>
      <c r="IK82" s="23">
        <v>1.5123</v>
      </c>
      <c r="IL82" s="23">
        <v>1.5395</v>
      </c>
      <c r="IM82" s="23">
        <v>1.5158</v>
      </c>
      <c r="IN82" s="23"/>
      <c r="IO82" s="23"/>
      <c r="IP82" s="31">
        <v>1.4454</v>
      </c>
      <c r="IQ82" s="31">
        <v>1.4375</v>
      </c>
      <c r="IR82" s="31">
        <v>1.4415</v>
      </c>
      <c r="IS82" s="31">
        <v>1.4488</v>
      </c>
      <c r="IT82" s="31">
        <v>1.4372</v>
      </c>
      <c r="IU82" s="31"/>
      <c r="IV82" s="31"/>
      <c r="IW82" s="31">
        <v>1.4523</v>
      </c>
      <c r="IX82" s="31">
        <v>1.4789</v>
      </c>
      <c r="IY82" s="31">
        <v>1.4763</v>
      </c>
      <c r="IZ82" s="31">
        <v>1.4813</v>
      </c>
      <c r="JA82" s="31">
        <v>1.4575</v>
      </c>
      <c r="JB82" s="31"/>
      <c r="JC82" s="31"/>
      <c r="JD82" s="31">
        <v>1.4832</v>
      </c>
      <c r="JE82" s="31">
        <v>1.4978</v>
      </c>
      <c r="JF82" s="31">
        <v>1.5404</v>
      </c>
      <c r="JG82" s="31">
        <v>1.5566</v>
      </c>
      <c r="JH82" s="31">
        <v>1.5096</v>
      </c>
      <c r="JI82" s="31"/>
      <c r="JJ82" s="31"/>
      <c r="JK82" s="31">
        <v>1.4888</v>
      </c>
      <c r="JL82" s="31">
        <v>1.4754</v>
      </c>
      <c r="JM82" s="31">
        <v>1.5864</v>
      </c>
      <c r="JN82" s="31">
        <v>1.6017</v>
      </c>
      <c r="JO82" s="31">
        <v>1.5313</v>
      </c>
      <c r="JP82" s="31"/>
      <c r="JQ82" s="31">
        <v>1.5556</v>
      </c>
      <c r="JR82" s="31">
        <v>1.5873</v>
      </c>
      <c r="JS82" s="31">
        <v>1.4376</v>
      </c>
      <c r="JT82" s="31"/>
      <c r="JU82" s="31"/>
      <c r="JV82" s="31"/>
      <c r="JW82" s="31"/>
      <c r="JX82" s="31"/>
      <c r="JY82" s="31"/>
      <c r="JZ82" s="23"/>
      <c r="KA82" s="23"/>
      <c r="KB82" s="23">
        <v>1.5073</v>
      </c>
      <c r="KC82" s="23">
        <v>1.4229</v>
      </c>
      <c r="KD82" s="23">
        <v>1.3945</v>
      </c>
      <c r="KE82" s="23"/>
      <c r="KF82" s="23">
        <v>1.4495</v>
      </c>
      <c r="KG82" s="23">
        <v>1.4314</v>
      </c>
      <c r="KH82" s="23">
        <v>1.417</v>
      </c>
      <c r="KI82" s="23">
        <v>1.4225</v>
      </c>
      <c r="KJ82" s="23">
        <v>1.4085</v>
      </c>
      <c r="KK82" s="23"/>
      <c r="KL82" s="23"/>
      <c r="KM82" s="23">
        <v>1.4332</v>
      </c>
      <c r="KN82" s="23">
        <v>1.4433</v>
      </c>
      <c r="KO82" s="23">
        <v>1.4327</v>
      </c>
      <c r="KP82" s="23">
        <v>1.4267</v>
      </c>
      <c r="KQ82" s="23">
        <v>1.411</v>
      </c>
      <c r="KR82" s="23"/>
      <c r="KS82" s="23"/>
      <c r="KT82" s="23">
        <v>1.5818</v>
      </c>
      <c r="KU82" s="23">
        <v>1.558</v>
      </c>
      <c r="KV82" s="23">
        <v>1.5452</v>
      </c>
      <c r="KW82" s="23">
        <v>1.5018</v>
      </c>
      <c r="KX82" s="23">
        <v>1.4551</v>
      </c>
      <c r="KY82" s="23"/>
      <c r="KZ82" s="23"/>
      <c r="LA82" s="23">
        <v>1.4187</v>
      </c>
      <c r="LB82" s="23">
        <v>1.4262</v>
      </c>
      <c r="LC82" s="23">
        <v>1.4378</v>
      </c>
      <c r="LD82" s="23">
        <v>1.4254</v>
      </c>
      <c r="LE82" s="23">
        <v>1.413</v>
      </c>
      <c r="LF82" s="23"/>
      <c r="LG82" s="23"/>
      <c r="LH82" s="23">
        <v>1.4993</v>
      </c>
      <c r="LI82" s="23">
        <v>1.5126</v>
      </c>
      <c r="LJ82" s="23">
        <v>1.4904</v>
      </c>
      <c r="LK82" s="23">
        <v>1.4782</v>
      </c>
      <c r="LL82" s="23">
        <v>1.4673</v>
      </c>
      <c r="LM82" s="23"/>
      <c r="LN82" s="23"/>
      <c r="LO82" s="23">
        <v>1.5236</v>
      </c>
      <c r="LP82" s="23">
        <v>1.5239</v>
      </c>
      <c r="LQ82" s="23">
        <v>1.5131</v>
      </c>
      <c r="LR82" s="23">
        <v>1.4857</v>
      </c>
      <c r="LS82" s="23">
        <v>1.4408</v>
      </c>
      <c r="LT82" s="23"/>
      <c r="LU82" s="23"/>
      <c r="LV82" s="23">
        <v>1.4703</v>
      </c>
      <c r="LW82" s="23">
        <v>1.4541</v>
      </c>
      <c r="LX82" s="23">
        <v>1.4744</v>
      </c>
      <c r="LY82" s="23">
        <v>1.4464</v>
      </c>
      <c r="LZ82" s="23">
        <v>1.4668</v>
      </c>
      <c r="MA82" s="23"/>
      <c r="MB82" s="23"/>
      <c r="MC82" s="23">
        <v>1.458</v>
      </c>
      <c r="MD82" s="23">
        <v>1.441</v>
      </c>
      <c r="ME82" s="23">
        <v>1.4409</v>
      </c>
      <c r="MF82" s="23">
        <v>1.4376</v>
      </c>
      <c r="MG82" s="23">
        <v>1.438</v>
      </c>
      <c r="MH82" s="23"/>
      <c r="MI82" s="23"/>
      <c r="MJ82" s="23">
        <v>1.4459</v>
      </c>
      <c r="MK82" s="23">
        <v>1.4512</v>
      </c>
      <c r="ML82" s="23">
        <v>1.4521</v>
      </c>
      <c r="MM82" s="23">
        <v>1.4516</v>
      </c>
      <c r="MN82" s="23">
        <v>1.4691</v>
      </c>
      <c r="MO82" s="23"/>
      <c r="MP82" s="23"/>
      <c r="MQ82" s="23">
        <v>1.444</v>
      </c>
      <c r="MR82" s="23">
        <v>1.4488</v>
      </c>
      <c r="MS82" s="23">
        <v>1.4423</v>
      </c>
      <c r="MT82" s="23">
        <v>1.4392</v>
      </c>
      <c r="MU82" s="23">
        <v>1.4413</v>
      </c>
      <c r="MV82" s="23"/>
      <c r="MW82" s="23"/>
      <c r="MX82" s="23">
        <v>1.4337</v>
      </c>
      <c r="MY82" s="23">
        <v>1.4105</v>
      </c>
      <c r="MZ82" s="23">
        <v>1.38</v>
      </c>
      <c r="NA82" s="23">
        <v>1.4842</v>
      </c>
      <c r="NB82" s="23">
        <v>1.5237</v>
      </c>
      <c r="NC82" s="23"/>
      <c r="ND82" s="23"/>
      <c r="NE82" s="23">
        <v>1.5944</v>
      </c>
      <c r="NF82" s="23">
        <v>1.6874</v>
      </c>
      <c r="NG82" s="23">
        <v>1.9821</v>
      </c>
      <c r="NH82" s="23"/>
      <c r="NI82" s="23"/>
      <c r="NJ82" s="23"/>
      <c r="NK82" s="23">
        <v>1.4286</v>
      </c>
      <c r="NL82" s="23">
        <v>1.4312</v>
      </c>
      <c r="NM82" s="23">
        <v>1.4326</v>
      </c>
      <c r="NN82" s="23">
        <v>1.4625</v>
      </c>
      <c r="NO82" s="23">
        <v>1.474</v>
      </c>
      <c r="NP82" s="23">
        <v>1.4727</v>
      </c>
      <c r="NQ82" s="23"/>
      <c r="NR82" s="23"/>
      <c r="NS82" s="23">
        <v>1.4902</v>
      </c>
      <c r="NT82" s="23">
        <v>1.5474</v>
      </c>
      <c r="NU82" s="23">
        <v>1.5668</v>
      </c>
      <c r="NV82" s="23">
        <v>1.5024</v>
      </c>
      <c r="NW82" s="23">
        <v>1.443</v>
      </c>
      <c r="NX82" s="23"/>
      <c r="NY82" s="23"/>
      <c r="NZ82" s="23">
        <v>1.4772</v>
      </c>
      <c r="OA82" s="23">
        <v>1.4948</v>
      </c>
      <c r="OB82" s="23">
        <v>1.4952</v>
      </c>
      <c r="OC82" s="23">
        <v>1.5074</v>
      </c>
      <c r="OD82" s="23">
        <v>1.4935</v>
      </c>
      <c r="OE82" s="23"/>
      <c r="OF82" s="23"/>
      <c r="OG82" s="23">
        <v>1.5738</v>
      </c>
      <c r="OH82" s="23">
        <v>1.5833</v>
      </c>
      <c r="OI82" s="23">
        <v>1.5479</v>
      </c>
      <c r="OJ82" s="23">
        <v>1.5907</v>
      </c>
      <c r="OK82" s="23">
        <v>1.5926</v>
      </c>
      <c r="OL82" s="23"/>
      <c r="OM82" s="23"/>
      <c r="ON82" s="23">
        <v>1.4906</v>
      </c>
      <c r="OO82" s="23">
        <v>1.4972</v>
      </c>
      <c r="OP82" s="23">
        <v>1.4916</v>
      </c>
      <c r="OQ82" s="23">
        <v>1.4821</v>
      </c>
      <c r="OR82" s="23">
        <v>1.4613</v>
      </c>
      <c r="OS82" s="23"/>
      <c r="OT82" s="23"/>
      <c r="OU82" s="23">
        <v>1.5385</v>
      </c>
      <c r="OV82" s="23">
        <v>1.5574</v>
      </c>
      <c r="OW82" s="23">
        <v>1.5388</v>
      </c>
      <c r="OX82" s="23">
        <v>1.5257</v>
      </c>
      <c r="OY82" s="23">
        <v>1.4259</v>
      </c>
      <c r="OZ82" s="23">
        <v>1.3211</v>
      </c>
      <c r="PA82" s="23"/>
      <c r="PB82" s="23"/>
      <c r="PC82" s="23"/>
      <c r="PD82" s="23"/>
      <c r="PE82" s="23"/>
      <c r="PF82" s="23"/>
      <c r="PG82" s="23"/>
      <c r="PH82" s="23"/>
      <c r="PI82" s="23"/>
      <c r="PJ82" s="23">
        <v>1.5545</v>
      </c>
      <c r="PK82" s="23">
        <v>1.5066</v>
      </c>
      <c r="PL82" s="23">
        <v>1.4833</v>
      </c>
      <c r="PM82" s="23">
        <v>1.4805</v>
      </c>
      <c r="PN82" s="23">
        <v>1.5034</v>
      </c>
      <c r="PO82" s="23"/>
      <c r="PP82" s="23">
        <v>1.4639</v>
      </c>
      <c r="PQ82" s="23">
        <v>1.4515</v>
      </c>
      <c r="PR82" s="23">
        <v>1.4189</v>
      </c>
      <c r="PS82" s="23">
        <v>1.4207</v>
      </c>
      <c r="PT82" s="23">
        <v>1.4149</v>
      </c>
      <c r="PU82" s="23"/>
      <c r="PV82" s="23"/>
      <c r="PW82" s="23">
        <v>1.4476</v>
      </c>
      <c r="PX82" s="23">
        <v>1.4403</v>
      </c>
      <c r="PY82" s="23">
        <v>1.4645</v>
      </c>
      <c r="PZ82" s="23">
        <v>1.4704</v>
      </c>
      <c r="QA82" s="23">
        <v>1.4616</v>
      </c>
      <c r="QB82" s="23"/>
      <c r="QC82" s="23"/>
      <c r="QD82" s="23">
        <v>1.4523</v>
      </c>
      <c r="QE82" s="23">
        <v>1.4348</v>
      </c>
      <c r="QF82" s="23">
        <v>1.4332</v>
      </c>
      <c r="QG82" s="23">
        <v>1.4271</v>
      </c>
      <c r="QH82" s="23">
        <v>1.4209</v>
      </c>
      <c r="QI82" s="23"/>
      <c r="QJ82" s="23"/>
      <c r="QK82" s="23">
        <v>1.4259</v>
      </c>
      <c r="QL82" s="23">
        <v>1.4116</v>
      </c>
      <c r="QM82" s="23">
        <v>1.4446</v>
      </c>
      <c r="QN82" s="23">
        <v>1.4437</v>
      </c>
      <c r="QO82" s="23">
        <v>1.4398</v>
      </c>
      <c r="QP82" s="23"/>
      <c r="QQ82" s="23"/>
      <c r="QR82" s="23">
        <v>1.4293</v>
      </c>
      <c r="QS82" s="23">
        <v>1.423</v>
      </c>
      <c r="QT82" s="23">
        <v>1.4226</v>
      </c>
      <c r="QU82" s="23">
        <v>1.4094</v>
      </c>
      <c r="QV82" s="23">
        <v>1.3372</v>
      </c>
      <c r="QW82" s="23"/>
      <c r="QX82" s="23"/>
      <c r="QY82" s="23"/>
      <c r="QZ82" s="23">
        <v>1.3226</v>
      </c>
      <c r="RA82" s="23">
        <v>1.3235</v>
      </c>
      <c r="RB82" s="23">
        <v>1.331</v>
      </c>
      <c r="RC82" s="23">
        <v>1.3233</v>
      </c>
      <c r="RD82" s="23"/>
      <c r="RE82" s="23"/>
      <c r="RF82" s="23">
        <v>1.3679</v>
      </c>
      <c r="RG82" s="23">
        <v>1.3648</v>
      </c>
      <c r="RH82" s="23">
        <v>1.3664</v>
      </c>
      <c r="RI82" s="23">
        <v>1.328</v>
      </c>
      <c r="RJ82" s="23">
        <v>1.3201</v>
      </c>
      <c r="RK82" s="23"/>
      <c r="RL82" s="23"/>
      <c r="RM82" s="23">
        <v>1.3358</v>
      </c>
      <c r="RN82" s="23">
        <v>1.3271</v>
      </c>
      <c r="RO82" s="23">
        <v>1.3202</v>
      </c>
      <c r="RP82" s="23">
        <v>1.3238</v>
      </c>
      <c r="RQ82" s="23">
        <v>1.3257</v>
      </c>
      <c r="RR82" s="23"/>
      <c r="RS82" s="23"/>
      <c r="RT82" s="23">
        <v>1.3611</v>
      </c>
      <c r="RU82" s="23">
        <v>1.363</v>
      </c>
      <c r="RV82" s="23">
        <v>1.3729</v>
      </c>
      <c r="RW82" s="23">
        <v>1.3897</v>
      </c>
      <c r="RX82" s="23"/>
      <c r="RY82" s="23"/>
      <c r="RZ82" s="23"/>
      <c r="SA82" s="23"/>
      <c r="SB82" s="23"/>
      <c r="SC82" s="23">
        <v>1.3699</v>
      </c>
      <c r="SD82" s="23">
        <v>1.3724</v>
      </c>
      <c r="SE82" s="23">
        <v>1.3365</v>
      </c>
      <c r="SF82" s="23">
        <v>1.2987</v>
      </c>
      <c r="SG82" s="23"/>
      <c r="SH82" s="23">
        <v>1.3401</v>
      </c>
      <c r="SI82" s="23">
        <v>1.3011</v>
      </c>
      <c r="SJ82" s="23">
        <v>1.2942</v>
      </c>
      <c r="SK82" s="23">
        <v>1.3021</v>
      </c>
      <c r="SL82" s="23">
        <v>1.3186</v>
      </c>
      <c r="SM82" s="23"/>
      <c r="SN82" s="23"/>
      <c r="SO82" s="23">
        <v>1.3283</v>
      </c>
      <c r="SP82" s="23">
        <v>1.3214</v>
      </c>
      <c r="SQ82" s="23">
        <v>1.3287</v>
      </c>
      <c r="SR82" s="23">
        <v>1.328</v>
      </c>
      <c r="SS82" s="23">
        <v>1.3634</v>
      </c>
      <c r="ST82" s="23"/>
      <c r="SU82" s="23"/>
      <c r="SV82" s="23">
        <v>1.3936</v>
      </c>
      <c r="SW82" s="23">
        <v>1.3752</v>
      </c>
      <c r="SX82" s="23">
        <v>1.365</v>
      </c>
      <c r="SY82" s="23">
        <v>1.3578</v>
      </c>
      <c r="SZ82" s="23">
        <v>1.3809</v>
      </c>
      <c r="TA82" s="23"/>
      <c r="TB82" s="23"/>
      <c r="TC82" s="23">
        <v>1.3644</v>
      </c>
      <c r="TD82" s="23">
        <v>1.3442</v>
      </c>
      <c r="TE82" s="23">
        <v>1.3428</v>
      </c>
      <c r="TF82" s="23">
        <v>1.3479</v>
      </c>
      <c r="TG82" s="23">
        <v>1.3822</v>
      </c>
      <c r="TH82" s="23"/>
      <c r="TI82" s="23"/>
      <c r="TJ82" s="23">
        <v>1.4031</v>
      </c>
      <c r="TK82" s="23">
        <v>1.4154</v>
      </c>
      <c r="TL82" s="23">
        <v>1.4152</v>
      </c>
      <c r="TM82" s="23">
        <v>1.4435</v>
      </c>
      <c r="TN82" s="23">
        <v>1.4551</v>
      </c>
      <c r="TO82" s="23"/>
      <c r="TP82" s="23"/>
      <c r="TQ82" s="23">
        <v>1.4671</v>
      </c>
      <c r="TR82" s="23">
        <v>1.4856</v>
      </c>
      <c r="TS82" s="23">
        <v>1.4645</v>
      </c>
      <c r="TT82" s="23">
        <v>1.4606</v>
      </c>
      <c r="TU82" s="23"/>
      <c r="TV82" s="23"/>
      <c r="TW82" s="23"/>
      <c r="TX82" s="23">
        <v>1.4713</v>
      </c>
      <c r="TY82" s="23">
        <v>1.4944</v>
      </c>
      <c r="TZ82" s="23">
        <v>1.5434</v>
      </c>
      <c r="UA82" s="23">
        <v>1.5098</v>
      </c>
      <c r="UB82" s="23">
        <v>1.4672</v>
      </c>
      <c r="UC82" s="23"/>
      <c r="UD82" s="23"/>
      <c r="UE82" s="23">
        <v>1.4531</v>
      </c>
      <c r="UF82" s="23">
        <v>1.4587</v>
      </c>
      <c r="UG82" s="23">
        <v>1.4537</v>
      </c>
      <c r="UH82" s="23">
        <v>1.4278</v>
      </c>
      <c r="UI82" s="23">
        <v>1.3924</v>
      </c>
      <c r="UJ82" s="23"/>
      <c r="UK82" s="23"/>
      <c r="UL82" s="23"/>
      <c r="UM82" s="23"/>
      <c r="UN82" s="23"/>
      <c r="UO82" s="23"/>
      <c r="UP82" s="23"/>
      <c r="UQ82" s="23"/>
      <c r="UR82" s="23"/>
      <c r="US82" s="23"/>
      <c r="UT82" s="23"/>
    </row>
    <row r="83" ht="13.5" customHeight="1" spans="4:566">
      <c r="D83" s="22" t="s">
        <v>86</v>
      </c>
      <c r="E83" s="21" t="s">
        <v>87</v>
      </c>
      <c r="F83" s="23"/>
      <c r="G83" s="23"/>
      <c r="H83" s="23">
        <v>1.7799</v>
      </c>
      <c r="I83" s="23">
        <v>1.7352</v>
      </c>
      <c r="J83" s="23"/>
      <c r="K83" s="23"/>
      <c r="L83" s="23">
        <v>1.526</v>
      </c>
      <c r="M83" s="23">
        <v>1.5447</v>
      </c>
      <c r="N83" s="23">
        <v>1.5908</v>
      </c>
      <c r="O83" s="23">
        <v>1.6396</v>
      </c>
      <c r="P83" s="23">
        <v>1.7573</v>
      </c>
      <c r="Q83" s="23"/>
      <c r="R83" s="23"/>
      <c r="S83" s="23">
        <v>2.0401</v>
      </c>
      <c r="T83" s="23">
        <v>2.5423</v>
      </c>
      <c r="U83" s="23">
        <v>2.7299</v>
      </c>
      <c r="V83" s="23">
        <v>3.9377</v>
      </c>
      <c r="W83" s="23">
        <v>2.6772</v>
      </c>
      <c r="X83" s="23"/>
      <c r="Y83" s="23"/>
      <c r="Z83" s="23">
        <v>2.2678</v>
      </c>
      <c r="AA83" s="23">
        <v>2.0609</v>
      </c>
      <c r="AB83" s="23">
        <v>2.0048</v>
      </c>
      <c r="AC83" s="23">
        <v>2.4683</v>
      </c>
      <c r="AD83" s="23">
        <v>1.8538</v>
      </c>
      <c r="AE83" s="23"/>
      <c r="AF83" s="23">
        <v>1.66</v>
      </c>
      <c r="AG83" s="23">
        <v>1.7311</v>
      </c>
      <c r="AH83" s="23"/>
      <c r="AI83" s="23"/>
      <c r="AJ83" s="23"/>
      <c r="AK83" s="23"/>
      <c r="AL83" s="23"/>
      <c r="AM83" s="23"/>
      <c r="AN83" s="23"/>
      <c r="AO83" s="23"/>
      <c r="AP83" s="23">
        <v>1.9574</v>
      </c>
      <c r="AQ83" s="23">
        <v>1.849</v>
      </c>
      <c r="AR83" s="23">
        <v>1.8015</v>
      </c>
      <c r="AS83" s="23">
        <v>1.7718</v>
      </c>
      <c r="AT83" s="23"/>
      <c r="AU83" s="23">
        <v>1.852</v>
      </c>
      <c r="AV83" s="23">
        <v>1.9461</v>
      </c>
      <c r="AW83" s="23">
        <v>1.8423</v>
      </c>
      <c r="AX83" s="23">
        <v>1.8648</v>
      </c>
      <c r="AY83" s="23">
        <v>2.0065</v>
      </c>
      <c r="AZ83" s="23"/>
      <c r="BA83" s="23"/>
      <c r="BB83" s="23">
        <v>2.0587</v>
      </c>
      <c r="BC83" s="23">
        <v>2.2813</v>
      </c>
      <c r="BD83" s="23">
        <v>2.0121</v>
      </c>
      <c r="BE83" s="23">
        <v>2.0784</v>
      </c>
      <c r="BF83" s="23">
        <v>2.1481</v>
      </c>
      <c r="BG83" s="23"/>
      <c r="BH83" s="23"/>
      <c r="BI83" s="23">
        <v>2.0359</v>
      </c>
      <c r="BJ83" s="23">
        <v>1.9485</v>
      </c>
      <c r="BK83" s="23">
        <v>1.9663</v>
      </c>
      <c r="BL83" s="23">
        <v>2.0535</v>
      </c>
      <c r="BM83" s="23">
        <v>1.9759</v>
      </c>
      <c r="BN83" s="23"/>
      <c r="BO83" s="23"/>
      <c r="BP83" s="23">
        <v>1.8124</v>
      </c>
      <c r="BQ83" s="23">
        <v>1.737</v>
      </c>
      <c r="BR83" s="23">
        <v>1.7631</v>
      </c>
      <c r="BS83" s="23">
        <v>1.791</v>
      </c>
      <c r="BT83" s="23">
        <v>1.8026</v>
      </c>
      <c r="BU83" s="23"/>
      <c r="BV83" s="23"/>
      <c r="BW83" s="23">
        <v>1.8084</v>
      </c>
      <c r="BX83" s="23">
        <v>1.7739</v>
      </c>
      <c r="BY83" s="23">
        <v>1.766</v>
      </c>
      <c r="BZ83" s="23">
        <v>1.7779</v>
      </c>
      <c r="CA83" s="23">
        <v>1.8111</v>
      </c>
      <c r="CB83" s="23"/>
      <c r="CC83" s="23"/>
      <c r="CD83" s="23">
        <v>1.8703</v>
      </c>
      <c r="CE83" s="23">
        <v>1.906</v>
      </c>
      <c r="CF83" s="23">
        <v>1.9401</v>
      </c>
      <c r="CG83" s="23">
        <v>1.8454</v>
      </c>
      <c r="CH83" s="23">
        <v>1.7725</v>
      </c>
      <c r="CI83" s="23"/>
      <c r="CJ83" s="23"/>
      <c r="CK83" s="23">
        <v>1.7733</v>
      </c>
      <c r="CL83" s="23">
        <v>1.8079</v>
      </c>
      <c r="CM83" s="23">
        <v>1.8399</v>
      </c>
      <c r="CN83" s="23">
        <v>1.7787</v>
      </c>
      <c r="CO83" s="23">
        <v>1.7835</v>
      </c>
      <c r="CP83" s="23"/>
      <c r="CQ83" s="23"/>
      <c r="CR83" s="23">
        <v>2.807</v>
      </c>
      <c r="CS83" s="23">
        <v>1.9246</v>
      </c>
      <c r="CT83" s="23">
        <v>1.7929</v>
      </c>
      <c r="CU83" s="23">
        <v>1.6633</v>
      </c>
      <c r="CV83" s="23"/>
      <c r="CW83" s="23"/>
      <c r="CX83" s="23"/>
      <c r="CY83" s="23">
        <v>1.7983</v>
      </c>
      <c r="CZ83" s="23">
        <v>1.8286</v>
      </c>
      <c r="DA83" s="23">
        <v>1.7657</v>
      </c>
      <c r="DB83" s="23">
        <v>1.6842</v>
      </c>
      <c r="DC83" s="23">
        <v>1.6408</v>
      </c>
      <c r="DD83" s="23"/>
      <c r="DE83" s="23"/>
      <c r="DF83" s="23">
        <v>1.6718</v>
      </c>
      <c r="DG83" s="23">
        <v>1.7146</v>
      </c>
      <c r="DH83" s="23">
        <v>1.7094</v>
      </c>
      <c r="DI83" s="23">
        <v>1.6581</v>
      </c>
      <c r="DJ83" s="23">
        <v>1.6788</v>
      </c>
      <c r="DK83" s="23"/>
      <c r="DL83" s="23"/>
      <c r="DM83" s="23">
        <v>1.7376</v>
      </c>
      <c r="DN83" s="23">
        <v>1.721</v>
      </c>
      <c r="DO83" s="23">
        <v>1.6554</v>
      </c>
      <c r="DP83" s="23">
        <v>1.6338</v>
      </c>
      <c r="DQ83" s="23">
        <v>1.5843</v>
      </c>
      <c r="DR83" s="23"/>
      <c r="DS83" s="23">
        <v>1.6101</v>
      </c>
      <c r="DT83" s="23">
        <v>1.6184</v>
      </c>
      <c r="DU83" s="23">
        <v>1.5864</v>
      </c>
      <c r="DV83" s="23">
        <v>1.8542</v>
      </c>
      <c r="DW83" s="23"/>
      <c r="DX83" s="23"/>
      <c r="DY83" s="23"/>
      <c r="DZ83" s="23"/>
      <c r="EA83" s="23"/>
      <c r="EB83" s="23">
        <v>1.7565</v>
      </c>
      <c r="EC83" s="23">
        <v>1.6923</v>
      </c>
      <c r="ED83" s="23">
        <v>1.5757</v>
      </c>
      <c r="EE83" s="23">
        <v>1.5221</v>
      </c>
      <c r="EF83" s="23"/>
      <c r="EG83" s="23"/>
      <c r="EH83" s="23">
        <v>1.4565</v>
      </c>
      <c r="EI83" s="23">
        <v>1.4343</v>
      </c>
      <c r="EJ83" s="23">
        <v>1.4412</v>
      </c>
      <c r="EK83" s="23">
        <v>1.4477</v>
      </c>
      <c r="EL83" s="23">
        <v>1.6513</v>
      </c>
      <c r="EM83" s="23"/>
      <c r="EN83" s="23"/>
      <c r="EO83" s="23">
        <v>1.5815</v>
      </c>
      <c r="EP83" s="23">
        <v>1.5556</v>
      </c>
      <c r="EQ83" s="23">
        <v>1.5426</v>
      </c>
      <c r="ER83" s="23">
        <v>1.5255</v>
      </c>
      <c r="ES83" s="23">
        <v>1.6119</v>
      </c>
      <c r="ET83" s="23"/>
      <c r="EU83" s="23"/>
      <c r="EV83" s="23">
        <v>1.5489</v>
      </c>
      <c r="EW83" s="23">
        <v>1.4895</v>
      </c>
      <c r="EX83" s="23">
        <v>1.4579</v>
      </c>
      <c r="EY83" s="23">
        <v>1.4635</v>
      </c>
      <c r="EZ83" s="23">
        <v>1.5667</v>
      </c>
      <c r="FA83" s="23"/>
      <c r="FB83" s="23"/>
      <c r="FC83" s="23"/>
      <c r="FD83" s="23">
        <v>1.4641</v>
      </c>
      <c r="FE83" s="23">
        <v>1.4579</v>
      </c>
      <c r="FF83" s="23">
        <v>1.457</v>
      </c>
      <c r="FG83" s="23">
        <v>1.4477</v>
      </c>
      <c r="FH83" s="23"/>
      <c r="FI83" s="23"/>
      <c r="FJ83" s="23">
        <v>1.4192</v>
      </c>
      <c r="FK83" s="23">
        <v>1.4107</v>
      </c>
      <c r="FL83" s="23">
        <v>1.421</v>
      </c>
      <c r="FM83" s="23">
        <v>1.4348</v>
      </c>
      <c r="FN83" s="23">
        <v>1.462</v>
      </c>
      <c r="FO83" s="23"/>
      <c r="FP83" s="23"/>
      <c r="FQ83" s="23">
        <v>1.445</v>
      </c>
      <c r="FR83" s="23">
        <v>1.4241</v>
      </c>
      <c r="FS83" s="23">
        <v>1.4307</v>
      </c>
      <c r="FT83" s="23">
        <v>1.4407</v>
      </c>
      <c r="FU83" s="23">
        <v>1.4478</v>
      </c>
      <c r="FV83" s="23"/>
      <c r="FW83" s="23"/>
      <c r="FX83" s="23">
        <v>1.4394</v>
      </c>
      <c r="FY83" s="23">
        <v>1.438</v>
      </c>
      <c r="FZ83" s="23">
        <v>1.4402</v>
      </c>
      <c r="GA83" s="23">
        <v>1.4399</v>
      </c>
      <c r="GB83" s="23">
        <v>1.46</v>
      </c>
      <c r="GC83" s="23"/>
      <c r="GD83" s="23"/>
      <c r="GE83" s="23">
        <v>2.2953</v>
      </c>
      <c r="GF83" s="23">
        <v>1.4493</v>
      </c>
      <c r="GG83" s="23">
        <v>1.4191</v>
      </c>
      <c r="GH83" s="23">
        <v>1.3714</v>
      </c>
      <c r="GI83" s="23">
        <v>1.3606</v>
      </c>
      <c r="GJ83" s="23"/>
      <c r="GK83" s="23"/>
      <c r="GL83" s="23">
        <v>1.365</v>
      </c>
      <c r="GM83" s="23">
        <v>1.3704</v>
      </c>
      <c r="GN83" s="23">
        <v>1.3761</v>
      </c>
      <c r="GO83" s="23">
        <v>1.387</v>
      </c>
      <c r="GP83" s="23">
        <v>1.4038</v>
      </c>
      <c r="GQ83" s="23"/>
      <c r="GR83" s="23"/>
      <c r="GS83" s="23">
        <v>1.4837</v>
      </c>
      <c r="GT83" s="23">
        <v>1.5745</v>
      </c>
      <c r="GU83" s="23">
        <v>1.5129</v>
      </c>
      <c r="GV83" s="23">
        <v>1.5116</v>
      </c>
      <c r="GW83" s="23">
        <v>1.4881</v>
      </c>
      <c r="GX83" s="23"/>
      <c r="GY83" s="23"/>
      <c r="GZ83" s="23">
        <v>1.4012</v>
      </c>
      <c r="HA83" s="23">
        <v>1.3599</v>
      </c>
      <c r="HB83" s="23">
        <v>1.4268</v>
      </c>
      <c r="HC83" s="23">
        <v>1.6924</v>
      </c>
      <c r="HD83" s="23">
        <v>1.5522</v>
      </c>
      <c r="HE83" s="23"/>
      <c r="HF83" s="23"/>
      <c r="HG83" s="23">
        <v>1.4907</v>
      </c>
      <c r="HH83" s="23">
        <v>1.3989</v>
      </c>
      <c r="HI83" s="23">
        <v>1.3642</v>
      </c>
      <c r="HJ83" s="23">
        <v>1.5634</v>
      </c>
      <c r="HK83" s="23">
        <v>1.3545</v>
      </c>
      <c r="HL83" s="23"/>
      <c r="HM83" s="23"/>
      <c r="HN83" s="23">
        <v>1.3512</v>
      </c>
      <c r="HO83" s="23">
        <v>1.3462</v>
      </c>
      <c r="HP83" s="23">
        <v>1.3482</v>
      </c>
      <c r="HQ83" s="23">
        <v>1.3503</v>
      </c>
      <c r="HR83" s="23">
        <v>1.3413</v>
      </c>
      <c r="HS83" s="23"/>
      <c r="HT83" s="23"/>
      <c r="HU83" s="23">
        <v>1.3458</v>
      </c>
      <c r="HV83" s="23">
        <v>1.3486</v>
      </c>
      <c r="HW83" s="23">
        <v>1.3491</v>
      </c>
      <c r="HX83" s="23">
        <v>1.3518</v>
      </c>
      <c r="HY83" s="23">
        <v>1.4391</v>
      </c>
      <c r="HZ83" s="23"/>
      <c r="IA83" s="23"/>
      <c r="IB83" s="23">
        <v>1.5037</v>
      </c>
      <c r="IC83" s="23">
        <v>1.5473</v>
      </c>
      <c r="ID83" s="23">
        <v>1.5576</v>
      </c>
      <c r="IE83" s="23">
        <v>1.5143</v>
      </c>
      <c r="IF83" s="23">
        <v>1.4466</v>
      </c>
      <c r="IG83" s="23"/>
      <c r="IH83" s="23"/>
      <c r="II83" s="23">
        <v>1.3901</v>
      </c>
      <c r="IJ83" s="23">
        <v>1.3596</v>
      </c>
      <c r="IK83" s="23">
        <v>1.3608</v>
      </c>
      <c r="IL83" s="23">
        <v>1.3643</v>
      </c>
      <c r="IM83" s="23">
        <v>1.4184</v>
      </c>
      <c r="IN83" s="23"/>
      <c r="IO83" s="23"/>
      <c r="IP83" s="31">
        <v>1.3564</v>
      </c>
      <c r="IQ83" s="31">
        <v>1.3548</v>
      </c>
      <c r="IR83" s="31">
        <v>1.3543</v>
      </c>
      <c r="IS83" s="31">
        <v>1.3577</v>
      </c>
      <c r="IT83" s="31">
        <v>1.3609</v>
      </c>
      <c r="IU83" s="31"/>
      <c r="IV83" s="31"/>
      <c r="IW83" s="31">
        <v>1.408</v>
      </c>
      <c r="IX83" s="31">
        <v>1.4552</v>
      </c>
      <c r="IY83" s="31">
        <v>1.4592</v>
      </c>
      <c r="IZ83" s="31">
        <v>1.4085</v>
      </c>
      <c r="JA83" s="31">
        <v>1.3979</v>
      </c>
      <c r="JB83" s="31"/>
      <c r="JC83" s="31"/>
      <c r="JD83" s="31">
        <v>1.4474</v>
      </c>
      <c r="JE83" s="31">
        <v>1.4778</v>
      </c>
      <c r="JF83" s="31">
        <v>1.5536</v>
      </c>
      <c r="JG83" s="31">
        <v>1.5832</v>
      </c>
      <c r="JH83" s="31">
        <v>1.4993</v>
      </c>
      <c r="JI83" s="31"/>
      <c r="JJ83" s="31"/>
      <c r="JK83" s="31">
        <v>1.4749</v>
      </c>
      <c r="JL83" s="31">
        <v>1.4619</v>
      </c>
      <c r="JM83" s="31">
        <v>1.4973</v>
      </c>
      <c r="JN83" s="31">
        <v>1.5191</v>
      </c>
      <c r="JO83" s="31">
        <v>1.3344</v>
      </c>
      <c r="JP83" s="31"/>
      <c r="JQ83" s="31">
        <v>1.3227</v>
      </c>
      <c r="JR83" s="31">
        <v>1.3776</v>
      </c>
      <c r="JS83" s="31">
        <v>1.5331</v>
      </c>
      <c r="JT83" s="31"/>
      <c r="JU83" s="31"/>
      <c r="JV83" s="31"/>
      <c r="JW83" s="31"/>
      <c r="JX83" s="31"/>
      <c r="JY83" s="31"/>
      <c r="JZ83" s="23"/>
      <c r="KA83" s="23"/>
      <c r="KB83" s="23">
        <v>1.4069</v>
      </c>
      <c r="KC83" s="23">
        <v>1.3263</v>
      </c>
      <c r="KD83" s="23">
        <v>1.3174</v>
      </c>
      <c r="KE83" s="23"/>
      <c r="KF83" s="23">
        <v>1.357</v>
      </c>
      <c r="KG83" s="23">
        <v>1.3535</v>
      </c>
      <c r="KH83" s="23">
        <v>1.3519</v>
      </c>
      <c r="KI83" s="23">
        <v>1.3531</v>
      </c>
      <c r="KJ83" s="23">
        <v>1.3646</v>
      </c>
      <c r="KK83" s="23"/>
      <c r="KL83" s="23"/>
      <c r="KM83" s="23">
        <v>1.3627</v>
      </c>
      <c r="KN83" s="23">
        <v>1.3632</v>
      </c>
      <c r="KO83" s="23">
        <v>1.3687</v>
      </c>
      <c r="KP83" s="23">
        <v>1.3721</v>
      </c>
      <c r="KQ83" s="23">
        <v>1.3802</v>
      </c>
      <c r="KR83" s="23"/>
      <c r="KS83" s="23"/>
      <c r="KT83" s="23">
        <v>1.5124</v>
      </c>
      <c r="KU83" s="23">
        <v>1.5059</v>
      </c>
      <c r="KV83" s="23">
        <v>1.4371</v>
      </c>
      <c r="KW83" s="23">
        <v>1.3688</v>
      </c>
      <c r="KX83" s="23">
        <v>1.4069</v>
      </c>
      <c r="KY83" s="23"/>
      <c r="KZ83" s="23"/>
      <c r="LA83" s="23">
        <v>1.3646</v>
      </c>
      <c r="LB83" s="23">
        <v>1.3621</v>
      </c>
      <c r="LC83" s="23">
        <v>1.3615</v>
      </c>
      <c r="LD83" s="23">
        <v>1.3621</v>
      </c>
      <c r="LE83" s="23">
        <v>1.3916</v>
      </c>
      <c r="LF83" s="23"/>
      <c r="LG83" s="23"/>
      <c r="LH83" s="23">
        <v>1.5226</v>
      </c>
      <c r="LI83" s="23">
        <v>1.5361</v>
      </c>
      <c r="LJ83" s="23">
        <v>1.4662</v>
      </c>
      <c r="LK83" s="23">
        <v>1.3887</v>
      </c>
      <c r="LL83" s="23">
        <v>1.4296</v>
      </c>
      <c r="LM83" s="23"/>
      <c r="LN83" s="23"/>
      <c r="LO83" s="23">
        <v>1.5596</v>
      </c>
      <c r="LP83" s="23">
        <v>1.5711</v>
      </c>
      <c r="LQ83" s="23">
        <v>1.4851</v>
      </c>
      <c r="LR83" s="23">
        <v>1.4357</v>
      </c>
      <c r="LS83" s="23">
        <v>1.3877</v>
      </c>
      <c r="LT83" s="23"/>
      <c r="LU83" s="23"/>
      <c r="LV83" s="23">
        <v>1.3894</v>
      </c>
      <c r="LW83" s="23">
        <v>1.3843</v>
      </c>
      <c r="LX83" s="23">
        <v>1.3672</v>
      </c>
      <c r="LY83" s="23">
        <v>1.3706</v>
      </c>
      <c r="LZ83" s="23">
        <v>1.4252</v>
      </c>
      <c r="MA83" s="23"/>
      <c r="MB83" s="23"/>
      <c r="MC83" s="23">
        <v>1.3713</v>
      </c>
      <c r="MD83" s="23">
        <v>1.3611</v>
      </c>
      <c r="ME83" s="23">
        <v>1.3578</v>
      </c>
      <c r="MF83" s="23">
        <v>1.3611</v>
      </c>
      <c r="MG83" s="23">
        <v>1.3719</v>
      </c>
      <c r="MH83" s="23"/>
      <c r="MI83" s="23"/>
      <c r="MJ83" s="23">
        <v>1.3718</v>
      </c>
      <c r="MK83" s="23">
        <v>1.365</v>
      </c>
      <c r="ML83" s="23">
        <v>1.3543</v>
      </c>
      <c r="MM83" s="23">
        <v>1.3509</v>
      </c>
      <c r="MN83" s="23">
        <v>1.3473</v>
      </c>
      <c r="MO83" s="23"/>
      <c r="MP83" s="23"/>
      <c r="MQ83" s="23">
        <v>1.3466</v>
      </c>
      <c r="MR83" s="23">
        <v>1.3448</v>
      </c>
      <c r="MS83" s="23">
        <v>1.3449</v>
      </c>
      <c r="MT83" s="23">
        <v>1.352</v>
      </c>
      <c r="MU83" s="23">
        <v>1.3517</v>
      </c>
      <c r="MV83" s="23"/>
      <c r="MW83" s="23"/>
      <c r="MX83" s="23">
        <v>1.3547</v>
      </c>
      <c r="MY83" s="23">
        <v>1.3542</v>
      </c>
      <c r="MZ83" s="23">
        <v>1.3568</v>
      </c>
      <c r="NA83" s="23">
        <v>1.3559</v>
      </c>
      <c r="NB83" s="23">
        <v>1.345</v>
      </c>
      <c r="NC83" s="23"/>
      <c r="ND83" s="23"/>
      <c r="NE83" s="23">
        <v>1.3376</v>
      </c>
      <c r="NF83" s="23">
        <v>1.3782</v>
      </c>
      <c r="NG83" s="23">
        <v>1.4568</v>
      </c>
      <c r="NH83" s="23"/>
      <c r="NI83" s="23"/>
      <c r="NJ83" s="23"/>
      <c r="NK83" s="23">
        <v>1.26</v>
      </c>
      <c r="NL83" s="23">
        <v>1.3315</v>
      </c>
      <c r="NM83" s="23">
        <v>1.3302</v>
      </c>
      <c r="NN83" s="23">
        <v>1.3365</v>
      </c>
      <c r="NO83" s="23">
        <v>1.3424</v>
      </c>
      <c r="NP83" s="23">
        <v>1.348</v>
      </c>
      <c r="NQ83" s="23"/>
      <c r="NR83" s="23"/>
      <c r="NS83" s="23">
        <v>1.3895</v>
      </c>
      <c r="NT83" s="23">
        <v>1.4719</v>
      </c>
      <c r="NU83" s="23">
        <v>1.4913</v>
      </c>
      <c r="NV83" s="23">
        <v>1.4154</v>
      </c>
      <c r="NW83" s="23">
        <v>1.3734</v>
      </c>
      <c r="NX83" s="23"/>
      <c r="NY83" s="23"/>
      <c r="NZ83" s="23">
        <v>1.3752</v>
      </c>
      <c r="OA83" s="23">
        <v>1.4212</v>
      </c>
      <c r="OB83" s="23">
        <v>1.395</v>
      </c>
      <c r="OC83" s="23">
        <v>1.4822</v>
      </c>
      <c r="OD83" s="23">
        <v>1.4654</v>
      </c>
      <c r="OE83" s="23"/>
      <c r="OF83" s="23"/>
      <c r="OG83" s="23">
        <v>1.4898</v>
      </c>
      <c r="OH83" s="23">
        <v>1.4492</v>
      </c>
      <c r="OI83" s="23">
        <v>1.4381</v>
      </c>
      <c r="OJ83" s="23">
        <v>1.4381</v>
      </c>
      <c r="OK83" s="23">
        <v>1.5086</v>
      </c>
      <c r="OL83" s="23"/>
      <c r="OM83" s="23"/>
      <c r="ON83" s="23">
        <v>1.4341</v>
      </c>
      <c r="OO83" s="23">
        <v>1.3983</v>
      </c>
      <c r="OP83" s="23">
        <v>1.3962</v>
      </c>
      <c r="OQ83" s="23">
        <v>1.3926</v>
      </c>
      <c r="OR83" s="23">
        <v>1.3605</v>
      </c>
      <c r="OS83" s="23"/>
      <c r="OT83" s="23"/>
      <c r="OU83" s="23">
        <v>1.3701</v>
      </c>
      <c r="OV83" s="23">
        <v>1.4598</v>
      </c>
      <c r="OW83" s="23">
        <v>1.4595</v>
      </c>
      <c r="OX83" s="23">
        <v>1.4329</v>
      </c>
      <c r="OY83" s="23">
        <v>1.2835</v>
      </c>
      <c r="OZ83" s="23">
        <v>1.3293</v>
      </c>
      <c r="PA83" s="23"/>
      <c r="PB83" s="23"/>
      <c r="PC83" s="23"/>
      <c r="PD83" s="23"/>
      <c r="PE83" s="23"/>
      <c r="PF83" s="23"/>
      <c r="PG83" s="23"/>
      <c r="PH83" s="23"/>
      <c r="PI83" s="23"/>
      <c r="PJ83" s="23">
        <v>1.4518</v>
      </c>
      <c r="PK83" s="23">
        <v>1.4652</v>
      </c>
      <c r="PL83" s="23">
        <v>1.427</v>
      </c>
      <c r="PM83" s="23">
        <v>1.3572</v>
      </c>
      <c r="PN83" s="23">
        <v>1.3404</v>
      </c>
      <c r="PO83" s="23"/>
      <c r="PP83" s="23">
        <v>1.3848</v>
      </c>
      <c r="PQ83" s="23">
        <v>1.3416</v>
      </c>
      <c r="PR83" s="23">
        <v>1.335</v>
      </c>
      <c r="PS83" s="23">
        <v>1.3504</v>
      </c>
      <c r="PT83" s="23">
        <v>1.3882</v>
      </c>
      <c r="PU83" s="23"/>
      <c r="PV83" s="23"/>
      <c r="PW83" s="23">
        <v>1.3896</v>
      </c>
      <c r="PX83" s="23">
        <v>1.3917</v>
      </c>
      <c r="PY83" s="23">
        <v>1.4248</v>
      </c>
      <c r="PZ83" s="23">
        <v>1.4014</v>
      </c>
      <c r="QA83" s="23">
        <v>1.3916</v>
      </c>
      <c r="QB83" s="23"/>
      <c r="QC83" s="23"/>
      <c r="QD83" s="23">
        <v>1.3993</v>
      </c>
      <c r="QE83" s="23">
        <v>1.3968</v>
      </c>
      <c r="QF83" s="23">
        <v>1.3976</v>
      </c>
      <c r="QG83" s="23">
        <v>1.3969</v>
      </c>
      <c r="QH83" s="23">
        <v>1.3961</v>
      </c>
      <c r="QI83" s="23"/>
      <c r="QJ83" s="23"/>
      <c r="QK83" s="23">
        <v>1.3961</v>
      </c>
      <c r="QL83" s="23">
        <v>1.3983</v>
      </c>
      <c r="QM83" s="23">
        <v>1.4035</v>
      </c>
      <c r="QN83" s="23">
        <v>1.4034</v>
      </c>
      <c r="QO83" s="23">
        <v>1.3871</v>
      </c>
      <c r="QP83" s="23"/>
      <c r="QQ83" s="23"/>
      <c r="QR83" s="23">
        <v>1.3738</v>
      </c>
      <c r="QS83" s="23">
        <v>1.393</v>
      </c>
      <c r="QT83" s="23">
        <v>1.354</v>
      </c>
      <c r="QU83" s="23">
        <v>1.3267</v>
      </c>
      <c r="QV83" s="23">
        <v>1.2892</v>
      </c>
      <c r="QW83" s="23"/>
      <c r="QX83" s="23"/>
      <c r="QY83" s="23"/>
      <c r="QZ83" s="23">
        <v>1.274</v>
      </c>
      <c r="RA83" s="23">
        <v>1.2718</v>
      </c>
      <c r="RB83" s="23">
        <v>1.2785</v>
      </c>
      <c r="RC83" s="23">
        <v>1.2869</v>
      </c>
      <c r="RD83" s="23"/>
      <c r="RE83" s="23"/>
      <c r="RF83" s="23">
        <v>1.2962</v>
      </c>
      <c r="RG83" s="23">
        <v>1.2985</v>
      </c>
      <c r="RH83" s="23">
        <v>1.2941</v>
      </c>
      <c r="RI83" s="23">
        <v>1.2879</v>
      </c>
      <c r="RJ83" s="23">
        <v>1.2878</v>
      </c>
      <c r="RK83" s="23"/>
      <c r="RL83" s="23"/>
      <c r="RM83" s="23">
        <v>1.2858</v>
      </c>
      <c r="RN83" s="23">
        <v>1.2853</v>
      </c>
      <c r="RO83" s="23">
        <v>1.2891</v>
      </c>
      <c r="RP83" s="23">
        <v>1.2902</v>
      </c>
      <c r="RQ83" s="23">
        <v>1.2911</v>
      </c>
      <c r="RR83" s="23"/>
      <c r="RS83" s="23"/>
      <c r="RT83" s="23">
        <v>1.3124</v>
      </c>
      <c r="RU83" s="23">
        <v>1.3129</v>
      </c>
      <c r="RV83" s="23">
        <v>1.3122</v>
      </c>
      <c r="RW83" s="23">
        <v>1.3749</v>
      </c>
      <c r="RX83" s="23"/>
      <c r="RY83" s="23"/>
      <c r="RZ83" s="23"/>
      <c r="SA83" s="23"/>
      <c r="SB83" s="23"/>
      <c r="SC83" s="23">
        <v>1.3456</v>
      </c>
      <c r="SD83" s="23">
        <v>1.3385</v>
      </c>
      <c r="SE83" s="23">
        <v>1.2548</v>
      </c>
      <c r="SF83" s="23">
        <v>1.2257</v>
      </c>
      <c r="SG83" s="23"/>
      <c r="SH83" s="23">
        <v>1.2779</v>
      </c>
      <c r="SI83" s="23">
        <v>1.2852</v>
      </c>
      <c r="SJ83" s="23">
        <v>1.2873</v>
      </c>
      <c r="SK83" s="23">
        <v>1.2897</v>
      </c>
      <c r="SL83" s="23">
        <v>1.2909</v>
      </c>
      <c r="SM83" s="23"/>
      <c r="SN83" s="23"/>
      <c r="SO83" s="23">
        <v>1.2978</v>
      </c>
      <c r="SP83" s="23">
        <v>1.3025</v>
      </c>
      <c r="SQ83" s="23">
        <v>1.3186</v>
      </c>
      <c r="SR83" s="23">
        <v>1.3248</v>
      </c>
      <c r="SS83" s="23">
        <v>1.361</v>
      </c>
      <c r="ST83" s="23"/>
      <c r="SU83" s="23"/>
      <c r="SV83" s="23">
        <v>1.3735</v>
      </c>
      <c r="SW83" s="23">
        <v>1.3557</v>
      </c>
      <c r="SX83" s="23">
        <v>1.3488</v>
      </c>
      <c r="SY83" s="23">
        <v>1.3485</v>
      </c>
      <c r="SZ83" s="23">
        <v>1.3889</v>
      </c>
      <c r="TA83" s="23"/>
      <c r="TB83" s="23"/>
      <c r="TC83" s="23">
        <v>1.3607</v>
      </c>
      <c r="TD83" s="23">
        <v>1.3508</v>
      </c>
      <c r="TE83" s="23">
        <v>1.3556</v>
      </c>
      <c r="TF83" s="23">
        <v>1.3562</v>
      </c>
      <c r="TG83" s="23">
        <v>1.3864</v>
      </c>
      <c r="TH83" s="23"/>
      <c r="TI83" s="23"/>
      <c r="TJ83" s="23">
        <v>1.4174</v>
      </c>
      <c r="TK83" s="23">
        <v>1.4274</v>
      </c>
      <c r="TL83" s="23">
        <v>1.4212</v>
      </c>
      <c r="TM83" s="23">
        <v>1.4406</v>
      </c>
      <c r="TN83" s="23">
        <v>1.4472</v>
      </c>
      <c r="TO83" s="23"/>
      <c r="TP83" s="23"/>
      <c r="TQ83" s="23">
        <v>1.4646</v>
      </c>
      <c r="TR83" s="23">
        <v>1.4685</v>
      </c>
      <c r="TS83" s="23">
        <v>1.4537</v>
      </c>
      <c r="TT83" s="23">
        <v>1.454</v>
      </c>
      <c r="TU83" s="23"/>
      <c r="TV83" s="23"/>
      <c r="TW83" s="23"/>
      <c r="TX83" s="23">
        <v>1.4702</v>
      </c>
      <c r="TY83" s="23">
        <v>1.5066</v>
      </c>
      <c r="TZ83" s="23">
        <v>1.4547</v>
      </c>
      <c r="UA83" s="23">
        <v>1.4268</v>
      </c>
      <c r="UB83" s="23">
        <v>1.4015</v>
      </c>
      <c r="UC83" s="23"/>
      <c r="UD83" s="23"/>
      <c r="UE83" s="23">
        <v>1.3958</v>
      </c>
      <c r="UF83" s="23">
        <v>1.5029</v>
      </c>
      <c r="UG83" s="23">
        <v>1.4696</v>
      </c>
      <c r="UH83" s="23">
        <v>1.4364</v>
      </c>
      <c r="UI83" s="23">
        <v>1.3861</v>
      </c>
      <c r="UJ83" s="23"/>
      <c r="UK83" s="23"/>
      <c r="UL83" s="23"/>
      <c r="UM83" s="23"/>
      <c r="UN83" s="23"/>
      <c r="UO83" s="23"/>
      <c r="UP83" s="23"/>
      <c r="UQ83" s="23"/>
      <c r="UR83" s="23"/>
      <c r="US83" s="23"/>
      <c r="UT83" s="23"/>
    </row>
    <row r="84" ht="13.5" customHeight="1" spans="4:566">
      <c r="D84" s="22" t="s">
        <v>88</v>
      </c>
      <c r="E84" s="21" t="s">
        <v>89</v>
      </c>
      <c r="F84" s="23"/>
      <c r="G84" s="23"/>
      <c r="H84" s="23">
        <v>1.8285</v>
      </c>
      <c r="I84" s="23">
        <v>1.8124</v>
      </c>
      <c r="J84" s="23"/>
      <c r="K84" s="23"/>
      <c r="L84" s="23">
        <v>1.6583</v>
      </c>
      <c r="M84" s="23">
        <v>1.5934</v>
      </c>
      <c r="N84" s="23">
        <v>1.6286</v>
      </c>
      <c r="O84" s="23">
        <v>1.6829</v>
      </c>
      <c r="P84" s="23">
        <v>1.7897</v>
      </c>
      <c r="Q84" s="23"/>
      <c r="R84" s="23"/>
      <c r="S84" s="23">
        <v>2.1035</v>
      </c>
      <c r="T84" s="23">
        <v>2.5816</v>
      </c>
      <c r="U84" s="23">
        <v>2.6911</v>
      </c>
      <c r="V84" s="23">
        <v>4.1892</v>
      </c>
      <c r="W84" s="23">
        <v>3.1331</v>
      </c>
      <c r="X84" s="23"/>
      <c r="Y84" s="23"/>
      <c r="Z84" s="23">
        <v>2.3347</v>
      </c>
      <c r="AA84" s="23">
        <v>2.3961</v>
      </c>
      <c r="AB84" s="23">
        <v>2.3626</v>
      </c>
      <c r="AC84" s="23">
        <v>2.7354</v>
      </c>
      <c r="AD84" s="23">
        <v>3.1594</v>
      </c>
      <c r="AE84" s="23"/>
      <c r="AF84" s="23">
        <v>2.06</v>
      </c>
      <c r="AG84" s="23">
        <v>1.8652</v>
      </c>
      <c r="AH84" s="23"/>
      <c r="AI84" s="23"/>
      <c r="AJ84" s="23"/>
      <c r="AK84" s="23"/>
      <c r="AL84" s="23"/>
      <c r="AM84" s="23"/>
      <c r="AN84" s="23"/>
      <c r="AO84" s="23"/>
      <c r="AP84" s="23">
        <v>2.0694</v>
      </c>
      <c r="AQ84" s="23">
        <v>1.8595</v>
      </c>
      <c r="AR84" s="23">
        <v>1.7883</v>
      </c>
      <c r="AS84" s="23">
        <v>1.7313</v>
      </c>
      <c r="AT84" s="23"/>
      <c r="AU84" s="23">
        <v>1.7986</v>
      </c>
      <c r="AV84" s="23">
        <v>1.9507</v>
      </c>
      <c r="AW84" s="23">
        <v>1.868</v>
      </c>
      <c r="AX84" s="23">
        <v>1.8012</v>
      </c>
      <c r="AY84" s="23">
        <v>2.0348</v>
      </c>
      <c r="AZ84" s="23"/>
      <c r="BA84" s="23"/>
      <c r="BB84" s="23">
        <v>2.0924</v>
      </c>
      <c r="BC84" s="23">
        <v>2.467</v>
      </c>
      <c r="BD84" s="23">
        <v>2.0816</v>
      </c>
      <c r="BE84" s="23">
        <v>2.1593</v>
      </c>
      <c r="BF84" s="23">
        <v>2.31</v>
      </c>
      <c r="BG84" s="23"/>
      <c r="BH84" s="23"/>
      <c r="BI84" s="23">
        <v>2.3976</v>
      </c>
      <c r="BJ84" s="23">
        <v>2.3052</v>
      </c>
      <c r="BK84" s="23">
        <v>2.2985</v>
      </c>
      <c r="BL84" s="23">
        <v>2.4318</v>
      </c>
      <c r="BM84" s="23">
        <v>2.1357</v>
      </c>
      <c r="BN84" s="23"/>
      <c r="BO84" s="23"/>
      <c r="BP84" s="23">
        <v>1.9254</v>
      </c>
      <c r="BQ84" s="23">
        <v>1.7868</v>
      </c>
      <c r="BR84" s="23">
        <v>1.7997</v>
      </c>
      <c r="BS84" s="23">
        <v>1.8058</v>
      </c>
      <c r="BT84" s="23">
        <v>1.8107</v>
      </c>
      <c r="BU84" s="23"/>
      <c r="BV84" s="23"/>
      <c r="BW84" s="23">
        <v>1.8247</v>
      </c>
      <c r="BX84" s="23">
        <v>1.8232</v>
      </c>
      <c r="BY84" s="23">
        <v>1.822</v>
      </c>
      <c r="BZ84" s="23">
        <v>1.8194</v>
      </c>
      <c r="CA84" s="23">
        <v>1.8312</v>
      </c>
      <c r="CB84" s="23"/>
      <c r="CC84" s="23"/>
      <c r="CD84" s="23">
        <v>1.9218</v>
      </c>
      <c r="CE84" s="23">
        <v>1.9828</v>
      </c>
      <c r="CF84" s="23">
        <v>2.0549</v>
      </c>
      <c r="CG84" s="23">
        <v>1.9631</v>
      </c>
      <c r="CH84" s="23">
        <v>1.8179</v>
      </c>
      <c r="CI84" s="23"/>
      <c r="CJ84" s="23"/>
      <c r="CK84" s="23">
        <v>1.8098</v>
      </c>
      <c r="CL84" s="23">
        <v>2.1985</v>
      </c>
      <c r="CM84" s="23">
        <v>2.2525</v>
      </c>
      <c r="CN84" s="23">
        <v>2.2932</v>
      </c>
      <c r="CO84" s="23">
        <v>2.257</v>
      </c>
      <c r="CP84" s="23"/>
      <c r="CQ84" s="23"/>
      <c r="CR84" s="23">
        <v>2.303</v>
      </c>
      <c r="CS84" s="23">
        <v>1.9802</v>
      </c>
      <c r="CT84" s="23">
        <v>1.9051</v>
      </c>
      <c r="CU84" s="23">
        <v>1.7428</v>
      </c>
      <c r="CV84" s="23"/>
      <c r="CW84" s="23"/>
      <c r="CX84" s="23"/>
      <c r="CY84" s="23">
        <v>1.7605</v>
      </c>
      <c r="CZ84" s="23">
        <v>1.8716</v>
      </c>
      <c r="DA84" s="23">
        <v>1.8435</v>
      </c>
      <c r="DB84" s="23">
        <v>1.7618</v>
      </c>
      <c r="DC84" s="23">
        <v>1.7014</v>
      </c>
      <c r="DD84" s="23"/>
      <c r="DE84" s="23"/>
      <c r="DF84" s="23">
        <v>1.7416</v>
      </c>
      <c r="DG84" s="23">
        <v>1.7293</v>
      </c>
      <c r="DH84" s="23">
        <v>1.7407</v>
      </c>
      <c r="DI84" s="23">
        <v>1.7206</v>
      </c>
      <c r="DJ84" s="23">
        <v>1.7116</v>
      </c>
      <c r="DK84" s="23"/>
      <c r="DL84" s="23"/>
      <c r="DM84" s="23">
        <v>1.7262</v>
      </c>
      <c r="DN84" s="23">
        <v>1.7244</v>
      </c>
      <c r="DO84" s="23">
        <v>1.7012</v>
      </c>
      <c r="DP84" s="23">
        <v>1.7721</v>
      </c>
      <c r="DQ84" s="23">
        <v>1.6587</v>
      </c>
      <c r="DR84" s="23"/>
      <c r="DS84" s="23">
        <v>1.7175</v>
      </c>
      <c r="DT84" s="23">
        <v>1.7862</v>
      </c>
      <c r="DU84" s="23">
        <v>1.8116</v>
      </c>
      <c r="DV84" s="23">
        <v>1.8396</v>
      </c>
      <c r="DW84" s="23"/>
      <c r="DX84" s="23"/>
      <c r="DY84" s="23"/>
      <c r="DZ84" s="23"/>
      <c r="EA84" s="23"/>
      <c r="EB84" s="23">
        <v>1.7558</v>
      </c>
      <c r="EC84" s="23">
        <v>1.7139</v>
      </c>
      <c r="ED84" s="23">
        <v>1.6477</v>
      </c>
      <c r="EE84" s="23">
        <v>1.5805</v>
      </c>
      <c r="EF84" s="23"/>
      <c r="EG84" s="23"/>
      <c r="EH84" s="23">
        <v>1.5499</v>
      </c>
      <c r="EI84" s="23">
        <v>1.5337</v>
      </c>
      <c r="EJ84" s="23">
        <v>1.544</v>
      </c>
      <c r="EK84" s="23">
        <v>1.5456</v>
      </c>
      <c r="EL84" s="23">
        <v>1.6251</v>
      </c>
      <c r="EM84" s="23"/>
      <c r="EN84" s="23"/>
      <c r="EO84" s="23">
        <v>1.6374</v>
      </c>
      <c r="EP84" s="23">
        <v>1.5986</v>
      </c>
      <c r="EQ84" s="23">
        <v>1.5884</v>
      </c>
      <c r="ER84" s="23">
        <v>1.5777</v>
      </c>
      <c r="ES84" s="23">
        <v>1.6266</v>
      </c>
      <c r="ET84" s="23"/>
      <c r="EU84" s="23"/>
      <c r="EV84" s="23">
        <v>1.696</v>
      </c>
      <c r="EW84" s="23">
        <v>1.6794</v>
      </c>
      <c r="EX84" s="23">
        <v>1.6948</v>
      </c>
      <c r="EY84" s="23">
        <v>1.7402</v>
      </c>
      <c r="EZ84" s="23">
        <v>1.6972</v>
      </c>
      <c r="FA84" s="23"/>
      <c r="FB84" s="23"/>
      <c r="FC84" s="23"/>
      <c r="FD84" s="23">
        <v>1.5877</v>
      </c>
      <c r="FE84" s="23">
        <v>1.575</v>
      </c>
      <c r="FF84" s="23">
        <v>1.5677</v>
      </c>
      <c r="FG84" s="23">
        <v>1.5514</v>
      </c>
      <c r="FH84" s="23"/>
      <c r="FI84" s="23"/>
      <c r="FJ84" s="23">
        <v>1.5426</v>
      </c>
      <c r="FK84" s="23">
        <v>1.5424</v>
      </c>
      <c r="FL84" s="23">
        <v>1.5615</v>
      </c>
      <c r="FM84" s="23">
        <v>1.582</v>
      </c>
      <c r="FN84" s="23">
        <v>1.5811</v>
      </c>
      <c r="FO84" s="23"/>
      <c r="FP84" s="23"/>
      <c r="FQ84" s="23">
        <v>1.5598</v>
      </c>
      <c r="FR84" s="23">
        <v>1.5525</v>
      </c>
      <c r="FS84" s="23">
        <v>1.5773</v>
      </c>
      <c r="FT84" s="23">
        <v>1.6019</v>
      </c>
      <c r="FU84" s="23">
        <v>1.591</v>
      </c>
      <c r="FV84" s="23"/>
      <c r="FW84" s="23"/>
      <c r="FX84" s="23">
        <v>1.5629</v>
      </c>
      <c r="FY84" s="23">
        <v>1.8221</v>
      </c>
      <c r="FZ84" s="23">
        <v>1.8593</v>
      </c>
      <c r="GA84" s="23">
        <v>1.9195</v>
      </c>
      <c r="GB84" s="23">
        <v>1.9201</v>
      </c>
      <c r="GC84" s="23"/>
      <c r="GD84" s="23"/>
      <c r="GE84" s="23">
        <v>2.0056</v>
      </c>
      <c r="GF84" s="23">
        <v>1.6175</v>
      </c>
      <c r="GG84" s="23">
        <v>1.569</v>
      </c>
      <c r="GH84" s="23">
        <v>1.517</v>
      </c>
      <c r="GI84" s="23">
        <v>1.4881</v>
      </c>
      <c r="GJ84" s="23"/>
      <c r="GK84" s="23"/>
      <c r="GL84" s="23">
        <v>1.5</v>
      </c>
      <c r="GM84" s="23">
        <v>1.5058</v>
      </c>
      <c r="GN84" s="23">
        <v>1.504</v>
      </c>
      <c r="GO84" s="23">
        <v>1.5208</v>
      </c>
      <c r="GP84" s="23">
        <v>1.5086</v>
      </c>
      <c r="GQ84" s="23"/>
      <c r="GR84" s="23"/>
      <c r="GS84" s="23">
        <v>1.5426</v>
      </c>
      <c r="GT84" s="23">
        <v>1.5877</v>
      </c>
      <c r="GU84" s="23">
        <v>1.5311</v>
      </c>
      <c r="GV84" s="23">
        <v>1.5329</v>
      </c>
      <c r="GW84" s="23">
        <v>1.5072</v>
      </c>
      <c r="GX84" s="23"/>
      <c r="GY84" s="23"/>
      <c r="GZ84" s="23">
        <v>1.4977</v>
      </c>
      <c r="HA84" s="23">
        <v>1.4846</v>
      </c>
      <c r="HB84" s="23">
        <v>1.5017</v>
      </c>
      <c r="HC84" s="23">
        <v>1.6012</v>
      </c>
      <c r="HD84" s="23">
        <v>1.6937</v>
      </c>
      <c r="HE84" s="23"/>
      <c r="HF84" s="23"/>
      <c r="HG84" s="23">
        <v>1.6264</v>
      </c>
      <c r="HH84" s="23">
        <v>1.6121</v>
      </c>
      <c r="HI84" s="23">
        <v>1.6113</v>
      </c>
      <c r="HJ84" s="23">
        <v>1.5806</v>
      </c>
      <c r="HK84" s="23">
        <v>1.4864</v>
      </c>
      <c r="HL84" s="23"/>
      <c r="HM84" s="23"/>
      <c r="HN84" s="23">
        <v>1.4755</v>
      </c>
      <c r="HO84" s="23">
        <v>1.4654</v>
      </c>
      <c r="HP84" s="23">
        <v>1.4732</v>
      </c>
      <c r="HQ84" s="23">
        <v>1.4809</v>
      </c>
      <c r="HR84" s="23">
        <v>1.4538</v>
      </c>
      <c r="HS84" s="23"/>
      <c r="HT84" s="23"/>
      <c r="HU84" s="23">
        <v>1.4537</v>
      </c>
      <c r="HV84" s="23">
        <v>1.4619</v>
      </c>
      <c r="HW84" s="23">
        <v>1.4715</v>
      </c>
      <c r="HX84" s="23">
        <v>1.4733</v>
      </c>
      <c r="HY84" s="23">
        <v>1.4858</v>
      </c>
      <c r="HZ84" s="23"/>
      <c r="IA84" s="23"/>
      <c r="IB84" s="23">
        <v>1.503</v>
      </c>
      <c r="IC84" s="23">
        <v>1.5581</v>
      </c>
      <c r="ID84" s="23">
        <v>1.5775</v>
      </c>
      <c r="IE84" s="23">
        <v>1.5356</v>
      </c>
      <c r="IF84" s="23">
        <v>1.4839</v>
      </c>
      <c r="IG84" s="23"/>
      <c r="IH84" s="23"/>
      <c r="II84" s="23">
        <v>1.5613</v>
      </c>
      <c r="IJ84" s="23">
        <v>1.5258</v>
      </c>
      <c r="IK84" s="23">
        <v>1.5379</v>
      </c>
      <c r="IL84" s="23">
        <v>1.5636</v>
      </c>
      <c r="IM84" s="23">
        <v>1.5171</v>
      </c>
      <c r="IN84" s="23"/>
      <c r="IO84" s="23"/>
      <c r="IP84" s="31">
        <v>1.4662</v>
      </c>
      <c r="IQ84" s="31">
        <v>1.4619</v>
      </c>
      <c r="IR84" s="31">
        <v>1.4644</v>
      </c>
      <c r="IS84" s="31">
        <v>1.4622</v>
      </c>
      <c r="IT84" s="31">
        <v>1.4566</v>
      </c>
      <c r="IU84" s="31"/>
      <c r="IV84" s="31"/>
      <c r="IW84" s="31">
        <v>1.4704</v>
      </c>
      <c r="IX84" s="31">
        <v>1.4874</v>
      </c>
      <c r="IY84" s="31">
        <v>1.4988</v>
      </c>
      <c r="IZ84" s="31">
        <v>1.4873</v>
      </c>
      <c r="JA84" s="31">
        <v>1.4651</v>
      </c>
      <c r="JB84" s="31"/>
      <c r="JC84" s="31"/>
      <c r="JD84" s="31">
        <v>1.4831</v>
      </c>
      <c r="JE84" s="31">
        <v>1.4998</v>
      </c>
      <c r="JF84" s="31">
        <v>1.5493</v>
      </c>
      <c r="JG84" s="31">
        <v>1.5613</v>
      </c>
      <c r="JH84" s="31">
        <v>1.516</v>
      </c>
      <c r="JI84" s="31"/>
      <c r="JJ84" s="31"/>
      <c r="JK84" s="31">
        <v>1.5262</v>
      </c>
      <c r="JL84" s="31">
        <v>1.5218</v>
      </c>
      <c r="JM84" s="31">
        <v>1.7066</v>
      </c>
      <c r="JN84" s="31">
        <v>1.7975</v>
      </c>
      <c r="JO84" s="31">
        <v>1.5538</v>
      </c>
      <c r="JP84" s="31"/>
      <c r="JQ84" s="31">
        <v>1.638</v>
      </c>
      <c r="JR84" s="31">
        <v>1.8694</v>
      </c>
      <c r="JS84" s="31">
        <v>1.6118</v>
      </c>
      <c r="JT84" s="31"/>
      <c r="JU84" s="31"/>
      <c r="JV84" s="31"/>
      <c r="JW84" s="31"/>
      <c r="JX84" s="31"/>
      <c r="JY84" s="31"/>
      <c r="JZ84" s="23"/>
      <c r="KA84" s="23"/>
      <c r="KB84" s="23">
        <v>1.5367</v>
      </c>
      <c r="KC84" s="23">
        <v>1.485</v>
      </c>
      <c r="KD84" s="23">
        <v>1.412</v>
      </c>
      <c r="KE84" s="23"/>
      <c r="KF84" s="23">
        <v>1.4768</v>
      </c>
      <c r="KG84" s="23">
        <v>1.4736</v>
      </c>
      <c r="KH84" s="23">
        <v>1.4694</v>
      </c>
      <c r="KI84" s="23">
        <v>1.4751</v>
      </c>
      <c r="KJ84" s="23">
        <v>1.4685</v>
      </c>
      <c r="KK84" s="23"/>
      <c r="KL84" s="23"/>
      <c r="KM84" s="23">
        <v>1.474</v>
      </c>
      <c r="KN84" s="23">
        <v>1.4651</v>
      </c>
      <c r="KO84" s="23">
        <v>1.4688</v>
      </c>
      <c r="KP84" s="23">
        <v>1.4715</v>
      </c>
      <c r="KQ84" s="23">
        <v>1.4649</v>
      </c>
      <c r="KR84" s="23"/>
      <c r="KS84" s="23"/>
      <c r="KT84" s="23">
        <v>1.6451</v>
      </c>
      <c r="KU84" s="23">
        <v>1.6111</v>
      </c>
      <c r="KV84" s="23">
        <v>1.5855</v>
      </c>
      <c r="KW84" s="23">
        <v>1.5555</v>
      </c>
      <c r="KX84" s="23">
        <v>1.4923</v>
      </c>
      <c r="KY84" s="23"/>
      <c r="KZ84" s="23"/>
      <c r="LA84" s="23">
        <v>1.4604</v>
      </c>
      <c r="LB84" s="23">
        <v>1.4584</v>
      </c>
      <c r="LC84" s="23">
        <v>1.4629</v>
      </c>
      <c r="LD84" s="23">
        <v>1.4635</v>
      </c>
      <c r="LE84" s="23">
        <v>1.4677</v>
      </c>
      <c r="LF84" s="23"/>
      <c r="LG84" s="23"/>
      <c r="LH84" s="23">
        <v>1.5039</v>
      </c>
      <c r="LI84" s="23">
        <v>1.5145</v>
      </c>
      <c r="LJ84" s="23">
        <v>1.505</v>
      </c>
      <c r="LK84" s="23">
        <v>1.5005</v>
      </c>
      <c r="LL84" s="23">
        <v>1.4945</v>
      </c>
      <c r="LM84" s="23"/>
      <c r="LN84" s="23"/>
      <c r="LO84" s="23">
        <v>1.5321</v>
      </c>
      <c r="LP84" s="23">
        <v>1.5294</v>
      </c>
      <c r="LQ84" s="23">
        <v>1.5242</v>
      </c>
      <c r="LR84" s="23">
        <v>1.5101</v>
      </c>
      <c r="LS84" s="23">
        <v>1.4952</v>
      </c>
      <c r="LT84" s="23"/>
      <c r="LU84" s="23"/>
      <c r="LV84" s="23">
        <v>1.5566</v>
      </c>
      <c r="LW84" s="23">
        <v>1.5238</v>
      </c>
      <c r="LX84" s="23">
        <v>1.5205</v>
      </c>
      <c r="LY84" s="23">
        <v>1.5185</v>
      </c>
      <c r="LZ84" s="23">
        <v>1.5222</v>
      </c>
      <c r="MA84" s="23"/>
      <c r="MB84" s="23"/>
      <c r="MC84" s="23">
        <v>1.4931</v>
      </c>
      <c r="MD84" s="23">
        <v>1.4862</v>
      </c>
      <c r="ME84" s="23">
        <v>1.4837</v>
      </c>
      <c r="MF84" s="23">
        <v>1.4852</v>
      </c>
      <c r="MG84" s="23">
        <v>1.4963</v>
      </c>
      <c r="MH84" s="23"/>
      <c r="MI84" s="23"/>
      <c r="MJ84" s="23">
        <v>1.494</v>
      </c>
      <c r="MK84" s="23">
        <v>1.4889</v>
      </c>
      <c r="ML84" s="23">
        <v>1.488</v>
      </c>
      <c r="MM84" s="23">
        <v>1.497</v>
      </c>
      <c r="MN84" s="23">
        <v>1.5075</v>
      </c>
      <c r="MO84" s="23"/>
      <c r="MP84" s="23"/>
      <c r="MQ84" s="23">
        <v>1.5123</v>
      </c>
      <c r="MR84" s="23">
        <v>1.5003</v>
      </c>
      <c r="MS84" s="23">
        <v>1.4978</v>
      </c>
      <c r="MT84" s="23">
        <v>1.5226</v>
      </c>
      <c r="MU84" s="23">
        <v>1.5148</v>
      </c>
      <c r="MV84" s="23"/>
      <c r="MW84" s="23"/>
      <c r="MX84" s="23">
        <v>1.5063</v>
      </c>
      <c r="MY84" s="23">
        <v>1.5028</v>
      </c>
      <c r="MZ84" s="23">
        <v>1.5198</v>
      </c>
      <c r="NA84" s="23">
        <v>1.5245</v>
      </c>
      <c r="NB84" s="23">
        <v>1.5264</v>
      </c>
      <c r="NC84" s="23"/>
      <c r="ND84" s="23"/>
      <c r="NE84" s="23">
        <v>1.936</v>
      </c>
      <c r="NF84" s="23">
        <v>2.062</v>
      </c>
      <c r="NG84" s="23">
        <v>2.1559</v>
      </c>
      <c r="NH84" s="23"/>
      <c r="NI84" s="23"/>
      <c r="NJ84" s="23"/>
      <c r="NK84" s="23">
        <v>1.4525</v>
      </c>
      <c r="NL84" s="23">
        <v>1.4861</v>
      </c>
      <c r="NM84" s="23">
        <v>1.493</v>
      </c>
      <c r="NN84" s="23">
        <v>1.5323</v>
      </c>
      <c r="NO84" s="23">
        <v>1.5261</v>
      </c>
      <c r="NP84" s="23">
        <v>1.5157</v>
      </c>
      <c r="NQ84" s="23"/>
      <c r="NR84" s="23"/>
      <c r="NS84" s="23">
        <v>1.5249</v>
      </c>
      <c r="NT84" s="23">
        <v>1.5746</v>
      </c>
      <c r="NU84" s="23">
        <v>1.6037</v>
      </c>
      <c r="NV84" s="23">
        <v>1.5497</v>
      </c>
      <c r="NW84" s="23">
        <v>1.5137</v>
      </c>
      <c r="NX84" s="23"/>
      <c r="NY84" s="23"/>
      <c r="NZ84" s="23">
        <v>1.5288</v>
      </c>
      <c r="OA84" s="23">
        <v>1.5429</v>
      </c>
      <c r="OB84" s="23">
        <v>1.5396</v>
      </c>
      <c r="OC84" s="23">
        <v>1.5473</v>
      </c>
      <c r="OD84" s="23">
        <v>1.536</v>
      </c>
      <c r="OE84" s="23"/>
      <c r="OF84" s="23"/>
      <c r="OG84" s="23">
        <v>1.6245</v>
      </c>
      <c r="OH84" s="23">
        <v>1.6291</v>
      </c>
      <c r="OI84" s="23">
        <v>1.6122</v>
      </c>
      <c r="OJ84" s="23">
        <v>1.6245</v>
      </c>
      <c r="OK84" s="23">
        <v>1.6401</v>
      </c>
      <c r="OL84" s="23"/>
      <c r="OM84" s="23"/>
      <c r="ON84" s="23">
        <v>1.5427</v>
      </c>
      <c r="OO84" s="23">
        <v>1.5511</v>
      </c>
      <c r="OP84" s="23">
        <v>1.5554</v>
      </c>
      <c r="OQ84" s="23">
        <v>1.5522</v>
      </c>
      <c r="OR84" s="23">
        <v>1.5288</v>
      </c>
      <c r="OS84" s="23"/>
      <c r="OT84" s="23"/>
      <c r="OU84" s="23">
        <v>1.5749</v>
      </c>
      <c r="OV84" s="23">
        <v>1.5954</v>
      </c>
      <c r="OW84" s="23">
        <v>1.6001</v>
      </c>
      <c r="OX84" s="23">
        <v>1.6029</v>
      </c>
      <c r="OY84" s="23">
        <v>1.5378</v>
      </c>
      <c r="OZ84" s="23">
        <v>1.3447</v>
      </c>
      <c r="PA84" s="23"/>
      <c r="PB84" s="23"/>
      <c r="PC84" s="23"/>
      <c r="PD84" s="23"/>
      <c r="PE84" s="23"/>
      <c r="PF84" s="23"/>
      <c r="PG84" s="23"/>
      <c r="PH84" s="23"/>
      <c r="PI84" s="23"/>
      <c r="PJ84" s="23">
        <v>1.6102</v>
      </c>
      <c r="PK84" s="23">
        <v>1.5869</v>
      </c>
      <c r="PL84" s="23">
        <v>1.5624</v>
      </c>
      <c r="PM84" s="23">
        <v>1.5292</v>
      </c>
      <c r="PN84" s="23">
        <v>1.5074</v>
      </c>
      <c r="PO84" s="23"/>
      <c r="PP84" s="23">
        <v>1.5319</v>
      </c>
      <c r="PQ84" s="23">
        <v>1.5078</v>
      </c>
      <c r="PR84" s="23">
        <v>1.4965</v>
      </c>
      <c r="PS84" s="23">
        <v>1.4987</v>
      </c>
      <c r="PT84" s="23">
        <v>1.492</v>
      </c>
      <c r="PU84" s="23"/>
      <c r="PV84" s="23"/>
      <c r="PW84" s="23">
        <v>1.5008</v>
      </c>
      <c r="PX84" s="23">
        <v>1.5029</v>
      </c>
      <c r="PY84" s="23">
        <v>1.5086</v>
      </c>
      <c r="PZ84" s="23">
        <v>1.512</v>
      </c>
      <c r="QA84" s="23">
        <v>1.5033</v>
      </c>
      <c r="QB84" s="23"/>
      <c r="QC84" s="23"/>
      <c r="QD84" s="23">
        <v>1.5016</v>
      </c>
      <c r="QE84" s="23">
        <v>1.4988</v>
      </c>
      <c r="QF84" s="23">
        <v>1.4946</v>
      </c>
      <c r="QG84" s="23">
        <v>1.4851</v>
      </c>
      <c r="QH84" s="23">
        <v>1.4769</v>
      </c>
      <c r="QI84" s="23"/>
      <c r="QJ84" s="23"/>
      <c r="QK84" s="23">
        <v>1.4763</v>
      </c>
      <c r="QL84" s="23">
        <v>1.4767</v>
      </c>
      <c r="QM84" s="23">
        <v>1.5221</v>
      </c>
      <c r="QN84" s="23">
        <v>1.5292</v>
      </c>
      <c r="QO84" s="23">
        <v>1.5069</v>
      </c>
      <c r="QP84" s="23"/>
      <c r="QQ84" s="23"/>
      <c r="QR84" s="23">
        <v>1.4892</v>
      </c>
      <c r="QS84" s="23">
        <v>1.4888</v>
      </c>
      <c r="QT84" s="23">
        <v>1.4654</v>
      </c>
      <c r="QU84" s="23">
        <v>1.4333</v>
      </c>
      <c r="QV84" s="23">
        <v>1.3931</v>
      </c>
      <c r="QW84" s="23"/>
      <c r="QX84" s="23"/>
      <c r="QY84" s="23"/>
      <c r="QZ84" s="23">
        <v>1.3942</v>
      </c>
      <c r="RA84" s="23">
        <v>1.3972</v>
      </c>
      <c r="RB84" s="23">
        <v>1.4011</v>
      </c>
      <c r="RC84" s="23">
        <v>1.3991</v>
      </c>
      <c r="RD84" s="23"/>
      <c r="RE84" s="23"/>
      <c r="RF84" s="23">
        <v>1.4075</v>
      </c>
      <c r="RG84" s="23">
        <v>1.409</v>
      </c>
      <c r="RH84" s="23">
        <v>1.4082</v>
      </c>
      <c r="RI84" s="23">
        <v>1.3995</v>
      </c>
      <c r="RJ84" s="23">
        <v>1.3914</v>
      </c>
      <c r="RK84" s="23"/>
      <c r="RL84" s="23"/>
      <c r="RM84" s="23">
        <v>1.391</v>
      </c>
      <c r="RN84" s="23">
        <v>1.3945</v>
      </c>
      <c r="RO84" s="23">
        <v>1.3921</v>
      </c>
      <c r="RP84" s="23">
        <v>1.3869</v>
      </c>
      <c r="RQ84" s="23">
        <v>1.3702</v>
      </c>
      <c r="RR84" s="23"/>
      <c r="RS84" s="23"/>
      <c r="RT84" s="23">
        <v>1.3826</v>
      </c>
      <c r="RU84" s="23">
        <v>1.3885</v>
      </c>
      <c r="RV84" s="23">
        <v>1.399</v>
      </c>
      <c r="RW84" s="23">
        <v>1.3998</v>
      </c>
      <c r="RX84" s="23"/>
      <c r="RY84" s="23"/>
      <c r="RZ84" s="23"/>
      <c r="SA84" s="23"/>
      <c r="SB84" s="23"/>
      <c r="SC84" s="23">
        <v>1.3961</v>
      </c>
      <c r="SD84" s="23">
        <v>1.3931</v>
      </c>
      <c r="SE84" s="23">
        <v>1.3678</v>
      </c>
      <c r="SF84" s="23">
        <v>1.3007</v>
      </c>
      <c r="SG84" s="23"/>
      <c r="SH84" s="23">
        <v>1.3693</v>
      </c>
      <c r="SI84" s="23">
        <v>1.3489</v>
      </c>
      <c r="SJ84" s="23">
        <v>1.3445</v>
      </c>
      <c r="SK84" s="23">
        <v>1.3478</v>
      </c>
      <c r="SL84" s="23">
        <v>1.3565</v>
      </c>
      <c r="SM84" s="23"/>
      <c r="SN84" s="23"/>
      <c r="SO84" s="23">
        <v>1.3586</v>
      </c>
      <c r="SP84" s="23">
        <v>1.3566</v>
      </c>
      <c r="SQ84" s="23">
        <v>1.3599</v>
      </c>
      <c r="SR84" s="23">
        <v>1.3659</v>
      </c>
      <c r="SS84" s="23">
        <v>1.3831</v>
      </c>
      <c r="ST84" s="23"/>
      <c r="SU84" s="23"/>
      <c r="SV84" s="23">
        <v>1.4034</v>
      </c>
      <c r="SW84" s="23">
        <v>1.3891</v>
      </c>
      <c r="SX84" s="23">
        <v>1.3764</v>
      </c>
      <c r="SY84" s="23">
        <v>1.3782</v>
      </c>
      <c r="SZ84" s="23">
        <v>1.3997</v>
      </c>
      <c r="TA84" s="23"/>
      <c r="TB84" s="23"/>
      <c r="TC84" s="23">
        <v>1.376</v>
      </c>
      <c r="TD84" s="23">
        <v>1.3725</v>
      </c>
      <c r="TE84" s="23">
        <v>1.3726</v>
      </c>
      <c r="TF84" s="23">
        <v>1.3767</v>
      </c>
      <c r="TG84" s="23">
        <v>1.3907</v>
      </c>
      <c r="TH84" s="23"/>
      <c r="TI84" s="23"/>
      <c r="TJ84" s="23">
        <v>1.4043</v>
      </c>
      <c r="TK84" s="23">
        <v>1.4132</v>
      </c>
      <c r="TL84" s="23">
        <v>1.4156</v>
      </c>
      <c r="TM84" s="23">
        <v>1.4398</v>
      </c>
      <c r="TN84" s="23">
        <v>1.4625</v>
      </c>
      <c r="TO84" s="23"/>
      <c r="TP84" s="23"/>
      <c r="TQ84" s="23">
        <v>1.4678</v>
      </c>
      <c r="TR84" s="23">
        <v>1.484</v>
      </c>
      <c r="TS84" s="23">
        <v>1.4739</v>
      </c>
      <c r="TT84" s="23">
        <v>1.4729</v>
      </c>
      <c r="TU84" s="23"/>
      <c r="TV84" s="23"/>
      <c r="TW84" s="23"/>
      <c r="TX84" s="23">
        <v>1.4807</v>
      </c>
      <c r="TY84" s="23">
        <v>1.5229</v>
      </c>
      <c r="TZ84" s="23">
        <v>1.5684</v>
      </c>
      <c r="UA84" s="23">
        <v>1.5429</v>
      </c>
      <c r="UB84" s="23">
        <v>1.5103</v>
      </c>
      <c r="UC84" s="23"/>
      <c r="UD84" s="23"/>
      <c r="UE84" s="23">
        <v>1.5023</v>
      </c>
      <c r="UF84" s="23">
        <v>1.5268</v>
      </c>
      <c r="UG84" s="23">
        <v>1.4964</v>
      </c>
      <c r="UH84" s="23">
        <v>1.4837</v>
      </c>
      <c r="UI84" s="23">
        <v>1.4225</v>
      </c>
      <c r="UJ84" s="23"/>
      <c r="UK84" s="23"/>
      <c r="UL84" s="23"/>
      <c r="UM84" s="23"/>
      <c r="UN84" s="23"/>
      <c r="UO84" s="23"/>
      <c r="UP84" s="23"/>
      <c r="UQ84" s="23"/>
      <c r="UR84" s="23"/>
      <c r="US84" s="23"/>
      <c r="UT84" s="23"/>
    </row>
    <row r="85" ht="13.5" customHeight="1" spans="4:566">
      <c r="D85" s="19" t="s">
        <v>419</v>
      </c>
      <c r="E85" s="21" t="s">
        <v>103</v>
      </c>
      <c r="F85" s="23"/>
      <c r="G85" s="23"/>
      <c r="H85" s="23">
        <v>1.5</v>
      </c>
      <c r="I85" s="23">
        <v>1.5</v>
      </c>
      <c r="J85" s="23"/>
      <c r="K85" s="23"/>
      <c r="L85" s="23">
        <v>1.5</v>
      </c>
      <c r="M85" s="23">
        <v>1.5</v>
      </c>
      <c r="N85" s="23">
        <v>1.5</v>
      </c>
      <c r="O85" s="23">
        <v>1.5</v>
      </c>
      <c r="P85" s="23">
        <v>1.5</v>
      </c>
      <c r="Q85" s="23"/>
      <c r="R85" s="23"/>
      <c r="S85" s="23">
        <v>1.5</v>
      </c>
      <c r="T85" s="23">
        <v>1.5</v>
      </c>
      <c r="U85" s="23">
        <v>1.5</v>
      </c>
      <c r="V85" s="23">
        <v>1.5</v>
      </c>
      <c r="W85" s="23">
        <v>1.5</v>
      </c>
      <c r="X85" s="23"/>
      <c r="Y85" s="23"/>
      <c r="Z85" s="23">
        <v>1.5</v>
      </c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>
        <v>1.5</v>
      </c>
      <c r="AQ85" s="23">
        <v>1.5</v>
      </c>
      <c r="AR85" s="23">
        <v>1.5</v>
      </c>
      <c r="AS85" s="23">
        <v>1.5</v>
      </c>
      <c r="AT85" s="23"/>
      <c r="AU85" s="23">
        <v>1.5</v>
      </c>
      <c r="AV85" s="23">
        <v>1.5</v>
      </c>
      <c r="AW85" s="23">
        <v>1.5</v>
      </c>
      <c r="AX85" s="23">
        <v>1.5</v>
      </c>
      <c r="AY85" s="23">
        <v>1.5</v>
      </c>
      <c r="AZ85" s="23"/>
      <c r="BA85" s="23"/>
      <c r="BB85" s="23">
        <v>1.5</v>
      </c>
      <c r="BC85" s="23">
        <v>1.5</v>
      </c>
      <c r="BD85" s="23">
        <v>1.5</v>
      </c>
      <c r="BE85" s="23">
        <v>1.5</v>
      </c>
      <c r="BF85" s="23">
        <v>1.5</v>
      </c>
      <c r="BG85" s="23"/>
      <c r="BH85" s="23"/>
      <c r="BI85" s="23">
        <v>1.5</v>
      </c>
      <c r="BJ85" s="23">
        <v>1.5</v>
      </c>
      <c r="BK85" s="23">
        <v>1.5</v>
      </c>
      <c r="BL85" s="23">
        <v>1.5</v>
      </c>
      <c r="BM85" s="23">
        <v>1.5</v>
      </c>
      <c r="BN85" s="23"/>
      <c r="BO85" s="23"/>
      <c r="BP85" s="23">
        <v>1.5</v>
      </c>
      <c r="BQ85" s="23">
        <v>1.5</v>
      </c>
      <c r="BR85" s="23">
        <v>1.5</v>
      </c>
      <c r="BS85" s="23">
        <v>1.5</v>
      </c>
      <c r="BT85" s="23">
        <v>1.5</v>
      </c>
      <c r="BU85" s="23"/>
      <c r="BV85" s="23"/>
      <c r="BW85" s="23">
        <v>1.5</v>
      </c>
      <c r="BX85" s="23">
        <v>1.5</v>
      </c>
      <c r="BY85" s="23">
        <v>1.5</v>
      </c>
      <c r="BZ85" s="23">
        <v>1.5</v>
      </c>
      <c r="CA85" s="23">
        <v>1.5</v>
      </c>
      <c r="CB85" s="23"/>
      <c r="CC85" s="23"/>
      <c r="CD85" s="23">
        <v>1.5</v>
      </c>
      <c r="CE85" s="23">
        <v>1.5</v>
      </c>
      <c r="CF85" s="23">
        <v>1.5</v>
      </c>
      <c r="CG85" s="23">
        <v>1.5</v>
      </c>
      <c r="CH85" s="23">
        <v>1.5</v>
      </c>
      <c r="CI85" s="23"/>
      <c r="CJ85" s="23"/>
      <c r="CK85" s="23">
        <v>1.5</v>
      </c>
      <c r="CL85" s="23">
        <v>1.5</v>
      </c>
      <c r="CM85" s="23">
        <v>1.5</v>
      </c>
      <c r="CN85" s="23">
        <v>1.5</v>
      </c>
      <c r="CO85" s="23">
        <v>1.5</v>
      </c>
      <c r="CP85" s="23"/>
      <c r="CQ85" s="23"/>
      <c r="CR85" s="23">
        <v>1.5</v>
      </c>
      <c r="CS85" s="23">
        <v>1.5</v>
      </c>
      <c r="CT85" s="23">
        <v>1.5</v>
      </c>
      <c r="CU85" s="23">
        <v>1.5</v>
      </c>
      <c r="CV85" s="23"/>
      <c r="CW85" s="23"/>
      <c r="CX85" s="23"/>
      <c r="CY85" s="23">
        <v>1.5</v>
      </c>
      <c r="CZ85" s="23">
        <v>1.5</v>
      </c>
      <c r="DA85" s="23">
        <v>1.5</v>
      </c>
      <c r="DB85" s="23">
        <v>1.5</v>
      </c>
      <c r="DC85" s="23">
        <v>1.5</v>
      </c>
      <c r="DD85" s="23"/>
      <c r="DE85" s="23"/>
      <c r="DF85" s="23">
        <v>1.5</v>
      </c>
      <c r="DG85" s="23">
        <v>1.5</v>
      </c>
      <c r="DH85" s="23">
        <v>1.5</v>
      </c>
      <c r="DI85" s="23">
        <v>1.5</v>
      </c>
      <c r="DJ85" s="23">
        <v>1.5</v>
      </c>
      <c r="DK85" s="23"/>
      <c r="DL85" s="23"/>
      <c r="DM85" s="23">
        <v>1.5</v>
      </c>
      <c r="DN85" s="23">
        <v>1.5</v>
      </c>
      <c r="DO85" s="23">
        <v>1.5</v>
      </c>
      <c r="DP85" s="23">
        <v>1.5</v>
      </c>
      <c r="DQ85" s="23">
        <v>1.5</v>
      </c>
      <c r="DR85" s="23"/>
      <c r="DS85" s="23">
        <v>1.5</v>
      </c>
      <c r="DT85" s="23">
        <v>1.5</v>
      </c>
      <c r="DU85" s="23">
        <v>1.5</v>
      </c>
      <c r="DV85" s="23">
        <v>1.5</v>
      </c>
      <c r="DW85" s="23"/>
      <c r="DX85" s="23"/>
      <c r="DY85" s="23"/>
      <c r="DZ85" s="23"/>
      <c r="EA85" s="23"/>
      <c r="EB85" s="23">
        <v>1.5</v>
      </c>
      <c r="EC85" s="23">
        <v>1.5</v>
      </c>
      <c r="ED85" s="23">
        <v>1.4</v>
      </c>
      <c r="EE85" s="23">
        <v>1.4</v>
      </c>
      <c r="EF85" s="23"/>
      <c r="EG85" s="23"/>
      <c r="EH85" s="23">
        <v>1.4</v>
      </c>
      <c r="EI85" s="23">
        <v>1.4</v>
      </c>
      <c r="EJ85" s="23">
        <v>1.4</v>
      </c>
      <c r="EK85" s="23">
        <v>1.4</v>
      </c>
      <c r="EL85" s="23">
        <v>1.4</v>
      </c>
      <c r="EM85" s="23"/>
      <c r="EN85" s="23"/>
      <c r="EO85" s="23">
        <v>1.4</v>
      </c>
      <c r="EP85" s="23">
        <v>1.4</v>
      </c>
      <c r="EQ85" s="23">
        <v>1.4</v>
      </c>
      <c r="ER85" s="23">
        <v>1.4</v>
      </c>
      <c r="ES85" s="23">
        <v>1.4</v>
      </c>
      <c r="ET85" s="23"/>
      <c r="EU85" s="23"/>
      <c r="EV85" s="23">
        <v>1.4</v>
      </c>
      <c r="EW85" s="23">
        <v>1.4</v>
      </c>
      <c r="EX85" s="23">
        <v>1.4</v>
      </c>
      <c r="EY85" s="23">
        <v>1.4</v>
      </c>
      <c r="EZ85" s="23">
        <v>1.4</v>
      </c>
      <c r="FA85" s="23"/>
      <c r="FB85" s="23"/>
      <c r="FC85" s="23"/>
      <c r="FD85" s="23">
        <v>1.4</v>
      </c>
      <c r="FE85" s="23">
        <v>1.4</v>
      </c>
      <c r="FF85" s="23">
        <v>1.4</v>
      </c>
      <c r="FG85" s="23">
        <v>1.4</v>
      </c>
      <c r="FH85" s="23"/>
      <c r="FI85" s="23"/>
      <c r="FJ85" s="23">
        <v>1.4</v>
      </c>
      <c r="FK85" s="23">
        <v>1.4</v>
      </c>
      <c r="FL85" s="23">
        <v>1.4</v>
      </c>
      <c r="FM85" s="23">
        <v>1.4</v>
      </c>
      <c r="FN85" s="23">
        <v>1.4</v>
      </c>
      <c r="FO85" s="23"/>
      <c r="FP85" s="23"/>
      <c r="FQ85" s="23">
        <v>1.4</v>
      </c>
      <c r="FR85" s="23">
        <v>1.4</v>
      </c>
      <c r="FS85" s="23">
        <v>1.4</v>
      </c>
      <c r="FT85" s="23">
        <v>1.4</v>
      </c>
      <c r="FU85" s="23">
        <v>1.4</v>
      </c>
      <c r="FV85" s="23"/>
      <c r="FW85" s="23"/>
      <c r="FX85" s="23">
        <v>1.4</v>
      </c>
      <c r="FY85" s="23">
        <v>1.4</v>
      </c>
      <c r="FZ85" s="23">
        <v>1.4</v>
      </c>
      <c r="GA85" s="23">
        <v>1.4</v>
      </c>
      <c r="GB85" s="23">
        <v>1.4</v>
      </c>
      <c r="GC85" s="23"/>
      <c r="GD85" s="23"/>
      <c r="GE85" s="23">
        <v>1.4</v>
      </c>
      <c r="GF85" s="23">
        <v>1.4</v>
      </c>
      <c r="GG85" s="23">
        <v>1.4</v>
      </c>
      <c r="GH85" s="23">
        <v>1.4</v>
      </c>
      <c r="GI85" s="23">
        <v>1.4</v>
      </c>
      <c r="GJ85" s="23"/>
      <c r="GK85" s="23"/>
      <c r="GL85" s="23">
        <v>1.4</v>
      </c>
      <c r="GM85" s="23">
        <v>1.4</v>
      </c>
      <c r="GN85" s="23">
        <v>1.4</v>
      </c>
      <c r="GO85" s="23">
        <v>1.4</v>
      </c>
      <c r="GP85" s="23">
        <v>1.4</v>
      </c>
      <c r="GQ85" s="23"/>
      <c r="GR85" s="23"/>
      <c r="GS85" s="23">
        <v>1.4</v>
      </c>
      <c r="GT85" s="23">
        <v>1.4</v>
      </c>
      <c r="GU85" s="23">
        <v>1.4</v>
      </c>
      <c r="GV85" s="23">
        <v>1.4</v>
      </c>
      <c r="GW85" s="23">
        <v>1.4</v>
      </c>
      <c r="GX85" s="23"/>
      <c r="GY85" s="23"/>
      <c r="GZ85" s="23">
        <v>1.4</v>
      </c>
      <c r="HA85" s="23">
        <v>1.4</v>
      </c>
      <c r="HB85" s="23">
        <v>1.4</v>
      </c>
      <c r="HC85" s="23">
        <v>1.4</v>
      </c>
      <c r="HD85" s="23">
        <v>1.4</v>
      </c>
      <c r="HE85" s="23"/>
      <c r="HF85" s="23"/>
      <c r="HG85" s="23">
        <v>1.4</v>
      </c>
      <c r="HH85" s="23">
        <v>1.4</v>
      </c>
      <c r="HI85" s="23">
        <v>1.4</v>
      </c>
      <c r="HJ85" s="23">
        <v>1.4</v>
      </c>
      <c r="HK85" s="23">
        <v>1.4</v>
      </c>
      <c r="HL85" s="23"/>
      <c r="HM85" s="23"/>
      <c r="HN85" s="23">
        <v>1.4</v>
      </c>
      <c r="HO85" s="23">
        <v>1.4</v>
      </c>
      <c r="HP85" s="23">
        <v>1.4</v>
      </c>
      <c r="HQ85" s="23">
        <v>1.4</v>
      </c>
      <c r="HR85" s="23">
        <v>1.4</v>
      </c>
      <c r="HS85" s="23"/>
      <c r="HT85" s="23"/>
      <c r="HU85" s="23">
        <v>1.4</v>
      </c>
      <c r="HV85" s="23">
        <v>1.4</v>
      </c>
      <c r="HW85" s="23">
        <v>1.4</v>
      </c>
      <c r="HX85" s="23">
        <v>1.4</v>
      </c>
      <c r="HY85" s="23">
        <v>1.4</v>
      </c>
      <c r="HZ85" s="23"/>
      <c r="IA85" s="23"/>
      <c r="IB85" s="23">
        <v>1.4</v>
      </c>
      <c r="IC85" s="23">
        <v>1.4</v>
      </c>
      <c r="ID85" s="23">
        <v>1.4</v>
      </c>
      <c r="IE85" s="23">
        <v>1.4</v>
      </c>
      <c r="IF85" s="23">
        <v>1.4</v>
      </c>
      <c r="IG85" s="23"/>
      <c r="IH85" s="23"/>
      <c r="II85" s="23">
        <v>1.4</v>
      </c>
      <c r="IJ85" s="23">
        <v>1.4</v>
      </c>
      <c r="IK85" s="23">
        <v>1.4</v>
      </c>
      <c r="IL85" s="23">
        <v>1.4</v>
      </c>
      <c r="IM85" s="23">
        <v>1.4</v>
      </c>
      <c r="IN85" s="23"/>
      <c r="IO85" s="23"/>
      <c r="IP85" s="31">
        <v>1.4</v>
      </c>
      <c r="IQ85" s="31">
        <v>1.4</v>
      </c>
      <c r="IR85" s="31">
        <v>1.4</v>
      </c>
      <c r="IS85" s="31">
        <v>1.4</v>
      </c>
      <c r="IT85" s="31">
        <v>1.4</v>
      </c>
      <c r="IU85" s="31"/>
      <c r="IV85" s="31"/>
      <c r="IW85" s="31">
        <v>1.4</v>
      </c>
      <c r="IX85" s="31">
        <v>1.4</v>
      </c>
      <c r="IY85" s="31">
        <v>1.4</v>
      </c>
      <c r="IZ85" s="31">
        <v>1.4</v>
      </c>
      <c r="JA85" s="31">
        <v>1.4</v>
      </c>
      <c r="JB85" s="31"/>
      <c r="JC85" s="31"/>
      <c r="JD85" s="31">
        <v>1.4</v>
      </c>
      <c r="JE85" s="31">
        <v>1.4</v>
      </c>
      <c r="JF85" s="31">
        <v>1.4</v>
      </c>
      <c r="JG85" s="31">
        <v>1.4</v>
      </c>
      <c r="JH85" s="31">
        <v>1.4</v>
      </c>
      <c r="JI85" s="31"/>
      <c r="JJ85" s="31"/>
      <c r="JK85" s="31">
        <v>1.4</v>
      </c>
      <c r="JL85" s="31">
        <v>1.4</v>
      </c>
      <c r="JM85" s="31">
        <v>1.4</v>
      </c>
      <c r="JN85" s="31">
        <v>1.4</v>
      </c>
      <c r="JO85" s="31">
        <v>1.4</v>
      </c>
      <c r="JP85" s="31"/>
      <c r="JQ85" s="31">
        <v>1.4</v>
      </c>
      <c r="JR85" s="31">
        <v>1.4</v>
      </c>
      <c r="JS85" s="31">
        <v>1.4</v>
      </c>
      <c r="JT85" s="31"/>
      <c r="JU85" s="31"/>
      <c r="JV85" s="31"/>
      <c r="JW85" s="31"/>
      <c r="JX85" s="31"/>
      <c r="JY85" s="31"/>
      <c r="JZ85" s="23"/>
      <c r="KA85" s="23"/>
      <c r="KB85" s="23">
        <v>1.4</v>
      </c>
      <c r="KC85" s="23">
        <v>1.4</v>
      </c>
      <c r="KD85" s="23">
        <v>1.4</v>
      </c>
      <c r="KE85" s="23"/>
      <c r="KF85" s="23">
        <v>1.4</v>
      </c>
      <c r="KG85" s="23">
        <v>1.4</v>
      </c>
      <c r="KH85" s="23">
        <v>1.4</v>
      </c>
      <c r="KI85" s="23">
        <v>1.4</v>
      </c>
      <c r="KJ85" s="23">
        <v>1.4</v>
      </c>
      <c r="KK85" s="23"/>
      <c r="KL85" s="23"/>
      <c r="KM85" s="23">
        <v>1.4</v>
      </c>
      <c r="KN85" s="23">
        <v>1.4</v>
      </c>
      <c r="KO85" s="23">
        <v>1.4</v>
      </c>
      <c r="KP85" s="23">
        <v>1.4</v>
      </c>
      <c r="KQ85" s="23">
        <v>1.4</v>
      </c>
      <c r="KR85" s="23"/>
      <c r="KS85" s="23"/>
      <c r="KT85" s="23">
        <v>1.4</v>
      </c>
      <c r="KU85" s="23">
        <v>1.4</v>
      </c>
      <c r="KV85" s="23">
        <v>1.4</v>
      </c>
      <c r="KW85" s="23">
        <v>1.4</v>
      </c>
      <c r="KX85" s="23">
        <v>1.4</v>
      </c>
      <c r="KY85" s="23"/>
      <c r="KZ85" s="23"/>
      <c r="LA85" s="23">
        <v>1.4</v>
      </c>
      <c r="LB85" s="23">
        <v>1.4</v>
      </c>
      <c r="LC85" s="23">
        <v>1.4</v>
      </c>
      <c r="LD85" s="23">
        <v>1.4</v>
      </c>
      <c r="LE85" s="23">
        <v>1.4</v>
      </c>
      <c r="LF85" s="23"/>
      <c r="LG85" s="23"/>
      <c r="LH85" s="23">
        <v>1.4</v>
      </c>
      <c r="LI85" s="23">
        <v>1.4</v>
      </c>
      <c r="LJ85" s="23">
        <v>1.4</v>
      </c>
      <c r="LK85" s="23">
        <v>1.4</v>
      </c>
      <c r="LL85" s="23">
        <v>1.4</v>
      </c>
      <c r="LM85" s="23"/>
      <c r="LN85" s="23"/>
      <c r="LO85" s="23">
        <v>1.4</v>
      </c>
      <c r="LP85" s="23">
        <v>1.4</v>
      </c>
      <c r="LQ85" s="23">
        <v>1.4</v>
      </c>
      <c r="LR85" s="23">
        <v>1.4</v>
      </c>
      <c r="LS85" s="23">
        <v>1.4</v>
      </c>
      <c r="LT85" s="23"/>
      <c r="LU85" s="23"/>
      <c r="LV85" s="23">
        <v>1.4</v>
      </c>
      <c r="LW85" s="23">
        <v>1.4</v>
      </c>
      <c r="LX85" s="23">
        <v>1.4</v>
      </c>
      <c r="LY85" s="23">
        <v>1.4</v>
      </c>
      <c r="LZ85" s="23">
        <v>1.4</v>
      </c>
      <c r="MA85" s="23"/>
      <c r="MB85" s="23"/>
      <c r="MC85" s="23">
        <v>1.4</v>
      </c>
      <c r="MD85" s="23">
        <v>1.4</v>
      </c>
      <c r="ME85" s="23">
        <v>1.4</v>
      </c>
      <c r="MF85" s="23">
        <v>1.4</v>
      </c>
      <c r="MG85" s="23">
        <v>1.4</v>
      </c>
      <c r="MH85" s="23"/>
      <c r="MI85" s="23"/>
      <c r="MJ85" s="23">
        <v>1.4</v>
      </c>
      <c r="MK85" s="23">
        <v>1.4</v>
      </c>
      <c r="ML85" s="23">
        <v>1.4</v>
      </c>
      <c r="MM85" s="23">
        <v>1.4</v>
      </c>
      <c r="MN85" s="23">
        <v>1.4</v>
      </c>
      <c r="MO85" s="23"/>
      <c r="MP85" s="23"/>
      <c r="MQ85" s="23">
        <v>1.4</v>
      </c>
      <c r="MR85" s="23">
        <v>1.4</v>
      </c>
      <c r="MS85" s="23">
        <v>1.4</v>
      </c>
      <c r="MT85" s="23">
        <v>1.4</v>
      </c>
      <c r="MU85" s="23">
        <v>1.4</v>
      </c>
      <c r="MV85" s="23"/>
      <c r="MW85" s="23"/>
      <c r="MX85" s="23">
        <v>1.4</v>
      </c>
      <c r="MY85" s="23">
        <v>1.4</v>
      </c>
      <c r="MZ85" s="23">
        <v>1.4</v>
      </c>
      <c r="NA85" s="23">
        <v>1.4</v>
      </c>
      <c r="NB85" s="23">
        <v>1.4</v>
      </c>
      <c r="NC85" s="23"/>
      <c r="ND85" s="23"/>
      <c r="NE85" s="23">
        <v>1.4</v>
      </c>
      <c r="NF85" s="23">
        <v>1.4</v>
      </c>
      <c r="NG85" s="23">
        <v>1.4</v>
      </c>
      <c r="NH85" s="23"/>
      <c r="NI85" s="23"/>
      <c r="NJ85" s="23"/>
      <c r="NK85" s="23">
        <v>1.4</v>
      </c>
      <c r="NL85" s="23">
        <v>1.4</v>
      </c>
      <c r="NM85" s="23">
        <v>1.4</v>
      </c>
      <c r="NN85" s="23">
        <v>1.4</v>
      </c>
      <c r="NO85" s="23">
        <v>1.4</v>
      </c>
      <c r="NP85" s="23">
        <v>1.4</v>
      </c>
      <c r="NQ85" s="23"/>
      <c r="NR85" s="23"/>
      <c r="NS85" s="23">
        <v>1.4</v>
      </c>
      <c r="NT85" s="23">
        <v>1.4</v>
      </c>
      <c r="NU85" s="23">
        <v>1.4</v>
      </c>
      <c r="NV85" s="23">
        <v>1.4</v>
      </c>
      <c r="NW85" s="23">
        <v>1.4</v>
      </c>
      <c r="NX85" s="23"/>
      <c r="NY85" s="23"/>
      <c r="NZ85" s="23">
        <v>1.4</v>
      </c>
      <c r="OA85" s="23">
        <v>1.4</v>
      </c>
      <c r="OB85" s="23">
        <v>1.4</v>
      </c>
      <c r="OC85" s="23">
        <v>1.4</v>
      </c>
      <c r="OD85" s="23">
        <v>1.4</v>
      </c>
      <c r="OE85" s="23"/>
      <c r="OF85" s="23"/>
      <c r="OG85" s="23">
        <v>1.4</v>
      </c>
      <c r="OH85" s="23">
        <v>1.4</v>
      </c>
      <c r="OI85" s="23">
        <v>1.4</v>
      </c>
      <c r="OJ85" s="23">
        <v>1.4</v>
      </c>
      <c r="OK85" s="23">
        <v>1.4</v>
      </c>
      <c r="OL85" s="23"/>
      <c r="OM85" s="23"/>
      <c r="ON85" s="23">
        <v>1.4</v>
      </c>
      <c r="OO85" s="23">
        <v>1.4</v>
      </c>
      <c r="OP85" s="23">
        <v>1.4</v>
      </c>
      <c r="OQ85" s="23">
        <v>1.4</v>
      </c>
      <c r="OR85" s="23">
        <v>1.4</v>
      </c>
      <c r="OS85" s="23"/>
      <c r="OT85" s="23"/>
      <c r="OU85" s="23">
        <v>1.4</v>
      </c>
      <c r="OV85" s="23">
        <v>1.4</v>
      </c>
      <c r="OW85" s="23">
        <v>1.4</v>
      </c>
      <c r="OX85" s="23">
        <v>1.4</v>
      </c>
      <c r="OY85" s="23">
        <v>1.4</v>
      </c>
      <c r="OZ85" s="23">
        <v>1.4</v>
      </c>
      <c r="PA85" s="23"/>
      <c r="PB85" s="23"/>
      <c r="PC85" s="23"/>
      <c r="PD85" s="23"/>
      <c r="PE85" s="23"/>
      <c r="PF85" s="23"/>
      <c r="PG85" s="23"/>
      <c r="PH85" s="23"/>
      <c r="PI85" s="23"/>
      <c r="PJ85" s="23">
        <v>1.4</v>
      </c>
      <c r="PK85" s="23">
        <v>1.4</v>
      </c>
      <c r="PL85" s="23">
        <v>1.4</v>
      </c>
      <c r="PM85" s="23">
        <v>1.4</v>
      </c>
      <c r="PN85" s="23">
        <v>1.4</v>
      </c>
      <c r="PO85" s="23"/>
      <c r="PP85" s="23">
        <v>1.4</v>
      </c>
      <c r="PQ85" s="23">
        <v>1.4</v>
      </c>
      <c r="PR85" s="23">
        <v>1.4</v>
      </c>
      <c r="PS85" s="23">
        <v>1.4</v>
      </c>
      <c r="PT85" s="23">
        <v>1.4</v>
      </c>
      <c r="PU85" s="23"/>
      <c r="PV85" s="23"/>
      <c r="PW85" s="23">
        <v>1.4</v>
      </c>
      <c r="PX85" s="23">
        <v>1.4</v>
      </c>
      <c r="PY85" s="23">
        <v>1.4</v>
      </c>
      <c r="PZ85" s="23">
        <v>1.4</v>
      </c>
      <c r="QA85" s="23">
        <v>1.4</v>
      </c>
      <c r="QB85" s="23"/>
      <c r="QC85" s="23"/>
      <c r="QD85" s="23">
        <v>1.4</v>
      </c>
      <c r="QE85" s="23">
        <v>1.4</v>
      </c>
      <c r="QF85" s="23">
        <v>1.4</v>
      </c>
      <c r="QG85" s="23">
        <v>1.4</v>
      </c>
      <c r="QH85" s="23">
        <v>1.4</v>
      </c>
      <c r="QI85" s="23"/>
      <c r="QJ85" s="23"/>
      <c r="QK85" s="23">
        <v>1.4</v>
      </c>
      <c r="QL85" s="23">
        <v>1.4</v>
      </c>
      <c r="QM85" s="23">
        <v>1.4</v>
      </c>
      <c r="QN85" s="23">
        <v>1.4</v>
      </c>
      <c r="QO85" s="23">
        <v>1.4</v>
      </c>
      <c r="QP85" s="23"/>
      <c r="QQ85" s="23"/>
      <c r="QR85" s="23">
        <v>1.4</v>
      </c>
      <c r="QS85" s="23">
        <v>1.4</v>
      </c>
      <c r="QT85" s="23">
        <v>1.4</v>
      </c>
      <c r="QU85" s="23">
        <v>1.4</v>
      </c>
      <c r="QV85" s="23">
        <v>1.4</v>
      </c>
      <c r="QW85" s="23"/>
      <c r="QX85" s="23"/>
      <c r="QY85" s="23"/>
      <c r="QZ85" s="23">
        <v>1.4</v>
      </c>
      <c r="RA85" s="23">
        <v>1.4</v>
      </c>
      <c r="RB85" s="23">
        <v>1.4</v>
      </c>
      <c r="RC85" s="23">
        <v>1.4</v>
      </c>
      <c r="RD85" s="23"/>
      <c r="RE85" s="23"/>
      <c r="RF85" s="23">
        <v>1.4</v>
      </c>
      <c r="RG85" s="23">
        <v>1.4</v>
      </c>
      <c r="RH85" s="23">
        <v>1.4</v>
      </c>
      <c r="RI85" s="23">
        <v>1.4</v>
      </c>
      <c r="RJ85" s="23">
        <v>1.4</v>
      </c>
      <c r="RK85" s="23"/>
      <c r="RL85" s="23"/>
      <c r="RM85" s="23">
        <v>1.4</v>
      </c>
      <c r="RN85" s="23">
        <v>1.4</v>
      </c>
      <c r="RO85" s="23">
        <v>1.4</v>
      </c>
      <c r="RP85" s="23">
        <v>1.4</v>
      </c>
      <c r="RQ85" s="23">
        <v>1.4</v>
      </c>
      <c r="RR85" s="23"/>
      <c r="RS85" s="23"/>
      <c r="RT85" s="23">
        <v>1.4</v>
      </c>
      <c r="RU85" s="23">
        <v>1.4</v>
      </c>
      <c r="RV85" s="23">
        <v>1.4</v>
      </c>
      <c r="RW85" s="23">
        <v>1.4</v>
      </c>
      <c r="RX85" s="23"/>
      <c r="RY85" s="23"/>
      <c r="RZ85" s="23"/>
      <c r="SA85" s="23"/>
      <c r="SB85" s="23"/>
      <c r="SC85" s="23">
        <v>1.4</v>
      </c>
      <c r="SD85" s="23">
        <v>1.4</v>
      </c>
      <c r="SE85" s="23">
        <v>1.4</v>
      </c>
      <c r="SF85" s="23">
        <v>1.4</v>
      </c>
      <c r="SG85" s="23"/>
      <c r="SH85" s="23">
        <v>1.4</v>
      </c>
      <c r="SI85" s="23">
        <v>1.4</v>
      </c>
      <c r="SJ85" s="23">
        <v>1.4</v>
      </c>
      <c r="SK85" s="23">
        <v>1.4</v>
      </c>
      <c r="SL85" s="23">
        <v>1.4</v>
      </c>
      <c r="SM85" s="23"/>
      <c r="SN85" s="23"/>
      <c r="SO85" s="23">
        <v>1.4</v>
      </c>
      <c r="SP85" s="23">
        <v>1.4</v>
      </c>
      <c r="SQ85" s="23">
        <v>1.4</v>
      </c>
      <c r="SR85" s="23">
        <v>1.4</v>
      </c>
      <c r="SS85" s="23">
        <v>1.4</v>
      </c>
      <c r="ST85" s="23"/>
      <c r="SU85" s="23"/>
      <c r="SV85" s="23">
        <v>1.4</v>
      </c>
      <c r="SW85" s="23">
        <v>1.4</v>
      </c>
      <c r="SX85" s="23">
        <v>1.4</v>
      </c>
      <c r="SY85" s="23">
        <v>1.4</v>
      </c>
      <c r="SZ85" s="23">
        <v>1.4</v>
      </c>
      <c r="TA85" s="23"/>
      <c r="TB85" s="23"/>
      <c r="TC85" s="23">
        <v>1.4</v>
      </c>
      <c r="TD85" s="23">
        <v>1.4</v>
      </c>
      <c r="TE85" s="23"/>
      <c r="TF85" s="23"/>
      <c r="TG85" s="23">
        <v>1.4</v>
      </c>
      <c r="TH85" s="23"/>
      <c r="TI85" s="23"/>
      <c r="TJ85" s="23">
        <v>1.4</v>
      </c>
      <c r="TK85" s="23">
        <v>1.4</v>
      </c>
      <c r="TL85" s="23">
        <v>1.4</v>
      </c>
      <c r="TM85" s="23">
        <v>1.4</v>
      </c>
      <c r="TN85" s="23">
        <v>1.4</v>
      </c>
      <c r="TO85" s="23"/>
      <c r="TP85" s="23"/>
      <c r="TQ85" s="23">
        <v>1.4</v>
      </c>
      <c r="TR85" s="23">
        <v>1.4</v>
      </c>
      <c r="TS85" s="23">
        <v>1.4</v>
      </c>
      <c r="TT85" s="23">
        <v>1.4</v>
      </c>
      <c r="TU85" s="23"/>
      <c r="TV85" s="23"/>
      <c r="TW85" s="23"/>
      <c r="TX85" s="23">
        <v>1.4</v>
      </c>
      <c r="TY85" s="23">
        <v>1.4</v>
      </c>
      <c r="TZ85" s="23">
        <v>1.4</v>
      </c>
      <c r="UA85" s="23">
        <v>1.4</v>
      </c>
      <c r="UB85" s="23">
        <v>1.4</v>
      </c>
      <c r="UC85" s="23"/>
      <c r="UD85" s="23"/>
      <c r="UE85" s="23">
        <v>1.4</v>
      </c>
      <c r="UF85" s="23">
        <v>1.4</v>
      </c>
      <c r="UG85" s="23">
        <v>1.4</v>
      </c>
      <c r="UH85" s="23">
        <v>1.4</v>
      </c>
      <c r="UI85" s="23">
        <v>1.4</v>
      </c>
      <c r="UJ85" s="23"/>
      <c r="UK85" s="23"/>
      <c r="UL85" s="23">
        <v>1.4</v>
      </c>
      <c r="UM85" s="23"/>
      <c r="UN85" s="23"/>
      <c r="UO85" s="23"/>
      <c r="UP85" s="23"/>
      <c r="UQ85" s="23"/>
      <c r="UR85" s="23"/>
      <c r="US85" s="23"/>
      <c r="UT85" s="23"/>
    </row>
    <row r="86" ht="16.5" customHeight="1" spans="4:566">
      <c r="D86" s="19" t="s">
        <v>35</v>
      </c>
      <c r="E86" s="21" t="s">
        <v>37</v>
      </c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>
        <v>156.4278</v>
      </c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>
        <v>283.0297</v>
      </c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  <c r="BZ86" s="23"/>
      <c r="CA86" s="23"/>
      <c r="CB86" s="23"/>
      <c r="CC86" s="23"/>
      <c r="CD86" s="23"/>
      <c r="CE86" s="23"/>
      <c r="CF86" s="23"/>
      <c r="CG86" s="23"/>
      <c r="CH86" s="23"/>
      <c r="CI86" s="23"/>
      <c r="CJ86" s="23"/>
      <c r="CK86" s="23"/>
      <c r="CL86" s="23"/>
      <c r="CM86" s="23"/>
      <c r="CN86" s="23"/>
      <c r="CO86" s="23"/>
      <c r="CP86" s="23"/>
      <c r="CQ86" s="23"/>
      <c r="CR86" s="23">
        <v>305.6652</v>
      </c>
      <c r="CS86" s="23"/>
      <c r="CT86" s="23"/>
      <c r="CU86" s="23"/>
      <c r="CV86" s="23"/>
      <c r="CW86" s="23"/>
      <c r="CX86" s="23"/>
      <c r="CY86" s="23"/>
      <c r="CZ86" s="23"/>
      <c r="DA86" s="23"/>
      <c r="DB86" s="23"/>
      <c r="DC86" s="23"/>
      <c r="DD86" s="23"/>
      <c r="DE86" s="23"/>
      <c r="DF86" s="23"/>
      <c r="DG86" s="31"/>
      <c r="DH86" s="31"/>
      <c r="DI86" s="31"/>
      <c r="DJ86" s="31"/>
      <c r="DK86" s="31"/>
      <c r="DL86" s="31"/>
      <c r="DM86" s="31"/>
      <c r="DN86" s="31"/>
      <c r="DO86" s="31"/>
      <c r="DP86" s="31"/>
      <c r="DQ86" s="31"/>
      <c r="DR86" s="31"/>
      <c r="DS86" s="31"/>
      <c r="DT86" s="31"/>
      <c r="DU86" s="31"/>
      <c r="DV86" s="31">
        <v>191.6209</v>
      </c>
      <c r="DW86" s="31"/>
      <c r="DX86" s="31"/>
      <c r="DY86" s="31"/>
      <c r="DZ86" s="31"/>
      <c r="EA86" s="31"/>
      <c r="EB86" s="31"/>
      <c r="EC86" s="31"/>
      <c r="ED86" s="31"/>
      <c r="EE86" s="31"/>
      <c r="EF86" s="31"/>
      <c r="EG86" s="31"/>
      <c r="EH86" s="31"/>
      <c r="EI86" s="31"/>
      <c r="EJ86" s="31"/>
      <c r="EK86" s="31"/>
      <c r="EL86" s="31"/>
      <c r="EM86" s="31"/>
      <c r="EN86" s="31"/>
      <c r="EO86" s="31"/>
      <c r="EP86" s="31"/>
      <c r="EQ86" s="31"/>
      <c r="ER86" s="31"/>
      <c r="ES86" s="31"/>
      <c r="ET86" s="31"/>
      <c r="EU86" s="31"/>
      <c r="EV86" s="31"/>
      <c r="EW86" s="31"/>
      <c r="EX86" s="31"/>
      <c r="EY86" s="31"/>
      <c r="EZ86" s="31"/>
      <c r="FA86" s="31">
        <v>154.8846</v>
      </c>
      <c r="FB86" s="31"/>
      <c r="FC86" s="31"/>
      <c r="FD86" s="31"/>
      <c r="FE86" s="31"/>
      <c r="FF86" s="31"/>
      <c r="FG86" s="31"/>
      <c r="FH86" s="31"/>
      <c r="FI86" s="31"/>
      <c r="FJ86" s="31"/>
      <c r="FK86" s="31"/>
      <c r="FL86" s="31"/>
      <c r="FM86" s="31"/>
      <c r="FN86" s="31"/>
      <c r="FO86" s="31"/>
      <c r="FP86" s="31"/>
      <c r="FQ86" s="31"/>
      <c r="FR86" s="31"/>
      <c r="FS86" s="31"/>
      <c r="FT86" s="31"/>
      <c r="FU86" s="31"/>
      <c r="FV86" s="31"/>
      <c r="FW86" s="31"/>
      <c r="FX86" s="31"/>
      <c r="FY86" s="31"/>
      <c r="FZ86" s="31"/>
      <c r="GA86" s="31"/>
      <c r="GB86" s="31"/>
      <c r="GC86" s="31"/>
      <c r="GD86" s="31"/>
      <c r="GE86" s="31">
        <v>163.858</v>
      </c>
      <c r="GF86" s="31"/>
      <c r="GG86" s="31"/>
      <c r="GH86" s="31"/>
      <c r="GI86" s="31"/>
      <c r="GJ86" s="31"/>
      <c r="GK86" s="31"/>
      <c r="GL86" s="31"/>
      <c r="GM86" s="31"/>
      <c r="GN86" s="31"/>
      <c r="GO86" s="31"/>
      <c r="GP86" s="31"/>
      <c r="GQ86" s="31"/>
      <c r="GR86" s="31"/>
      <c r="GS86" s="31"/>
      <c r="GT86" s="31"/>
      <c r="GU86" s="31"/>
      <c r="GV86" s="31"/>
      <c r="GW86" s="31"/>
      <c r="GX86" s="31"/>
      <c r="GY86" s="31"/>
      <c r="GZ86" s="31"/>
      <c r="HA86" s="31"/>
      <c r="HB86" s="31"/>
      <c r="HC86" s="31"/>
      <c r="HD86" s="31"/>
      <c r="HE86" s="31"/>
      <c r="HF86" s="31"/>
      <c r="HG86" s="31"/>
      <c r="HH86" s="31"/>
      <c r="HI86" s="31"/>
      <c r="HJ86" s="31">
        <v>195.467</v>
      </c>
      <c r="HK86" s="31"/>
      <c r="HL86" s="31"/>
      <c r="HM86" s="31"/>
      <c r="HN86" s="31"/>
      <c r="HO86" s="31"/>
      <c r="HP86" s="31"/>
      <c r="HQ86" s="31"/>
      <c r="HR86" s="31"/>
      <c r="HS86" s="31"/>
      <c r="HT86" s="31"/>
      <c r="HU86" s="31"/>
      <c r="HV86" s="31"/>
      <c r="HW86" s="31"/>
      <c r="HX86" s="31"/>
      <c r="HY86" s="31"/>
      <c r="HZ86" s="31"/>
      <c r="IA86" s="31"/>
      <c r="IB86" s="31"/>
      <c r="IC86" s="31"/>
      <c r="ID86" s="31"/>
      <c r="IE86" s="31"/>
      <c r="IF86" s="31"/>
      <c r="IG86" s="31"/>
      <c r="IH86" s="31"/>
      <c r="II86" s="31"/>
      <c r="IJ86" s="31"/>
      <c r="IK86" s="31"/>
      <c r="IL86" s="31"/>
      <c r="IM86" s="31"/>
      <c r="IN86" s="31"/>
      <c r="IO86" s="31">
        <v>264.1211</v>
      </c>
      <c r="IP86" s="31"/>
      <c r="IQ86" s="31"/>
      <c r="IR86" s="31"/>
      <c r="IS86" s="31"/>
      <c r="IT86" s="31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  <c r="JN86" s="31"/>
      <c r="JO86" s="31"/>
      <c r="JP86" s="31"/>
      <c r="JQ86" s="31"/>
      <c r="JR86" s="31"/>
      <c r="JS86" s="31">
        <v>292.6962</v>
      </c>
      <c r="JT86" s="31"/>
      <c r="JU86" s="31"/>
      <c r="JV86" s="31"/>
      <c r="JW86" s="31"/>
      <c r="JX86" s="31"/>
      <c r="JY86" s="31"/>
      <c r="JZ86" s="23"/>
      <c r="KA86" s="23"/>
      <c r="KB86" s="23"/>
      <c r="KC86" s="23"/>
      <c r="KD86" s="23"/>
      <c r="KE86" s="23"/>
      <c r="KF86" s="23"/>
      <c r="KG86" s="23"/>
      <c r="KH86" s="23"/>
      <c r="KI86" s="23"/>
      <c r="KJ86" s="23"/>
      <c r="KK86" s="23"/>
      <c r="KL86" s="23"/>
      <c r="KM86" s="23"/>
      <c r="KN86" s="23"/>
      <c r="KO86" s="23"/>
      <c r="KP86" s="23"/>
      <c r="KQ86" s="23"/>
      <c r="KR86" s="23"/>
      <c r="KS86" s="23"/>
      <c r="KT86" s="23"/>
      <c r="KU86" s="23"/>
      <c r="KV86" s="23"/>
      <c r="KW86" s="23"/>
      <c r="KX86" s="23">
        <v>230.2604</v>
      </c>
      <c r="KY86" s="23"/>
      <c r="KZ86" s="23"/>
      <c r="LA86" s="23"/>
      <c r="LB86" s="23"/>
      <c r="LC86" s="23"/>
      <c r="LD86" s="23"/>
      <c r="LE86" s="23"/>
      <c r="LF86" s="23"/>
      <c r="LG86" s="23"/>
      <c r="LH86" s="23"/>
      <c r="LI86" s="23"/>
      <c r="LJ86" s="23"/>
      <c r="LK86" s="23"/>
      <c r="LL86" s="23"/>
      <c r="LM86" s="23"/>
      <c r="LN86" s="23"/>
      <c r="LO86" s="23"/>
      <c r="LP86" s="23"/>
      <c r="LQ86" s="23"/>
      <c r="LR86" s="23"/>
      <c r="LS86" s="23"/>
      <c r="LT86" s="23"/>
      <c r="LU86" s="23"/>
      <c r="LV86" s="23"/>
      <c r="LW86" s="23"/>
      <c r="LX86" s="23"/>
      <c r="LY86" s="23"/>
      <c r="LZ86" s="23"/>
      <c r="MA86" s="23"/>
      <c r="MB86" s="23">
        <v>237.215</v>
      </c>
      <c r="MC86" s="23"/>
      <c r="MD86" s="23"/>
      <c r="ME86" s="23"/>
      <c r="MF86" s="23"/>
      <c r="MG86" s="23"/>
      <c r="MH86" s="23"/>
      <c r="MI86" s="23"/>
      <c r="MJ86" s="23"/>
      <c r="MK86" s="23"/>
      <c r="ML86" s="23"/>
      <c r="MM86" s="23"/>
      <c r="MN86" s="23"/>
      <c r="MO86" s="23"/>
      <c r="MP86" s="23"/>
      <c r="MQ86" s="23"/>
      <c r="MR86" s="23"/>
      <c r="MS86" s="23"/>
      <c r="MT86" s="23"/>
      <c r="MU86" s="23"/>
      <c r="MV86" s="23"/>
      <c r="MW86" s="23"/>
      <c r="MX86" s="23"/>
      <c r="MY86" s="23"/>
      <c r="MZ86" s="23"/>
      <c r="NA86" s="23"/>
      <c r="NB86" s="23"/>
      <c r="NC86" s="23"/>
      <c r="ND86" s="23"/>
      <c r="NE86" s="23"/>
      <c r="NF86" s="23"/>
      <c r="NG86" s="23">
        <v>258.6095</v>
      </c>
      <c r="NH86" s="23"/>
      <c r="NI86" s="23"/>
      <c r="NJ86" s="23"/>
      <c r="NK86" s="23"/>
      <c r="NL86" s="23"/>
      <c r="NM86" s="23"/>
      <c r="NN86" s="23"/>
      <c r="NO86" s="23"/>
      <c r="NP86" s="23"/>
      <c r="NQ86" s="23"/>
      <c r="NR86" s="23"/>
      <c r="NS86" s="23"/>
      <c r="NT86" s="23"/>
      <c r="NU86" s="23"/>
      <c r="NV86" s="23"/>
      <c r="NW86" s="23"/>
      <c r="NX86" s="23"/>
      <c r="NY86" s="23"/>
      <c r="NZ86" s="23"/>
      <c r="OA86" s="23"/>
      <c r="OB86" s="23"/>
      <c r="OC86" s="23"/>
      <c r="OD86" s="23"/>
      <c r="OE86" s="23"/>
      <c r="OF86" s="23"/>
      <c r="OG86" s="23"/>
      <c r="OH86" s="23"/>
      <c r="OI86" s="23"/>
      <c r="OJ86" s="23"/>
      <c r="OK86" s="23"/>
      <c r="OL86" s="23">
        <v>490.5788</v>
      </c>
      <c r="OM86" s="23"/>
      <c r="ON86" s="23"/>
      <c r="OO86" s="23"/>
      <c r="OP86" s="23"/>
      <c r="OQ86" s="23"/>
      <c r="OR86" s="23"/>
      <c r="OS86" s="23"/>
      <c r="OT86" s="23"/>
      <c r="OU86" s="23"/>
      <c r="OV86" s="23"/>
      <c r="OW86" s="23"/>
      <c r="OX86" s="23"/>
      <c r="OY86" s="23"/>
      <c r="OZ86" s="23"/>
      <c r="PA86" s="23"/>
      <c r="PB86" s="23"/>
      <c r="PC86" s="23"/>
      <c r="PD86" s="23"/>
      <c r="PE86" s="23"/>
      <c r="PF86" s="23"/>
      <c r="PG86" s="23"/>
      <c r="PH86" s="23"/>
      <c r="PI86" s="23"/>
      <c r="PJ86" s="23"/>
      <c r="PK86" s="23"/>
      <c r="PL86" s="23"/>
      <c r="PM86" s="23"/>
      <c r="PN86" s="23">
        <v>251.6435</v>
      </c>
      <c r="PO86" s="23"/>
      <c r="PP86" s="23"/>
      <c r="PQ86" s="23"/>
      <c r="PR86" s="23"/>
      <c r="PS86" s="23"/>
      <c r="PT86" s="23"/>
      <c r="PU86" s="23"/>
      <c r="PV86" s="23"/>
      <c r="PW86" s="23"/>
      <c r="PX86" s="23"/>
      <c r="PY86" s="23"/>
      <c r="PZ86" s="23"/>
      <c r="QA86" s="23"/>
      <c r="QB86" s="23"/>
      <c r="QC86" s="23"/>
      <c r="QD86" s="23"/>
      <c r="QE86" s="23"/>
      <c r="QF86" s="23"/>
      <c r="QG86" s="23"/>
      <c r="QH86" s="23"/>
      <c r="QI86" s="23"/>
      <c r="QJ86" s="23"/>
      <c r="QK86" s="23"/>
      <c r="QL86" s="23"/>
      <c r="QM86" s="23"/>
      <c r="QN86" s="23"/>
      <c r="QO86" s="23"/>
      <c r="QP86" s="23"/>
      <c r="QQ86" s="23"/>
      <c r="QR86" s="23"/>
      <c r="QS86" s="23">
        <v>458.9372</v>
      </c>
      <c r="QT86" s="23"/>
      <c r="QU86" s="23"/>
      <c r="QV86" s="23"/>
      <c r="QW86" s="23"/>
      <c r="QX86" s="23"/>
      <c r="QY86" s="23"/>
      <c r="QZ86" s="23"/>
      <c r="RA86" s="23"/>
      <c r="RB86" s="23"/>
      <c r="RC86" s="23"/>
      <c r="RD86" s="23"/>
      <c r="RE86" s="23"/>
      <c r="RF86" s="23"/>
      <c r="RG86" s="23"/>
      <c r="RH86" s="23"/>
      <c r="RI86" s="23"/>
      <c r="RJ86" s="23"/>
      <c r="RK86" s="23"/>
      <c r="RL86" s="23"/>
      <c r="RM86" s="23"/>
      <c r="RN86" s="23"/>
      <c r="RO86" s="23"/>
      <c r="RP86" s="23"/>
      <c r="RQ86" s="23"/>
      <c r="RR86" s="23"/>
      <c r="RS86" s="23"/>
      <c r="RT86" s="23"/>
      <c r="RU86" s="23"/>
      <c r="RV86" s="23"/>
      <c r="RW86" s="23">
        <v>248.1363</v>
      </c>
      <c r="RX86" s="23"/>
      <c r="RY86" s="23"/>
      <c r="RZ86" s="23"/>
      <c r="SA86" s="23"/>
      <c r="SB86" s="23"/>
      <c r="SC86" s="23"/>
      <c r="SD86" s="23"/>
      <c r="SE86" s="23"/>
      <c r="SF86" s="23"/>
      <c r="SG86" s="23"/>
      <c r="SH86" s="23"/>
      <c r="SI86" s="23"/>
      <c r="SJ86" s="23"/>
      <c r="SK86" s="23"/>
      <c r="SL86" s="23"/>
      <c r="SM86" s="23"/>
      <c r="SN86" s="23"/>
      <c r="SO86" s="23"/>
      <c r="SP86" s="23"/>
      <c r="SQ86" s="23"/>
      <c r="SR86" s="23"/>
      <c r="SS86" s="23"/>
      <c r="ST86" s="23"/>
      <c r="SU86" s="23"/>
      <c r="SV86" s="23"/>
      <c r="SW86" s="23"/>
      <c r="SX86" s="23"/>
      <c r="SY86" s="23"/>
      <c r="SZ86" s="23"/>
      <c r="TA86" s="23"/>
      <c r="TB86" s="23">
        <v>275.583</v>
      </c>
      <c r="TC86" s="23"/>
      <c r="TD86" s="23"/>
      <c r="TE86" s="23"/>
      <c r="TF86" s="23"/>
      <c r="TG86" s="23"/>
      <c r="TH86" s="23"/>
      <c r="TI86" s="23"/>
      <c r="TJ86" s="23"/>
      <c r="TK86" s="23"/>
      <c r="TL86" s="23"/>
      <c r="TM86" s="23"/>
      <c r="TN86" s="23"/>
      <c r="TO86" s="23"/>
      <c r="TP86" s="23"/>
      <c r="TQ86" s="23"/>
      <c r="TR86" s="23"/>
      <c r="TS86" s="23"/>
      <c r="TT86" s="23"/>
      <c r="TU86" s="23"/>
      <c r="TV86" s="23"/>
      <c r="TW86" s="23"/>
      <c r="TX86" s="23"/>
      <c r="TY86" s="23"/>
      <c r="TZ86" s="23"/>
      <c r="UA86" s="23"/>
      <c r="UB86" s="23"/>
      <c r="UC86" s="23"/>
      <c r="UD86" s="23"/>
      <c r="UE86" s="23"/>
      <c r="UF86" s="23">
        <v>285.2384</v>
      </c>
      <c r="UG86" s="23"/>
      <c r="UH86" s="23"/>
      <c r="UI86" s="23"/>
      <c r="UJ86" s="23"/>
      <c r="UK86" s="23"/>
      <c r="UL86" s="23"/>
      <c r="UM86" s="23"/>
      <c r="UN86" s="23"/>
      <c r="UO86" s="23"/>
      <c r="UP86" s="23"/>
      <c r="UQ86" s="23"/>
      <c r="UR86" s="23"/>
      <c r="US86" s="23"/>
      <c r="UT86" s="23"/>
    </row>
    <row r="87" ht="16.5" customHeight="1" spans="4:566">
      <c r="D87" s="26" t="s">
        <v>320</v>
      </c>
      <c r="E87" s="21" t="s">
        <v>321</v>
      </c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>
        <v>52.8</v>
      </c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>
        <v>53.5</v>
      </c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>
        <v>50.8</v>
      </c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  <c r="DI87" s="31"/>
      <c r="DJ87" s="31"/>
      <c r="DK87" s="31"/>
      <c r="DL87" s="31"/>
      <c r="DM87" s="31"/>
      <c r="DN87" s="31"/>
      <c r="DO87" s="31"/>
      <c r="DP87" s="31"/>
      <c r="DQ87" s="31"/>
      <c r="DR87" s="31"/>
      <c r="DS87" s="31"/>
      <c r="DT87" s="31"/>
      <c r="DU87" s="31"/>
      <c r="DV87" s="31">
        <v>51.6</v>
      </c>
      <c r="DW87" s="31"/>
      <c r="DX87" s="31"/>
      <c r="DY87" s="31"/>
      <c r="DZ87" s="31"/>
      <c r="EA87" s="31"/>
      <c r="EB87" s="31"/>
      <c r="EC87" s="31"/>
      <c r="ED87" s="31"/>
      <c r="EE87" s="31"/>
      <c r="EF87" s="31"/>
      <c r="EG87" s="31"/>
      <c r="EH87" s="31"/>
      <c r="EI87" s="31"/>
      <c r="EJ87" s="31"/>
      <c r="EK87" s="31"/>
      <c r="EL87" s="31"/>
      <c r="EM87" s="31"/>
      <c r="EN87" s="31"/>
      <c r="EO87" s="31"/>
      <c r="EP87" s="31"/>
      <c r="EQ87" s="31"/>
      <c r="ER87" s="31"/>
      <c r="ES87" s="31"/>
      <c r="ET87" s="31"/>
      <c r="EU87" s="31"/>
      <c r="EV87" s="31"/>
      <c r="EW87" s="31"/>
      <c r="EX87" s="31"/>
      <c r="EY87" s="31"/>
      <c r="EZ87" s="31"/>
      <c r="FA87" s="31">
        <v>49.9</v>
      </c>
      <c r="FB87" s="31"/>
      <c r="FC87" s="31"/>
      <c r="FD87" s="31"/>
      <c r="FE87" s="31"/>
      <c r="FF87" s="31"/>
      <c r="FG87" s="31"/>
      <c r="FH87" s="31"/>
      <c r="FI87" s="31"/>
      <c r="FJ87" s="31"/>
      <c r="FK87" s="31"/>
      <c r="FL87" s="31"/>
      <c r="FM87" s="31"/>
      <c r="FN87" s="31"/>
      <c r="FO87" s="31"/>
      <c r="FP87" s="31"/>
      <c r="FQ87" s="31"/>
      <c r="FR87" s="31"/>
      <c r="FS87" s="31"/>
      <c r="FT87" s="31"/>
      <c r="FU87" s="31"/>
      <c r="FV87" s="31"/>
      <c r="FW87" s="31"/>
      <c r="FX87" s="31"/>
      <c r="FY87" s="31"/>
      <c r="FZ87" s="31"/>
      <c r="GA87" s="31"/>
      <c r="GB87" s="31"/>
      <c r="GC87" s="31"/>
      <c r="GD87" s="31"/>
      <c r="GE87" s="31">
        <v>50.8</v>
      </c>
      <c r="GF87" s="31"/>
      <c r="GG87" s="31"/>
      <c r="GH87" s="31"/>
      <c r="GI87" s="31"/>
      <c r="GJ87" s="31"/>
      <c r="GK87" s="31"/>
      <c r="GL87" s="31"/>
      <c r="GM87" s="31"/>
      <c r="GN87" s="31"/>
      <c r="GO87" s="31"/>
      <c r="GP87" s="31"/>
      <c r="GQ87" s="31"/>
      <c r="GR87" s="31"/>
      <c r="GS87" s="31"/>
      <c r="GT87" s="31"/>
      <c r="GU87" s="31"/>
      <c r="GV87" s="31"/>
      <c r="GW87" s="31"/>
      <c r="GX87" s="31"/>
      <c r="GY87" s="31"/>
      <c r="GZ87" s="31"/>
      <c r="HA87" s="31"/>
      <c r="HB87" s="31"/>
      <c r="HC87" s="31"/>
      <c r="HD87" s="31"/>
      <c r="HE87" s="31"/>
      <c r="HF87" s="31"/>
      <c r="HG87" s="31"/>
      <c r="HH87" s="31"/>
      <c r="HI87" s="31"/>
      <c r="HJ87" s="31">
        <v>50.1</v>
      </c>
      <c r="HK87" s="31"/>
      <c r="HL87" s="31"/>
      <c r="HM87" s="31"/>
      <c r="HN87" s="31"/>
      <c r="HO87" s="31"/>
      <c r="HP87" s="31"/>
      <c r="HQ87" s="31"/>
      <c r="HR87" s="31"/>
      <c r="HS87" s="31"/>
      <c r="HT87" s="31"/>
      <c r="HU87" s="31"/>
      <c r="HV87" s="31"/>
      <c r="HW87" s="31"/>
      <c r="HX87" s="31"/>
      <c r="HY87" s="31"/>
      <c r="HZ87" s="31"/>
      <c r="IA87" s="31"/>
      <c r="IB87" s="31"/>
      <c r="IC87" s="31"/>
      <c r="ID87" s="31"/>
      <c r="IE87" s="31"/>
      <c r="IF87" s="31"/>
      <c r="IG87" s="31"/>
      <c r="IH87" s="31"/>
      <c r="II87" s="31"/>
      <c r="IJ87" s="31"/>
      <c r="IK87" s="31"/>
      <c r="IL87" s="31"/>
      <c r="IM87" s="31"/>
      <c r="IN87" s="31"/>
      <c r="IO87" s="31">
        <v>52</v>
      </c>
      <c r="IP87" s="31"/>
      <c r="IQ87" s="31"/>
      <c r="IR87" s="31"/>
      <c r="IS87" s="31"/>
      <c r="IT87" s="31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  <c r="JN87" s="31"/>
      <c r="JO87" s="31"/>
      <c r="JP87" s="31"/>
      <c r="JQ87" s="31"/>
      <c r="JR87" s="31"/>
      <c r="JS87" s="31">
        <v>50</v>
      </c>
      <c r="JT87" s="31"/>
      <c r="JU87" s="31"/>
      <c r="JV87" s="31"/>
      <c r="JW87" s="31"/>
      <c r="JX87" s="31"/>
      <c r="JY87" s="31"/>
      <c r="JZ87" s="23"/>
      <c r="KA87" s="23"/>
      <c r="KB87" s="23"/>
      <c r="KC87" s="23"/>
      <c r="KD87" s="23"/>
      <c r="KE87" s="23"/>
      <c r="KF87" s="23"/>
      <c r="KG87" s="23"/>
      <c r="KH87" s="23"/>
      <c r="KI87" s="23"/>
      <c r="KJ87" s="23"/>
      <c r="KK87" s="23"/>
      <c r="KL87" s="23"/>
      <c r="KM87" s="23"/>
      <c r="KN87" s="23"/>
      <c r="KO87" s="23"/>
      <c r="KP87" s="23"/>
      <c r="KQ87" s="23"/>
      <c r="KR87" s="23"/>
      <c r="KS87" s="23"/>
      <c r="KT87" s="23"/>
      <c r="KU87" s="23"/>
      <c r="KV87" s="23"/>
      <c r="KW87" s="23"/>
      <c r="KX87" s="23">
        <v>52.4</v>
      </c>
      <c r="KY87" s="23"/>
      <c r="KZ87" s="23"/>
      <c r="LA87" s="23"/>
      <c r="LB87" s="23"/>
      <c r="LC87" s="23"/>
      <c r="LD87" s="23"/>
      <c r="LE87" s="23"/>
      <c r="LF87" s="23"/>
      <c r="LG87" s="23"/>
      <c r="LH87" s="23"/>
      <c r="LI87" s="23"/>
      <c r="LJ87" s="23"/>
      <c r="LK87" s="23"/>
      <c r="LL87" s="23"/>
      <c r="LM87" s="23"/>
      <c r="LN87" s="23"/>
      <c r="LO87" s="23"/>
      <c r="LP87" s="23"/>
      <c r="LQ87" s="23"/>
      <c r="LR87" s="23"/>
      <c r="LS87" s="23"/>
      <c r="LT87" s="23"/>
      <c r="LU87" s="23"/>
      <c r="LV87" s="23"/>
      <c r="LW87" s="23"/>
      <c r="LX87" s="23"/>
      <c r="LY87" s="23"/>
      <c r="LZ87" s="23"/>
      <c r="MA87" s="23"/>
      <c r="MB87" s="23">
        <v>52.6</v>
      </c>
      <c r="MC87" s="23"/>
      <c r="MD87" s="23"/>
      <c r="ME87" s="23"/>
      <c r="MF87" s="23"/>
      <c r="MG87" s="23"/>
      <c r="MH87" s="23"/>
      <c r="MI87" s="23"/>
      <c r="MJ87" s="23"/>
      <c r="MK87" s="23"/>
      <c r="ML87" s="23"/>
      <c r="MM87" s="23"/>
      <c r="MN87" s="23"/>
      <c r="MO87" s="23"/>
      <c r="MP87" s="23"/>
      <c r="MQ87" s="23"/>
      <c r="MR87" s="23"/>
      <c r="MS87" s="23"/>
      <c r="MT87" s="23"/>
      <c r="MU87" s="23"/>
      <c r="MV87" s="23"/>
      <c r="MW87" s="23"/>
      <c r="MX87" s="23"/>
      <c r="MY87" s="23"/>
      <c r="MZ87" s="23"/>
      <c r="NA87" s="23"/>
      <c r="NB87" s="23"/>
      <c r="NC87" s="23"/>
      <c r="ND87" s="23"/>
      <c r="NE87" s="23"/>
      <c r="NF87" s="23"/>
      <c r="NG87" s="23">
        <v>54.4</v>
      </c>
      <c r="NH87" s="23"/>
      <c r="NI87" s="23"/>
      <c r="NJ87" s="23"/>
      <c r="NK87" s="23"/>
      <c r="NL87" s="23"/>
      <c r="NM87" s="23"/>
      <c r="NN87" s="23"/>
      <c r="NO87" s="23"/>
      <c r="NP87" s="23"/>
      <c r="NQ87" s="23"/>
      <c r="NR87" s="23"/>
      <c r="NS87" s="23"/>
      <c r="NT87" s="23"/>
      <c r="NU87" s="23"/>
      <c r="NV87" s="23"/>
      <c r="NW87" s="23"/>
      <c r="NX87" s="23"/>
      <c r="NY87" s="23"/>
      <c r="NZ87" s="23"/>
      <c r="OA87" s="23"/>
      <c r="OB87" s="23"/>
      <c r="OC87" s="23"/>
      <c r="OD87" s="23"/>
      <c r="OE87" s="23"/>
      <c r="OF87" s="23"/>
      <c r="OG87" s="23"/>
      <c r="OH87" s="23"/>
      <c r="OI87" s="23"/>
      <c r="OJ87" s="23"/>
      <c r="OK87" s="23"/>
      <c r="OL87" s="23">
        <v>53.8</v>
      </c>
      <c r="OM87" s="23"/>
      <c r="ON87" s="23"/>
      <c r="OO87" s="23"/>
      <c r="OP87" s="23"/>
      <c r="OQ87" s="23"/>
      <c r="OR87" s="23"/>
      <c r="OS87" s="23"/>
      <c r="OT87" s="23"/>
      <c r="OU87" s="23"/>
      <c r="OV87" s="23"/>
      <c r="OW87" s="23"/>
      <c r="OX87" s="23"/>
      <c r="OY87" s="23"/>
      <c r="OZ87" s="23"/>
      <c r="PA87" s="23"/>
      <c r="PB87" s="23"/>
      <c r="PC87" s="23"/>
      <c r="PD87" s="23"/>
      <c r="PE87" s="23"/>
      <c r="PF87" s="23"/>
      <c r="PG87" s="23"/>
      <c r="PH87" s="23"/>
      <c r="PI87" s="23"/>
      <c r="PJ87" s="23"/>
      <c r="PK87" s="23"/>
      <c r="PL87" s="23"/>
      <c r="PM87" s="23"/>
      <c r="PN87" s="23">
        <v>56.1</v>
      </c>
      <c r="PO87" s="23"/>
      <c r="PP87" s="23"/>
      <c r="PQ87" s="23"/>
      <c r="PR87" s="23"/>
      <c r="PS87" s="23"/>
      <c r="PT87" s="23"/>
      <c r="PU87" s="23"/>
      <c r="PV87" s="23"/>
      <c r="PW87" s="23"/>
      <c r="PX87" s="23"/>
      <c r="PY87" s="23"/>
      <c r="PZ87" s="23"/>
      <c r="QA87" s="23"/>
      <c r="QB87" s="23"/>
      <c r="QC87" s="23"/>
      <c r="QD87" s="23"/>
      <c r="QE87" s="23"/>
      <c r="QF87" s="23"/>
      <c r="QG87" s="23"/>
      <c r="QH87" s="23"/>
      <c r="QI87" s="23"/>
      <c r="QJ87" s="23"/>
      <c r="QK87" s="23"/>
      <c r="QL87" s="23"/>
      <c r="QM87" s="23"/>
      <c r="QN87" s="23"/>
      <c r="QO87" s="23"/>
      <c r="QP87" s="23"/>
      <c r="QQ87" s="23"/>
      <c r="QR87" s="23"/>
      <c r="QS87" s="23">
        <v>54</v>
      </c>
      <c r="QT87" s="23"/>
      <c r="QU87" s="23"/>
      <c r="QV87" s="23"/>
      <c r="QW87" s="23"/>
      <c r="QX87" s="23"/>
      <c r="QY87" s="23"/>
      <c r="QZ87" s="23"/>
      <c r="RA87" s="23"/>
      <c r="RB87" s="23"/>
      <c r="RC87" s="23"/>
      <c r="RD87" s="23"/>
      <c r="RE87" s="23"/>
      <c r="RF87" s="23"/>
      <c r="RG87" s="23"/>
      <c r="RH87" s="23"/>
      <c r="RI87" s="23"/>
      <c r="RJ87" s="23"/>
      <c r="RK87" s="23"/>
      <c r="RL87" s="23"/>
      <c r="RM87" s="23"/>
      <c r="RN87" s="23"/>
      <c r="RO87" s="23"/>
      <c r="RP87" s="23"/>
      <c r="RQ87" s="23"/>
      <c r="RR87" s="23"/>
      <c r="RS87" s="23"/>
      <c r="RT87" s="23"/>
      <c r="RU87" s="23"/>
      <c r="RV87" s="23"/>
      <c r="RW87" s="23">
        <v>53.6</v>
      </c>
      <c r="RX87" s="23"/>
      <c r="RY87" s="23"/>
      <c r="RZ87" s="23"/>
      <c r="SA87" s="23"/>
      <c r="SB87" s="23"/>
      <c r="SC87" s="23"/>
      <c r="SD87" s="23"/>
      <c r="SE87" s="23"/>
      <c r="SF87" s="23"/>
      <c r="SG87" s="23"/>
      <c r="SH87" s="23"/>
      <c r="SI87" s="23"/>
      <c r="SJ87" s="23"/>
      <c r="SK87" s="23"/>
      <c r="SL87" s="23"/>
      <c r="SM87" s="23"/>
      <c r="SN87" s="23"/>
      <c r="SO87" s="23"/>
      <c r="SP87" s="23"/>
      <c r="SQ87" s="23"/>
      <c r="SR87" s="23"/>
      <c r="SS87" s="23"/>
      <c r="ST87" s="23"/>
      <c r="SU87" s="23"/>
      <c r="SV87" s="23"/>
      <c r="SW87" s="23"/>
      <c r="SX87" s="23"/>
      <c r="SY87" s="23"/>
      <c r="SZ87" s="23"/>
      <c r="TA87" s="23"/>
      <c r="TB87" s="23">
        <v>54.5</v>
      </c>
      <c r="TC87" s="23"/>
      <c r="TD87" s="23"/>
      <c r="TE87" s="23"/>
      <c r="TF87" s="23"/>
      <c r="TG87" s="23"/>
      <c r="TH87" s="23"/>
      <c r="TI87" s="23"/>
      <c r="TJ87" s="23"/>
      <c r="TK87" s="23"/>
      <c r="TL87" s="23"/>
      <c r="TM87" s="23"/>
      <c r="TN87" s="23"/>
      <c r="TO87" s="23"/>
      <c r="TP87" s="23"/>
      <c r="TQ87" s="23"/>
      <c r="TR87" s="23"/>
      <c r="TS87" s="23"/>
      <c r="TT87" s="23"/>
      <c r="TU87" s="23"/>
      <c r="TV87" s="23"/>
      <c r="TW87" s="23"/>
      <c r="TX87" s="23"/>
      <c r="TY87" s="23"/>
      <c r="TZ87" s="23"/>
      <c r="UA87" s="23"/>
      <c r="UB87" s="23"/>
      <c r="UC87" s="23"/>
      <c r="UD87" s="23"/>
      <c r="UE87" s="23"/>
      <c r="UF87" s="23"/>
      <c r="UG87" s="23"/>
      <c r="UH87" s="23"/>
      <c r="UI87" s="23"/>
      <c r="UJ87" s="23"/>
      <c r="UK87" s="23"/>
      <c r="UL87" s="23"/>
      <c r="UM87" s="23"/>
      <c r="UN87" s="23"/>
      <c r="UO87" s="23"/>
      <c r="UP87" s="23"/>
      <c r="UQ87" s="23"/>
      <c r="UR87" s="23"/>
      <c r="US87" s="23"/>
      <c r="UT87" s="23"/>
    </row>
    <row r="88" ht="16.5" customHeight="1" spans="4:566">
      <c r="D88" s="26" t="s">
        <v>322</v>
      </c>
      <c r="E88" s="21" t="s">
        <v>323</v>
      </c>
      <c r="F88" s="31"/>
      <c r="G88" s="31">
        <v>17970124.7</v>
      </c>
      <c r="H88" s="31"/>
      <c r="I88" s="31"/>
      <c r="J88" s="31"/>
      <c r="K88" s="31"/>
      <c r="L88" s="31"/>
      <c r="M88" s="31"/>
      <c r="N88" s="31">
        <v>17985705.2</v>
      </c>
      <c r="O88" s="31"/>
      <c r="P88" s="31"/>
      <c r="Q88" s="31"/>
      <c r="R88" s="31"/>
      <c r="S88" s="31"/>
      <c r="T88" s="31"/>
      <c r="U88" s="31">
        <v>17982522.6</v>
      </c>
      <c r="V88" s="31"/>
      <c r="W88" s="31"/>
      <c r="X88" s="31"/>
      <c r="Y88" s="31"/>
      <c r="Z88" s="31"/>
      <c r="AA88" s="31"/>
      <c r="AB88" s="31">
        <v>18019947.2</v>
      </c>
      <c r="AC88" s="31"/>
      <c r="AD88" s="31"/>
      <c r="AE88" s="31"/>
      <c r="AF88" s="31"/>
      <c r="AG88" s="31"/>
      <c r="AH88" s="31"/>
      <c r="AI88" s="31">
        <v>18003123.9</v>
      </c>
      <c r="AJ88" s="31"/>
      <c r="AK88" s="31"/>
      <c r="AL88" s="31"/>
      <c r="AM88" s="31"/>
      <c r="AN88" s="31"/>
      <c r="AO88" s="31"/>
      <c r="AP88" s="31">
        <v>18020863.3</v>
      </c>
      <c r="AQ88" s="31"/>
      <c r="AR88" s="31"/>
      <c r="AS88" s="31"/>
      <c r="AT88" s="31"/>
      <c r="AU88" s="31"/>
      <c r="AV88" s="31"/>
      <c r="AW88" s="31">
        <v>18029075.1</v>
      </c>
      <c r="AX88" s="31"/>
      <c r="AY88" s="31"/>
      <c r="AZ88" s="31"/>
      <c r="BA88" s="31"/>
      <c r="BB88" s="31"/>
      <c r="BC88" s="31"/>
      <c r="BD88" s="31">
        <v>18065232.9</v>
      </c>
      <c r="BE88" s="31"/>
      <c r="BF88" s="31"/>
      <c r="BG88" s="31"/>
      <c r="BH88" s="31"/>
      <c r="BI88" s="31"/>
      <c r="BJ88" s="31"/>
      <c r="BK88" s="31">
        <v>18092782.2</v>
      </c>
      <c r="BL88" s="31"/>
      <c r="BM88" s="31"/>
      <c r="BN88" s="31"/>
      <c r="BO88" s="31"/>
      <c r="BP88" s="31"/>
      <c r="BQ88" s="31"/>
      <c r="BR88" s="31">
        <v>18118103.6</v>
      </c>
      <c r="BS88" s="31"/>
      <c r="BT88" s="31"/>
      <c r="BU88" s="31"/>
      <c r="BV88" s="31"/>
      <c r="BW88" s="31"/>
      <c r="BX88" s="31"/>
      <c r="BY88" s="31">
        <v>18125093.1</v>
      </c>
      <c r="BZ88" s="31"/>
      <c r="CA88" s="31"/>
      <c r="CB88" s="31"/>
      <c r="CC88" s="31"/>
      <c r="CD88" s="31"/>
      <c r="CE88" s="31"/>
      <c r="CF88" s="31">
        <v>18162169.7</v>
      </c>
      <c r="CG88" s="31"/>
      <c r="CH88" s="31"/>
      <c r="CI88" s="31"/>
      <c r="CJ88" s="31"/>
      <c r="CK88" s="31"/>
      <c r="CL88" s="31"/>
      <c r="CM88" s="31">
        <v>18180581.5</v>
      </c>
      <c r="CN88" s="31"/>
      <c r="CO88" s="31"/>
      <c r="CP88" s="31"/>
      <c r="CQ88" s="31"/>
      <c r="CR88" s="31"/>
      <c r="CS88" s="31"/>
      <c r="CT88" s="31">
        <v>18193581.7</v>
      </c>
      <c r="CU88" s="31"/>
      <c r="CV88" s="31"/>
      <c r="CW88" s="31"/>
      <c r="CX88" s="31"/>
      <c r="CY88" s="31"/>
      <c r="CZ88" s="31"/>
      <c r="DA88" s="31">
        <v>18236749.8</v>
      </c>
      <c r="DB88" s="31"/>
      <c r="DC88" s="31"/>
      <c r="DD88" s="31"/>
      <c r="DE88" s="31"/>
      <c r="DF88" s="31"/>
      <c r="DG88" s="31"/>
      <c r="DH88" s="31">
        <v>18304897.8</v>
      </c>
      <c r="DI88" s="31"/>
      <c r="DJ88" s="31"/>
      <c r="DK88" s="31"/>
      <c r="DL88" s="31"/>
      <c r="DM88" s="31"/>
      <c r="DN88" s="31"/>
      <c r="DO88" s="31">
        <v>18319066.4</v>
      </c>
      <c r="DP88" s="31"/>
      <c r="DQ88" s="31"/>
      <c r="DR88" s="31"/>
      <c r="DS88" s="31"/>
      <c r="DT88" s="31"/>
      <c r="DU88" s="31"/>
      <c r="DV88" s="31">
        <v>18365261.2</v>
      </c>
      <c r="DW88" s="31"/>
      <c r="DX88" s="31"/>
      <c r="DY88" s="31"/>
      <c r="DZ88" s="31"/>
      <c r="EA88" s="31"/>
      <c r="EB88" s="31"/>
      <c r="EC88" s="31">
        <v>18358833</v>
      </c>
      <c r="ED88" s="31"/>
      <c r="EE88" s="31"/>
      <c r="EF88" s="31"/>
      <c r="EG88" s="31"/>
      <c r="EH88" s="31"/>
      <c r="EI88" s="31"/>
      <c r="EJ88" s="31">
        <v>18370203.6</v>
      </c>
      <c r="EK88" s="31"/>
      <c r="EL88" s="31"/>
      <c r="EM88" s="31"/>
      <c r="EN88" s="31"/>
      <c r="EO88" s="31"/>
      <c r="EP88" s="31"/>
      <c r="EQ88" s="31">
        <v>18383595.8</v>
      </c>
      <c r="ER88" s="31"/>
      <c r="ES88" s="31"/>
      <c r="ET88" s="31"/>
      <c r="EU88" s="31"/>
      <c r="EV88" s="31"/>
      <c r="EW88" s="31"/>
      <c r="EX88" s="31">
        <v>18399314</v>
      </c>
      <c r="EY88" s="31"/>
      <c r="EZ88" s="31"/>
      <c r="FA88" s="31"/>
      <c r="FB88" s="31"/>
      <c r="FC88" s="31"/>
      <c r="FD88" s="31"/>
      <c r="FE88" s="31">
        <v>18406238.3</v>
      </c>
      <c r="FF88" s="31"/>
      <c r="FG88" s="31"/>
      <c r="FH88" s="31"/>
      <c r="FI88" s="31"/>
      <c r="FJ88" s="31"/>
      <c r="FK88" s="31"/>
      <c r="FL88" s="31">
        <v>18441840.4</v>
      </c>
      <c r="FM88" s="31"/>
      <c r="FN88" s="31"/>
      <c r="FO88" s="31"/>
      <c r="FP88" s="31"/>
      <c r="FQ88" s="31"/>
      <c r="FR88" s="31"/>
      <c r="FS88" s="31">
        <v>18462425.3</v>
      </c>
      <c r="FT88" s="31"/>
      <c r="FU88" s="31"/>
      <c r="FV88" s="31"/>
      <c r="FW88" s="31"/>
      <c r="FX88" s="31"/>
      <c r="FY88" s="31"/>
      <c r="FZ88" s="31">
        <v>18473621.9</v>
      </c>
      <c r="GA88" s="31"/>
      <c r="GB88" s="31"/>
      <c r="GC88" s="31"/>
      <c r="GD88" s="31"/>
      <c r="GE88" s="31"/>
      <c r="GF88" s="31"/>
      <c r="GG88" s="31">
        <v>18517301.3</v>
      </c>
      <c r="GH88" s="31"/>
      <c r="GI88" s="31"/>
      <c r="GJ88" s="31"/>
      <c r="GK88" s="31"/>
      <c r="GL88" s="31"/>
      <c r="GM88" s="31"/>
      <c r="GN88" s="31">
        <v>18537011.9</v>
      </c>
      <c r="GO88" s="31"/>
      <c r="GP88" s="31"/>
      <c r="GQ88" s="31"/>
      <c r="GR88" s="31"/>
      <c r="GS88" s="31"/>
      <c r="GT88" s="31"/>
      <c r="GU88" s="31">
        <v>18554180.6</v>
      </c>
      <c r="GV88" s="31"/>
      <c r="GW88" s="31"/>
      <c r="GX88" s="31"/>
      <c r="GY88" s="31"/>
      <c r="GZ88" s="31"/>
      <c r="HA88" s="31"/>
      <c r="HB88" s="31">
        <v>18583108.5</v>
      </c>
      <c r="HC88" s="31"/>
      <c r="HD88" s="31"/>
      <c r="HE88" s="31"/>
      <c r="HF88" s="31"/>
      <c r="HG88" s="31"/>
      <c r="HH88" s="31"/>
      <c r="HI88" s="31">
        <v>18600255.5</v>
      </c>
      <c r="HJ88" s="31"/>
      <c r="HK88" s="31"/>
      <c r="HL88" s="31"/>
      <c r="HM88" s="31"/>
      <c r="HN88" s="31"/>
      <c r="HO88" s="31"/>
      <c r="HP88" s="31">
        <v>18623685.8</v>
      </c>
      <c r="HQ88" s="31"/>
      <c r="HR88" s="31"/>
      <c r="HS88" s="31"/>
      <c r="HT88" s="31"/>
      <c r="HU88" s="31"/>
      <c r="HV88" s="31"/>
      <c r="HW88" s="31">
        <v>18650759.2</v>
      </c>
      <c r="HX88" s="31"/>
      <c r="HY88" s="31"/>
      <c r="HZ88" s="31"/>
      <c r="IA88" s="31"/>
      <c r="IB88" s="31"/>
      <c r="IC88" s="31"/>
      <c r="ID88" s="31">
        <v>18648641.2</v>
      </c>
      <c r="IE88" s="31"/>
      <c r="IF88" s="31"/>
      <c r="IG88" s="31"/>
      <c r="IH88" s="31"/>
      <c r="II88" s="31"/>
      <c r="IJ88" s="31"/>
      <c r="IK88" s="31">
        <v>18714241.4</v>
      </c>
      <c r="IL88" s="31"/>
      <c r="IM88" s="31"/>
      <c r="IN88" s="31"/>
      <c r="IO88" s="31"/>
      <c r="IP88" s="31"/>
      <c r="IQ88" s="31"/>
      <c r="IR88" s="31">
        <v>18699261.1</v>
      </c>
      <c r="IS88" s="31"/>
      <c r="IT88" s="31"/>
      <c r="IU88" s="31"/>
      <c r="IV88" s="31"/>
      <c r="IW88" s="31"/>
      <c r="IX88" s="31"/>
      <c r="IY88" s="31">
        <v>18724915.4</v>
      </c>
      <c r="IZ88" s="31"/>
      <c r="JA88" s="31"/>
      <c r="JB88" s="31"/>
      <c r="JC88" s="31"/>
      <c r="JD88" s="31"/>
      <c r="JE88" s="31"/>
      <c r="JF88" s="31">
        <v>18735247.7</v>
      </c>
      <c r="JG88" s="31"/>
      <c r="JH88" s="31"/>
      <c r="JI88" s="31"/>
      <c r="JJ88" s="31"/>
      <c r="JK88" s="31"/>
      <c r="JL88" s="31"/>
      <c r="JM88" s="31">
        <v>18758209.8</v>
      </c>
      <c r="JN88" s="31"/>
      <c r="JO88" s="31"/>
      <c r="JP88" s="31"/>
      <c r="JQ88" s="31"/>
      <c r="JR88" s="31"/>
      <c r="JS88" s="31"/>
      <c r="JT88" s="31">
        <v>18782287.5</v>
      </c>
      <c r="JU88" s="31"/>
      <c r="JV88" s="31"/>
      <c r="JW88" s="31"/>
      <c r="JX88" s="31"/>
      <c r="JY88" s="31"/>
      <c r="JZ88" s="23"/>
      <c r="KA88" s="23">
        <v>18790722.8</v>
      </c>
      <c r="KB88" s="23"/>
      <c r="KC88" s="23"/>
      <c r="KD88" s="23"/>
      <c r="KE88" s="23"/>
      <c r="KF88" s="23"/>
      <c r="KG88" s="23"/>
      <c r="KH88" s="23">
        <v>18825805</v>
      </c>
      <c r="KI88" s="23"/>
      <c r="KJ88" s="23"/>
      <c r="KK88" s="23"/>
      <c r="KL88" s="23"/>
      <c r="KM88" s="23"/>
      <c r="KN88" s="23"/>
      <c r="KO88" s="23">
        <v>18850280.2</v>
      </c>
      <c r="KP88" s="23"/>
      <c r="KQ88" s="23"/>
      <c r="KR88" s="23"/>
      <c r="KS88" s="23"/>
      <c r="KT88" s="23"/>
      <c r="KU88" s="23"/>
      <c r="KV88" s="23">
        <v>18839552.8</v>
      </c>
      <c r="KW88" s="23"/>
      <c r="KX88" s="23"/>
      <c r="KY88" s="23"/>
      <c r="KZ88" s="23"/>
      <c r="LA88" s="23"/>
      <c r="LB88" s="23"/>
      <c r="LC88" s="23">
        <v>18867567.7</v>
      </c>
      <c r="LD88" s="23"/>
      <c r="LE88" s="23"/>
      <c r="LF88" s="23"/>
      <c r="LG88" s="23"/>
      <c r="LH88" s="23"/>
      <c r="LI88" s="23"/>
      <c r="LJ88" s="23">
        <v>18896328.9</v>
      </c>
      <c r="LK88" s="23"/>
      <c r="LL88" s="23"/>
      <c r="LM88" s="23"/>
      <c r="LN88" s="23"/>
      <c r="LO88" s="23"/>
      <c r="LP88" s="23"/>
      <c r="LQ88" s="23">
        <v>18922619.5</v>
      </c>
      <c r="LR88" s="23"/>
      <c r="LS88" s="23"/>
      <c r="LT88" s="23"/>
      <c r="LU88" s="23"/>
      <c r="LV88" s="23"/>
      <c r="LW88" s="23"/>
      <c r="LX88" s="23">
        <v>18937567.1</v>
      </c>
      <c r="LY88" s="23"/>
      <c r="LZ88" s="23"/>
      <c r="MA88" s="23"/>
      <c r="MB88" s="23"/>
      <c r="MC88" s="23"/>
      <c r="MD88" s="23"/>
      <c r="ME88" s="23">
        <v>18910539.6</v>
      </c>
      <c r="MF88" s="23"/>
      <c r="MG88" s="23"/>
      <c r="MH88" s="23"/>
      <c r="MI88" s="23"/>
      <c r="MJ88" s="23"/>
      <c r="MK88" s="23"/>
      <c r="ML88" s="23">
        <v>18927917.3</v>
      </c>
      <c r="MM88" s="23"/>
      <c r="MN88" s="23"/>
      <c r="MO88" s="23"/>
      <c r="MP88" s="23"/>
      <c r="MQ88" s="23"/>
      <c r="MR88" s="23"/>
      <c r="MS88" s="23">
        <v>18943644.8</v>
      </c>
      <c r="MT88" s="23"/>
      <c r="MU88" s="23"/>
      <c r="MV88" s="23"/>
      <c r="MW88" s="23"/>
      <c r="MX88" s="23"/>
      <c r="MY88" s="23"/>
      <c r="MZ88" s="23">
        <v>18968863.1</v>
      </c>
      <c r="NA88" s="23"/>
      <c r="NB88" s="23"/>
      <c r="NC88" s="23"/>
      <c r="ND88" s="23"/>
      <c r="NE88" s="23"/>
      <c r="NF88" s="23"/>
      <c r="NG88" s="23">
        <v>18963939.2</v>
      </c>
      <c r="NH88" s="23"/>
      <c r="NI88" s="23"/>
      <c r="NJ88" s="23"/>
      <c r="NK88" s="23"/>
      <c r="NL88" s="23"/>
      <c r="NM88" s="23"/>
      <c r="NN88" s="23">
        <v>19021275.6</v>
      </c>
      <c r="NO88" s="23"/>
      <c r="NP88" s="23"/>
      <c r="NQ88" s="23"/>
      <c r="NR88" s="23"/>
      <c r="NS88" s="23"/>
      <c r="NT88" s="23"/>
      <c r="NU88" s="23">
        <v>19069828.1</v>
      </c>
      <c r="NV88" s="23"/>
      <c r="NW88" s="23"/>
      <c r="NX88" s="23"/>
      <c r="NY88" s="23"/>
      <c r="NZ88" s="23"/>
      <c r="OA88" s="23"/>
      <c r="OB88" s="23">
        <v>19129947.9</v>
      </c>
      <c r="OC88" s="23"/>
      <c r="OD88" s="23"/>
      <c r="OE88" s="23"/>
      <c r="OF88" s="23"/>
      <c r="OG88" s="23"/>
      <c r="OH88" s="23"/>
      <c r="OI88" s="23">
        <v>19144993.2</v>
      </c>
      <c r="OJ88" s="23"/>
      <c r="OK88" s="23"/>
      <c r="OL88" s="23"/>
      <c r="OM88" s="23"/>
      <c r="ON88" s="23"/>
      <c r="OO88" s="23"/>
      <c r="OP88" s="23">
        <v>19184441.5</v>
      </c>
      <c r="OQ88" s="23"/>
      <c r="OR88" s="23"/>
      <c r="OS88" s="23"/>
      <c r="OT88" s="23"/>
      <c r="OU88" s="23"/>
      <c r="OV88" s="23"/>
      <c r="OW88" s="23">
        <v>19240889.3</v>
      </c>
      <c r="OX88" s="23"/>
      <c r="OY88" s="23"/>
      <c r="OZ88" s="23"/>
      <c r="PA88" s="23"/>
      <c r="PB88" s="23"/>
      <c r="PC88" s="23"/>
      <c r="PD88" s="23">
        <v>19265798</v>
      </c>
      <c r="PE88" s="23"/>
      <c r="PF88" s="23"/>
      <c r="PG88" s="23"/>
      <c r="PH88" s="23"/>
      <c r="PI88" s="23"/>
      <c r="PJ88" s="23"/>
      <c r="PK88" s="23">
        <v>19269643.5</v>
      </c>
      <c r="PL88" s="23"/>
      <c r="PM88" s="23"/>
      <c r="PN88" s="23"/>
      <c r="PO88" s="23"/>
      <c r="PP88" s="23"/>
      <c r="PQ88" s="23"/>
      <c r="PR88" s="23">
        <v>19309766.5</v>
      </c>
      <c r="PS88" s="23"/>
      <c r="PT88" s="23"/>
      <c r="PU88" s="23"/>
      <c r="PV88" s="23"/>
      <c r="PW88" s="23"/>
      <c r="PX88" s="23"/>
      <c r="PY88" s="23">
        <v>19343613</v>
      </c>
      <c r="PZ88" s="23"/>
      <c r="QA88" s="23"/>
      <c r="QB88" s="23"/>
      <c r="QC88" s="23"/>
      <c r="QD88" s="23"/>
      <c r="QE88" s="23"/>
      <c r="QF88" s="23">
        <v>19355074.1</v>
      </c>
      <c r="QG88" s="23"/>
      <c r="QH88" s="23"/>
      <c r="QI88" s="23"/>
      <c r="QJ88" s="23"/>
      <c r="QK88" s="23"/>
      <c r="QL88" s="23"/>
      <c r="QM88" s="23">
        <v>19382156.2</v>
      </c>
      <c r="QN88" s="23"/>
      <c r="QO88" s="23"/>
      <c r="QP88" s="23"/>
      <c r="QQ88" s="23"/>
      <c r="QR88" s="23"/>
      <c r="QS88" s="23"/>
      <c r="QT88" s="23">
        <v>19419060.9</v>
      </c>
      <c r="QU88" s="23"/>
      <c r="QV88" s="23"/>
      <c r="QW88" s="23"/>
      <c r="QX88" s="23"/>
      <c r="QY88" s="23"/>
      <c r="QZ88" s="23"/>
      <c r="RA88" s="23">
        <v>19447039.8</v>
      </c>
      <c r="RB88" s="23"/>
      <c r="RC88" s="23"/>
      <c r="RD88" s="23"/>
      <c r="RE88" s="23"/>
      <c r="RF88" s="23"/>
      <c r="RG88" s="23"/>
      <c r="RH88" s="23">
        <v>19464295.1</v>
      </c>
      <c r="RI88" s="23"/>
      <c r="RJ88" s="23"/>
      <c r="RK88" s="23"/>
      <c r="RL88" s="23"/>
      <c r="RM88" s="23"/>
      <c r="RN88" s="23"/>
      <c r="RO88" s="23">
        <v>19456297.5</v>
      </c>
      <c r="RP88" s="23"/>
      <c r="RQ88" s="23"/>
      <c r="RR88" s="23"/>
      <c r="RS88" s="23"/>
      <c r="RT88" s="23"/>
      <c r="RU88" s="23"/>
      <c r="RV88" s="23">
        <v>19462650.1</v>
      </c>
      <c r="RW88" s="23"/>
      <c r="RX88" s="23"/>
      <c r="RY88" s="23"/>
      <c r="RZ88" s="23"/>
      <c r="SA88" s="23"/>
      <c r="SB88" s="23"/>
      <c r="SC88" s="23">
        <v>19495662.2</v>
      </c>
      <c r="SD88" s="23"/>
      <c r="SE88" s="23"/>
      <c r="SF88" s="23"/>
      <c r="SG88" s="23"/>
      <c r="SH88" s="23"/>
      <c r="SI88" s="23"/>
      <c r="SJ88" s="23">
        <v>19531619.9</v>
      </c>
      <c r="SK88" s="23"/>
      <c r="SL88" s="23"/>
      <c r="SM88" s="23"/>
      <c r="SN88" s="23"/>
      <c r="SO88" s="23"/>
      <c r="SP88" s="23"/>
      <c r="SQ88" s="23">
        <v>19561476</v>
      </c>
      <c r="SR88" s="23"/>
      <c r="SS88" s="23"/>
      <c r="ST88" s="23"/>
      <c r="SU88" s="23"/>
      <c r="SV88" s="23"/>
      <c r="SW88" s="23"/>
      <c r="SX88" s="23">
        <v>19578731.5</v>
      </c>
      <c r="SY88" s="23"/>
      <c r="SZ88" s="23"/>
      <c r="TA88" s="23"/>
      <c r="TB88" s="23"/>
      <c r="TC88" s="23"/>
      <c r="TD88" s="23"/>
      <c r="TE88" s="23">
        <v>19567738.7</v>
      </c>
      <c r="TF88" s="23"/>
      <c r="TG88" s="23"/>
      <c r="TH88" s="23"/>
      <c r="TI88" s="23"/>
      <c r="TJ88" s="23"/>
      <c r="TK88" s="23"/>
      <c r="TL88" s="23">
        <v>19619551.2</v>
      </c>
      <c r="TM88" s="23"/>
      <c r="TN88" s="23"/>
      <c r="TO88" s="23"/>
      <c r="TP88" s="23"/>
      <c r="TQ88" s="23"/>
      <c r="TR88" s="23"/>
      <c r="TS88" s="23">
        <v>19620843.1</v>
      </c>
      <c r="TT88" s="23"/>
      <c r="TU88" s="23"/>
      <c r="TV88" s="23"/>
      <c r="TW88" s="23"/>
      <c r="TX88" s="23"/>
      <c r="TY88" s="23"/>
      <c r="TZ88" s="23">
        <v>19643284.5</v>
      </c>
      <c r="UA88" s="23"/>
      <c r="UB88" s="23"/>
      <c r="UC88" s="23"/>
      <c r="UD88" s="23"/>
      <c r="UE88" s="23"/>
      <c r="UF88" s="23"/>
      <c r="UG88" s="23"/>
      <c r="UH88" s="23"/>
      <c r="UI88" s="23"/>
      <c r="UJ88" s="23"/>
      <c r="UK88" s="23"/>
      <c r="UL88" s="23"/>
      <c r="UM88" s="23"/>
      <c r="UN88" s="23"/>
      <c r="UO88" s="23"/>
      <c r="UP88" s="23"/>
      <c r="UQ88" s="23"/>
      <c r="UR88" s="23"/>
      <c r="US88" s="23"/>
      <c r="UT88" s="23"/>
    </row>
    <row r="89" ht="16.5" customHeight="1" spans="4:566">
      <c r="D89" s="26" t="s">
        <v>324</v>
      </c>
      <c r="E89" s="21" t="s">
        <v>325</v>
      </c>
      <c r="F89" s="31"/>
      <c r="G89" s="31">
        <v>721892</v>
      </c>
      <c r="H89" s="31"/>
      <c r="I89" s="31"/>
      <c r="J89" s="31"/>
      <c r="K89" s="31"/>
      <c r="L89" s="31"/>
      <c r="M89" s="31"/>
      <c r="N89" s="31">
        <v>620531</v>
      </c>
      <c r="O89" s="31"/>
      <c r="P89" s="31"/>
      <c r="Q89" s="31"/>
      <c r="R89" s="31"/>
      <c r="S89" s="31"/>
      <c r="T89" s="31"/>
      <c r="U89" s="31">
        <v>651187</v>
      </c>
      <c r="V89" s="31"/>
      <c r="W89" s="31"/>
      <c r="X89" s="31"/>
      <c r="Y89" s="31"/>
      <c r="Z89" s="31"/>
      <c r="AA89" s="31"/>
      <c r="AB89" s="31">
        <v>665485</v>
      </c>
      <c r="AC89" s="31"/>
      <c r="AD89" s="31"/>
      <c r="AE89" s="31"/>
      <c r="AF89" s="31"/>
      <c r="AG89" s="31"/>
      <c r="AH89" s="31"/>
      <c r="AI89" s="31">
        <v>811549</v>
      </c>
      <c r="AJ89" s="31"/>
      <c r="AK89" s="31"/>
      <c r="AL89" s="31"/>
      <c r="AM89" s="31"/>
      <c r="AN89" s="31"/>
      <c r="AO89" s="31"/>
      <c r="AP89" s="31">
        <v>817953</v>
      </c>
      <c r="AQ89" s="31"/>
      <c r="AR89" s="31"/>
      <c r="AS89" s="31"/>
      <c r="AT89" s="31"/>
      <c r="AU89" s="31"/>
      <c r="AV89" s="31"/>
      <c r="AW89" s="31">
        <v>809154</v>
      </c>
      <c r="AX89" s="31"/>
      <c r="AY89" s="31"/>
      <c r="AZ89" s="31"/>
      <c r="BA89" s="31"/>
      <c r="BB89" s="31"/>
      <c r="BC89" s="31"/>
      <c r="BD89" s="31">
        <v>738938</v>
      </c>
      <c r="BE89" s="31"/>
      <c r="BF89" s="31"/>
      <c r="BG89" s="31"/>
      <c r="BH89" s="31"/>
      <c r="BI89" s="31"/>
      <c r="BJ89" s="31"/>
      <c r="BK89" s="31">
        <v>568550</v>
      </c>
      <c r="BL89" s="31"/>
      <c r="BM89" s="31"/>
      <c r="BN89" s="31"/>
      <c r="BO89" s="31"/>
      <c r="BP89" s="31"/>
      <c r="BQ89" s="31"/>
      <c r="BR89" s="31">
        <v>522818</v>
      </c>
      <c r="BS89" s="31"/>
      <c r="BT89" s="31"/>
      <c r="BU89" s="31"/>
      <c r="BV89" s="31"/>
      <c r="BW89" s="31"/>
      <c r="BX89" s="31"/>
      <c r="BY89" s="31">
        <v>450713</v>
      </c>
      <c r="BZ89" s="31"/>
      <c r="CA89" s="31"/>
      <c r="CB89" s="31"/>
      <c r="CC89" s="31"/>
      <c r="CD89" s="31"/>
      <c r="CE89" s="31"/>
      <c r="CF89" s="31">
        <v>415799</v>
      </c>
      <c r="CG89" s="31"/>
      <c r="CH89" s="31"/>
      <c r="CI89" s="31"/>
      <c r="CJ89" s="31"/>
      <c r="CK89" s="31"/>
      <c r="CL89" s="31"/>
      <c r="CM89" s="31">
        <v>315970</v>
      </c>
      <c r="CN89" s="31"/>
      <c r="CO89" s="31"/>
      <c r="CP89" s="31"/>
      <c r="CQ89" s="31"/>
      <c r="CR89" s="31"/>
      <c r="CS89" s="31"/>
      <c r="CT89" s="31">
        <v>301624</v>
      </c>
      <c r="CU89" s="31"/>
      <c r="CV89" s="31"/>
      <c r="CW89" s="31"/>
      <c r="CX89" s="31"/>
      <c r="CY89" s="31"/>
      <c r="CZ89" s="31"/>
      <c r="DA89" s="31">
        <v>315189</v>
      </c>
      <c r="DB89" s="31"/>
      <c r="DC89" s="31"/>
      <c r="DD89" s="31"/>
      <c r="DE89" s="31"/>
      <c r="DF89" s="31"/>
      <c r="DG89" s="31"/>
      <c r="DH89" s="31">
        <v>638783</v>
      </c>
      <c r="DI89" s="31"/>
      <c r="DJ89" s="31"/>
      <c r="DK89" s="31"/>
      <c r="DL89" s="31"/>
      <c r="DM89" s="31"/>
      <c r="DN89" s="31"/>
      <c r="DO89" s="31">
        <v>576159</v>
      </c>
      <c r="DP89" s="31"/>
      <c r="DQ89" s="31"/>
      <c r="DR89" s="31"/>
      <c r="DS89" s="31"/>
      <c r="DT89" s="31"/>
      <c r="DU89" s="31"/>
      <c r="DV89" s="31">
        <v>677657</v>
      </c>
      <c r="DW89" s="31"/>
      <c r="DX89" s="31"/>
      <c r="DY89" s="31"/>
      <c r="DZ89" s="31"/>
      <c r="EA89" s="31"/>
      <c r="EB89" s="31"/>
      <c r="EC89" s="31">
        <v>595860</v>
      </c>
      <c r="ED89" s="31"/>
      <c r="EE89" s="31"/>
      <c r="EF89" s="31"/>
      <c r="EG89" s="31"/>
      <c r="EH89" s="31"/>
      <c r="EI89" s="31"/>
      <c r="EJ89" s="31">
        <v>562433</v>
      </c>
      <c r="EK89" s="31"/>
      <c r="EL89" s="31"/>
      <c r="EM89" s="31"/>
      <c r="EN89" s="31"/>
      <c r="EO89" s="31"/>
      <c r="EP89" s="31"/>
      <c r="EQ89" s="31">
        <v>475886</v>
      </c>
      <c r="ER89" s="31"/>
      <c r="ES89" s="31"/>
      <c r="ET89" s="31"/>
      <c r="EU89" s="31"/>
      <c r="EV89" s="31"/>
      <c r="EW89" s="31"/>
      <c r="EX89" s="31">
        <v>436627</v>
      </c>
      <c r="EY89" s="31"/>
      <c r="EZ89" s="31"/>
      <c r="FA89" s="31"/>
      <c r="FB89" s="31"/>
      <c r="FC89" s="31"/>
      <c r="FD89" s="31"/>
      <c r="FE89" s="31">
        <v>376160</v>
      </c>
      <c r="FF89" s="31"/>
      <c r="FG89" s="31"/>
      <c r="FH89" s="31"/>
      <c r="FI89" s="31"/>
      <c r="FJ89" s="31"/>
      <c r="FK89" s="31"/>
      <c r="FL89" s="31">
        <v>277025</v>
      </c>
      <c r="FM89" s="31"/>
      <c r="FN89" s="31"/>
      <c r="FO89" s="31"/>
      <c r="FP89" s="31"/>
      <c r="FQ89" s="31"/>
      <c r="FR89" s="31"/>
      <c r="FS89" s="31">
        <v>383851</v>
      </c>
      <c r="FT89" s="31"/>
      <c r="FU89" s="31"/>
      <c r="FV89" s="31"/>
      <c r="FW89" s="31"/>
      <c r="FX89" s="31"/>
      <c r="FY89" s="31"/>
      <c r="FZ89" s="31">
        <v>334579</v>
      </c>
      <c r="GA89" s="31"/>
      <c r="GB89" s="31"/>
      <c r="GC89" s="31"/>
      <c r="GD89" s="31"/>
      <c r="GE89" s="31"/>
      <c r="GF89" s="31"/>
      <c r="GG89" s="31">
        <v>372232</v>
      </c>
      <c r="GH89" s="31"/>
      <c r="GI89" s="31"/>
      <c r="GJ89" s="31"/>
      <c r="GK89" s="31"/>
      <c r="GL89" s="31"/>
      <c r="GM89" s="31"/>
      <c r="GN89" s="31">
        <v>311048</v>
      </c>
      <c r="GO89" s="31"/>
      <c r="GP89" s="31"/>
      <c r="GQ89" s="31"/>
      <c r="GR89" s="31"/>
      <c r="GS89" s="31"/>
      <c r="GT89" s="31"/>
      <c r="GU89" s="31">
        <v>312085</v>
      </c>
      <c r="GV89" s="31"/>
      <c r="GW89" s="31"/>
      <c r="GX89" s="31"/>
      <c r="GY89" s="31"/>
      <c r="GZ89" s="31"/>
      <c r="HA89" s="31"/>
      <c r="HB89" s="31">
        <v>333538</v>
      </c>
      <c r="HC89" s="31"/>
      <c r="HD89" s="31"/>
      <c r="HE89" s="31"/>
      <c r="HF89" s="31"/>
      <c r="HG89" s="31"/>
      <c r="HH89" s="31"/>
      <c r="HI89" s="31">
        <v>419446</v>
      </c>
      <c r="HJ89" s="31"/>
      <c r="HK89" s="31"/>
      <c r="HL89" s="31"/>
      <c r="HM89" s="31"/>
      <c r="HN89" s="31"/>
      <c r="HO89" s="31"/>
      <c r="HP89" s="31">
        <v>464315</v>
      </c>
      <c r="HQ89" s="31"/>
      <c r="HR89" s="31"/>
      <c r="HS89" s="31"/>
      <c r="HT89" s="31"/>
      <c r="HU89" s="31"/>
      <c r="HV89" s="31"/>
      <c r="HW89" s="31">
        <v>515469</v>
      </c>
      <c r="HX89" s="31"/>
      <c r="HY89" s="31"/>
      <c r="HZ89" s="31"/>
      <c r="IA89" s="31"/>
      <c r="IB89" s="31"/>
      <c r="IC89" s="31"/>
      <c r="ID89" s="31">
        <v>526063</v>
      </c>
      <c r="IE89" s="31"/>
      <c r="IF89" s="31"/>
      <c r="IG89" s="31"/>
      <c r="IH89" s="31"/>
      <c r="II89" s="31"/>
      <c r="IJ89" s="31"/>
      <c r="IK89" s="31">
        <v>595798</v>
      </c>
      <c r="IL89" s="31"/>
      <c r="IM89" s="31"/>
      <c r="IN89" s="31"/>
      <c r="IO89" s="31"/>
      <c r="IP89" s="31"/>
      <c r="IQ89" s="31"/>
      <c r="IR89" s="31">
        <v>661939</v>
      </c>
      <c r="IS89" s="31"/>
      <c r="IT89" s="31"/>
      <c r="IU89" s="31"/>
      <c r="IV89" s="31"/>
      <c r="IW89" s="31"/>
      <c r="IX89" s="31"/>
      <c r="IY89" s="31">
        <v>667585</v>
      </c>
      <c r="IZ89" s="31"/>
      <c r="JA89" s="31"/>
      <c r="JB89" s="31"/>
      <c r="JC89" s="31"/>
      <c r="JD89" s="31"/>
      <c r="JE89" s="31"/>
      <c r="JF89" s="31">
        <v>807142</v>
      </c>
      <c r="JG89" s="31"/>
      <c r="JH89" s="31"/>
      <c r="JI89" s="31"/>
      <c r="JJ89" s="31"/>
      <c r="JK89" s="31"/>
      <c r="JL89" s="31"/>
      <c r="JM89" s="31">
        <v>757970</v>
      </c>
      <c r="JN89" s="31"/>
      <c r="JO89" s="31"/>
      <c r="JP89" s="31"/>
      <c r="JQ89" s="31"/>
      <c r="JR89" s="31"/>
      <c r="JS89" s="31"/>
      <c r="JT89" s="31">
        <v>819378</v>
      </c>
      <c r="JU89" s="31"/>
      <c r="JV89" s="31"/>
      <c r="JW89" s="31"/>
      <c r="JX89" s="31"/>
      <c r="JY89" s="31"/>
      <c r="JZ89" s="23"/>
      <c r="KA89" s="23">
        <v>794054</v>
      </c>
      <c r="KB89" s="23"/>
      <c r="KC89" s="23"/>
      <c r="KD89" s="23"/>
      <c r="KE89" s="23"/>
      <c r="KF89" s="23"/>
      <c r="KG89" s="23"/>
      <c r="KH89" s="23">
        <v>851952</v>
      </c>
      <c r="KI89" s="23"/>
      <c r="KJ89" s="23"/>
      <c r="KK89" s="23"/>
      <c r="KL89" s="23"/>
      <c r="KM89" s="23"/>
      <c r="KN89" s="23"/>
      <c r="KO89" s="23">
        <v>905074</v>
      </c>
      <c r="KP89" s="23"/>
      <c r="KQ89" s="23"/>
      <c r="KR89" s="23"/>
      <c r="KS89" s="23"/>
      <c r="KT89" s="23"/>
      <c r="KU89" s="23"/>
      <c r="KV89" s="23">
        <v>983859</v>
      </c>
      <c r="KW89" s="23"/>
      <c r="KX89" s="23"/>
      <c r="KY89" s="23"/>
      <c r="KZ89" s="23"/>
      <c r="LA89" s="23"/>
      <c r="LB89" s="23"/>
      <c r="LC89" s="23">
        <v>942700</v>
      </c>
      <c r="LD89" s="23"/>
      <c r="LE89" s="23"/>
      <c r="LF89" s="23"/>
      <c r="LG89" s="23"/>
      <c r="LH89" s="23"/>
      <c r="LI89" s="23"/>
      <c r="LJ89" s="23">
        <v>943145</v>
      </c>
      <c r="LK89" s="23"/>
      <c r="LL89" s="23"/>
      <c r="LM89" s="23"/>
      <c r="LN89" s="23"/>
      <c r="LO89" s="23"/>
      <c r="LP89" s="23"/>
      <c r="LQ89" s="23">
        <v>900832</v>
      </c>
      <c r="LR89" s="23"/>
      <c r="LS89" s="23"/>
      <c r="LT89" s="23"/>
      <c r="LU89" s="23"/>
      <c r="LV89" s="23"/>
      <c r="LW89" s="23"/>
      <c r="LX89" s="23">
        <v>899678</v>
      </c>
      <c r="LY89" s="23"/>
      <c r="LZ89" s="23"/>
      <c r="MA89" s="23"/>
      <c r="MB89" s="23"/>
      <c r="MC89" s="23"/>
      <c r="MD89" s="23"/>
      <c r="ME89" s="23">
        <v>908523</v>
      </c>
      <c r="MF89" s="23"/>
      <c r="MG89" s="23"/>
      <c r="MH89" s="23"/>
      <c r="MI89" s="23"/>
      <c r="MJ89" s="23"/>
      <c r="MK89" s="23"/>
      <c r="ML89" s="23">
        <v>805827</v>
      </c>
      <c r="MM89" s="23"/>
      <c r="MN89" s="23"/>
      <c r="MO89" s="23"/>
      <c r="MP89" s="23"/>
      <c r="MQ89" s="23"/>
      <c r="MR89" s="23"/>
      <c r="MS89" s="23">
        <v>861417</v>
      </c>
      <c r="MT89" s="23"/>
      <c r="MU89" s="23"/>
      <c r="MV89" s="23"/>
      <c r="MW89" s="23"/>
      <c r="MX89" s="23"/>
      <c r="MY89" s="23"/>
      <c r="MZ89" s="23">
        <v>801537</v>
      </c>
      <c r="NA89" s="23"/>
      <c r="NB89" s="23"/>
      <c r="NC89" s="23"/>
      <c r="ND89" s="23"/>
      <c r="NE89" s="23"/>
      <c r="NF89" s="23"/>
      <c r="NG89" s="23">
        <v>872853</v>
      </c>
      <c r="NH89" s="23"/>
      <c r="NI89" s="23"/>
      <c r="NJ89" s="23"/>
      <c r="NK89" s="23"/>
      <c r="NL89" s="23"/>
      <c r="NM89" s="23"/>
      <c r="NN89" s="23">
        <v>783571</v>
      </c>
      <c r="NO89" s="23"/>
      <c r="NP89" s="23"/>
      <c r="NQ89" s="23"/>
      <c r="NR89" s="23"/>
      <c r="NS89" s="23"/>
      <c r="NT89" s="23"/>
      <c r="NU89" s="23">
        <v>777061</v>
      </c>
      <c r="NV89" s="23"/>
      <c r="NW89" s="23"/>
      <c r="NX89" s="23"/>
      <c r="NY89" s="23"/>
      <c r="NZ89" s="23"/>
      <c r="OA89" s="23"/>
      <c r="OB89" s="23">
        <v>871169</v>
      </c>
      <c r="OC89" s="23"/>
      <c r="OD89" s="23"/>
      <c r="OE89" s="23"/>
      <c r="OF89" s="23"/>
      <c r="OG89" s="23"/>
      <c r="OH89" s="23"/>
      <c r="OI89" s="23">
        <v>952705</v>
      </c>
      <c r="OJ89" s="23"/>
      <c r="OK89" s="23"/>
      <c r="OL89" s="23"/>
      <c r="OM89" s="23"/>
      <c r="ON89" s="23"/>
      <c r="OO89" s="23"/>
      <c r="OP89" s="23">
        <v>907737</v>
      </c>
      <c r="OQ89" s="23"/>
      <c r="OR89" s="23"/>
      <c r="OS89" s="23"/>
      <c r="OT89" s="23"/>
      <c r="OU89" s="23"/>
      <c r="OV89" s="23"/>
      <c r="OW89" s="23">
        <v>910533</v>
      </c>
      <c r="OX89" s="23"/>
      <c r="OY89" s="23"/>
      <c r="OZ89" s="23"/>
      <c r="PA89" s="23"/>
      <c r="PB89" s="23"/>
      <c r="PC89" s="23"/>
      <c r="PD89" s="23">
        <v>888854</v>
      </c>
      <c r="PE89" s="23"/>
      <c r="PF89" s="23"/>
      <c r="PG89" s="23"/>
      <c r="PH89" s="23"/>
      <c r="PI89" s="23"/>
      <c r="PJ89" s="23"/>
      <c r="PK89" s="23">
        <v>838975</v>
      </c>
      <c r="PL89" s="23"/>
      <c r="PM89" s="23"/>
      <c r="PN89" s="23"/>
      <c r="PO89" s="23"/>
      <c r="PP89" s="23"/>
      <c r="PQ89" s="23"/>
      <c r="PR89" s="23">
        <v>846979</v>
      </c>
      <c r="PS89" s="23"/>
      <c r="PT89" s="23"/>
      <c r="PU89" s="23"/>
      <c r="PV89" s="23"/>
      <c r="PW89" s="23"/>
      <c r="PX89" s="23"/>
      <c r="PY89" s="23">
        <v>805806</v>
      </c>
      <c r="PZ89" s="23"/>
      <c r="QA89" s="23"/>
      <c r="QB89" s="23"/>
      <c r="QC89" s="23"/>
      <c r="QD89" s="23"/>
      <c r="QE89" s="23"/>
      <c r="QF89" s="23">
        <v>875833</v>
      </c>
      <c r="QG89" s="23"/>
      <c r="QH89" s="23"/>
      <c r="QI89" s="23"/>
      <c r="QJ89" s="23"/>
      <c r="QK89" s="23"/>
      <c r="QL89" s="23"/>
      <c r="QM89" s="23">
        <v>837412</v>
      </c>
      <c r="QN89" s="23"/>
      <c r="QO89" s="23"/>
      <c r="QP89" s="23"/>
      <c r="QQ89" s="23"/>
      <c r="QR89" s="23"/>
      <c r="QS89" s="23"/>
      <c r="QT89" s="23">
        <v>803553</v>
      </c>
      <c r="QU89" s="23"/>
      <c r="QV89" s="23"/>
      <c r="QW89" s="23"/>
      <c r="QX89" s="23"/>
      <c r="QY89" s="23"/>
      <c r="QZ89" s="23"/>
      <c r="RA89" s="23">
        <v>697079</v>
      </c>
      <c r="RB89" s="23"/>
      <c r="RC89" s="23"/>
      <c r="RD89" s="23"/>
      <c r="RE89" s="23"/>
      <c r="RF89" s="23"/>
      <c r="RG89" s="23"/>
      <c r="RH89" s="23">
        <v>924435</v>
      </c>
      <c r="RI89" s="23"/>
      <c r="RJ89" s="23"/>
      <c r="RK89" s="23"/>
      <c r="RL89" s="23"/>
      <c r="RM89" s="23"/>
      <c r="RN89" s="23"/>
      <c r="RO89" s="23">
        <v>1007172</v>
      </c>
      <c r="RP89" s="23"/>
      <c r="RQ89" s="23"/>
      <c r="RR89" s="23"/>
      <c r="RS89" s="23"/>
      <c r="RT89" s="23"/>
      <c r="RU89" s="23"/>
      <c r="RV89" s="23">
        <v>988102</v>
      </c>
      <c r="RW89" s="23"/>
      <c r="RX89" s="23"/>
      <c r="RY89" s="23"/>
      <c r="RZ89" s="23"/>
      <c r="SA89" s="23"/>
      <c r="SB89" s="23"/>
      <c r="SC89" s="23">
        <v>862757</v>
      </c>
      <c r="SD89" s="23"/>
      <c r="SE89" s="23"/>
      <c r="SF89" s="23"/>
      <c r="SG89" s="23"/>
      <c r="SH89" s="23"/>
      <c r="SI89" s="23"/>
      <c r="SJ89" s="23">
        <v>807420</v>
      </c>
      <c r="SK89" s="23"/>
      <c r="SL89" s="23"/>
      <c r="SM89" s="23"/>
      <c r="SN89" s="23"/>
      <c r="SO89" s="23"/>
      <c r="SP89" s="23"/>
      <c r="SQ89" s="23">
        <v>781979</v>
      </c>
      <c r="SR89" s="23"/>
      <c r="SS89" s="23"/>
      <c r="ST89" s="23"/>
      <c r="SU89" s="23"/>
      <c r="SV89" s="23"/>
      <c r="SW89" s="23"/>
      <c r="SX89" s="23">
        <v>842660</v>
      </c>
      <c r="SY89" s="23"/>
      <c r="SZ89" s="23"/>
      <c r="TA89" s="23"/>
      <c r="TB89" s="23"/>
      <c r="TC89" s="23"/>
      <c r="TD89" s="23"/>
      <c r="TE89" s="23">
        <v>845722</v>
      </c>
      <c r="TF89" s="23"/>
      <c r="TG89" s="23"/>
      <c r="TH89" s="23"/>
      <c r="TI89" s="23"/>
      <c r="TJ89" s="23"/>
      <c r="TK89" s="23"/>
      <c r="TL89" s="23">
        <v>801084</v>
      </c>
      <c r="TM89" s="23"/>
      <c r="TN89" s="23"/>
      <c r="TO89" s="23"/>
      <c r="TP89" s="23"/>
      <c r="TQ89" s="23"/>
      <c r="TR89" s="23"/>
      <c r="TS89" s="23">
        <v>956502</v>
      </c>
      <c r="TT89" s="23"/>
      <c r="TU89" s="23"/>
      <c r="TV89" s="23"/>
      <c r="TW89" s="23"/>
      <c r="TX89" s="23"/>
      <c r="TY89" s="23"/>
      <c r="TZ89" s="23">
        <v>901845</v>
      </c>
      <c r="UA89" s="23"/>
      <c r="UB89" s="23"/>
      <c r="UC89" s="23"/>
      <c r="UD89" s="23"/>
      <c r="UE89" s="23"/>
      <c r="UF89" s="23"/>
      <c r="UG89" s="23">
        <v>807359</v>
      </c>
      <c r="UH89" s="23"/>
      <c r="UI89" s="23"/>
      <c r="UJ89" s="23"/>
      <c r="UK89" s="23"/>
      <c r="UL89" s="23"/>
      <c r="UM89" s="23"/>
      <c r="UN89" s="23"/>
      <c r="UO89" s="23"/>
      <c r="UP89" s="23"/>
      <c r="UQ89" s="23"/>
      <c r="UR89" s="23"/>
      <c r="US89" s="23"/>
      <c r="UT89" s="23"/>
    </row>
    <row r="90" ht="16.5" customHeight="1" spans="4:566">
      <c r="D90" s="26" t="s">
        <v>326</v>
      </c>
      <c r="E90" s="21" t="s">
        <v>327</v>
      </c>
      <c r="F90" s="31"/>
      <c r="G90" s="31"/>
      <c r="H90" s="31">
        <v>17.93</v>
      </c>
      <c r="I90" s="31">
        <v>16.13</v>
      </c>
      <c r="J90" s="31"/>
      <c r="K90" s="31"/>
      <c r="L90" s="31">
        <v>16.04</v>
      </c>
      <c r="M90" s="31">
        <v>17.82</v>
      </c>
      <c r="N90" s="31">
        <v>17.7</v>
      </c>
      <c r="O90" s="31">
        <v>18.07</v>
      </c>
      <c r="P90" s="31">
        <v>19.54</v>
      </c>
      <c r="Q90" s="31"/>
      <c r="R90" s="31"/>
      <c r="S90" s="31">
        <v>19.19</v>
      </c>
      <c r="T90" s="31">
        <v>18.71</v>
      </c>
      <c r="U90" s="31">
        <v>16.12</v>
      </c>
      <c r="V90" s="31">
        <v>16.6</v>
      </c>
      <c r="W90" s="31">
        <v>15.97</v>
      </c>
      <c r="X90" s="31"/>
      <c r="Y90" s="31"/>
      <c r="Z90" s="31">
        <v>15.81</v>
      </c>
      <c r="AA90" s="31">
        <v>15.06</v>
      </c>
      <c r="AB90" s="31">
        <v>15.1</v>
      </c>
      <c r="AC90" s="31">
        <v>15.02</v>
      </c>
      <c r="AD90" s="31">
        <v>14.85</v>
      </c>
      <c r="AE90" s="31"/>
      <c r="AF90" s="31"/>
      <c r="AG90" s="31">
        <v>17.9</v>
      </c>
      <c r="AH90" s="31">
        <v>16.41</v>
      </c>
      <c r="AI90" s="31">
        <v>16.56</v>
      </c>
      <c r="AJ90" s="31">
        <v>15.84</v>
      </c>
      <c r="AK90" s="31">
        <v>16.43</v>
      </c>
      <c r="AL90" s="31"/>
      <c r="AM90" s="31"/>
      <c r="AN90" s="31">
        <v>18.62</v>
      </c>
      <c r="AO90" s="31">
        <v>17.21</v>
      </c>
      <c r="AP90" s="31">
        <v>15.77</v>
      </c>
      <c r="AQ90" s="31">
        <v>15.5</v>
      </c>
      <c r="AR90" s="31">
        <v>16.54</v>
      </c>
      <c r="AS90" s="31"/>
      <c r="AT90" s="31"/>
      <c r="AU90" s="31">
        <v>15.81</v>
      </c>
      <c r="AV90" s="31">
        <v>16.02</v>
      </c>
      <c r="AW90" s="31">
        <v>15.89</v>
      </c>
      <c r="AX90" s="31">
        <v>15.1</v>
      </c>
      <c r="AY90" s="31">
        <v>14.77</v>
      </c>
      <c r="AZ90" s="31"/>
      <c r="BA90" s="31"/>
      <c r="BB90" s="31">
        <v>15.37</v>
      </c>
      <c r="BC90" s="31">
        <v>15.35</v>
      </c>
      <c r="BD90" s="31">
        <v>15.27</v>
      </c>
      <c r="BE90" s="31">
        <v>15.66</v>
      </c>
      <c r="BF90" s="31">
        <v>18.21</v>
      </c>
      <c r="BG90" s="31"/>
      <c r="BH90" s="31"/>
      <c r="BI90" s="31">
        <v>18.98</v>
      </c>
      <c r="BJ90" s="31">
        <v>19.43</v>
      </c>
      <c r="BK90" s="31">
        <v>19.1</v>
      </c>
      <c r="BL90" s="31">
        <v>21.13</v>
      </c>
      <c r="BM90" s="31">
        <v>19.63</v>
      </c>
      <c r="BN90" s="31"/>
      <c r="BO90" s="31"/>
      <c r="BP90" s="31">
        <v>22.78</v>
      </c>
      <c r="BQ90" s="31">
        <v>23.51</v>
      </c>
      <c r="BR90" s="31">
        <v>21.93</v>
      </c>
      <c r="BS90" s="31">
        <v>24.87</v>
      </c>
      <c r="BT90" s="31">
        <v>23.37</v>
      </c>
      <c r="BU90" s="31"/>
      <c r="BV90" s="31"/>
      <c r="BW90" s="31">
        <v>27.86</v>
      </c>
      <c r="BX90" s="31">
        <v>26.92</v>
      </c>
      <c r="BY90" s="31">
        <v>24.23</v>
      </c>
      <c r="BZ90" s="31">
        <v>24.66</v>
      </c>
      <c r="CA90" s="31">
        <v>21.77</v>
      </c>
      <c r="CB90" s="31"/>
      <c r="CC90" s="31"/>
      <c r="CD90" s="31">
        <v>20.51</v>
      </c>
      <c r="CE90" s="31">
        <v>21.7</v>
      </c>
      <c r="CF90" s="31">
        <v>19.9</v>
      </c>
      <c r="CG90" s="31">
        <v>19.8</v>
      </c>
      <c r="CH90" s="31">
        <v>19.28</v>
      </c>
      <c r="CI90" s="31"/>
      <c r="CJ90" s="31"/>
      <c r="CK90" s="31">
        <v>17.48</v>
      </c>
      <c r="CL90" s="31">
        <v>17.15</v>
      </c>
      <c r="CM90" s="31">
        <v>18.33</v>
      </c>
      <c r="CN90" s="31">
        <v>18.69</v>
      </c>
      <c r="CO90" s="31">
        <v>21.65</v>
      </c>
      <c r="CP90" s="31"/>
      <c r="CQ90" s="31"/>
      <c r="CR90" s="31">
        <v>22.28</v>
      </c>
      <c r="CS90" s="31">
        <v>21.77</v>
      </c>
      <c r="CT90" s="31">
        <v>21.51</v>
      </c>
      <c r="CU90" s="31">
        <v>30.02</v>
      </c>
      <c r="CV90" s="31">
        <v>45.31</v>
      </c>
      <c r="CW90" s="31"/>
      <c r="CX90" s="31"/>
      <c r="CY90" s="31">
        <v>46.98</v>
      </c>
      <c r="CZ90" s="31">
        <v>52.33</v>
      </c>
      <c r="DA90" s="31">
        <v>33.62</v>
      </c>
      <c r="DB90" s="31">
        <v>40.72</v>
      </c>
      <c r="DC90" s="31">
        <v>37.56</v>
      </c>
      <c r="DD90" s="31"/>
      <c r="DE90" s="31"/>
      <c r="DF90" s="31">
        <v>30.89</v>
      </c>
      <c r="DG90" s="31">
        <v>30.12</v>
      </c>
      <c r="DH90" s="31">
        <v>32.64</v>
      </c>
      <c r="DI90" s="31">
        <v>29.65</v>
      </c>
      <c r="DJ90" s="31"/>
      <c r="DK90" s="31"/>
      <c r="DL90" s="31"/>
      <c r="DM90" s="31">
        <v>33.82</v>
      </c>
      <c r="DN90" s="31">
        <v>30.57</v>
      </c>
      <c r="DO90" s="31">
        <v>28.45</v>
      </c>
      <c r="DP90" s="31">
        <v>26.47</v>
      </c>
      <c r="DQ90" s="31">
        <v>24.84</v>
      </c>
      <c r="DR90" s="31"/>
      <c r="DS90" s="31"/>
      <c r="DT90" s="31">
        <v>25.15</v>
      </c>
      <c r="DU90" s="31">
        <v>24.17</v>
      </c>
      <c r="DV90" s="31">
        <v>24.7</v>
      </c>
      <c r="DW90" s="31">
        <v>24.6</v>
      </c>
      <c r="DX90" s="31">
        <v>22.68</v>
      </c>
      <c r="DY90" s="31"/>
      <c r="DZ90" s="31"/>
      <c r="EA90" s="31">
        <v>23.64</v>
      </c>
      <c r="EB90" s="31">
        <v>24.76</v>
      </c>
      <c r="EC90" s="31">
        <v>23.55</v>
      </c>
      <c r="ED90" s="31">
        <v>22.48</v>
      </c>
      <c r="EE90" s="31">
        <v>21.9</v>
      </c>
      <c r="EF90" s="31"/>
      <c r="EG90" s="31"/>
      <c r="EH90" s="31">
        <v>18.39</v>
      </c>
      <c r="EI90" s="31">
        <v>18.22</v>
      </c>
      <c r="EJ90" s="31">
        <v>18.62</v>
      </c>
      <c r="EK90" s="31">
        <v>17.83</v>
      </c>
      <c r="EL90" s="31">
        <v>17.24</v>
      </c>
      <c r="EM90" s="31"/>
      <c r="EN90" s="31"/>
      <c r="EO90" s="31">
        <v>18.14</v>
      </c>
      <c r="EP90" s="31">
        <v>18.09</v>
      </c>
      <c r="EQ90" s="31">
        <v>20.87</v>
      </c>
      <c r="ER90" s="31">
        <v>20.28</v>
      </c>
      <c r="ES90" s="31">
        <v>22.29</v>
      </c>
      <c r="ET90" s="31"/>
      <c r="EU90" s="31"/>
      <c r="EV90" s="31">
        <v>20.57</v>
      </c>
      <c r="EW90" s="31">
        <v>18.96</v>
      </c>
      <c r="EX90" s="31">
        <v>19.31</v>
      </c>
      <c r="EY90" s="31">
        <v>19.18</v>
      </c>
      <c r="EZ90" s="31">
        <v>18.57</v>
      </c>
      <c r="FA90" s="31"/>
      <c r="FB90" s="31"/>
      <c r="FC90" s="31">
        <v>18.36</v>
      </c>
      <c r="FD90" s="31">
        <v>17.69</v>
      </c>
      <c r="FE90" s="31">
        <v>17.61</v>
      </c>
      <c r="FF90" s="31">
        <v>18.48</v>
      </c>
      <c r="FG90" s="31">
        <v>16.77</v>
      </c>
      <c r="FH90" s="31"/>
      <c r="FI90" s="31"/>
      <c r="FJ90" s="31">
        <v>17.16</v>
      </c>
      <c r="FK90" s="31">
        <v>16.95</v>
      </c>
      <c r="FL90" s="31">
        <v>17.26</v>
      </c>
      <c r="FM90" s="31">
        <v>18.02</v>
      </c>
      <c r="FN90" s="31">
        <v>20.82</v>
      </c>
      <c r="FO90" s="31"/>
      <c r="FP90" s="31"/>
      <c r="FQ90" s="31">
        <v>19.11</v>
      </c>
      <c r="FR90" s="31">
        <v>21.6</v>
      </c>
      <c r="FS90" s="31">
        <v>20.14</v>
      </c>
      <c r="FT90" s="31">
        <v>22.17</v>
      </c>
      <c r="FU90" s="31">
        <v>20.62</v>
      </c>
      <c r="FV90" s="31"/>
      <c r="FW90" s="31"/>
      <c r="FX90" s="31">
        <v>19.83</v>
      </c>
      <c r="FY90" s="31">
        <v>17.48</v>
      </c>
      <c r="FZ90" s="31">
        <v>16.76</v>
      </c>
      <c r="GA90" s="31">
        <v>16.59</v>
      </c>
      <c r="GB90" s="31">
        <v>16.32</v>
      </c>
      <c r="GC90" s="31"/>
      <c r="GD90" s="31"/>
      <c r="GE90" s="31">
        <v>16.73</v>
      </c>
      <c r="GF90" s="31">
        <v>16.83</v>
      </c>
      <c r="GG90" s="31">
        <v>16.64</v>
      </c>
      <c r="GH90" s="31">
        <v>16.38</v>
      </c>
      <c r="GI90" s="31">
        <v>17.48</v>
      </c>
      <c r="GJ90" s="31"/>
      <c r="GK90" s="31"/>
      <c r="GL90" s="31">
        <v>17.79</v>
      </c>
      <c r="GM90" s="31">
        <v>16.81</v>
      </c>
      <c r="GN90" s="31">
        <v>15.94</v>
      </c>
      <c r="GO90" s="31">
        <v>15.78</v>
      </c>
      <c r="GP90" s="31">
        <v>16.4</v>
      </c>
      <c r="GQ90" s="31"/>
      <c r="GR90" s="31"/>
      <c r="GS90" s="31">
        <v>17.2</v>
      </c>
      <c r="GT90" s="31">
        <v>17.38</v>
      </c>
      <c r="GU90" s="31">
        <v>17.16</v>
      </c>
      <c r="GV90" s="31">
        <v>16.52</v>
      </c>
      <c r="GW90" s="31">
        <v>16.41</v>
      </c>
      <c r="GX90" s="31"/>
      <c r="GY90" s="31"/>
      <c r="GZ90" s="31">
        <v>16.65</v>
      </c>
      <c r="HA90" s="31">
        <v>16.5</v>
      </c>
      <c r="HB90" s="31">
        <v>15.37</v>
      </c>
      <c r="HC90" s="31">
        <v>15.39</v>
      </c>
      <c r="HD90" s="31">
        <v>14.93</v>
      </c>
      <c r="HE90" s="31"/>
      <c r="HF90" s="31"/>
      <c r="HG90" s="31">
        <v>15.03</v>
      </c>
      <c r="HH90" s="31">
        <v>15.98</v>
      </c>
      <c r="HI90" s="31">
        <v>15.48</v>
      </c>
      <c r="HJ90" s="31">
        <v>16.72</v>
      </c>
      <c r="HK90" s="31">
        <v>20.38</v>
      </c>
      <c r="HL90" s="31"/>
      <c r="HM90" s="31"/>
      <c r="HN90" s="31">
        <v>17.52</v>
      </c>
      <c r="HO90" s="31">
        <v>17.85</v>
      </c>
      <c r="HP90" s="31">
        <v>16.77</v>
      </c>
      <c r="HQ90" s="31">
        <v>16.57</v>
      </c>
      <c r="HR90" s="31">
        <v>15.15</v>
      </c>
      <c r="HS90" s="31"/>
      <c r="HT90" s="31"/>
      <c r="HU90" s="31">
        <v>16.25</v>
      </c>
      <c r="HV90" s="31">
        <v>14.73</v>
      </c>
      <c r="HW90" s="31">
        <v>14.49</v>
      </c>
      <c r="HX90" s="31">
        <v>14.83</v>
      </c>
      <c r="HY90" s="31">
        <v>15.09</v>
      </c>
      <c r="HZ90" s="31"/>
      <c r="IA90" s="31"/>
      <c r="IB90" s="31">
        <v>14.99</v>
      </c>
      <c r="IC90" s="31">
        <v>15.57</v>
      </c>
      <c r="ID90" s="31">
        <v>15.69</v>
      </c>
      <c r="IE90" s="31">
        <v>16.6</v>
      </c>
      <c r="IF90" s="31">
        <v>14.22</v>
      </c>
      <c r="IG90" s="31"/>
      <c r="IH90" s="31"/>
      <c r="II90" s="31">
        <v>14.79</v>
      </c>
      <c r="IJ90" s="31">
        <v>14.62</v>
      </c>
      <c r="IK90" s="31">
        <v>14.85</v>
      </c>
      <c r="IL90" s="31">
        <v>14.43</v>
      </c>
      <c r="IM90" s="31">
        <v>15.36</v>
      </c>
      <c r="IN90" s="31"/>
      <c r="IO90" s="31"/>
      <c r="IP90" s="31">
        <v>16.12</v>
      </c>
      <c r="IQ90" s="31">
        <v>17.17</v>
      </c>
      <c r="IR90" s="31">
        <v>16.35</v>
      </c>
      <c r="IS90" s="31">
        <v>15.3</v>
      </c>
      <c r="IT90" s="31">
        <v>15.18</v>
      </c>
      <c r="IU90" s="31"/>
      <c r="IV90" s="31"/>
      <c r="IW90" s="31">
        <v>15.11</v>
      </c>
      <c r="IX90" s="31">
        <v>15.04</v>
      </c>
      <c r="IY90" s="31">
        <v>15.35</v>
      </c>
      <c r="IZ90" s="31">
        <v>14.71</v>
      </c>
      <c r="JA90" s="31">
        <v>14.76</v>
      </c>
      <c r="JB90" s="31"/>
      <c r="JC90" s="31"/>
      <c r="JD90" s="31">
        <v>15.69</v>
      </c>
      <c r="JE90" s="31">
        <v>16.36</v>
      </c>
      <c r="JF90" s="31">
        <v>15.72</v>
      </c>
      <c r="JG90" s="31">
        <v>15.7</v>
      </c>
      <c r="JH90" s="31">
        <v>15.45</v>
      </c>
      <c r="JI90" s="31"/>
      <c r="JJ90" s="31"/>
      <c r="JK90" s="31">
        <v>16.1</v>
      </c>
      <c r="JL90" s="31">
        <v>16.64</v>
      </c>
      <c r="JM90" s="31">
        <v>16.18</v>
      </c>
      <c r="JN90" s="31">
        <v>16.74</v>
      </c>
      <c r="JO90" s="31">
        <v>15.29</v>
      </c>
      <c r="JP90" s="31"/>
      <c r="JQ90" s="31"/>
      <c r="JR90" s="31">
        <v>16.12</v>
      </c>
      <c r="JS90" s="31">
        <v>16.28</v>
      </c>
      <c r="JT90" s="31">
        <v>16.29</v>
      </c>
      <c r="JU90" s="31">
        <v>16.63</v>
      </c>
      <c r="JV90" s="31">
        <v>16.65</v>
      </c>
      <c r="JW90" s="31"/>
      <c r="JX90" s="31"/>
      <c r="JY90" s="31">
        <v>16.37</v>
      </c>
      <c r="JZ90" s="23">
        <v>17.24</v>
      </c>
      <c r="KA90" s="23">
        <v>16.3</v>
      </c>
      <c r="KB90" s="23">
        <v>16.43</v>
      </c>
      <c r="KC90" s="23">
        <v>21.66</v>
      </c>
      <c r="KD90" s="23"/>
      <c r="KE90" s="23"/>
      <c r="KF90" s="23">
        <v>19.03</v>
      </c>
      <c r="KG90" s="23">
        <v>20.81</v>
      </c>
      <c r="KH90" s="23">
        <v>20.64</v>
      </c>
      <c r="KI90" s="23">
        <v>25.31</v>
      </c>
      <c r="KJ90" s="23">
        <v>20.78</v>
      </c>
      <c r="KK90" s="23"/>
      <c r="KL90" s="23"/>
      <c r="KM90" s="23">
        <v>18.23</v>
      </c>
      <c r="KN90" s="23">
        <v>17.87</v>
      </c>
      <c r="KO90" s="23">
        <v>18.6</v>
      </c>
      <c r="KP90" s="23">
        <v>17.3</v>
      </c>
      <c r="KQ90" s="23">
        <v>16.37</v>
      </c>
      <c r="KR90" s="23"/>
      <c r="KS90" s="23"/>
      <c r="KT90" s="23">
        <v>15.79</v>
      </c>
      <c r="KU90" s="23">
        <v>16.42</v>
      </c>
      <c r="KV90" s="23">
        <v>16.92</v>
      </c>
      <c r="KW90" s="23">
        <v>16.91</v>
      </c>
      <c r="KX90" s="23">
        <v>17.44</v>
      </c>
      <c r="KY90" s="23"/>
      <c r="KZ90" s="23"/>
      <c r="LA90" s="23">
        <v>17.17</v>
      </c>
      <c r="LB90" s="23">
        <v>19</v>
      </c>
      <c r="LC90" s="23">
        <v>18.01</v>
      </c>
      <c r="LD90" s="23">
        <v>19.5</v>
      </c>
      <c r="LE90" s="23">
        <v>19.08</v>
      </c>
      <c r="LF90" s="23"/>
      <c r="LG90" s="23"/>
      <c r="LH90" s="23">
        <v>17.6</v>
      </c>
      <c r="LI90" s="23">
        <v>17.28</v>
      </c>
      <c r="LJ90" s="23">
        <v>17.51</v>
      </c>
      <c r="LK90" s="23">
        <v>20</v>
      </c>
      <c r="LL90" s="23">
        <v>19.83</v>
      </c>
      <c r="LM90" s="23"/>
      <c r="LN90" s="23"/>
      <c r="LO90" s="23">
        <v>22.38</v>
      </c>
      <c r="LP90" s="23">
        <v>24.69</v>
      </c>
      <c r="LQ90" s="23">
        <v>23.66</v>
      </c>
      <c r="LR90" s="23">
        <v>26.42</v>
      </c>
      <c r="LS90" s="23">
        <v>23.43</v>
      </c>
      <c r="LT90" s="23"/>
      <c r="LU90" s="23"/>
      <c r="LV90" s="23">
        <v>20.52</v>
      </c>
      <c r="LW90" s="23">
        <v>18.56</v>
      </c>
      <c r="LX90" s="23">
        <v>17.19</v>
      </c>
      <c r="LY90" s="23">
        <v>17.21</v>
      </c>
      <c r="LZ90" s="23">
        <v>16.35</v>
      </c>
      <c r="MA90" s="23"/>
      <c r="MB90" s="23"/>
      <c r="MC90" s="23">
        <v>17.24</v>
      </c>
      <c r="MD90" s="23">
        <v>16.59</v>
      </c>
      <c r="ME90" s="23">
        <v>16.08</v>
      </c>
      <c r="MF90" s="23">
        <v>15.78</v>
      </c>
      <c r="MG90" s="23">
        <v>15.41</v>
      </c>
      <c r="MH90" s="23"/>
      <c r="MI90" s="23"/>
      <c r="MJ90" s="23">
        <v>16.66</v>
      </c>
      <c r="MK90" s="23">
        <v>16.93</v>
      </c>
      <c r="ML90" s="23">
        <v>15.77</v>
      </c>
      <c r="MM90" s="23">
        <v>14.85</v>
      </c>
      <c r="MN90" s="23">
        <v>15.74</v>
      </c>
      <c r="MO90" s="23"/>
      <c r="MP90" s="23"/>
      <c r="MQ90" s="23">
        <v>16.5</v>
      </c>
      <c r="MR90" s="23">
        <v>16.48</v>
      </c>
      <c r="MS90" s="23">
        <v>17.62</v>
      </c>
      <c r="MT90" s="23">
        <v>16.87</v>
      </c>
      <c r="MU90" s="23">
        <v>14.91</v>
      </c>
      <c r="MV90" s="23"/>
      <c r="MW90" s="23"/>
      <c r="MX90" s="23">
        <v>14.08</v>
      </c>
      <c r="MY90" s="23">
        <v>14</v>
      </c>
      <c r="MZ90" s="23">
        <v>13.47</v>
      </c>
      <c r="NA90" s="23"/>
      <c r="NB90" s="23">
        <v>13.6</v>
      </c>
      <c r="NC90" s="23"/>
      <c r="ND90" s="23"/>
      <c r="NE90" s="23">
        <v>14.2</v>
      </c>
      <c r="NF90" s="23">
        <v>14.33</v>
      </c>
      <c r="NG90" s="23">
        <v>14.95</v>
      </c>
      <c r="NH90" s="23"/>
      <c r="NI90" s="23">
        <v>14.51</v>
      </c>
      <c r="NJ90" s="23"/>
      <c r="NK90" s="23"/>
      <c r="NL90" s="23">
        <v>14.9</v>
      </c>
      <c r="NM90" s="23">
        <v>14.75</v>
      </c>
      <c r="NN90" s="23">
        <v>15.38</v>
      </c>
      <c r="NO90" s="23">
        <v>15.45</v>
      </c>
      <c r="NP90" s="23">
        <v>14.49</v>
      </c>
      <c r="NQ90" s="23"/>
      <c r="NR90" s="23"/>
      <c r="NS90" s="23">
        <v>15.12</v>
      </c>
      <c r="NT90" s="23">
        <v>15.98</v>
      </c>
      <c r="NU90" s="23">
        <v>16.75</v>
      </c>
      <c r="NV90" s="23">
        <v>15.84</v>
      </c>
      <c r="NW90" s="23">
        <v>15.86</v>
      </c>
      <c r="NX90" s="23"/>
      <c r="NY90" s="23"/>
      <c r="NZ90" s="23">
        <v>18.84</v>
      </c>
      <c r="OA90" s="23">
        <v>20.09</v>
      </c>
      <c r="OB90" s="23">
        <v>16.9</v>
      </c>
      <c r="OC90" s="23">
        <v>15.64</v>
      </c>
      <c r="OD90" s="23">
        <v>16.09</v>
      </c>
      <c r="OE90" s="23"/>
      <c r="OF90" s="23"/>
      <c r="OG90" s="23">
        <v>16.15</v>
      </c>
      <c r="OH90" s="23">
        <v>16.35</v>
      </c>
      <c r="OI90" s="23">
        <v>16.35</v>
      </c>
      <c r="OJ90" s="23">
        <v>16.88</v>
      </c>
      <c r="OK90" s="23">
        <v>17.44</v>
      </c>
      <c r="OL90" s="23"/>
      <c r="OM90" s="23"/>
      <c r="ON90" s="23">
        <v>16.34</v>
      </c>
      <c r="OO90" s="23">
        <v>18</v>
      </c>
      <c r="OP90" s="23">
        <v>18.64</v>
      </c>
      <c r="OQ90" s="23">
        <v>21.77</v>
      </c>
      <c r="OR90" s="23">
        <v>17.76</v>
      </c>
      <c r="OS90" s="23"/>
      <c r="OT90" s="23"/>
      <c r="OU90" s="23">
        <v>17.36</v>
      </c>
      <c r="OV90" s="23">
        <v>17.79</v>
      </c>
      <c r="OW90" s="23">
        <v>17.65</v>
      </c>
      <c r="OX90" s="23">
        <v>20.82</v>
      </c>
      <c r="OY90" s="23">
        <v>20.6</v>
      </c>
      <c r="OZ90" s="23"/>
      <c r="PA90" s="23"/>
      <c r="PB90" s="23">
        <v>21.2</v>
      </c>
      <c r="PC90" s="23">
        <v>20.29</v>
      </c>
      <c r="PD90" s="23">
        <v>19.62</v>
      </c>
      <c r="PE90" s="23">
        <v>20.23</v>
      </c>
      <c r="PF90" s="23">
        <v>19.09</v>
      </c>
      <c r="PG90" s="23"/>
      <c r="PH90" s="23"/>
      <c r="PI90" s="23">
        <v>21.01</v>
      </c>
      <c r="PJ90" s="23">
        <v>19.55</v>
      </c>
      <c r="PK90" s="23">
        <v>17.93</v>
      </c>
      <c r="PL90" s="23">
        <v>18.63</v>
      </c>
      <c r="PM90" s="23">
        <v>19.86</v>
      </c>
      <c r="PN90" s="23"/>
      <c r="PO90" s="23"/>
      <c r="PP90" s="23">
        <v>21.44</v>
      </c>
      <c r="PQ90" s="23">
        <v>23.57</v>
      </c>
      <c r="PR90" s="23">
        <v>21.15</v>
      </c>
      <c r="PS90" s="23">
        <v>23.75</v>
      </c>
      <c r="PT90" s="23">
        <v>29.49</v>
      </c>
      <c r="PU90" s="23"/>
      <c r="PV90" s="23"/>
      <c r="PW90" s="23">
        <v>25.5</v>
      </c>
      <c r="PX90" s="23">
        <v>24.93</v>
      </c>
      <c r="PY90" s="23">
        <v>24.23</v>
      </c>
      <c r="PZ90" s="23">
        <v>27.29</v>
      </c>
      <c r="QA90" s="23">
        <v>27.19</v>
      </c>
      <c r="QB90" s="23"/>
      <c r="QC90" s="23"/>
      <c r="QD90" s="23">
        <v>23.51</v>
      </c>
      <c r="QE90" s="23">
        <v>22.37</v>
      </c>
      <c r="QF90" s="23">
        <v>25.09</v>
      </c>
      <c r="QG90" s="23">
        <v>24.06</v>
      </c>
      <c r="QH90" s="23">
        <v>26.78</v>
      </c>
      <c r="QI90" s="23"/>
      <c r="QJ90" s="23"/>
      <c r="QK90" s="23">
        <v>26.15</v>
      </c>
      <c r="QL90" s="23">
        <v>26.95</v>
      </c>
      <c r="QM90" s="23">
        <v>25.33</v>
      </c>
      <c r="QN90" s="23">
        <v>27.44</v>
      </c>
      <c r="QO90" s="23">
        <v>31.05</v>
      </c>
      <c r="QP90" s="23"/>
      <c r="QQ90" s="23"/>
      <c r="QR90" s="23">
        <v>30.61</v>
      </c>
      <c r="QS90" s="23">
        <v>25.25</v>
      </c>
      <c r="QT90" s="23">
        <v>24.54</v>
      </c>
      <c r="QU90" s="23">
        <v>23.87</v>
      </c>
      <c r="QV90" s="23"/>
      <c r="QW90" s="23"/>
      <c r="QX90" s="23"/>
      <c r="QY90" s="23">
        <v>24.17</v>
      </c>
      <c r="QZ90" s="23">
        <v>25.78</v>
      </c>
      <c r="RA90" s="23">
        <v>21.04</v>
      </c>
      <c r="RB90" s="23">
        <v>19.49</v>
      </c>
      <c r="RC90" s="23">
        <v>19.23</v>
      </c>
      <c r="RD90" s="23"/>
      <c r="RE90" s="23"/>
      <c r="RF90" s="23">
        <v>19.12</v>
      </c>
      <c r="RG90" s="23">
        <v>18.36</v>
      </c>
      <c r="RH90" s="23">
        <v>18.17</v>
      </c>
      <c r="RI90" s="23">
        <v>17.94</v>
      </c>
      <c r="RJ90" s="23">
        <v>17.48</v>
      </c>
      <c r="RK90" s="23"/>
      <c r="RL90" s="23"/>
      <c r="RM90" s="23">
        <v>18.87</v>
      </c>
      <c r="RN90" s="23">
        <v>19.5</v>
      </c>
      <c r="RO90" s="23">
        <v>18.92</v>
      </c>
      <c r="RP90" s="23">
        <v>19.31</v>
      </c>
      <c r="RQ90" s="23">
        <v>18.71</v>
      </c>
      <c r="RR90" s="23"/>
      <c r="RS90" s="23"/>
      <c r="RT90" s="23">
        <v>18.02</v>
      </c>
      <c r="RU90" s="23">
        <v>17.83</v>
      </c>
      <c r="RV90" s="23">
        <v>18.81</v>
      </c>
      <c r="RW90" s="23">
        <v>16.89</v>
      </c>
      <c r="RX90" s="23">
        <v>16.99</v>
      </c>
      <c r="RY90" s="23"/>
      <c r="RZ90" s="23"/>
      <c r="SA90" s="23">
        <v>18.29</v>
      </c>
      <c r="SB90" s="23">
        <v>17.38</v>
      </c>
      <c r="SC90" s="23">
        <v>17.39</v>
      </c>
      <c r="SD90" s="23">
        <v>17.08</v>
      </c>
      <c r="SE90" s="23">
        <v>17.19</v>
      </c>
      <c r="SF90" s="23"/>
      <c r="SG90" s="23"/>
      <c r="SH90" s="23">
        <v>18.38</v>
      </c>
      <c r="SI90" s="23">
        <v>17.99</v>
      </c>
      <c r="SJ90" s="23">
        <v>17.87</v>
      </c>
      <c r="SK90" s="23">
        <v>17.26</v>
      </c>
      <c r="SL90" s="23">
        <v>18.43</v>
      </c>
      <c r="SM90" s="23"/>
      <c r="SN90" s="23"/>
      <c r="SO90" s="23">
        <v>17.82</v>
      </c>
      <c r="SP90" s="23">
        <v>18.06</v>
      </c>
      <c r="SQ90" s="23">
        <v>17.44</v>
      </c>
      <c r="SR90" s="23">
        <v>16.76</v>
      </c>
      <c r="SS90" s="23">
        <v>16.7</v>
      </c>
      <c r="ST90" s="23"/>
      <c r="SU90" s="23"/>
      <c r="SV90" s="23">
        <v>16.59</v>
      </c>
      <c r="SW90" s="23">
        <v>17.01</v>
      </c>
      <c r="SX90" s="23">
        <v>16.29</v>
      </c>
      <c r="SY90" s="23">
        <v>15.74</v>
      </c>
      <c r="SZ90" s="23">
        <v>15.32</v>
      </c>
      <c r="TA90" s="23"/>
      <c r="TB90" s="23"/>
      <c r="TC90" s="23">
        <v>16.05</v>
      </c>
      <c r="TD90" s="23">
        <v>15.77</v>
      </c>
      <c r="TE90" s="23">
        <v>16.06</v>
      </c>
      <c r="TF90" s="23">
        <v>15.4</v>
      </c>
      <c r="TG90" s="23">
        <v>21.51</v>
      </c>
      <c r="TH90" s="23"/>
      <c r="TI90" s="23"/>
      <c r="TJ90" s="23">
        <v>18.92</v>
      </c>
      <c r="TK90" s="23">
        <v>19.87</v>
      </c>
      <c r="TL90" s="23">
        <v>22.22</v>
      </c>
      <c r="TM90" s="23">
        <v>19.44</v>
      </c>
      <c r="TN90" s="23">
        <v>17.68</v>
      </c>
      <c r="TO90" s="23"/>
      <c r="TP90" s="23"/>
      <c r="TQ90" s="23">
        <v>16.2</v>
      </c>
      <c r="TR90" s="23">
        <v>16.41</v>
      </c>
      <c r="TS90" s="23">
        <v>18.44</v>
      </c>
      <c r="TT90" s="23">
        <v>16.4</v>
      </c>
      <c r="TU90" s="23">
        <v>16.78</v>
      </c>
      <c r="TV90" s="23"/>
      <c r="TW90" s="23"/>
      <c r="TX90" s="23">
        <v>17.28</v>
      </c>
      <c r="TY90" s="23">
        <v>19.49</v>
      </c>
      <c r="TZ90" s="23">
        <v>18.63</v>
      </c>
      <c r="UA90" s="23">
        <v>18.89</v>
      </c>
      <c r="UB90" s="23">
        <v>18.41</v>
      </c>
      <c r="UC90" s="23"/>
      <c r="UD90" s="23"/>
      <c r="UE90" s="23">
        <v>17.65</v>
      </c>
      <c r="UF90" s="23">
        <v>16.45</v>
      </c>
      <c r="UG90" s="23">
        <v>16.59</v>
      </c>
      <c r="UH90" s="23">
        <v>16.15</v>
      </c>
      <c r="UI90" s="23">
        <v>15.81</v>
      </c>
      <c r="UJ90" s="23"/>
      <c r="UK90" s="23"/>
      <c r="UL90" s="23"/>
      <c r="UM90" s="23"/>
      <c r="UN90" s="23"/>
      <c r="UO90" s="23"/>
      <c r="UP90" s="23"/>
      <c r="UQ90" s="23"/>
      <c r="UR90" s="23"/>
      <c r="US90" s="23"/>
      <c r="UT90" s="23"/>
    </row>
    <row r="91" ht="16.5" customHeight="1" spans="4:566">
      <c r="D91" s="26" t="s">
        <v>328</v>
      </c>
      <c r="E91" s="21" t="s">
        <v>329</v>
      </c>
      <c r="F91" s="31"/>
      <c r="G91" s="31">
        <v>28.4226</v>
      </c>
      <c r="H91" s="31">
        <v>28.3611</v>
      </c>
      <c r="I91" s="31">
        <v>28.7198</v>
      </c>
      <c r="J91" s="31">
        <v>28.7198</v>
      </c>
      <c r="K91" s="31">
        <v>28.7198</v>
      </c>
      <c r="L91" s="31">
        <v>28.9011</v>
      </c>
      <c r="M91" s="31">
        <v>28.5871</v>
      </c>
      <c r="N91" s="31">
        <v>28.6229</v>
      </c>
      <c r="O91" s="31">
        <v>28.6226</v>
      </c>
      <c r="P91" s="31">
        <v>28.2011</v>
      </c>
      <c r="Q91" s="31">
        <v>28.2104</v>
      </c>
      <c r="R91" s="31">
        <v>28.2104</v>
      </c>
      <c r="S91" s="31">
        <v>28.2335</v>
      </c>
      <c r="T91" s="31">
        <v>28.2493</v>
      </c>
      <c r="U91" s="31">
        <v>28.5488</v>
      </c>
      <c r="V91" s="31">
        <v>28.3662</v>
      </c>
      <c r="W91" s="31">
        <v>28.5445</v>
      </c>
      <c r="X91" s="31">
        <v>28.5448</v>
      </c>
      <c r="Y91" s="31">
        <v>28.5448</v>
      </c>
      <c r="Z91" s="31">
        <v>28.5445</v>
      </c>
      <c r="AA91" s="31">
        <v>28.761</v>
      </c>
      <c r="AB91" s="31">
        <v>28.8063</v>
      </c>
      <c r="AC91" s="31">
        <v>28.9482</v>
      </c>
      <c r="AD91" s="31">
        <v>28.8033</v>
      </c>
      <c r="AE91" s="31">
        <v>28.7797</v>
      </c>
      <c r="AF91" s="31">
        <v>28.7795</v>
      </c>
      <c r="AG91" s="31">
        <v>28.3301</v>
      </c>
      <c r="AH91" s="31">
        <v>28.7624</v>
      </c>
      <c r="AI91" s="31">
        <v>28.5319</v>
      </c>
      <c r="AJ91" s="31">
        <v>28.5831</v>
      </c>
      <c r="AK91" s="31">
        <v>28.4855</v>
      </c>
      <c r="AL91" s="31">
        <v>28.4844</v>
      </c>
      <c r="AM91" s="31">
        <v>28.4844</v>
      </c>
      <c r="AN91" s="31">
        <v>28.2795</v>
      </c>
      <c r="AO91" s="31">
        <v>28.2451</v>
      </c>
      <c r="AP91" s="31">
        <v>28.1955</v>
      </c>
      <c r="AQ91" s="31">
        <v>28.2122</v>
      </c>
      <c r="AR91" s="31">
        <v>27.917</v>
      </c>
      <c r="AS91" s="31">
        <v>27.917</v>
      </c>
      <c r="AT91" s="31">
        <v>27.917</v>
      </c>
      <c r="AU91" s="31">
        <v>28.142</v>
      </c>
      <c r="AV91" s="31">
        <v>28.0807</v>
      </c>
      <c r="AW91" s="31">
        <v>27.9578</v>
      </c>
      <c r="AX91" s="31">
        <v>28.2712</v>
      </c>
      <c r="AY91" s="31">
        <v>28.2988</v>
      </c>
      <c r="AZ91" s="31">
        <v>28.2782</v>
      </c>
      <c r="BA91" s="31">
        <v>28.2782</v>
      </c>
      <c r="BB91" s="31">
        <v>28.2982</v>
      </c>
      <c r="BC91" s="31">
        <v>28.2284</v>
      </c>
      <c r="BD91" s="31">
        <v>28.2787</v>
      </c>
      <c r="BE91" s="31">
        <v>28.0571</v>
      </c>
      <c r="BF91" s="31">
        <v>27.5647</v>
      </c>
      <c r="BG91" s="31">
        <v>27.5623</v>
      </c>
      <c r="BH91" s="31">
        <v>27.5623</v>
      </c>
      <c r="BI91" s="31">
        <v>27.6686</v>
      </c>
      <c r="BJ91" s="31">
        <v>27.5324</v>
      </c>
      <c r="BK91" s="31">
        <v>27.3722</v>
      </c>
      <c r="BL91" s="31">
        <v>26.9661</v>
      </c>
      <c r="BM91" s="31">
        <v>27.3787</v>
      </c>
      <c r="BN91" s="31">
        <v>27.3789</v>
      </c>
      <c r="BO91" s="31">
        <v>27.3789</v>
      </c>
      <c r="BP91" s="31">
        <v>26.9034</v>
      </c>
      <c r="BQ91" s="31">
        <v>26.6096</v>
      </c>
      <c r="BR91" s="31">
        <v>26.9136</v>
      </c>
      <c r="BS91" s="31">
        <v>26.3838</v>
      </c>
      <c r="BT91" s="31">
        <v>26.5206</v>
      </c>
      <c r="BU91" s="31">
        <v>26.5207</v>
      </c>
      <c r="BV91" s="31">
        <v>26.5207</v>
      </c>
      <c r="BW91" s="31">
        <v>25.7723</v>
      </c>
      <c r="BX91" s="31">
        <v>25.5751</v>
      </c>
      <c r="BY91" s="31">
        <v>25.7002</v>
      </c>
      <c r="BZ91" s="31">
        <v>25.4204</v>
      </c>
      <c r="CA91" s="31">
        <v>25.9533</v>
      </c>
      <c r="CB91" s="31">
        <v>25.9519</v>
      </c>
      <c r="CC91" s="31">
        <v>25.9519</v>
      </c>
      <c r="CD91" s="31">
        <v>26.1108</v>
      </c>
      <c r="CE91" s="31">
        <v>25.8149</v>
      </c>
      <c r="CF91" s="31">
        <v>26.1062</v>
      </c>
      <c r="CG91" s="31">
        <v>26.051</v>
      </c>
      <c r="CH91" s="31">
        <v>26.0773</v>
      </c>
      <c r="CI91" s="31">
        <v>26.0773</v>
      </c>
      <c r="CJ91" s="31">
        <v>26.0773</v>
      </c>
      <c r="CK91" s="31">
        <v>26.5979</v>
      </c>
      <c r="CL91" s="31">
        <v>26.6592</v>
      </c>
      <c r="CM91" s="31">
        <v>26.361</v>
      </c>
      <c r="CN91" s="31">
        <v>26.258</v>
      </c>
      <c r="CO91" s="31">
        <v>25.7041</v>
      </c>
      <c r="CP91" s="31">
        <v>25.7042</v>
      </c>
      <c r="CQ91" s="31">
        <v>25.7042</v>
      </c>
      <c r="CR91" s="31">
        <v>25.8438</v>
      </c>
      <c r="CS91" s="31">
        <v>25.9592</v>
      </c>
      <c r="CT91" s="31">
        <v>26.1328</v>
      </c>
      <c r="CU91" s="31">
        <v>24.8754</v>
      </c>
      <c r="CV91" s="31">
        <v>23.4161</v>
      </c>
      <c r="CW91" s="31">
        <v>23.4154</v>
      </c>
      <c r="CX91" s="31">
        <v>23.4154</v>
      </c>
      <c r="CY91" s="31">
        <v>23.3753</v>
      </c>
      <c r="CZ91" s="31">
        <v>22.9727</v>
      </c>
      <c r="DA91" s="31">
        <v>25.167</v>
      </c>
      <c r="DB91" s="31">
        <v>24.3002</v>
      </c>
      <c r="DC91" s="31">
        <v>24.7146</v>
      </c>
      <c r="DD91" s="31">
        <v>24.7135</v>
      </c>
      <c r="DE91" s="31">
        <v>24.7135</v>
      </c>
      <c r="DF91" s="31">
        <v>24.9099</v>
      </c>
      <c r="DG91" s="31">
        <v>24.7227</v>
      </c>
      <c r="DH91" s="31">
        <v>24.1717</v>
      </c>
      <c r="DI91" s="31">
        <v>24.0924</v>
      </c>
      <c r="DJ91" s="31">
        <v>24.092</v>
      </c>
      <c r="DK91" s="31">
        <v>24.0924</v>
      </c>
      <c r="DL91" s="31">
        <v>24.0924</v>
      </c>
      <c r="DM91" s="31">
        <v>23.5193</v>
      </c>
      <c r="DN91" s="31">
        <v>24.1311</v>
      </c>
      <c r="DO91" s="31">
        <v>24.4979</v>
      </c>
      <c r="DP91" s="31">
        <v>24.5426</v>
      </c>
      <c r="DQ91" s="31">
        <v>24.7328</v>
      </c>
      <c r="DR91" s="31">
        <v>24.7371</v>
      </c>
      <c r="DS91" s="31">
        <v>24.732</v>
      </c>
      <c r="DT91" s="31">
        <v>24.7603</v>
      </c>
      <c r="DU91" s="31">
        <v>24.8974</v>
      </c>
      <c r="DV91" s="31">
        <v>24.8303</v>
      </c>
      <c r="DW91" s="31">
        <v>24.9553</v>
      </c>
      <c r="DX91" s="31">
        <v>25.3756</v>
      </c>
      <c r="DY91" s="31">
        <v>25.4482</v>
      </c>
      <c r="DZ91" s="31">
        <v>25.4482</v>
      </c>
      <c r="EA91" s="31">
        <v>25.3305</v>
      </c>
      <c r="EB91" s="31">
        <v>25.1929</v>
      </c>
      <c r="EC91" s="31">
        <v>25.1314</v>
      </c>
      <c r="ED91" s="31">
        <v>25.3212</v>
      </c>
      <c r="EE91" s="31">
        <v>25.2859</v>
      </c>
      <c r="EF91" s="31">
        <v>25.2921</v>
      </c>
      <c r="EG91" s="31">
        <v>25.2921</v>
      </c>
      <c r="EH91" s="31">
        <v>26.125</v>
      </c>
      <c r="EI91" s="31">
        <v>26.3164</v>
      </c>
      <c r="EJ91" s="31">
        <v>26.3698</v>
      </c>
      <c r="EK91" s="31">
        <v>26.4791</v>
      </c>
      <c r="EL91" s="31">
        <v>26.6748</v>
      </c>
      <c r="EM91" s="31">
        <v>26.6748</v>
      </c>
      <c r="EN91" s="31">
        <v>26.6748</v>
      </c>
      <c r="EO91" s="31">
        <v>26.7453</v>
      </c>
      <c r="EP91" s="31">
        <v>26.6275</v>
      </c>
      <c r="EQ91" s="31">
        <v>26.2406</v>
      </c>
      <c r="ER91" s="31">
        <v>26.2351</v>
      </c>
      <c r="ES91" s="31">
        <v>26.0582</v>
      </c>
      <c r="ET91" s="31">
        <v>26.0552</v>
      </c>
      <c r="EU91" s="31">
        <v>26.0552</v>
      </c>
      <c r="EV91" s="31">
        <v>26.059</v>
      </c>
      <c r="EW91" s="31">
        <v>26.5982</v>
      </c>
      <c r="EX91" s="31">
        <v>26.4028</v>
      </c>
      <c r="EY91" s="31">
        <v>26.4928</v>
      </c>
      <c r="EZ91" s="31">
        <v>26.4955</v>
      </c>
      <c r="FA91" s="31">
        <v>26.4955</v>
      </c>
      <c r="FB91" s="31">
        <v>26.4955</v>
      </c>
      <c r="FC91" s="31">
        <v>26.5765</v>
      </c>
      <c r="FD91" s="31">
        <v>26.7309</v>
      </c>
      <c r="FE91" s="31">
        <v>26.7424</v>
      </c>
      <c r="FF91" s="31">
        <v>26.5669</v>
      </c>
      <c r="FG91" s="31">
        <v>26.8649</v>
      </c>
      <c r="FH91" s="31">
        <v>26.8649</v>
      </c>
      <c r="FI91" s="31">
        <v>26.8649</v>
      </c>
      <c r="FJ91" s="31">
        <v>26.9065</v>
      </c>
      <c r="FK91" s="31">
        <v>27.0781</v>
      </c>
      <c r="FL91" s="31">
        <v>26.9884</v>
      </c>
      <c r="FM91" s="31">
        <v>27.0799</v>
      </c>
      <c r="FN91" s="31">
        <v>26.7926</v>
      </c>
      <c r="FO91" s="31">
        <v>26.7926</v>
      </c>
      <c r="FP91" s="31">
        <v>26.7926</v>
      </c>
      <c r="FQ91" s="31">
        <v>27.0436</v>
      </c>
      <c r="FR91" s="31">
        <v>26.8233</v>
      </c>
      <c r="FS91" s="31">
        <v>26.7992</v>
      </c>
      <c r="FT91" s="31">
        <v>26.7994</v>
      </c>
      <c r="FU91" s="31">
        <v>26.6943</v>
      </c>
      <c r="FV91" s="31">
        <v>26.6943</v>
      </c>
      <c r="FW91" s="31">
        <v>26.6943</v>
      </c>
      <c r="FX91" s="31">
        <v>26.9355</v>
      </c>
      <c r="FY91" s="31">
        <v>27.228</v>
      </c>
      <c r="FZ91" s="31">
        <v>27.2448</v>
      </c>
      <c r="GA91" s="31">
        <v>27.4772</v>
      </c>
      <c r="GB91" s="31">
        <v>27.6435</v>
      </c>
      <c r="GC91" s="31">
        <v>27.6435</v>
      </c>
      <c r="GD91" s="31">
        <v>27.6435</v>
      </c>
      <c r="GE91" s="31">
        <v>27.767</v>
      </c>
      <c r="GF91" s="31">
        <v>27.7416</v>
      </c>
      <c r="GG91" s="31">
        <v>27.8853</v>
      </c>
      <c r="GH91" s="31">
        <v>28.1163</v>
      </c>
      <c r="GI91" s="31">
        <v>28.1163</v>
      </c>
      <c r="GJ91" s="31">
        <v>28.1163</v>
      </c>
      <c r="GK91" s="31">
        <v>28.1163</v>
      </c>
      <c r="GL91" s="31">
        <v>27.8871</v>
      </c>
      <c r="GM91" s="31">
        <v>27.8482</v>
      </c>
      <c r="GN91" s="31">
        <v>28.0433</v>
      </c>
      <c r="GO91" s="31">
        <v>28.0994</v>
      </c>
      <c r="GP91" s="31">
        <v>28.0238</v>
      </c>
      <c r="GQ91" s="31">
        <v>28.0238</v>
      </c>
      <c r="GR91" s="31">
        <v>28.0238</v>
      </c>
      <c r="GS91" s="31">
        <v>28.0754</v>
      </c>
      <c r="GT91" s="31">
        <v>27.9815</v>
      </c>
      <c r="GU91" s="31">
        <v>28.025</v>
      </c>
      <c r="GV91" s="31">
        <v>28.1548</v>
      </c>
      <c r="GW91" s="31">
        <v>28.1607</v>
      </c>
      <c r="GX91" s="31">
        <v>28.1606</v>
      </c>
      <c r="GY91" s="31">
        <v>28.1606</v>
      </c>
      <c r="GZ91" s="31">
        <v>28.2295</v>
      </c>
      <c r="HA91" s="31">
        <v>28.289</v>
      </c>
      <c r="HB91" s="31">
        <v>28.3445</v>
      </c>
      <c r="HC91" s="31">
        <v>28.3739</v>
      </c>
      <c r="HD91" s="31">
        <v>28.5056</v>
      </c>
      <c r="HE91" s="31">
        <v>28.5055</v>
      </c>
      <c r="HF91" s="31">
        <v>28.5055</v>
      </c>
      <c r="HG91" s="31">
        <v>28.5257</v>
      </c>
      <c r="HH91" s="31">
        <v>28.472</v>
      </c>
      <c r="HI91" s="31">
        <v>28.4051</v>
      </c>
      <c r="HJ91" s="31">
        <v>28.0305</v>
      </c>
      <c r="HK91" s="31">
        <v>27.6212</v>
      </c>
      <c r="HL91" s="31">
        <v>27.872</v>
      </c>
      <c r="HM91" s="31">
        <v>27.872</v>
      </c>
      <c r="HN91" s="31">
        <v>28.1906</v>
      </c>
      <c r="HO91" s="31">
        <v>28.0019</v>
      </c>
      <c r="HP91" s="31">
        <v>28.1903</v>
      </c>
      <c r="HQ91" s="31">
        <v>27.9722</v>
      </c>
      <c r="HR91" s="31">
        <v>28.2717</v>
      </c>
      <c r="HS91" s="31">
        <v>28.2101</v>
      </c>
      <c r="HT91" s="31">
        <v>28.2101</v>
      </c>
      <c r="HU91" s="31">
        <v>28.2082</v>
      </c>
      <c r="HV91" s="31">
        <v>28.5284</v>
      </c>
      <c r="HW91" s="31">
        <v>28.5925</v>
      </c>
      <c r="HX91" s="31">
        <v>28.6271</v>
      </c>
      <c r="HY91" s="31">
        <v>28.5608</v>
      </c>
      <c r="HZ91" s="31">
        <v>28.5573</v>
      </c>
      <c r="IA91" s="31">
        <v>28.5573</v>
      </c>
      <c r="IB91" s="31">
        <v>28.555</v>
      </c>
      <c r="IC91" s="31">
        <v>28.3824</v>
      </c>
      <c r="ID91" s="31">
        <v>28.3049</v>
      </c>
      <c r="IE91" s="31">
        <v>28.1517</v>
      </c>
      <c r="IF91" s="31">
        <v>28.598</v>
      </c>
      <c r="IG91" s="31">
        <v>28.598</v>
      </c>
      <c r="IH91" s="31">
        <v>28.5899</v>
      </c>
      <c r="II91" s="31">
        <v>28.4876</v>
      </c>
      <c r="IJ91" s="31">
        <v>28.5922</v>
      </c>
      <c r="IK91" s="31">
        <v>28.5264</v>
      </c>
      <c r="IL91" s="31">
        <v>28.5476</v>
      </c>
      <c r="IM91" s="31">
        <v>28.3782</v>
      </c>
      <c r="IN91" s="31">
        <v>28.3782</v>
      </c>
      <c r="IO91" s="31">
        <v>28.3782</v>
      </c>
      <c r="IP91" s="31">
        <v>28.3808</v>
      </c>
      <c r="IQ91" s="31">
        <v>28.1882</v>
      </c>
      <c r="IR91" s="31">
        <v>28.4316</v>
      </c>
      <c r="IS91" s="31">
        <v>28.5932</v>
      </c>
      <c r="IT91" s="31">
        <v>28.5519</v>
      </c>
      <c r="IU91" s="31">
        <v>28.5291</v>
      </c>
      <c r="IV91" s="31">
        <v>28.5291</v>
      </c>
      <c r="IW91" s="31">
        <v>28.586</v>
      </c>
      <c r="IX91" s="31">
        <v>28.7435</v>
      </c>
      <c r="IY91" s="31">
        <v>28.8639</v>
      </c>
      <c r="IZ91" s="31">
        <v>29.0915</v>
      </c>
      <c r="JA91" s="31">
        <v>29.0716</v>
      </c>
      <c r="JB91" s="31">
        <v>29.0716</v>
      </c>
      <c r="JC91" s="31">
        <v>29.0716</v>
      </c>
      <c r="JD91" s="31">
        <v>29.2707</v>
      </c>
      <c r="JE91" s="31">
        <v>29.243</v>
      </c>
      <c r="JF91" s="31">
        <v>29.2201</v>
      </c>
      <c r="JG91" s="31">
        <v>29.3594</v>
      </c>
      <c r="JH91" s="31">
        <v>29.5192</v>
      </c>
      <c r="JI91" s="31">
        <v>29.5118</v>
      </c>
      <c r="JJ91" s="31">
        <v>29.5118</v>
      </c>
      <c r="JK91" s="31">
        <v>29.7189</v>
      </c>
      <c r="JL91" s="31">
        <v>29.5543</v>
      </c>
      <c r="JM91" s="31">
        <v>29.4435</v>
      </c>
      <c r="JN91" s="31">
        <v>29.3564</v>
      </c>
      <c r="JO91" s="31">
        <v>29.524</v>
      </c>
      <c r="JP91" s="31">
        <v>29.5227</v>
      </c>
      <c r="JQ91" s="31">
        <v>29.524</v>
      </c>
      <c r="JR91" s="31">
        <v>29.4934</v>
      </c>
      <c r="JS91" s="31">
        <v>29.5974</v>
      </c>
      <c r="JT91" s="31">
        <v>29.8181</v>
      </c>
      <c r="JU91" s="31">
        <v>29.8339</v>
      </c>
      <c r="JV91" s="31">
        <v>29.8312</v>
      </c>
      <c r="JW91" s="31">
        <v>29.7992</v>
      </c>
      <c r="JX91" s="31">
        <v>29.7992</v>
      </c>
      <c r="JY91" s="31">
        <v>29.9044</v>
      </c>
      <c r="JZ91" s="23">
        <v>29.7747</v>
      </c>
      <c r="KA91" s="23">
        <v>29.8577</v>
      </c>
      <c r="KB91" s="23">
        <v>29.7581</v>
      </c>
      <c r="KC91" s="23">
        <v>28.9673</v>
      </c>
      <c r="KD91" s="23">
        <v>28.9673</v>
      </c>
      <c r="KE91" s="23">
        <v>28.9673</v>
      </c>
      <c r="KF91" s="23">
        <v>29.4398</v>
      </c>
      <c r="KG91" s="23">
        <v>29.3248</v>
      </c>
      <c r="KH91" s="23">
        <v>29.4223</v>
      </c>
      <c r="KI91" s="23">
        <v>29.2028</v>
      </c>
      <c r="KJ91" s="23">
        <v>29.3422</v>
      </c>
      <c r="KK91" s="23">
        <v>29.3422</v>
      </c>
      <c r="KL91" s="23">
        <v>29.3422</v>
      </c>
      <c r="KM91" s="23">
        <v>29.6441</v>
      </c>
      <c r="KN91" s="23">
        <v>29.5697</v>
      </c>
      <c r="KO91" s="23">
        <v>29.2513</v>
      </c>
      <c r="KP91" s="23">
        <v>29.1091</v>
      </c>
      <c r="KQ91" s="23">
        <v>29.3573</v>
      </c>
      <c r="KR91" s="23">
        <v>29.3493</v>
      </c>
      <c r="KS91" s="23">
        <v>29.3493</v>
      </c>
      <c r="KT91" s="23">
        <v>29.7445</v>
      </c>
      <c r="KU91" s="23">
        <v>29.7769</v>
      </c>
      <c r="KV91" s="23">
        <v>29.793</v>
      </c>
      <c r="KW91" s="23">
        <v>29.1458</v>
      </c>
      <c r="KX91" s="23">
        <v>29.2801</v>
      </c>
      <c r="KY91" s="23">
        <v>29.1391</v>
      </c>
      <c r="KZ91" s="23">
        <v>29.1395</v>
      </c>
      <c r="LA91" s="23">
        <v>29.2561</v>
      </c>
      <c r="LB91" s="23">
        <v>28.8387</v>
      </c>
      <c r="LC91" s="23">
        <v>28.9737</v>
      </c>
      <c r="LD91" s="23">
        <v>28.6887</v>
      </c>
      <c r="LE91" s="23">
        <v>28.6844</v>
      </c>
      <c r="LF91" s="23">
        <v>28.6867</v>
      </c>
      <c r="LG91" s="23">
        <v>28.6867</v>
      </c>
      <c r="LH91" s="23">
        <v>29.154</v>
      </c>
      <c r="LI91" s="23">
        <v>29.217</v>
      </c>
      <c r="LJ91" s="23">
        <v>29.1926</v>
      </c>
      <c r="LK91" s="23">
        <v>28.6723</v>
      </c>
      <c r="LL91" s="23">
        <v>28.6466</v>
      </c>
      <c r="LM91" s="23">
        <v>28.6466</v>
      </c>
      <c r="LN91" s="23">
        <v>28.6466</v>
      </c>
      <c r="LO91" s="23">
        <v>28.4491</v>
      </c>
      <c r="LP91" s="23">
        <v>28.2343</v>
      </c>
      <c r="LQ91" s="23">
        <v>28.2284</v>
      </c>
      <c r="LR91" s="23">
        <v>27.7879</v>
      </c>
      <c r="LS91" s="23">
        <v>28.093</v>
      </c>
      <c r="LT91" s="23">
        <v>28.093</v>
      </c>
      <c r="LU91" s="23">
        <v>28.093</v>
      </c>
      <c r="LV91" s="23">
        <v>28.6161</v>
      </c>
      <c r="LW91" s="23">
        <v>28.8821</v>
      </c>
      <c r="LX91" s="23">
        <v>29.0545</v>
      </c>
      <c r="LY91" s="23">
        <v>29.0545</v>
      </c>
      <c r="LZ91" s="23">
        <v>29.2412</v>
      </c>
      <c r="MA91" s="23">
        <v>29.2412</v>
      </c>
      <c r="MB91" s="23">
        <v>29.2412</v>
      </c>
      <c r="MC91" s="23">
        <v>29.0661</v>
      </c>
      <c r="MD91" s="23">
        <v>29.1389</v>
      </c>
      <c r="ME91" s="23">
        <v>29.2472</v>
      </c>
      <c r="MF91" s="23">
        <v>29.2974</v>
      </c>
      <c r="MG91" s="23">
        <v>29.3751</v>
      </c>
      <c r="MH91" s="23">
        <v>29.3751</v>
      </c>
      <c r="MI91" s="23">
        <v>29.3751</v>
      </c>
      <c r="MJ91" s="23">
        <v>29.2261</v>
      </c>
      <c r="MK91" s="23">
        <v>29.228</v>
      </c>
      <c r="ML91" s="23">
        <v>29.3929</v>
      </c>
      <c r="MM91" s="23">
        <v>29.3444</v>
      </c>
      <c r="MN91" s="23">
        <v>29.0573</v>
      </c>
      <c r="MO91" s="23">
        <v>29.0389</v>
      </c>
      <c r="MP91" s="23">
        <v>29.0389</v>
      </c>
      <c r="MQ91" s="23">
        <v>29.0113</v>
      </c>
      <c r="MR91" s="23">
        <v>28.9465</v>
      </c>
      <c r="MS91" s="23">
        <v>28.5776</v>
      </c>
      <c r="MT91" s="23">
        <v>28.8008</v>
      </c>
      <c r="MU91" s="23">
        <v>29.0723</v>
      </c>
      <c r="MV91" s="23">
        <v>29.0736</v>
      </c>
      <c r="MW91" s="23">
        <v>29.0736</v>
      </c>
      <c r="MX91" s="23">
        <v>29.3113</v>
      </c>
      <c r="MY91" s="23">
        <v>29.4525</v>
      </c>
      <c r="MZ91" s="23">
        <v>29.5418</v>
      </c>
      <c r="NA91" s="23">
        <v>29.5418</v>
      </c>
      <c r="NB91" s="23">
        <v>29.5278</v>
      </c>
      <c r="NC91" s="23">
        <v>29.5267</v>
      </c>
      <c r="ND91" s="23">
        <v>29.5267</v>
      </c>
      <c r="NE91" s="23">
        <v>29.4271</v>
      </c>
      <c r="NF91" s="23">
        <v>29.3913</v>
      </c>
      <c r="NG91" s="23">
        <v>29.1831</v>
      </c>
      <c r="NH91" s="23">
        <v>29.1831</v>
      </c>
      <c r="NI91" s="23">
        <v>29.2591</v>
      </c>
      <c r="NJ91" s="23">
        <v>29.241</v>
      </c>
      <c r="NK91" s="23">
        <v>29.241</v>
      </c>
      <c r="NL91" s="23">
        <v>29.4278</v>
      </c>
      <c r="NM91" s="23">
        <v>29.5823</v>
      </c>
      <c r="NN91" s="23">
        <v>29.528</v>
      </c>
      <c r="NO91" s="23">
        <v>29.5463</v>
      </c>
      <c r="NP91" s="23">
        <v>29.7474</v>
      </c>
      <c r="NQ91" s="23">
        <v>29.7474</v>
      </c>
      <c r="NR91" s="23">
        <v>29.7474</v>
      </c>
      <c r="NS91" s="23">
        <v>29.8163</v>
      </c>
      <c r="NT91" s="23">
        <v>29.7981</v>
      </c>
      <c r="NU91" s="23">
        <v>29.6161</v>
      </c>
      <c r="NV91" s="23">
        <v>29.6517</v>
      </c>
      <c r="NW91" s="23">
        <v>29.6087</v>
      </c>
      <c r="NX91" s="23">
        <v>29.6087</v>
      </c>
      <c r="NY91" s="23">
        <v>29.6083</v>
      </c>
      <c r="NZ91" s="23">
        <v>29.6083</v>
      </c>
      <c r="OA91" s="23">
        <v>28.9658</v>
      </c>
      <c r="OB91" s="23">
        <v>29.2652</v>
      </c>
      <c r="OC91" s="23">
        <v>29.5179</v>
      </c>
      <c r="OD91" s="23">
        <v>29.5157</v>
      </c>
      <c r="OE91" s="23">
        <v>29.5157</v>
      </c>
      <c r="OF91" s="23">
        <v>29.5188</v>
      </c>
      <c r="OG91" s="23">
        <v>29.693</v>
      </c>
      <c r="OH91" s="23">
        <v>29.636</v>
      </c>
      <c r="OI91" s="23">
        <v>29.3547</v>
      </c>
      <c r="OJ91" s="23">
        <v>29.3587</v>
      </c>
      <c r="OK91" s="23">
        <v>29.2725</v>
      </c>
      <c r="OL91" s="23">
        <v>29.2725</v>
      </c>
      <c r="OM91" s="23">
        <v>29.273</v>
      </c>
      <c r="ON91" s="23">
        <v>29.4229</v>
      </c>
      <c r="OO91" s="23">
        <v>29.1335</v>
      </c>
      <c r="OP91" s="23">
        <v>28.7134</v>
      </c>
      <c r="OQ91" s="23">
        <v>28.252</v>
      </c>
      <c r="OR91" s="23">
        <v>28.6874</v>
      </c>
      <c r="OS91" s="23">
        <v>28.6874</v>
      </c>
      <c r="OT91" s="23">
        <v>28.707</v>
      </c>
      <c r="OU91" s="23">
        <v>28.8564</v>
      </c>
      <c r="OV91" s="23">
        <v>28.9635</v>
      </c>
      <c r="OW91" s="23">
        <v>28.9221</v>
      </c>
      <c r="OX91" s="23">
        <v>28.5252</v>
      </c>
      <c r="OY91" s="23">
        <v>28.5179</v>
      </c>
      <c r="OZ91" s="23">
        <v>28.5179</v>
      </c>
      <c r="PA91" s="23">
        <v>28.5179</v>
      </c>
      <c r="PB91" s="23">
        <v>28.5517</v>
      </c>
      <c r="PC91" s="23">
        <v>28.5515</v>
      </c>
      <c r="PD91" s="23">
        <v>28.6812</v>
      </c>
      <c r="PE91" s="23">
        <v>28.6268</v>
      </c>
      <c r="PF91" s="23">
        <v>28.8408</v>
      </c>
      <c r="PG91" s="23">
        <v>28.8408</v>
      </c>
      <c r="PH91" s="23">
        <v>28.8408</v>
      </c>
      <c r="PI91" s="23">
        <v>28.5651</v>
      </c>
      <c r="PJ91" s="23">
        <v>28.82</v>
      </c>
      <c r="PK91" s="23">
        <v>28.7914</v>
      </c>
      <c r="PL91" s="23">
        <v>28.6225</v>
      </c>
      <c r="PM91" s="23">
        <v>28.5284</v>
      </c>
      <c r="PN91" s="23">
        <v>28.5345</v>
      </c>
      <c r="PO91" s="23">
        <v>28.5347</v>
      </c>
      <c r="PP91" s="23">
        <v>28.5806</v>
      </c>
      <c r="PQ91" s="23">
        <v>28.313</v>
      </c>
      <c r="PR91" s="23">
        <v>28.5029</v>
      </c>
      <c r="PS91" s="23">
        <v>28.3307</v>
      </c>
      <c r="PT91" s="23">
        <v>27.9648</v>
      </c>
      <c r="PU91" s="23">
        <v>27.9648</v>
      </c>
      <c r="PV91" s="23">
        <v>27.9648</v>
      </c>
      <c r="PW91" s="23">
        <v>28.2206</v>
      </c>
      <c r="PX91" s="23">
        <v>28.1599</v>
      </c>
      <c r="PY91" s="23">
        <v>28.1509</v>
      </c>
      <c r="PZ91" s="23">
        <v>27.7214</v>
      </c>
      <c r="QA91" s="23">
        <v>27.5601</v>
      </c>
      <c r="QB91" s="23">
        <v>27.5601</v>
      </c>
      <c r="QC91" s="23">
        <v>27.5601</v>
      </c>
      <c r="QD91" s="23">
        <v>27.7833</v>
      </c>
      <c r="QE91" s="23">
        <v>27.8761</v>
      </c>
      <c r="QF91" s="23">
        <v>27.4978</v>
      </c>
      <c r="QG91" s="23">
        <v>27.271</v>
      </c>
      <c r="QH91" s="23">
        <v>26.845</v>
      </c>
      <c r="QI91" s="23">
        <v>26.845</v>
      </c>
      <c r="QJ91" s="23">
        <v>26.845</v>
      </c>
      <c r="QK91" s="23">
        <v>27.4009</v>
      </c>
      <c r="QL91" s="23">
        <v>27.2431</v>
      </c>
      <c r="QM91" s="23">
        <v>27.3844</v>
      </c>
      <c r="QN91" s="23">
        <v>26.8785</v>
      </c>
      <c r="QO91" s="23">
        <v>26.4126</v>
      </c>
      <c r="QP91" s="23">
        <v>26.4126</v>
      </c>
      <c r="QQ91" s="23">
        <v>26.414</v>
      </c>
      <c r="QR91" s="23">
        <v>26.3192</v>
      </c>
      <c r="QS91" s="23">
        <v>27.1091</v>
      </c>
      <c r="QT91" s="23">
        <v>27.3379</v>
      </c>
      <c r="QU91" s="23">
        <v>27.3514</v>
      </c>
      <c r="QV91" s="23">
        <v>27.3508</v>
      </c>
      <c r="QW91" s="23">
        <v>27.3508</v>
      </c>
      <c r="QX91" s="23">
        <v>27.3508</v>
      </c>
      <c r="QY91" s="23">
        <v>27.4785</v>
      </c>
      <c r="QZ91" s="23">
        <v>27.5228</v>
      </c>
      <c r="RA91" s="23">
        <v>28.2303</v>
      </c>
      <c r="RB91" s="23">
        <v>28.4017</v>
      </c>
      <c r="RC91" s="23">
        <v>28.3609</v>
      </c>
      <c r="RD91" s="23">
        <v>28.3609</v>
      </c>
      <c r="RE91" s="23">
        <v>28.3625</v>
      </c>
      <c r="RF91" s="23">
        <v>28.649</v>
      </c>
      <c r="RG91" s="23">
        <v>29.0499</v>
      </c>
      <c r="RH91" s="23">
        <v>29.2565</v>
      </c>
      <c r="RI91" s="23">
        <v>29.2479</v>
      </c>
      <c r="RJ91" s="23">
        <v>29.6122</v>
      </c>
      <c r="RK91" s="23">
        <v>29.6122</v>
      </c>
      <c r="RL91" s="23">
        <v>29.612</v>
      </c>
      <c r="RM91" s="23">
        <v>29.5203</v>
      </c>
      <c r="RN91" s="23">
        <v>29.2671</v>
      </c>
      <c r="RO91" s="23">
        <v>29.4848</v>
      </c>
      <c r="RP91" s="23">
        <v>29.3534</v>
      </c>
      <c r="RQ91" s="23">
        <v>29.5884</v>
      </c>
      <c r="RR91" s="23">
        <v>29.5884</v>
      </c>
      <c r="RS91" s="23">
        <v>29.5818</v>
      </c>
      <c r="RT91" s="23">
        <v>29.621</v>
      </c>
      <c r="RU91" s="23">
        <v>29.3953</v>
      </c>
      <c r="RV91" s="23">
        <v>28.5393</v>
      </c>
      <c r="RW91" s="23">
        <v>28.5313</v>
      </c>
      <c r="RX91" s="23">
        <v>28.6699</v>
      </c>
      <c r="RY91" s="23">
        <v>28.606</v>
      </c>
      <c r="RZ91" s="23">
        <v>28.606</v>
      </c>
      <c r="SA91" s="23">
        <v>28.4789</v>
      </c>
      <c r="SB91" s="23">
        <v>28.6306</v>
      </c>
      <c r="SC91" s="23">
        <v>29.1169</v>
      </c>
      <c r="SD91" s="23">
        <v>28.9576</v>
      </c>
      <c r="SE91" s="23">
        <v>29.166</v>
      </c>
      <c r="SF91" s="23">
        <v>29.166</v>
      </c>
      <c r="SG91" s="23">
        <v>29.1671</v>
      </c>
      <c r="SH91" s="23">
        <v>29.1468</v>
      </c>
      <c r="SI91" s="23">
        <v>29.0901</v>
      </c>
      <c r="SJ91" s="23">
        <v>29.3217</v>
      </c>
      <c r="SK91" s="23">
        <v>29.5088</v>
      </c>
      <c r="SL91" s="23">
        <v>29.1455</v>
      </c>
      <c r="SM91" s="23">
        <v>29.1455</v>
      </c>
      <c r="SN91" s="23">
        <v>29.1455</v>
      </c>
      <c r="SO91" s="23">
        <v>29.123</v>
      </c>
      <c r="SP91" s="23">
        <v>28.8928</v>
      </c>
      <c r="SQ91" s="23">
        <v>28.7039</v>
      </c>
      <c r="SR91" s="23">
        <v>28.6797</v>
      </c>
      <c r="SS91" s="23">
        <v>28.7613</v>
      </c>
      <c r="ST91" s="23">
        <v>28.7613</v>
      </c>
      <c r="SU91" s="23">
        <v>28.7613</v>
      </c>
      <c r="SV91" s="23">
        <v>28.7612</v>
      </c>
      <c r="SW91" s="23">
        <v>28.9506</v>
      </c>
      <c r="SX91" s="23">
        <v>28.9591</v>
      </c>
      <c r="SY91" s="23">
        <v>29.0912</v>
      </c>
      <c r="SZ91" s="23">
        <v>29.1092</v>
      </c>
      <c r="TA91" s="23">
        <v>29.1092</v>
      </c>
      <c r="TB91" s="23">
        <v>29.1092</v>
      </c>
      <c r="TC91" s="23">
        <v>29.1466</v>
      </c>
      <c r="TD91" s="23">
        <v>29.0782</v>
      </c>
      <c r="TE91" s="23">
        <v>28.8105</v>
      </c>
      <c r="TF91" s="23">
        <v>29.009</v>
      </c>
      <c r="TG91" s="23">
        <v>28.2747</v>
      </c>
      <c r="TH91" s="23">
        <v>28.2747</v>
      </c>
      <c r="TI91" s="23">
        <v>28.2747</v>
      </c>
      <c r="TJ91" s="23">
        <v>28.3318</v>
      </c>
      <c r="TK91" s="23">
        <v>28.254</v>
      </c>
      <c r="TL91" s="23">
        <v>27.78</v>
      </c>
      <c r="TM91" s="23">
        <v>28.2387</v>
      </c>
      <c r="TN91" s="23">
        <v>28.3727</v>
      </c>
      <c r="TO91" s="23">
        <v>28.3727</v>
      </c>
      <c r="TP91" s="23">
        <v>28.3717</v>
      </c>
      <c r="TQ91" s="23">
        <v>28.8563</v>
      </c>
      <c r="TR91" s="23">
        <v>28.7273</v>
      </c>
      <c r="TS91" s="23">
        <v>28.3452</v>
      </c>
      <c r="TT91" s="23">
        <v>28.6455</v>
      </c>
      <c r="TU91" s="23">
        <v>28.6455</v>
      </c>
      <c r="TV91" s="23">
        <v>28.6455</v>
      </c>
      <c r="TW91" s="23">
        <v>28.6455</v>
      </c>
      <c r="TX91" s="23">
        <v>28.5407</v>
      </c>
      <c r="TY91" s="23">
        <v>28.1507</v>
      </c>
      <c r="TZ91" s="23">
        <v>27.8243</v>
      </c>
      <c r="UA91" s="23">
        <v>27.7934</v>
      </c>
      <c r="UB91" s="23">
        <v>27.7541</v>
      </c>
      <c r="UC91" s="23">
        <v>27.7541</v>
      </c>
      <c r="UD91" s="23">
        <v>27.7539</v>
      </c>
      <c r="UE91" s="23">
        <v>28.1207</v>
      </c>
      <c r="UF91" s="23">
        <v>28.319</v>
      </c>
      <c r="UG91" s="23">
        <v>28.3288</v>
      </c>
      <c r="UH91" s="23">
        <v>28.3122</v>
      </c>
      <c r="UI91" s="23">
        <v>28.3122</v>
      </c>
      <c r="UJ91" s="23">
        <v>28.3122</v>
      </c>
      <c r="UK91" s="23">
        <v>28.3122</v>
      </c>
      <c r="UL91" s="23"/>
      <c r="UM91" s="23"/>
      <c r="UN91" s="23"/>
      <c r="UO91" s="23"/>
      <c r="UP91" s="23"/>
      <c r="UQ91" s="23"/>
      <c r="UR91" s="23"/>
      <c r="US91" s="23"/>
      <c r="UT91" s="23"/>
    </row>
    <row r="92" ht="16.5" customHeight="1" spans="4:566">
      <c r="D92" s="26" t="s">
        <v>330</v>
      </c>
      <c r="E92" s="21" t="s">
        <v>332</v>
      </c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>
        <v>2.5679</v>
      </c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>
        <v>2.4159</v>
      </c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>
        <v>2.6088</v>
      </c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  <c r="DI92" s="31"/>
      <c r="DJ92" s="31"/>
      <c r="DK92" s="31"/>
      <c r="DL92" s="31"/>
      <c r="DM92" s="31"/>
      <c r="DN92" s="31">
        <v>2.4179</v>
      </c>
      <c r="DO92" s="31"/>
      <c r="DP92" s="31"/>
      <c r="DQ92" s="31"/>
      <c r="DR92" s="31"/>
      <c r="DS92" s="31"/>
      <c r="DT92" s="31"/>
      <c r="DU92" s="31"/>
      <c r="DV92" s="31"/>
      <c r="DW92" s="31"/>
      <c r="DX92" s="31"/>
      <c r="DY92" s="31"/>
      <c r="DZ92" s="31"/>
      <c r="EA92" s="31"/>
      <c r="EB92" s="31"/>
      <c r="EC92" s="31"/>
      <c r="ED92" s="31"/>
      <c r="EE92" s="31"/>
      <c r="EF92" s="31"/>
      <c r="EG92" s="31"/>
      <c r="EH92" s="31"/>
      <c r="EI92" s="31"/>
      <c r="EJ92" s="31"/>
      <c r="EK92" s="31"/>
      <c r="EL92" s="31"/>
      <c r="EM92" s="31"/>
      <c r="EN92" s="31"/>
      <c r="EO92" s="31"/>
      <c r="EP92" s="31"/>
      <c r="EQ92" s="31"/>
      <c r="ER92" s="31"/>
      <c r="ES92" s="31"/>
      <c r="ET92" s="31"/>
      <c r="EU92" s="31"/>
      <c r="EV92" s="31"/>
      <c r="EW92" s="31">
        <v>2.3787</v>
      </c>
      <c r="EX92" s="31"/>
      <c r="EY92" s="31"/>
      <c r="EZ92" s="31"/>
      <c r="FA92" s="31"/>
      <c r="FB92" s="31"/>
      <c r="FC92" s="31"/>
      <c r="FD92" s="31"/>
      <c r="FE92" s="31"/>
      <c r="FF92" s="31"/>
      <c r="FG92" s="31"/>
      <c r="FH92" s="31"/>
      <c r="FI92" s="31"/>
      <c r="FJ92" s="31"/>
      <c r="FK92" s="31"/>
      <c r="FL92" s="31"/>
      <c r="FM92" s="31"/>
      <c r="FN92" s="31"/>
      <c r="FO92" s="31"/>
      <c r="FP92" s="31"/>
      <c r="FQ92" s="31"/>
      <c r="FR92" s="31"/>
      <c r="FS92" s="31"/>
      <c r="FT92" s="31"/>
      <c r="FU92" s="31"/>
      <c r="FV92" s="31"/>
      <c r="FW92" s="31"/>
      <c r="FX92" s="31"/>
      <c r="FY92" s="31">
        <v>2.4334</v>
      </c>
      <c r="FZ92" s="31"/>
      <c r="GA92" s="31"/>
      <c r="GB92" s="31"/>
      <c r="GC92" s="31"/>
      <c r="GD92" s="31"/>
      <c r="GE92" s="31"/>
      <c r="GF92" s="31"/>
      <c r="GG92" s="31"/>
      <c r="GH92" s="31"/>
      <c r="GI92" s="31"/>
      <c r="GJ92" s="31"/>
      <c r="GK92" s="31"/>
      <c r="GL92" s="31"/>
      <c r="GM92" s="31"/>
      <c r="GN92" s="31"/>
      <c r="GO92" s="31"/>
      <c r="GP92" s="31"/>
      <c r="GQ92" s="31"/>
      <c r="GR92" s="31"/>
      <c r="GS92" s="31"/>
      <c r="GT92" s="31"/>
      <c r="GU92" s="31"/>
      <c r="GV92" s="31"/>
      <c r="GW92" s="31"/>
      <c r="GX92" s="31"/>
      <c r="GY92" s="31"/>
      <c r="GZ92" s="31"/>
      <c r="HA92" s="31"/>
      <c r="HB92" s="31"/>
      <c r="HC92" s="31"/>
      <c r="HD92" s="31"/>
      <c r="HE92" s="31"/>
      <c r="HF92" s="31"/>
      <c r="HG92" s="31">
        <v>2.5183</v>
      </c>
      <c r="HH92" s="31"/>
      <c r="HI92" s="31"/>
      <c r="HJ92" s="31"/>
      <c r="HK92" s="31"/>
      <c r="HL92" s="31"/>
      <c r="HM92" s="31"/>
      <c r="HN92" s="31"/>
      <c r="HO92" s="31"/>
      <c r="HP92" s="31"/>
      <c r="HQ92" s="31"/>
      <c r="HR92" s="31"/>
      <c r="HS92" s="31"/>
      <c r="HT92" s="31"/>
      <c r="HU92" s="31"/>
      <c r="HV92" s="31"/>
      <c r="HW92" s="31"/>
      <c r="HX92" s="31"/>
      <c r="HY92" s="31"/>
      <c r="HZ92" s="31"/>
      <c r="IA92" s="31"/>
      <c r="IB92" s="31"/>
      <c r="IC92" s="31"/>
      <c r="ID92" s="31"/>
      <c r="IE92" s="31"/>
      <c r="IF92" s="31"/>
      <c r="IG92" s="31"/>
      <c r="IH92" s="31"/>
      <c r="II92" s="31"/>
      <c r="IJ92" s="31">
        <v>2.5092</v>
      </c>
      <c r="IK92" s="31"/>
      <c r="IL92" s="31"/>
      <c r="IM92" s="31"/>
      <c r="IN92" s="31"/>
      <c r="IO92" s="31"/>
      <c r="IP92" s="31"/>
      <c r="IQ92" s="31"/>
      <c r="IR92" s="31"/>
      <c r="IS92" s="31"/>
      <c r="IT92" s="31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>
        <v>2.4336</v>
      </c>
      <c r="JM92" s="31"/>
      <c r="JN92" s="31"/>
      <c r="JO92" s="31"/>
      <c r="JP92" s="31"/>
      <c r="JQ92" s="31"/>
      <c r="JR92" s="31"/>
      <c r="JS92" s="31"/>
      <c r="JT92" s="31"/>
      <c r="JU92" s="31"/>
      <c r="JV92" s="31"/>
      <c r="JW92" s="31"/>
      <c r="JX92" s="31"/>
      <c r="JY92" s="31"/>
      <c r="JZ92" s="23"/>
      <c r="KA92" s="23"/>
      <c r="KB92" s="23"/>
      <c r="KC92" s="23"/>
      <c r="KD92" s="23"/>
      <c r="KE92" s="23"/>
      <c r="KF92" s="23"/>
      <c r="KG92" s="23"/>
      <c r="KH92" s="23"/>
      <c r="KI92" s="23"/>
      <c r="KJ92" s="23"/>
      <c r="KK92" s="23"/>
      <c r="KL92" s="23"/>
      <c r="KM92" s="23"/>
      <c r="KN92" s="23"/>
      <c r="KO92" s="23"/>
      <c r="KP92" s="23"/>
      <c r="KQ92" s="23"/>
      <c r="KR92" s="23"/>
      <c r="KS92" s="23"/>
      <c r="KT92" s="23">
        <v>2.5036</v>
      </c>
      <c r="KU92" s="23"/>
      <c r="KV92" s="23"/>
      <c r="KW92" s="23"/>
      <c r="KX92" s="23"/>
      <c r="KY92" s="23"/>
      <c r="KZ92" s="23"/>
      <c r="LA92" s="23"/>
      <c r="LB92" s="23"/>
      <c r="LC92" s="23"/>
      <c r="LD92" s="23"/>
      <c r="LE92" s="23"/>
      <c r="LF92" s="23"/>
      <c r="LG92" s="23"/>
      <c r="LH92" s="23"/>
      <c r="LI92" s="23"/>
      <c r="LJ92" s="23"/>
      <c r="LK92" s="23"/>
      <c r="LL92" s="23"/>
      <c r="LM92" s="23"/>
      <c r="LN92" s="23"/>
      <c r="LO92" s="23"/>
      <c r="LP92" s="23"/>
      <c r="LQ92" s="23"/>
      <c r="LR92" s="23"/>
      <c r="LS92" s="23"/>
      <c r="LT92" s="23"/>
      <c r="LU92" s="23"/>
      <c r="LV92" s="23">
        <v>2.5114</v>
      </c>
      <c r="LW92" s="23"/>
      <c r="LX92" s="23"/>
      <c r="LY92" s="23"/>
      <c r="LZ92" s="23"/>
      <c r="MA92" s="23"/>
      <c r="MB92" s="23"/>
      <c r="MC92" s="23"/>
      <c r="MD92" s="23"/>
      <c r="ME92" s="23"/>
      <c r="MF92" s="23"/>
      <c r="MG92" s="23"/>
      <c r="MH92" s="23"/>
      <c r="MI92" s="23"/>
      <c r="MJ92" s="23"/>
      <c r="MK92" s="23"/>
      <c r="ML92" s="23"/>
      <c r="MM92" s="23"/>
      <c r="MN92" s="23"/>
      <c r="MO92" s="23"/>
      <c r="MP92" s="23"/>
      <c r="MQ92" s="23"/>
      <c r="MR92" s="23"/>
      <c r="MS92" s="23"/>
      <c r="MT92" s="23"/>
      <c r="MU92" s="23"/>
      <c r="MV92" s="23"/>
      <c r="MW92" s="23"/>
      <c r="MX92" s="23">
        <v>2.3945</v>
      </c>
      <c r="MY92" s="23"/>
      <c r="MZ92" s="23"/>
      <c r="NA92" s="23"/>
      <c r="NB92" s="23"/>
      <c r="NC92" s="23"/>
      <c r="ND92" s="23"/>
      <c r="NE92" s="23"/>
      <c r="NF92" s="23"/>
      <c r="NG92" s="23"/>
      <c r="NH92" s="23"/>
      <c r="NI92" s="23"/>
      <c r="NJ92" s="23"/>
      <c r="NK92" s="23"/>
      <c r="NL92" s="23"/>
      <c r="NM92" s="23"/>
      <c r="NN92" s="23"/>
      <c r="NO92" s="23"/>
      <c r="NP92" s="23"/>
      <c r="NQ92" s="23"/>
      <c r="NR92" s="23"/>
      <c r="NS92" s="23"/>
      <c r="NT92" s="23"/>
      <c r="NU92" s="23"/>
      <c r="NV92" s="23"/>
      <c r="NW92" s="23"/>
      <c r="NX92" s="23"/>
      <c r="NY92" s="23"/>
      <c r="NZ92" s="23"/>
      <c r="OA92" s="23"/>
      <c r="OB92" s="23"/>
      <c r="OC92" s="23"/>
      <c r="OD92" s="23"/>
      <c r="OE92" s="23"/>
      <c r="OF92" s="23"/>
      <c r="OG92" s="23">
        <v>2.6344</v>
      </c>
      <c r="OH92" s="23"/>
      <c r="OI92" s="23"/>
      <c r="OJ92" s="23"/>
      <c r="OK92" s="23"/>
      <c r="OL92" s="23"/>
      <c r="OM92" s="23"/>
      <c r="ON92" s="23"/>
      <c r="OO92" s="23"/>
      <c r="OP92" s="23"/>
      <c r="OQ92" s="23"/>
      <c r="OR92" s="23"/>
      <c r="OS92" s="23"/>
      <c r="OT92" s="23"/>
      <c r="OU92" s="23"/>
      <c r="OV92" s="23"/>
      <c r="OW92" s="23"/>
      <c r="OX92" s="23"/>
      <c r="OY92" s="23"/>
      <c r="OZ92" s="23"/>
      <c r="PA92" s="23"/>
      <c r="PB92" s="23"/>
      <c r="PC92" s="23"/>
      <c r="PD92" s="23"/>
      <c r="PE92" s="23"/>
      <c r="PF92" s="23"/>
      <c r="PG92" s="23"/>
      <c r="PH92" s="23"/>
      <c r="PI92" s="23"/>
      <c r="PJ92" s="23">
        <v>2.4551</v>
      </c>
      <c r="PK92" s="23"/>
      <c r="PL92" s="23"/>
      <c r="PM92" s="23"/>
      <c r="PN92" s="23"/>
      <c r="PO92" s="23"/>
      <c r="PP92" s="23"/>
      <c r="PQ92" s="23"/>
      <c r="PR92" s="23"/>
      <c r="PS92" s="23"/>
      <c r="PT92" s="23"/>
      <c r="PU92" s="23"/>
      <c r="PV92" s="23"/>
      <c r="PW92" s="23"/>
      <c r="PX92" s="23"/>
      <c r="PY92" s="23"/>
      <c r="PZ92" s="23"/>
      <c r="QA92" s="23"/>
      <c r="QB92" s="23"/>
      <c r="QC92" s="23"/>
      <c r="QD92" s="23"/>
      <c r="QE92" s="23"/>
      <c r="QF92" s="23"/>
      <c r="QG92" s="23"/>
      <c r="QH92" s="23"/>
      <c r="QI92" s="23"/>
      <c r="QJ92" s="23"/>
      <c r="QK92" s="23"/>
      <c r="QL92" s="23">
        <v>2.3055</v>
      </c>
      <c r="QM92" s="23"/>
      <c r="QN92" s="23"/>
      <c r="QO92" s="23"/>
      <c r="QP92" s="23"/>
      <c r="QQ92" s="23"/>
      <c r="QR92" s="23"/>
      <c r="QS92" s="23"/>
      <c r="QT92" s="23"/>
      <c r="QU92" s="23"/>
      <c r="QV92" s="23"/>
      <c r="QW92" s="23"/>
      <c r="QX92" s="23"/>
      <c r="QY92" s="23"/>
      <c r="QZ92" s="23"/>
      <c r="RA92" s="23"/>
      <c r="RB92" s="23"/>
      <c r="RC92" s="23"/>
      <c r="RD92" s="23"/>
      <c r="RE92" s="23"/>
      <c r="RF92" s="23"/>
      <c r="RG92" s="23"/>
      <c r="RH92" s="23"/>
      <c r="RI92" s="23"/>
      <c r="RJ92" s="23"/>
      <c r="RK92" s="23"/>
      <c r="RL92" s="23"/>
      <c r="RM92" s="23"/>
      <c r="RN92" s="23"/>
      <c r="RO92" s="23"/>
      <c r="RP92" s="23"/>
      <c r="RQ92" s="23"/>
      <c r="RR92" s="23"/>
      <c r="RS92" s="23"/>
      <c r="RT92" s="23">
        <v>2.4686</v>
      </c>
      <c r="RU92" s="23"/>
      <c r="RV92" s="23"/>
      <c r="RW92" s="23"/>
      <c r="RX92" s="23"/>
      <c r="RY92" s="23"/>
      <c r="RZ92" s="23"/>
      <c r="SA92" s="23"/>
      <c r="SB92" s="23"/>
      <c r="SC92" s="23"/>
      <c r="SD92" s="23"/>
      <c r="SE92" s="23"/>
      <c r="SF92" s="23"/>
      <c r="SG92" s="23"/>
      <c r="SH92" s="23"/>
      <c r="SI92" s="23"/>
      <c r="SJ92" s="23"/>
      <c r="SK92" s="23"/>
      <c r="SL92" s="23"/>
      <c r="SM92" s="23"/>
      <c r="SN92" s="23"/>
      <c r="SO92" s="23"/>
      <c r="SP92" s="23"/>
      <c r="SQ92" s="23"/>
      <c r="SR92" s="23"/>
      <c r="SS92" s="23"/>
      <c r="ST92" s="23"/>
      <c r="SU92" s="23"/>
      <c r="SV92" s="23"/>
      <c r="SW92" s="23">
        <v>2.428</v>
      </c>
      <c r="SX92" s="23"/>
      <c r="SY92" s="23"/>
      <c r="SZ92" s="23"/>
      <c r="TA92" s="23"/>
      <c r="TB92" s="23"/>
      <c r="TC92" s="23"/>
      <c r="TD92" s="23"/>
      <c r="TE92" s="23"/>
      <c r="TF92" s="23"/>
      <c r="TG92" s="23"/>
      <c r="TH92" s="23"/>
      <c r="TI92" s="23"/>
      <c r="TJ92" s="23"/>
      <c r="TK92" s="23"/>
      <c r="TL92" s="23"/>
      <c r="TM92" s="23"/>
      <c r="TN92" s="23"/>
      <c r="TO92" s="23"/>
      <c r="TP92" s="23"/>
      <c r="TQ92" s="23"/>
      <c r="TR92" s="23"/>
      <c r="TS92" s="23"/>
      <c r="TT92" s="23"/>
      <c r="TU92" s="23"/>
      <c r="TV92" s="23"/>
      <c r="TW92" s="23"/>
      <c r="TX92" s="23"/>
      <c r="TY92" s="23">
        <v>2.4295</v>
      </c>
      <c r="TZ92" s="23"/>
      <c r="UA92" s="23"/>
      <c r="UB92" s="23"/>
      <c r="UC92" s="23"/>
      <c r="UD92" s="23"/>
      <c r="UE92" s="23"/>
      <c r="UF92" s="23"/>
      <c r="UG92" s="23"/>
      <c r="UH92" s="23"/>
      <c r="UI92" s="23"/>
      <c r="UJ92" s="23"/>
      <c r="UK92" s="23"/>
      <c r="UL92" s="23"/>
      <c r="UM92" s="23"/>
      <c r="UN92" s="23"/>
      <c r="UO92" s="23"/>
      <c r="UP92" s="23"/>
      <c r="UQ92" s="23"/>
      <c r="UR92" s="23"/>
      <c r="US92" s="23"/>
      <c r="UT92" s="23"/>
    </row>
    <row r="93" ht="16.5" customHeight="1" spans="4:566">
      <c r="D93" s="26" t="s">
        <v>333</v>
      </c>
      <c r="E93" s="21" t="s">
        <v>334</v>
      </c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>
        <v>2.3227</v>
      </c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>
        <v>2.2937</v>
      </c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>
        <v>2.2873</v>
      </c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  <c r="DI93" s="31"/>
      <c r="DJ93" s="31"/>
      <c r="DK93" s="31"/>
      <c r="DL93" s="31"/>
      <c r="DM93" s="31"/>
      <c r="DN93" s="31"/>
      <c r="DO93" s="31">
        <v>2.3158</v>
      </c>
      <c r="DP93" s="31"/>
      <c r="DQ93" s="31"/>
      <c r="DR93" s="31"/>
      <c r="DS93" s="31"/>
      <c r="DT93" s="31"/>
      <c r="DU93" s="31"/>
      <c r="DV93" s="31"/>
      <c r="DW93" s="31"/>
      <c r="DX93" s="31"/>
      <c r="DY93" s="31"/>
      <c r="DZ93" s="31"/>
      <c r="EA93" s="31"/>
      <c r="EB93" s="31"/>
      <c r="EC93" s="31"/>
      <c r="ED93" s="31"/>
      <c r="EE93" s="31"/>
      <c r="EF93" s="31"/>
      <c r="EG93" s="31"/>
      <c r="EH93" s="31"/>
      <c r="EI93" s="31"/>
      <c r="EJ93" s="31"/>
      <c r="EK93" s="31"/>
      <c r="EL93" s="31"/>
      <c r="EM93" s="31"/>
      <c r="EN93" s="31"/>
      <c r="EO93" s="31"/>
      <c r="EP93" s="31"/>
      <c r="EQ93" s="31"/>
      <c r="ER93" s="31"/>
      <c r="ES93" s="31"/>
      <c r="ET93" s="31"/>
      <c r="EU93" s="31"/>
      <c r="EV93" s="31"/>
      <c r="EW93" s="31"/>
      <c r="EX93" s="31">
        <v>2.2235</v>
      </c>
      <c r="EY93" s="31"/>
      <c r="EZ93" s="31"/>
      <c r="FA93" s="31"/>
      <c r="FB93" s="31"/>
      <c r="FC93" s="31"/>
      <c r="FD93" s="31"/>
      <c r="FE93" s="31"/>
      <c r="FF93" s="31"/>
      <c r="FG93" s="31"/>
      <c r="FH93" s="31"/>
      <c r="FI93" s="31"/>
      <c r="FJ93" s="31"/>
      <c r="FK93" s="31"/>
      <c r="FL93" s="31"/>
      <c r="FM93" s="31"/>
      <c r="FN93" s="31"/>
      <c r="FO93" s="31"/>
      <c r="FP93" s="31"/>
      <c r="FQ93" s="31"/>
      <c r="FR93" s="31"/>
      <c r="FS93" s="31"/>
      <c r="FT93" s="31"/>
      <c r="FU93" s="31"/>
      <c r="FV93" s="31"/>
      <c r="FW93" s="31"/>
      <c r="FX93" s="31"/>
      <c r="FY93" s="31"/>
      <c r="FZ93" s="31">
        <v>2.234</v>
      </c>
      <c r="GA93" s="31"/>
      <c r="GB93" s="31"/>
      <c r="GC93" s="31"/>
      <c r="GD93" s="31"/>
      <c r="GE93" s="31"/>
      <c r="GF93" s="31"/>
      <c r="GG93" s="31"/>
      <c r="GH93" s="31"/>
      <c r="GI93" s="31"/>
      <c r="GJ93" s="31"/>
      <c r="GK93" s="31"/>
      <c r="GL93" s="31"/>
      <c r="GM93" s="31"/>
      <c r="GN93" s="31"/>
      <c r="GO93" s="31"/>
      <c r="GP93" s="31"/>
      <c r="GQ93" s="31"/>
      <c r="GR93" s="31"/>
      <c r="GS93" s="31"/>
      <c r="GT93" s="31"/>
      <c r="GU93" s="31"/>
      <c r="GV93" s="31"/>
      <c r="GW93" s="31"/>
      <c r="GX93" s="31"/>
      <c r="GY93" s="31"/>
      <c r="GZ93" s="31"/>
      <c r="HA93" s="31"/>
      <c r="HB93" s="31"/>
      <c r="HC93" s="31"/>
      <c r="HD93" s="31"/>
      <c r="HE93" s="31"/>
      <c r="HF93" s="31"/>
      <c r="HG93" s="31">
        <v>2.2304</v>
      </c>
      <c r="HH93" s="31"/>
      <c r="HI93" s="31"/>
      <c r="HJ93" s="31"/>
      <c r="HK93" s="31"/>
      <c r="HL93" s="31"/>
      <c r="HM93" s="31"/>
      <c r="HN93" s="31"/>
      <c r="HO93" s="31"/>
      <c r="HP93" s="31"/>
      <c r="HQ93" s="31"/>
      <c r="HR93" s="31"/>
      <c r="HS93" s="31"/>
      <c r="HT93" s="31"/>
      <c r="HU93" s="31"/>
      <c r="HV93" s="31"/>
      <c r="HW93" s="31"/>
      <c r="HX93" s="31"/>
      <c r="HY93" s="31"/>
      <c r="HZ93" s="31"/>
      <c r="IA93" s="31"/>
      <c r="IB93" s="31"/>
      <c r="IC93" s="31"/>
      <c r="ID93" s="31"/>
      <c r="IE93" s="31"/>
      <c r="IF93" s="31"/>
      <c r="IG93" s="31"/>
      <c r="IH93" s="31"/>
      <c r="II93" s="31"/>
      <c r="IJ93" s="31"/>
      <c r="IK93" s="31">
        <v>2.2159</v>
      </c>
      <c r="IL93" s="31"/>
      <c r="IM93" s="31"/>
      <c r="IN93" s="31"/>
      <c r="IO93" s="31"/>
      <c r="IP93" s="31"/>
      <c r="IQ93" s="31"/>
      <c r="IR93" s="31"/>
      <c r="IS93" s="31"/>
      <c r="IT93" s="31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>
        <v>2.274</v>
      </c>
      <c r="JN93" s="31"/>
      <c r="JO93" s="31"/>
      <c r="JP93" s="31"/>
      <c r="JQ93" s="31"/>
      <c r="JR93" s="31"/>
      <c r="JS93" s="31"/>
      <c r="JT93" s="31"/>
      <c r="JU93" s="31"/>
      <c r="JV93" s="31"/>
      <c r="JW93" s="31"/>
      <c r="JX93" s="31"/>
      <c r="JY93" s="31"/>
      <c r="JZ93" s="23"/>
      <c r="KA93" s="23"/>
      <c r="KB93" s="23"/>
      <c r="KC93" s="23"/>
      <c r="KD93" s="23"/>
      <c r="KE93" s="23"/>
      <c r="KF93" s="23"/>
      <c r="KG93" s="23"/>
      <c r="KH93" s="23"/>
      <c r="KI93" s="23"/>
      <c r="KJ93" s="23"/>
      <c r="KK93" s="23"/>
      <c r="KL93" s="23"/>
      <c r="KM93" s="23"/>
      <c r="KN93" s="23"/>
      <c r="KO93" s="23"/>
      <c r="KP93" s="23"/>
      <c r="KQ93" s="23"/>
      <c r="KR93" s="23"/>
      <c r="KS93" s="23"/>
      <c r="KT93" s="23">
        <v>2.3052</v>
      </c>
      <c r="KU93" s="23"/>
      <c r="KV93" s="23"/>
      <c r="KW93" s="23"/>
      <c r="KX93" s="23"/>
      <c r="KY93" s="23"/>
      <c r="KZ93" s="23"/>
      <c r="LA93" s="23"/>
      <c r="LB93" s="23"/>
      <c r="LC93" s="23"/>
      <c r="LD93" s="23"/>
      <c r="LE93" s="23"/>
      <c r="LF93" s="23"/>
      <c r="LG93" s="23"/>
      <c r="LH93" s="23"/>
      <c r="LI93" s="23"/>
      <c r="LJ93" s="23"/>
      <c r="LK93" s="23"/>
      <c r="LL93" s="23"/>
      <c r="LM93" s="23"/>
      <c r="LN93" s="23"/>
      <c r="LO93" s="23"/>
      <c r="LP93" s="23"/>
      <c r="LQ93" s="23"/>
      <c r="LR93" s="23"/>
      <c r="LS93" s="23"/>
      <c r="LT93" s="23"/>
      <c r="LU93" s="23"/>
      <c r="LV93" s="23"/>
      <c r="LW93" s="23">
        <v>2.2688</v>
      </c>
      <c r="LX93" s="23"/>
      <c r="LY93" s="23"/>
      <c r="LZ93" s="23"/>
      <c r="MA93" s="23"/>
      <c r="MB93" s="23"/>
      <c r="MC93" s="23"/>
      <c r="MD93" s="23"/>
      <c r="ME93" s="23"/>
      <c r="MF93" s="23"/>
      <c r="MG93" s="23"/>
      <c r="MH93" s="23"/>
      <c r="MI93" s="23"/>
      <c r="MJ93" s="23"/>
      <c r="MK93" s="23"/>
      <c r="ML93" s="23"/>
      <c r="MM93" s="23"/>
      <c r="MN93" s="23"/>
      <c r="MO93" s="23"/>
      <c r="MP93" s="23"/>
      <c r="MQ93" s="23"/>
      <c r="MR93" s="23"/>
      <c r="MS93" s="23"/>
      <c r="MT93" s="23"/>
      <c r="MU93" s="23"/>
      <c r="MV93" s="23"/>
      <c r="MW93" s="23"/>
      <c r="MX93" s="23"/>
      <c r="MY93" s="23">
        <v>2.2192</v>
      </c>
      <c r="MZ93" s="23"/>
      <c r="NA93" s="23"/>
      <c r="NB93" s="23"/>
      <c r="NC93" s="23"/>
      <c r="ND93" s="23"/>
      <c r="NE93" s="23"/>
      <c r="NF93" s="23"/>
      <c r="NG93" s="23"/>
      <c r="NH93" s="23"/>
      <c r="NI93" s="23"/>
      <c r="NJ93" s="23"/>
      <c r="NK93" s="23"/>
      <c r="NL93" s="23"/>
      <c r="NM93" s="23"/>
      <c r="NN93" s="23"/>
      <c r="NO93" s="23"/>
      <c r="NP93" s="23"/>
      <c r="NQ93" s="23"/>
      <c r="NR93" s="23"/>
      <c r="NS93" s="23"/>
      <c r="NT93" s="23"/>
      <c r="NU93" s="23"/>
      <c r="NV93" s="23"/>
      <c r="NW93" s="23"/>
      <c r="NX93" s="23"/>
      <c r="NY93" s="23"/>
      <c r="NZ93" s="23"/>
      <c r="OA93" s="23"/>
      <c r="OB93" s="23"/>
      <c r="OC93" s="23"/>
      <c r="OD93" s="23"/>
      <c r="OE93" s="23"/>
      <c r="OF93" s="23"/>
      <c r="OG93" s="23"/>
      <c r="OH93" s="23">
        <v>2.2492</v>
      </c>
      <c r="OI93" s="23"/>
      <c r="OJ93" s="23"/>
      <c r="OK93" s="23"/>
      <c r="OL93" s="23"/>
      <c r="OM93" s="23"/>
      <c r="ON93" s="23"/>
      <c r="OO93" s="23"/>
      <c r="OP93" s="23"/>
      <c r="OQ93" s="23"/>
      <c r="OR93" s="23"/>
      <c r="OS93" s="23"/>
      <c r="OT93" s="23"/>
      <c r="OU93" s="23"/>
      <c r="OV93" s="23"/>
      <c r="OW93" s="23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>
        <v>2.1779</v>
      </c>
      <c r="PL93" s="23"/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>
        <v>2.1668</v>
      </c>
      <c r="QN93" s="23"/>
      <c r="QO93" s="23"/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  <c r="RE93" s="23"/>
      <c r="RF93" s="23"/>
      <c r="RG93" s="23"/>
      <c r="RH93" s="23"/>
      <c r="RI93" s="23"/>
      <c r="RJ93" s="23"/>
      <c r="RK93" s="23"/>
      <c r="RL93" s="23"/>
      <c r="RM93" s="23"/>
      <c r="RN93" s="23"/>
      <c r="RO93" s="23"/>
      <c r="RP93" s="23"/>
      <c r="RQ93" s="23"/>
      <c r="RR93" s="23"/>
      <c r="RS93" s="23"/>
      <c r="RT93" s="23">
        <v>2.181</v>
      </c>
      <c r="RU93" s="23"/>
      <c r="RV93" s="23"/>
      <c r="RW93" s="23"/>
      <c r="RX93" s="23"/>
      <c r="RY93" s="23"/>
      <c r="RZ93" s="23"/>
      <c r="SA93" s="23"/>
      <c r="SB93" s="23"/>
      <c r="SC93" s="23"/>
      <c r="SD93" s="23"/>
      <c r="SE93" s="23"/>
      <c r="SF93" s="23"/>
      <c r="SG93" s="23"/>
      <c r="SH93" s="23"/>
      <c r="SI93" s="23"/>
      <c r="SJ93" s="23"/>
      <c r="SK93" s="23"/>
      <c r="SL93" s="23"/>
      <c r="SM93" s="23"/>
      <c r="SN93" s="23"/>
      <c r="SO93" s="23"/>
      <c r="SP93" s="23"/>
      <c r="SQ93" s="23"/>
      <c r="SR93" s="23"/>
      <c r="SS93" s="23"/>
      <c r="ST93" s="23"/>
      <c r="SU93" s="23"/>
      <c r="SV93" s="23"/>
      <c r="SW93" s="23"/>
      <c r="SX93" s="23">
        <v>2.168</v>
      </c>
      <c r="SY93" s="23"/>
      <c r="SZ93" s="23"/>
      <c r="TA93" s="23"/>
      <c r="TB93" s="23"/>
      <c r="TC93" s="23"/>
      <c r="TD93" s="23"/>
      <c r="TE93" s="23"/>
      <c r="TF93" s="23"/>
      <c r="TG93" s="23"/>
      <c r="TH93" s="23"/>
      <c r="TI93" s="23"/>
      <c r="TJ93" s="23"/>
      <c r="TK93" s="23"/>
      <c r="TL93" s="23"/>
      <c r="TM93" s="23"/>
      <c r="TN93" s="23"/>
      <c r="TO93" s="23"/>
      <c r="TP93" s="23"/>
      <c r="TQ93" s="23"/>
      <c r="TR93" s="23"/>
      <c r="TS93" s="23"/>
      <c r="TT93" s="23"/>
      <c r="TU93" s="23"/>
      <c r="TV93" s="23"/>
      <c r="TW93" s="23"/>
      <c r="TX93" s="23"/>
      <c r="TY93" s="23"/>
      <c r="TZ93" s="23">
        <v>2.1751</v>
      </c>
      <c r="UA93" s="23"/>
      <c r="UB93" s="23"/>
      <c r="UC93" s="23"/>
      <c r="UD93" s="23"/>
      <c r="UE93" s="23"/>
      <c r="UF93" s="23"/>
      <c r="UG93" s="23"/>
      <c r="UH93" s="23"/>
      <c r="UI93" s="23"/>
      <c r="UJ93" s="23"/>
      <c r="UK93" s="23"/>
      <c r="UL93" s="23"/>
      <c r="UM93" s="23"/>
      <c r="UN93" s="23"/>
      <c r="UO93" s="23"/>
      <c r="UP93" s="23"/>
      <c r="UQ93" s="23"/>
      <c r="UR93" s="23"/>
      <c r="US93" s="23"/>
      <c r="UT93" s="23"/>
    </row>
    <row r="94" ht="16.5" customHeight="1" spans="4:566">
      <c r="D94" s="26" t="s">
        <v>335</v>
      </c>
      <c r="E94" s="21" t="s">
        <v>336</v>
      </c>
      <c r="F94" s="31"/>
      <c r="G94" s="31"/>
      <c r="H94" s="31"/>
      <c r="I94" s="31"/>
      <c r="J94" s="31"/>
      <c r="K94" s="31"/>
      <c r="L94" s="31"/>
      <c r="M94" s="31">
        <v>2.2538</v>
      </c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>
        <v>2.16</v>
      </c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>
        <v>2.5619</v>
      </c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>
        <v>2.427</v>
      </c>
      <c r="DB94" s="31"/>
      <c r="DC94" s="31"/>
      <c r="DD94" s="31"/>
      <c r="DE94" s="31"/>
      <c r="DF94" s="31"/>
      <c r="DG94" s="31"/>
      <c r="DH94" s="31"/>
      <c r="DI94" s="31"/>
      <c r="DJ94" s="31"/>
      <c r="DK94" s="31"/>
      <c r="DL94" s="31"/>
      <c r="DM94" s="31"/>
      <c r="DN94" s="31"/>
      <c r="DO94" s="31"/>
      <c r="DP94" s="31"/>
      <c r="DQ94" s="31"/>
      <c r="DR94" s="31"/>
      <c r="DS94" s="31"/>
      <c r="DT94" s="31"/>
      <c r="DU94" s="31"/>
      <c r="DV94" s="31"/>
      <c r="DW94" s="31"/>
      <c r="DX94" s="31"/>
      <c r="DY94" s="31"/>
      <c r="DZ94" s="31"/>
      <c r="EA94" s="31"/>
      <c r="EB94" s="31">
        <v>2.1857</v>
      </c>
      <c r="EC94" s="31"/>
      <c r="ED94" s="31"/>
      <c r="EE94" s="31"/>
      <c r="EF94" s="31"/>
      <c r="EG94" s="31"/>
      <c r="EH94" s="31"/>
      <c r="EI94" s="31"/>
      <c r="EJ94" s="31"/>
      <c r="EK94" s="31"/>
      <c r="EL94" s="31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1"/>
      <c r="EZ94" s="31"/>
      <c r="FA94" s="31"/>
      <c r="FB94" s="31"/>
      <c r="FC94" s="31"/>
      <c r="FD94" s="31"/>
      <c r="FE94" s="31"/>
      <c r="FF94" s="31"/>
      <c r="FG94" s="31"/>
      <c r="FH94" s="31"/>
      <c r="FI94" s="31"/>
      <c r="FJ94" s="31"/>
      <c r="FK94" s="31"/>
      <c r="FL94" s="31">
        <v>2.4923</v>
      </c>
      <c r="FM94" s="31"/>
      <c r="FN94" s="31"/>
      <c r="FO94" s="31"/>
      <c r="FP94" s="31"/>
      <c r="FQ94" s="31"/>
      <c r="FR94" s="31"/>
      <c r="FS94" s="31"/>
      <c r="FT94" s="31"/>
      <c r="FU94" s="31"/>
      <c r="FV94" s="31"/>
      <c r="FW94" s="31"/>
      <c r="FX94" s="31"/>
      <c r="FY94" s="31"/>
      <c r="FZ94" s="31"/>
      <c r="GA94" s="31"/>
      <c r="GB94" s="31"/>
      <c r="GC94" s="31"/>
      <c r="GD94" s="31"/>
      <c r="GE94" s="31"/>
      <c r="GF94" s="31"/>
      <c r="GG94" s="31"/>
      <c r="GH94" s="31"/>
      <c r="GI94" s="31"/>
      <c r="GJ94" s="31"/>
      <c r="GK94" s="31"/>
      <c r="GL94" s="31"/>
      <c r="GM94" s="31"/>
      <c r="GN94" s="31">
        <v>2.4405</v>
      </c>
      <c r="GO94" s="31"/>
      <c r="GP94" s="31"/>
      <c r="GQ94" s="31"/>
      <c r="GR94" s="31"/>
      <c r="GS94" s="31"/>
      <c r="GT94" s="31"/>
      <c r="GU94" s="31"/>
      <c r="GV94" s="31"/>
      <c r="GW94" s="31"/>
      <c r="GX94" s="31"/>
      <c r="GY94" s="31"/>
      <c r="GZ94" s="31"/>
      <c r="HA94" s="31"/>
      <c r="HB94" s="31"/>
      <c r="HC94" s="31"/>
      <c r="HD94" s="31"/>
      <c r="HE94" s="31"/>
      <c r="HF94" s="31"/>
      <c r="HG94" s="31"/>
      <c r="HH94" s="31"/>
      <c r="HI94" s="31"/>
      <c r="HJ94" s="31"/>
      <c r="HK94" s="31"/>
      <c r="HL94" s="31"/>
      <c r="HM94" s="31"/>
      <c r="HN94" s="31"/>
      <c r="HO94" s="31"/>
      <c r="HP94" s="31">
        <v>2.0085</v>
      </c>
      <c r="HQ94" s="31"/>
      <c r="HR94" s="31"/>
      <c r="HS94" s="31"/>
      <c r="HT94" s="31"/>
      <c r="HU94" s="31"/>
      <c r="HV94" s="31"/>
      <c r="HW94" s="31"/>
      <c r="HX94" s="31"/>
      <c r="HY94" s="31"/>
      <c r="HZ94" s="31"/>
      <c r="IA94" s="31"/>
      <c r="IB94" s="31"/>
      <c r="IC94" s="31"/>
      <c r="ID94" s="31"/>
      <c r="IE94" s="31"/>
      <c r="IF94" s="31"/>
      <c r="IG94" s="31"/>
      <c r="IH94" s="31"/>
      <c r="II94" s="31"/>
      <c r="IJ94" s="31"/>
      <c r="IK94" s="31"/>
      <c r="IL94" s="31"/>
      <c r="IM94" s="31"/>
      <c r="IN94" s="31"/>
      <c r="IO94" s="31"/>
      <c r="IP94" s="31"/>
      <c r="IQ94" s="31"/>
      <c r="IR94" s="31"/>
      <c r="IS94" s="31"/>
      <c r="IT94" s="31"/>
      <c r="IU94" s="31"/>
      <c r="IV94" s="31"/>
      <c r="IW94" s="31"/>
      <c r="IX94" s="31"/>
      <c r="IY94" s="31">
        <v>2.6499</v>
      </c>
      <c r="IZ94" s="31"/>
      <c r="JA94" s="31"/>
      <c r="JB94" s="31"/>
      <c r="JC94" s="31"/>
      <c r="JD94" s="31"/>
      <c r="JE94" s="31"/>
      <c r="JF94" s="31"/>
      <c r="JG94" s="31"/>
      <c r="JH94" s="31"/>
      <c r="JI94" s="31"/>
      <c r="JJ94" s="31"/>
      <c r="JK94" s="31"/>
      <c r="JL94" s="31"/>
      <c r="JM94" s="31"/>
      <c r="JN94" s="31"/>
      <c r="JO94" s="31"/>
      <c r="JP94" s="31"/>
      <c r="JQ94" s="31"/>
      <c r="JR94" s="31"/>
      <c r="JS94" s="31"/>
      <c r="JT94" s="31"/>
      <c r="JU94" s="31"/>
      <c r="JV94" s="31"/>
      <c r="JW94" s="31"/>
      <c r="JX94" s="31"/>
      <c r="JY94" s="31"/>
      <c r="JZ94" s="23"/>
      <c r="KA94" s="23">
        <v>2.4509</v>
      </c>
      <c r="KB94" s="23"/>
      <c r="KC94" s="23"/>
      <c r="KD94" s="23"/>
      <c r="KE94" s="23"/>
      <c r="KF94" s="23"/>
      <c r="KG94" s="23"/>
      <c r="KH94" s="23"/>
      <c r="KI94" s="23"/>
      <c r="KJ94" s="23"/>
      <c r="KK94" s="23"/>
      <c r="KL94" s="23"/>
      <c r="KM94" s="23"/>
      <c r="KN94" s="23"/>
      <c r="KO94" s="23"/>
      <c r="KP94" s="23"/>
      <c r="KQ94" s="23"/>
      <c r="KR94" s="23"/>
      <c r="KS94" s="23"/>
      <c r="KT94" s="23"/>
      <c r="KU94" s="23"/>
      <c r="KV94" s="23"/>
      <c r="KW94" s="23"/>
      <c r="KX94" s="23"/>
      <c r="KY94" s="23"/>
      <c r="KZ94" s="23"/>
      <c r="LA94" s="23"/>
      <c r="LB94" s="23"/>
      <c r="LC94" s="23"/>
      <c r="LD94" s="23"/>
      <c r="LE94" s="23"/>
      <c r="LF94" s="23"/>
      <c r="LG94" s="23"/>
      <c r="LH94" s="23"/>
      <c r="LI94" s="23"/>
      <c r="LJ94" s="23">
        <v>2.2395</v>
      </c>
      <c r="LK94" s="23"/>
      <c r="LL94" s="23"/>
      <c r="LM94" s="23"/>
      <c r="LN94" s="23"/>
      <c r="LO94" s="23"/>
      <c r="LP94" s="23"/>
      <c r="LQ94" s="23"/>
      <c r="LR94" s="23"/>
      <c r="LS94" s="23"/>
      <c r="LT94" s="23"/>
      <c r="LU94" s="23"/>
      <c r="LV94" s="23"/>
      <c r="LW94" s="23"/>
      <c r="LX94" s="23"/>
      <c r="LY94" s="23"/>
      <c r="LZ94" s="23"/>
      <c r="MA94" s="23"/>
      <c r="MB94" s="23"/>
      <c r="MC94" s="23"/>
      <c r="MD94" s="23"/>
      <c r="ME94" s="23"/>
      <c r="MF94" s="23"/>
      <c r="MG94" s="23"/>
      <c r="MH94" s="23"/>
      <c r="MI94" s="23"/>
      <c r="MJ94" s="23"/>
      <c r="MK94" s="23">
        <v>2.55</v>
      </c>
      <c r="ML94" s="23"/>
      <c r="MM94" s="23"/>
      <c r="MN94" s="23"/>
      <c r="MO94" s="23"/>
      <c r="MP94" s="23"/>
      <c r="MQ94" s="23"/>
      <c r="MR94" s="23"/>
      <c r="MS94" s="23"/>
      <c r="MT94" s="23"/>
      <c r="MU94" s="23"/>
      <c r="MV94" s="23"/>
      <c r="MW94" s="23"/>
      <c r="MX94" s="23"/>
      <c r="MY94" s="23"/>
      <c r="MZ94" s="23"/>
      <c r="NA94" s="23"/>
      <c r="NB94" s="23"/>
      <c r="NC94" s="23"/>
      <c r="ND94" s="23"/>
      <c r="NE94" s="23"/>
      <c r="NF94" s="23"/>
      <c r="NG94" s="23"/>
      <c r="NH94" s="23"/>
      <c r="NI94" s="23"/>
      <c r="NJ94" s="23"/>
      <c r="NK94" s="23"/>
      <c r="NL94" s="23"/>
      <c r="NM94" s="23"/>
      <c r="NN94" s="23"/>
      <c r="NO94" s="23"/>
      <c r="NP94" s="23"/>
      <c r="NQ94" s="23"/>
      <c r="NR94" s="23"/>
      <c r="NS94" s="23">
        <v>2.2034</v>
      </c>
      <c r="NT94" s="23"/>
      <c r="NU94" s="23"/>
      <c r="NV94" s="23"/>
      <c r="NW94" s="23"/>
      <c r="NX94" s="23"/>
      <c r="NY94" s="23"/>
      <c r="NZ94" s="23"/>
      <c r="OA94" s="23"/>
      <c r="OB94" s="23"/>
      <c r="OC94" s="23"/>
      <c r="OD94" s="23"/>
      <c r="OE94" s="23"/>
      <c r="OF94" s="23"/>
      <c r="OG94" s="23"/>
      <c r="OH94" s="23"/>
      <c r="OI94" s="23"/>
      <c r="OJ94" s="23"/>
      <c r="OK94" s="23"/>
      <c r="OL94" s="23"/>
      <c r="OM94" s="23"/>
      <c r="ON94" s="23"/>
      <c r="OO94" s="23"/>
      <c r="OP94" s="23"/>
      <c r="OQ94" s="23"/>
      <c r="OR94" s="23"/>
      <c r="OS94" s="23"/>
      <c r="OT94" s="23"/>
      <c r="OU94" s="23"/>
      <c r="OV94" s="23"/>
      <c r="OW94" s="23">
        <v>2.0813</v>
      </c>
      <c r="OX94" s="23"/>
      <c r="OY94" s="23"/>
      <c r="OZ94" s="23"/>
      <c r="PA94" s="23"/>
      <c r="PB94" s="23"/>
      <c r="PC94" s="23"/>
      <c r="PD94" s="23"/>
      <c r="PE94" s="23"/>
      <c r="PF94" s="23"/>
      <c r="PG94" s="23"/>
      <c r="PH94" s="23"/>
      <c r="PI94" s="23"/>
      <c r="PJ94" s="23"/>
      <c r="PK94" s="23"/>
      <c r="PL94" s="23"/>
      <c r="PM94" s="23"/>
      <c r="PN94" s="23"/>
      <c r="PO94" s="23"/>
      <c r="PP94" s="23"/>
      <c r="PQ94" s="23"/>
      <c r="PR94" s="23"/>
      <c r="PS94" s="23"/>
      <c r="PT94" s="23"/>
      <c r="PU94" s="23"/>
      <c r="PV94" s="23"/>
      <c r="PW94" s="23"/>
      <c r="PX94" s="23"/>
      <c r="PY94" s="23">
        <v>2.4491</v>
      </c>
      <c r="PZ94" s="23"/>
      <c r="QA94" s="23"/>
      <c r="QB94" s="23"/>
      <c r="QC94" s="23"/>
      <c r="QD94" s="23"/>
      <c r="QE94" s="23"/>
      <c r="QF94" s="23"/>
      <c r="QG94" s="23"/>
      <c r="QH94" s="23"/>
      <c r="QI94" s="23"/>
      <c r="QJ94" s="23"/>
      <c r="QK94" s="23"/>
      <c r="QL94" s="23"/>
      <c r="QM94" s="23"/>
      <c r="QN94" s="23"/>
      <c r="QO94" s="23"/>
      <c r="QP94" s="23"/>
      <c r="QQ94" s="23"/>
      <c r="QR94" s="23"/>
      <c r="QS94" s="23"/>
      <c r="QT94" s="23"/>
      <c r="QU94" s="23"/>
      <c r="QV94" s="23"/>
      <c r="QW94" s="23"/>
      <c r="QX94" s="23"/>
      <c r="QY94" s="23"/>
      <c r="QZ94" s="23"/>
      <c r="RA94" s="23">
        <v>2.2134</v>
      </c>
      <c r="RB94" s="23"/>
      <c r="RC94" s="23"/>
      <c r="RD94" s="23"/>
      <c r="RE94" s="23"/>
      <c r="RF94" s="23"/>
      <c r="RG94" s="23"/>
      <c r="RH94" s="23"/>
      <c r="RI94" s="23"/>
      <c r="RJ94" s="23"/>
      <c r="RK94" s="23"/>
      <c r="RL94" s="23"/>
      <c r="RM94" s="23"/>
      <c r="RN94" s="23"/>
      <c r="RO94" s="23"/>
      <c r="RP94" s="23"/>
      <c r="RQ94" s="23"/>
      <c r="RR94" s="23"/>
      <c r="RS94" s="23"/>
      <c r="RT94" s="23"/>
      <c r="RU94" s="23"/>
      <c r="RV94" s="23"/>
      <c r="RW94" s="23"/>
      <c r="RX94" s="23"/>
      <c r="RY94" s="23"/>
      <c r="RZ94" s="23"/>
      <c r="SA94" s="23"/>
      <c r="SB94" s="23"/>
      <c r="SC94" s="23"/>
      <c r="SD94" s="23"/>
      <c r="SE94" s="23"/>
      <c r="SF94" s="23"/>
      <c r="SG94" s="23"/>
      <c r="SH94" s="23"/>
      <c r="SI94" s="23">
        <v>2.1331</v>
      </c>
      <c r="SJ94" s="23"/>
      <c r="SK94" s="23"/>
      <c r="SL94" s="23"/>
      <c r="SM94" s="23"/>
      <c r="SN94" s="23"/>
      <c r="SO94" s="23"/>
      <c r="SP94" s="23"/>
      <c r="SQ94" s="23"/>
      <c r="SR94" s="23"/>
      <c r="SS94" s="23"/>
      <c r="ST94" s="23"/>
      <c r="SU94" s="23"/>
      <c r="SV94" s="23"/>
      <c r="SW94" s="23"/>
      <c r="SX94" s="23"/>
      <c r="SY94" s="23"/>
      <c r="SZ94" s="23"/>
      <c r="TA94" s="23"/>
      <c r="TB94" s="23"/>
      <c r="TC94" s="23"/>
      <c r="TD94" s="23"/>
      <c r="TE94" s="23"/>
      <c r="TF94" s="23"/>
      <c r="TG94" s="23"/>
      <c r="TH94" s="23"/>
      <c r="TI94" s="23"/>
      <c r="TJ94" s="23"/>
      <c r="TK94" s="23"/>
      <c r="TL94" s="23">
        <v>2.5652</v>
      </c>
      <c r="TM94" s="23"/>
      <c r="TN94" s="23"/>
      <c r="TO94" s="23"/>
      <c r="TP94" s="23"/>
      <c r="TQ94" s="23"/>
      <c r="TR94" s="23"/>
      <c r="TS94" s="23"/>
      <c r="TT94" s="23"/>
      <c r="TU94" s="23"/>
      <c r="TV94" s="23"/>
      <c r="TW94" s="23"/>
      <c r="TX94" s="23"/>
      <c r="TY94" s="23"/>
      <c r="TZ94" s="23"/>
      <c r="UA94" s="23"/>
      <c r="UB94" s="23"/>
      <c r="UC94" s="23"/>
      <c r="UD94" s="23"/>
      <c r="UE94" s="23"/>
      <c r="UF94" s="23"/>
      <c r="UG94" s="23"/>
      <c r="UH94" s="23"/>
      <c r="UI94" s="23"/>
      <c r="UJ94" s="23"/>
      <c r="UK94" s="23"/>
      <c r="UL94" s="23"/>
      <c r="UM94" s="23"/>
      <c r="UN94" s="23"/>
      <c r="UO94" s="23"/>
      <c r="UP94" s="23"/>
      <c r="UQ94" s="23"/>
      <c r="UR94" s="23"/>
      <c r="US94" s="23"/>
      <c r="UT94" s="23"/>
    </row>
    <row r="95" ht="16.5" customHeight="1" spans="4:566">
      <c r="D95" s="26" t="s">
        <v>337</v>
      </c>
      <c r="E95" s="21" t="s">
        <v>338</v>
      </c>
      <c r="F95" s="31"/>
      <c r="G95" s="31"/>
      <c r="H95" s="31"/>
      <c r="I95" s="31"/>
      <c r="J95" s="31"/>
      <c r="K95" s="31"/>
      <c r="L95" s="31"/>
      <c r="M95" s="31"/>
      <c r="N95" s="31">
        <v>2.2452</v>
      </c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>
        <v>2.0421</v>
      </c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>
        <v>2.3437</v>
      </c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>
        <v>2.2296</v>
      </c>
      <c r="DC95" s="31"/>
      <c r="DD95" s="31"/>
      <c r="DE95" s="31"/>
      <c r="DF95" s="31"/>
      <c r="DG95" s="31"/>
      <c r="DH95" s="31"/>
      <c r="DI95" s="31"/>
      <c r="DJ95" s="31"/>
      <c r="DK95" s="31"/>
      <c r="DL95" s="31"/>
      <c r="DM95" s="31"/>
      <c r="DN95" s="31"/>
      <c r="DO95" s="31"/>
      <c r="DP95" s="31"/>
      <c r="DQ95" s="31"/>
      <c r="DR95" s="31"/>
      <c r="DS95" s="31"/>
      <c r="DT95" s="31"/>
      <c r="DU95" s="31"/>
      <c r="DV95" s="31"/>
      <c r="DW95" s="31"/>
      <c r="DX95" s="31"/>
      <c r="DY95" s="31"/>
      <c r="DZ95" s="31"/>
      <c r="EA95" s="31"/>
      <c r="EB95" s="31"/>
      <c r="EC95" s="31"/>
      <c r="ED95" s="31">
        <v>1.9715</v>
      </c>
      <c r="EE95" s="31"/>
      <c r="EF95" s="31"/>
      <c r="EG95" s="31"/>
      <c r="EH95" s="31"/>
      <c r="EI95" s="31"/>
      <c r="EJ95" s="31"/>
      <c r="EK95" s="31"/>
      <c r="EL95" s="31"/>
      <c r="EM95" s="31"/>
      <c r="EN95" s="31"/>
      <c r="EO95" s="31"/>
      <c r="EP95" s="31"/>
      <c r="EQ95" s="31"/>
      <c r="ER95" s="31"/>
      <c r="ES95" s="31"/>
      <c r="ET95" s="31"/>
      <c r="EU95" s="31"/>
      <c r="EV95" s="31"/>
      <c r="EW95" s="31"/>
      <c r="EX95" s="31"/>
      <c r="EY95" s="31"/>
      <c r="EZ95" s="31"/>
      <c r="FA95" s="31"/>
      <c r="FB95" s="31"/>
      <c r="FC95" s="31"/>
      <c r="FD95" s="31"/>
      <c r="FE95" s="31"/>
      <c r="FF95" s="31"/>
      <c r="FG95" s="31"/>
      <c r="FH95" s="31"/>
      <c r="FI95" s="31"/>
      <c r="FJ95" s="31"/>
      <c r="FK95" s="31"/>
      <c r="FL95" s="31"/>
      <c r="FM95" s="31">
        <v>2.4043</v>
      </c>
      <c r="FN95" s="31"/>
      <c r="FO95" s="31"/>
      <c r="FP95" s="31"/>
      <c r="FQ95" s="31"/>
      <c r="FR95" s="31"/>
      <c r="FS95" s="31"/>
      <c r="FT95" s="31"/>
      <c r="FU95" s="31"/>
      <c r="FV95" s="31"/>
      <c r="FW95" s="31"/>
      <c r="FX95" s="31"/>
      <c r="FY95" s="31"/>
      <c r="FZ95" s="31"/>
      <c r="GA95" s="31"/>
      <c r="GB95" s="31"/>
      <c r="GC95" s="31"/>
      <c r="GD95" s="31"/>
      <c r="GE95" s="31"/>
      <c r="GF95" s="31"/>
      <c r="GG95" s="31"/>
      <c r="GH95" s="31"/>
      <c r="GI95" s="31"/>
      <c r="GJ95" s="31"/>
      <c r="GK95" s="31"/>
      <c r="GL95" s="31"/>
      <c r="GM95" s="31"/>
      <c r="GN95" s="31"/>
      <c r="GO95" s="31">
        <v>2.2369</v>
      </c>
      <c r="GP95" s="31"/>
      <c r="GQ95" s="31"/>
      <c r="GR95" s="31"/>
      <c r="GS95" s="31"/>
      <c r="GT95" s="31"/>
      <c r="GU95" s="31"/>
      <c r="GV95" s="31"/>
      <c r="GW95" s="31"/>
      <c r="GX95" s="31"/>
      <c r="GY95" s="31"/>
      <c r="GZ95" s="31"/>
      <c r="HA95" s="31"/>
      <c r="HB95" s="31"/>
      <c r="HC95" s="31"/>
      <c r="HD95" s="31"/>
      <c r="HE95" s="31"/>
      <c r="HF95" s="31"/>
      <c r="HG95" s="31"/>
      <c r="HH95" s="31"/>
      <c r="HI95" s="31"/>
      <c r="HJ95" s="31"/>
      <c r="HK95" s="31"/>
      <c r="HL95" s="31"/>
      <c r="HM95" s="31"/>
      <c r="HN95" s="31"/>
      <c r="HO95" s="31"/>
      <c r="HP95" s="31"/>
      <c r="HQ95" s="31">
        <v>1.9455</v>
      </c>
      <c r="HR95" s="31"/>
      <c r="HS95" s="31"/>
      <c r="HT95" s="31"/>
      <c r="HU95" s="31"/>
      <c r="HV95" s="31"/>
      <c r="HW95" s="31"/>
      <c r="HX95" s="31"/>
      <c r="HY95" s="31"/>
      <c r="HZ95" s="31"/>
      <c r="IA95" s="31"/>
      <c r="IB95" s="31"/>
      <c r="IC95" s="31"/>
      <c r="ID95" s="31"/>
      <c r="IE95" s="31"/>
      <c r="IF95" s="31"/>
      <c r="IG95" s="31"/>
      <c r="IH95" s="31"/>
      <c r="II95" s="31"/>
      <c r="IJ95" s="31"/>
      <c r="IK95" s="31"/>
      <c r="IL95" s="31"/>
      <c r="IM95" s="31"/>
      <c r="IN95" s="31"/>
      <c r="IO95" s="31"/>
      <c r="IP95" s="31"/>
      <c r="IQ95" s="31"/>
      <c r="IR95" s="31"/>
      <c r="IS95" s="31"/>
      <c r="IT95" s="31"/>
      <c r="IU95" s="31"/>
      <c r="IV95" s="31"/>
      <c r="IW95" s="31"/>
      <c r="IX95" s="31"/>
      <c r="IY95" s="31"/>
      <c r="IZ95" s="31">
        <v>2.3765</v>
      </c>
      <c r="JA95" s="31"/>
      <c r="JB95" s="31"/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  <c r="JN95" s="31"/>
      <c r="JO95" s="31"/>
      <c r="JP95" s="31"/>
      <c r="JQ95" s="31"/>
      <c r="JR95" s="31"/>
      <c r="JS95" s="31"/>
      <c r="JT95" s="31"/>
      <c r="JU95" s="31"/>
      <c r="JV95" s="31"/>
      <c r="JW95" s="31"/>
      <c r="JX95" s="31"/>
      <c r="JY95" s="31"/>
      <c r="JZ95" s="23"/>
      <c r="KA95" s="23"/>
      <c r="KB95" s="23">
        <v>2.3572</v>
      </c>
      <c r="KC95" s="23"/>
      <c r="KD95" s="23"/>
      <c r="KE95" s="23"/>
      <c r="KF95" s="23"/>
      <c r="KG95" s="23"/>
      <c r="KH95" s="23"/>
      <c r="KI95" s="23"/>
      <c r="KJ95" s="23"/>
      <c r="KK95" s="23"/>
      <c r="KL95" s="23"/>
      <c r="KM95" s="23"/>
      <c r="KN95" s="23"/>
      <c r="KO95" s="23"/>
      <c r="KP95" s="23"/>
      <c r="KQ95" s="23"/>
      <c r="KR95" s="23"/>
      <c r="KS95" s="23"/>
      <c r="KT95" s="23"/>
      <c r="KU95" s="23"/>
      <c r="KV95" s="23"/>
      <c r="KW95" s="23"/>
      <c r="KX95" s="23"/>
      <c r="KY95" s="23"/>
      <c r="KZ95" s="23"/>
      <c r="LA95" s="23"/>
      <c r="LB95" s="23"/>
      <c r="LC95" s="23"/>
      <c r="LD95" s="23"/>
      <c r="LE95" s="23"/>
      <c r="LF95" s="23"/>
      <c r="LG95" s="23"/>
      <c r="LH95" s="23"/>
      <c r="LI95" s="23"/>
      <c r="LJ95" s="23"/>
      <c r="LK95" s="23">
        <v>2.1203</v>
      </c>
      <c r="LL95" s="23"/>
      <c r="LM95" s="23"/>
      <c r="LN95" s="23"/>
      <c r="LO95" s="23"/>
      <c r="LP95" s="23"/>
      <c r="LQ95" s="23"/>
      <c r="LR95" s="23"/>
      <c r="LS95" s="23"/>
      <c r="LT95" s="23"/>
      <c r="LU95" s="23"/>
      <c r="LV95" s="23"/>
      <c r="LW95" s="23"/>
      <c r="LX95" s="23"/>
      <c r="LY95" s="23"/>
      <c r="LZ95" s="23"/>
      <c r="MA95" s="23"/>
      <c r="MB95" s="23"/>
      <c r="MC95" s="23"/>
      <c r="MD95" s="23"/>
      <c r="ME95" s="23"/>
      <c r="MF95" s="23"/>
      <c r="MG95" s="23"/>
      <c r="MH95" s="23"/>
      <c r="MI95" s="23"/>
      <c r="MJ95" s="23"/>
      <c r="MK95" s="23"/>
      <c r="ML95" s="23"/>
      <c r="MM95" s="23">
        <v>2.3649</v>
      </c>
      <c r="MN95" s="23"/>
      <c r="MO95" s="23"/>
      <c r="MP95" s="23"/>
      <c r="MQ95" s="23"/>
      <c r="MR95" s="23"/>
      <c r="MS95" s="23"/>
      <c r="MT95" s="23"/>
      <c r="MU95" s="23"/>
      <c r="MV95" s="23"/>
      <c r="MW95" s="23"/>
      <c r="MX95" s="23"/>
      <c r="MY95" s="23"/>
      <c r="MZ95" s="23"/>
      <c r="NA95" s="23"/>
      <c r="NB95" s="23"/>
      <c r="NC95" s="23"/>
      <c r="ND95" s="23"/>
      <c r="NE95" s="23"/>
      <c r="NF95" s="23"/>
      <c r="NG95" s="23"/>
      <c r="NH95" s="23"/>
      <c r="NI95" s="23"/>
      <c r="NJ95" s="23"/>
      <c r="NK95" s="23"/>
      <c r="NL95" s="23"/>
      <c r="NM95" s="23"/>
      <c r="NN95" s="23"/>
      <c r="NO95" s="23"/>
      <c r="NP95" s="23"/>
      <c r="NQ95" s="23"/>
      <c r="NR95" s="23"/>
      <c r="NS95" s="23"/>
      <c r="NT95" s="23">
        <v>2.0987</v>
      </c>
      <c r="NU95" s="23"/>
      <c r="NV95" s="23"/>
      <c r="NW95" s="23"/>
      <c r="NX95" s="23"/>
      <c r="NY95" s="23"/>
      <c r="NZ95" s="23"/>
      <c r="OA95" s="23"/>
      <c r="OB95" s="23"/>
      <c r="OC95" s="23"/>
      <c r="OD95" s="23"/>
      <c r="OE95" s="23"/>
      <c r="OF95" s="23"/>
      <c r="OG95" s="23"/>
      <c r="OH95" s="23"/>
      <c r="OI95" s="23"/>
      <c r="OJ95" s="23"/>
      <c r="OK95" s="23"/>
      <c r="OL95" s="23"/>
      <c r="OM95" s="23"/>
      <c r="ON95" s="23"/>
      <c r="OO95" s="23"/>
      <c r="OP95" s="23"/>
      <c r="OQ95" s="23"/>
      <c r="OR95" s="23"/>
      <c r="OS95" s="23"/>
      <c r="OT95" s="23"/>
      <c r="OU95" s="23"/>
      <c r="OV95" s="23"/>
      <c r="OW95" s="23"/>
      <c r="OX95" s="23">
        <v>2.2951</v>
      </c>
      <c r="OY95" s="23"/>
      <c r="OZ95" s="23"/>
      <c r="PA95" s="23"/>
      <c r="PB95" s="23"/>
      <c r="PC95" s="23"/>
      <c r="PD95" s="23"/>
      <c r="PE95" s="23"/>
      <c r="PF95" s="23"/>
      <c r="PG95" s="23"/>
      <c r="PH95" s="23"/>
      <c r="PI95" s="23"/>
      <c r="PJ95" s="23"/>
      <c r="PK95" s="23"/>
      <c r="PL95" s="23"/>
      <c r="PM95" s="23"/>
      <c r="PN95" s="23"/>
      <c r="PO95" s="23"/>
      <c r="PP95" s="23"/>
      <c r="PQ95" s="23"/>
      <c r="PR95" s="23"/>
      <c r="PS95" s="23"/>
      <c r="PT95" s="23"/>
      <c r="PU95" s="23"/>
      <c r="PV95" s="23"/>
      <c r="PW95" s="23"/>
      <c r="PX95" s="23"/>
      <c r="PY95" s="23"/>
      <c r="PZ95" s="23">
        <v>2.4516</v>
      </c>
      <c r="QA95" s="23"/>
      <c r="QB95" s="23"/>
      <c r="QC95" s="23"/>
      <c r="QD95" s="23"/>
      <c r="QE95" s="23"/>
      <c r="QF95" s="23"/>
      <c r="QG95" s="23"/>
      <c r="QH95" s="23"/>
      <c r="QI95" s="23"/>
      <c r="QJ95" s="23"/>
      <c r="QK95" s="23"/>
      <c r="QL95" s="23"/>
      <c r="QM95" s="23"/>
      <c r="QN95" s="23"/>
      <c r="QO95" s="23"/>
      <c r="QP95" s="23"/>
      <c r="QQ95" s="23"/>
      <c r="QR95" s="23"/>
      <c r="QS95" s="23"/>
      <c r="QT95" s="23"/>
      <c r="QU95" s="23"/>
      <c r="QV95" s="23"/>
      <c r="QW95" s="23"/>
      <c r="QX95" s="23"/>
      <c r="QY95" s="23"/>
      <c r="QZ95" s="23"/>
      <c r="RA95" s="23"/>
      <c r="RB95" s="23">
        <v>2.1767</v>
      </c>
      <c r="RC95" s="23"/>
      <c r="RD95" s="23"/>
      <c r="RE95" s="23"/>
      <c r="RF95" s="23"/>
      <c r="RG95" s="23"/>
      <c r="RH95" s="23"/>
      <c r="RI95" s="23"/>
      <c r="RJ95" s="23"/>
      <c r="RK95" s="23"/>
      <c r="RL95" s="23"/>
      <c r="RM95" s="23"/>
      <c r="RN95" s="23"/>
      <c r="RO95" s="23"/>
      <c r="RP95" s="23"/>
      <c r="RQ95" s="23"/>
      <c r="RR95" s="23"/>
      <c r="RS95" s="23"/>
      <c r="RT95" s="23"/>
      <c r="RU95" s="23"/>
      <c r="RV95" s="23"/>
      <c r="RW95" s="23"/>
      <c r="RX95" s="23"/>
      <c r="RY95" s="23"/>
      <c r="RZ95" s="23"/>
      <c r="SA95" s="23"/>
      <c r="SB95" s="23"/>
      <c r="SC95" s="23"/>
      <c r="SD95" s="23"/>
      <c r="SE95" s="23"/>
      <c r="SF95" s="23"/>
      <c r="SG95" s="23"/>
      <c r="SH95" s="23"/>
      <c r="SI95" s="23"/>
      <c r="SJ95" s="23">
        <v>2.0527</v>
      </c>
      <c r="SK95" s="23"/>
      <c r="SL95" s="23"/>
      <c r="SM95" s="23"/>
      <c r="SN95" s="23"/>
      <c r="SO95" s="23"/>
      <c r="SP95" s="23"/>
      <c r="SQ95" s="23"/>
      <c r="SR95" s="23"/>
      <c r="SS95" s="23"/>
      <c r="ST95" s="23"/>
      <c r="SU95" s="23"/>
      <c r="SV95" s="23"/>
      <c r="SW95" s="23"/>
      <c r="SX95" s="23"/>
      <c r="SY95" s="23"/>
      <c r="SZ95" s="23"/>
      <c r="TA95" s="23"/>
      <c r="TB95" s="23"/>
      <c r="TC95" s="23"/>
      <c r="TD95" s="23"/>
      <c r="TE95" s="23"/>
      <c r="TF95" s="23"/>
      <c r="TG95" s="23"/>
      <c r="TH95" s="23"/>
      <c r="TI95" s="23"/>
      <c r="TJ95" s="23"/>
      <c r="TK95" s="23"/>
      <c r="TL95" s="23"/>
      <c r="TM95" s="23">
        <v>2.3282</v>
      </c>
      <c r="TN95" s="23"/>
      <c r="TO95" s="23"/>
      <c r="TP95" s="23"/>
      <c r="TQ95" s="23"/>
      <c r="TR95" s="23"/>
      <c r="TS95" s="23"/>
      <c r="TT95" s="23"/>
      <c r="TU95" s="23"/>
      <c r="TV95" s="23"/>
      <c r="TW95" s="23"/>
      <c r="TX95" s="23"/>
      <c r="TY95" s="23"/>
      <c r="TZ95" s="23"/>
      <c r="UA95" s="23"/>
      <c r="UB95" s="23"/>
      <c r="UC95" s="23"/>
      <c r="UD95" s="23"/>
      <c r="UE95" s="23"/>
      <c r="UF95" s="23"/>
      <c r="UG95" s="23"/>
      <c r="UH95" s="23"/>
      <c r="UI95" s="23"/>
      <c r="UJ95" s="23"/>
      <c r="UK95" s="23"/>
      <c r="UL95" s="23"/>
      <c r="UM95" s="23"/>
      <c r="UN95" s="23"/>
      <c r="UO95" s="23"/>
      <c r="UP95" s="23"/>
      <c r="UQ95" s="23"/>
      <c r="UR95" s="23"/>
      <c r="US95" s="23"/>
      <c r="UT95" s="23"/>
    </row>
    <row r="96" ht="16.5" customHeight="1" spans="4:566">
      <c r="D96" s="26" t="s">
        <v>339</v>
      </c>
      <c r="E96" s="21" t="s">
        <v>340</v>
      </c>
      <c r="F96" s="31"/>
      <c r="G96" s="31"/>
      <c r="H96" s="31"/>
      <c r="I96" s="31"/>
      <c r="J96" s="31">
        <v>306657</v>
      </c>
      <c r="K96" s="31"/>
      <c r="L96" s="31"/>
      <c r="M96" s="31"/>
      <c r="N96" s="31"/>
      <c r="O96" s="31"/>
      <c r="P96" s="31"/>
      <c r="Q96" s="31">
        <v>352357</v>
      </c>
      <c r="R96" s="31"/>
      <c r="S96" s="31"/>
      <c r="T96" s="31"/>
      <c r="U96" s="31"/>
      <c r="V96" s="31"/>
      <c r="W96" s="31"/>
      <c r="X96" s="31">
        <v>284325</v>
      </c>
      <c r="Y96" s="31"/>
      <c r="Z96" s="31"/>
      <c r="AA96" s="31"/>
      <c r="AB96" s="31"/>
      <c r="AC96" s="31"/>
      <c r="AD96" s="31"/>
      <c r="AE96" s="31">
        <v>228320</v>
      </c>
      <c r="AF96" s="31"/>
      <c r="AG96" s="31"/>
      <c r="AH96" s="31"/>
      <c r="AI96" s="31"/>
      <c r="AJ96" s="31"/>
      <c r="AK96" s="31"/>
      <c r="AL96" s="31">
        <v>241101</v>
      </c>
      <c r="AM96" s="31"/>
      <c r="AN96" s="31"/>
      <c r="AO96" s="31"/>
      <c r="AP96" s="31"/>
      <c r="AQ96" s="31"/>
      <c r="AR96" s="31"/>
      <c r="AS96" s="31">
        <v>232745</v>
      </c>
      <c r="AT96" s="31"/>
      <c r="AU96" s="31"/>
      <c r="AV96" s="31"/>
      <c r="AW96" s="31"/>
      <c r="AX96" s="31"/>
      <c r="AY96" s="31"/>
      <c r="AZ96" s="31">
        <v>223538</v>
      </c>
      <c r="BA96" s="31"/>
      <c r="BB96" s="31"/>
      <c r="BC96" s="31"/>
      <c r="BD96" s="31"/>
      <c r="BE96" s="31"/>
      <c r="BF96" s="31"/>
      <c r="BG96" s="31">
        <v>220856</v>
      </c>
      <c r="BH96" s="31"/>
      <c r="BI96" s="31"/>
      <c r="BJ96" s="31"/>
      <c r="BK96" s="31"/>
      <c r="BL96" s="31"/>
      <c r="BM96" s="31"/>
      <c r="BN96" s="31">
        <v>222000</v>
      </c>
      <c r="BO96" s="31"/>
      <c r="BP96" s="31"/>
      <c r="BQ96" s="31"/>
      <c r="BR96" s="31"/>
      <c r="BS96" s="31"/>
      <c r="BT96" s="31"/>
      <c r="BU96" s="31">
        <v>214006</v>
      </c>
      <c r="BV96" s="31"/>
      <c r="BW96" s="31"/>
      <c r="BX96" s="31"/>
      <c r="BY96" s="31"/>
      <c r="BZ96" s="31"/>
      <c r="CA96" s="31"/>
      <c r="CB96" s="31">
        <v>207398</v>
      </c>
      <c r="CC96" s="31"/>
      <c r="CD96" s="31"/>
      <c r="CE96" s="31"/>
      <c r="CF96" s="31"/>
      <c r="CG96" s="31"/>
      <c r="CH96" s="31"/>
      <c r="CI96" s="31">
        <v>199900</v>
      </c>
      <c r="CJ96" s="31"/>
      <c r="CK96" s="31"/>
      <c r="CL96" s="31"/>
      <c r="CM96" s="31"/>
      <c r="CN96" s="31"/>
      <c r="CO96" s="31"/>
      <c r="CP96" s="31">
        <v>200081</v>
      </c>
      <c r="CQ96" s="31"/>
      <c r="CR96" s="31"/>
      <c r="CS96" s="31"/>
      <c r="CT96" s="31"/>
      <c r="CU96" s="31"/>
      <c r="CV96" s="31"/>
      <c r="CW96" s="31">
        <v>216534</v>
      </c>
      <c r="CX96" s="31"/>
      <c r="CY96" s="31"/>
      <c r="CZ96" s="31"/>
      <c r="DA96" s="31"/>
      <c r="DB96" s="31"/>
      <c r="DC96" s="31"/>
      <c r="DD96" s="31">
        <v>220993</v>
      </c>
      <c r="DE96" s="31"/>
      <c r="DF96" s="31"/>
      <c r="DG96" s="31"/>
      <c r="DH96" s="31"/>
      <c r="DI96" s="31"/>
      <c r="DJ96" s="31"/>
      <c r="DK96" s="31">
        <v>210713</v>
      </c>
      <c r="DL96" s="31"/>
      <c r="DM96" s="31"/>
      <c r="DN96" s="31"/>
      <c r="DO96" s="31"/>
      <c r="DP96" s="31"/>
      <c r="DQ96" s="31"/>
      <c r="DR96" s="31">
        <v>223909</v>
      </c>
      <c r="DS96" s="31"/>
      <c r="DT96" s="31"/>
      <c r="DU96" s="31"/>
      <c r="DV96" s="31"/>
      <c r="DW96" s="31"/>
      <c r="DX96" s="31"/>
      <c r="DY96" s="31">
        <v>207814</v>
      </c>
      <c r="DZ96" s="31"/>
      <c r="EA96" s="31"/>
      <c r="EB96" s="31"/>
      <c r="EC96" s="31"/>
      <c r="ED96" s="31"/>
      <c r="EE96" s="31"/>
      <c r="EF96" s="31">
        <v>204652</v>
      </c>
      <c r="EG96" s="31"/>
      <c r="EH96" s="31"/>
      <c r="EI96" s="31"/>
      <c r="EJ96" s="31"/>
      <c r="EK96" s="31"/>
      <c r="EL96" s="31"/>
      <c r="EM96" s="31">
        <v>201764</v>
      </c>
      <c r="EN96" s="31"/>
      <c r="EO96" s="31"/>
      <c r="EP96" s="31"/>
      <c r="EQ96" s="31"/>
      <c r="ER96" s="31"/>
      <c r="ES96" s="31"/>
      <c r="ET96" s="31">
        <v>211770</v>
      </c>
      <c r="EU96" s="31"/>
      <c r="EV96" s="31"/>
      <c r="EW96" s="31"/>
      <c r="EX96" s="31"/>
      <c r="EY96" s="31"/>
      <c r="EZ96" s="31"/>
      <c r="FA96" s="31">
        <v>208969</v>
      </c>
      <c r="FB96" s="31"/>
      <c r="FC96" s="31"/>
      <c r="FD96" s="31"/>
      <c r="FE96" s="31"/>
      <c r="FF96" s="31"/>
      <c r="FG96" s="31"/>
      <c r="FH96" s="31">
        <v>245870</v>
      </c>
      <c r="FI96" s="31"/>
      <c r="FJ96" s="31"/>
      <c r="FK96" s="31"/>
      <c r="FL96" s="31"/>
      <c r="FM96" s="31"/>
      <c r="FN96" s="31"/>
      <c r="FO96" s="31">
        <v>236518</v>
      </c>
      <c r="FP96" s="31"/>
      <c r="FQ96" s="31"/>
      <c r="FR96" s="31"/>
      <c r="FS96" s="31"/>
      <c r="FT96" s="31"/>
      <c r="FU96" s="31"/>
      <c r="FV96" s="31">
        <v>227516</v>
      </c>
      <c r="FW96" s="31"/>
      <c r="FX96" s="31"/>
      <c r="FY96" s="31"/>
      <c r="FZ96" s="31"/>
      <c r="GA96" s="31"/>
      <c r="GB96" s="31"/>
      <c r="GC96" s="31">
        <v>230392</v>
      </c>
      <c r="GD96" s="31"/>
      <c r="GE96" s="31"/>
      <c r="GF96" s="31"/>
      <c r="GG96" s="31"/>
      <c r="GH96" s="31"/>
      <c r="GI96" s="31"/>
      <c r="GJ96" s="31">
        <v>241361</v>
      </c>
      <c r="GK96" s="31"/>
      <c r="GL96" s="31"/>
      <c r="GM96" s="31"/>
      <c r="GN96" s="31"/>
      <c r="GO96" s="31"/>
      <c r="GP96" s="31"/>
      <c r="GQ96" s="31">
        <v>261111</v>
      </c>
      <c r="GR96" s="31"/>
      <c r="GS96" s="31"/>
      <c r="GT96" s="31"/>
      <c r="GU96" s="31"/>
      <c r="GV96" s="31"/>
      <c r="GW96" s="31"/>
      <c r="GX96" s="31">
        <v>216023</v>
      </c>
      <c r="GY96" s="31"/>
      <c r="GZ96" s="31"/>
      <c r="HA96" s="31"/>
      <c r="HB96" s="31"/>
      <c r="HC96" s="31"/>
      <c r="HD96" s="31"/>
      <c r="HE96" s="31">
        <v>193790</v>
      </c>
      <c r="HF96" s="31"/>
      <c r="HG96" s="31"/>
      <c r="HH96" s="31"/>
      <c r="HI96" s="31"/>
      <c r="HJ96" s="31"/>
      <c r="HK96" s="31"/>
      <c r="HL96" s="31">
        <v>195492</v>
      </c>
      <c r="HM96" s="31"/>
      <c r="HN96" s="31"/>
      <c r="HO96" s="31"/>
      <c r="HP96" s="31"/>
      <c r="HQ96" s="31"/>
      <c r="HR96" s="31"/>
      <c r="HS96" s="31">
        <v>199390</v>
      </c>
      <c r="HT96" s="31"/>
      <c r="HU96" s="31"/>
      <c r="HV96" s="31"/>
      <c r="HW96" s="31"/>
      <c r="HX96" s="31"/>
      <c r="HY96" s="31"/>
      <c r="HZ96" s="31">
        <v>194217</v>
      </c>
      <c r="IA96" s="31"/>
      <c r="IB96" s="31"/>
      <c r="IC96" s="31"/>
      <c r="ID96" s="31"/>
      <c r="IE96" s="31"/>
      <c r="IF96" s="31"/>
      <c r="IG96" s="31">
        <v>191208</v>
      </c>
      <c r="IH96" s="31"/>
      <c r="II96" s="31"/>
      <c r="IJ96" s="31"/>
      <c r="IK96" s="31"/>
      <c r="IL96" s="31"/>
      <c r="IM96" s="31"/>
      <c r="IN96" s="31">
        <v>196712</v>
      </c>
      <c r="IO96" s="31"/>
      <c r="IP96" s="31"/>
      <c r="IQ96" s="31"/>
      <c r="IR96" s="31"/>
      <c r="IS96" s="31"/>
      <c r="IT96" s="31"/>
      <c r="IU96" s="31">
        <v>204862</v>
      </c>
      <c r="IV96" s="31"/>
      <c r="IW96" s="31"/>
      <c r="IX96" s="31"/>
      <c r="IY96" s="31"/>
      <c r="IZ96" s="31"/>
      <c r="JA96" s="31"/>
      <c r="JB96" s="31">
        <v>195433</v>
      </c>
      <c r="JC96" s="31"/>
      <c r="JD96" s="31"/>
      <c r="JE96" s="31"/>
      <c r="JF96" s="31"/>
      <c r="JG96" s="31"/>
      <c r="JH96" s="31"/>
      <c r="JI96" s="31">
        <v>180992</v>
      </c>
      <c r="JJ96" s="31"/>
      <c r="JK96" s="31"/>
      <c r="JL96" s="31"/>
      <c r="JM96" s="31"/>
      <c r="JN96" s="31"/>
      <c r="JO96" s="31"/>
      <c r="JP96" s="31">
        <v>179191</v>
      </c>
      <c r="JQ96" s="31"/>
      <c r="JR96" s="31"/>
      <c r="JS96" s="31"/>
      <c r="JT96" s="31"/>
      <c r="JU96" s="31"/>
      <c r="JV96" s="31"/>
      <c r="JW96" s="31">
        <v>207132</v>
      </c>
      <c r="JX96" s="31"/>
      <c r="JY96" s="31"/>
      <c r="JZ96" s="23"/>
      <c r="KA96" s="23"/>
      <c r="KB96" s="23"/>
      <c r="KC96" s="23"/>
      <c r="KD96" s="23">
        <v>210799</v>
      </c>
      <c r="KE96" s="23"/>
      <c r="KF96" s="23"/>
      <c r="KG96" s="23"/>
      <c r="KH96" s="23"/>
      <c r="KI96" s="23"/>
      <c r="KJ96" s="23"/>
      <c r="KK96" s="23">
        <v>205696</v>
      </c>
      <c r="KL96" s="23"/>
      <c r="KM96" s="23"/>
      <c r="KN96" s="23"/>
      <c r="KO96" s="23"/>
      <c r="KP96" s="23"/>
      <c r="KQ96" s="23"/>
      <c r="KR96" s="23">
        <v>203056</v>
      </c>
      <c r="KS96" s="23"/>
      <c r="KT96" s="23"/>
      <c r="KU96" s="23"/>
      <c r="KV96" s="23"/>
      <c r="KW96" s="23"/>
      <c r="KX96" s="23"/>
      <c r="KY96" s="23">
        <v>216081</v>
      </c>
      <c r="KZ96" s="23"/>
      <c r="LA96" s="23"/>
      <c r="LB96" s="23"/>
      <c r="LC96" s="23"/>
      <c r="LD96" s="23"/>
      <c r="LE96" s="23"/>
      <c r="LF96" s="23">
        <v>238766</v>
      </c>
      <c r="LG96" s="23"/>
      <c r="LH96" s="23"/>
      <c r="LI96" s="23"/>
      <c r="LJ96" s="23"/>
      <c r="LK96" s="23"/>
      <c r="LL96" s="23"/>
      <c r="LM96" s="23">
        <v>218228</v>
      </c>
      <c r="LN96" s="23"/>
      <c r="LO96" s="23"/>
      <c r="LP96" s="23"/>
      <c r="LQ96" s="23"/>
      <c r="LR96" s="23"/>
      <c r="LS96" s="23"/>
      <c r="LT96" s="23">
        <v>244713</v>
      </c>
      <c r="LU96" s="23"/>
      <c r="LV96" s="23"/>
      <c r="LW96" s="23"/>
      <c r="LX96" s="23"/>
      <c r="LY96" s="23"/>
      <c r="LZ96" s="23"/>
      <c r="MA96" s="23">
        <v>198173</v>
      </c>
      <c r="MB96" s="23"/>
      <c r="MC96" s="23"/>
      <c r="MD96" s="23"/>
      <c r="ME96" s="23"/>
      <c r="MF96" s="23"/>
      <c r="MG96" s="23"/>
      <c r="MH96" s="23">
        <v>314915</v>
      </c>
      <c r="MI96" s="23"/>
      <c r="MJ96" s="23"/>
      <c r="MK96" s="23"/>
      <c r="ML96" s="23"/>
      <c r="MM96" s="23"/>
      <c r="MN96" s="23"/>
      <c r="MO96" s="23">
        <v>255177</v>
      </c>
      <c r="MP96" s="23"/>
      <c r="MQ96" s="23"/>
      <c r="MR96" s="23"/>
      <c r="MS96" s="23"/>
      <c r="MT96" s="23"/>
      <c r="MU96" s="23"/>
      <c r="MV96" s="23">
        <v>264603</v>
      </c>
      <c r="MW96" s="23"/>
      <c r="MX96" s="23"/>
      <c r="MY96" s="23"/>
      <c r="MZ96" s="23"/>
      <c r="NA96" s="23"/>
      <c r="NB96" s="23"/>
      <c r="NC96" s="23">
        <v>271346</v>
      </c>
      <c r="ND96" s="23"/>
      <c r="NE96" s="23"/>
      <c r="NF96" s="23"/>
      <c r="NG96" s="23"/>
      <c r="NH96" s="23"/>
      <c r="NI96" s="23"/>
      <c r="NJ96" s="23">
        <v>298700</v>
      </c>
      <c r="NK96" s="23"/>
      <c r="NL96" s="23"/>
      <c r="NM96" s="23"/>
      <c r="NN96" s="23"/>
      <c r="NO96" s="23"/>
      <c r="NP96" s="23"/>
      <c r="NQ96" s="23">
        <v>330963</v>
      </c>
      <c r="NR96" s="23"/>
      <c r="NS96" s="23"/>
      <c r="NT96" s="23"/>
      <c r="NU96" s="23"/>
      <c r="NV96" s="23"/>
      <c r="NW96" s="23"/>
      <c r="NX96" s="23">
        <v>272436</v>
      </c>
      <c r="NY96" s="23"/>
      <c r="NZ96" s="23"/>
      <c r="OA96" s="23"/>
      <c r="OB96" s="23"/>
      <c r="OC96" s="23"/>
      <c r="OD96" s="23"/>
      <c r="OE96" s="23">
        <v>231633</v>
      </c>
      <c r="OF96" s="23"/>
      <c r="OG96" s="23"/>
      <c r="OH96" s="23"/>
      <c r="OI96" s="23"/>
      <c r="OJ96" s="23"/>
      <c r="OK96" s="23"/>
      <c r="OL96" s="23">
        <v>252952</v>
      </c>
      <c r="OM96" s="23"/>
      <c r="ON96" s="23"/>
      <c r="OO96" s="23"/>
      <c r="OP96" s="23"/>
      <c r="OQ96" s="23"/>
      <c r="OR96" s="23"/>
      <c r="OS96" s="23">
        <v>250203</v>
      </c>
      <c r="OT96" s="23"/>
      <c r="OU96" s="23"/>
      <c r="OV96" s="23"/>
      <c r="OW96" s="23"/>
      <c r="OX96" s="23"/>
      <c r="OY96" s="23"/>
      <c r="OZ96" s="23">
        <v>209830</v>
      </c>
      <c r="PA96" s="23"/>
      <c r="PB96" s="23"/>
      <c r="PC96" s="23"/>
      <c r="PD96" s="23"/>
      <c r="PE96" s="23"/>
      <c r="PF96" s="23"/>
      <c r="PG96" s="23">
        <v>194270</v>
      </c>
      <c r="PH96" s="23"/>
      <c r="PI96" s="23"/>
      <c r="PJ96" s="23"/>
      <c r="PK96" s="23"/>
      <c r="PL96" s="23"/>
      <c r="PM96" s="23"/>
      <c r="PN96" s="23">
        <v>214269</v>
      </c>
      <c r="PO96" s="23"/>
      <c r="PP96" s="23"/>
      <c r="PQ96" s="23"/>
      <c r="PR96" s="23"/>
      <c r="PS96" s="23"/>
      <c r="PT96" s="23"/>
      <c r="PU96" s="23">
        <v>207252</v>
      </c>
      <c r="PV96" s="23"/>
      <c r="PW96" s="23"/>
      <c r="PX96" s="23"/>
      <c r="PY96" s="23"/>
      <c r="PZ96" s="23"/>
      <c r="QA96" s="23"/>
      <c r="QB96" s="23">
        <v>190982</v>
      </c>
      <c r="QC96" s="23"/>
      <c r="QD96" s="23"/>
      <c r="QE96" s="23"/>
      <c r="QF96" s="23"/>
      <c r="QG96" s="23"/>
      <c r="QH96" s="23"/>
      <c r="QI96" s="23">
        <v>186777</v>
      </c>
      <c r="QJ96" s="23"/>
      <c r="QK96" s="23"/>
      <c r="QL96" s="23"/>
      <c r="QM96" s="23"/>
      <c r="QN96" s="23"/>
      <c r="QO96" s="23"/>
      <c r="QP96" s="23">
        <v>186258</v>
      </c>
      <c r="QQ96" s="23"/>
      <c r="QR96" s="23"/>
      <c r="QS96" s="23"/>
      <c r="QT96" s="23"/>
      <c r="QU96" s="23"/>
      <c r="QV96" s="23"/>
      <c r="QW96" s="23">
        <v>201757</v>
      </c>
      <c r="QX96" s="23"/>
      <c r="QY96" s="23"/>
      <c r="QZ96" s="23"/>
      <c r="RA96" s="23"/>
      <c r="RB96" s="23"/>
      <c r="RC96" s="23"/>
      <c r="RD96" s="23">
        <v>215042</v>
      </c>
      <c r="RE96" s="23"/>
      <c r="RF96" s="23"/>
      <c r="RG96" s="23"/>
      <c r="RH96" s="23"/>
      <c r="RI96" s="23"/>
      <c r="RJ96" s="23"/>
      <c r="RK96" s="23">
        <v>206433</v>
      </c>
      <c r="RL96" s="23"/>
      <c r="RM96" s="23"/>
      <c r="RN96" s="23"/>
      <c r="RO96" s="23"/>
      <c r="RP96" s="23"/>
      <c r="RQ96" s="23"/>
      <c r="RR96" s="23">
        <v>180670</v>
      </c>
      <c r="RS96" s="23"/>
      <c r="RT96" s="23"/>
      <c r="RU96" s="23"/>
      <c r="RV96" s="23"/>
      <c r="RW96" s="23"/>
      <c r="RX96" s="23"/>
      <c r="RY96" s="23">
        <v>180313</v>
      </c>
      <c r="RZ96" s="23"/>
      <c r="SA96" s="23"/>
      <c r="SB96" s="23"/>
      <c r="SC96" s="23"/>
      <c r="SD96" s="23"/>
      <c r="SE96" s="23"/>
      <c r="SF96" s="23">
        <v>191451</v>
      </c>
      <c r="SG96" s="23"/>
      <c r="SH96" s="23"/>
      <c r="SI96" s="23"/>
      <c r="SJ96" s="23"/>
      <c r="SK96" s="23"/>
      <c r="SL96" s="23"/>
      <c r="SM96" s="23">
        <v>186338</v>
      </c>
      <c r="SN96" s="23"/>
      <c r="SO96" s="23"/>
      <c r="SP96" s="23"/>
      <c r="SQ96" s="23"/>
      <c r="SR96" s="23"/>
      <c r="SS96" s="23"/>
      <c r="ST96" s="23">
        <v>188099</v>
      </c>
      <c r="SU96" s="23"/>
      <c r="SV96" s="23"/>
      <c r="SW96" s="23"/>
      <c r="SX96" s="23"/>
      <c r="SY96" s="23"/>
      <c r="SZ96" s="23"/>
      <c r="TA96" s="23">
        <v>188558</v>
      </c>
      <c r="TB96" s="23"/>
      <c r="TC96" s="23"/>
      <c r="TD96" s="23"/>
      <c r="TE96" s="23"/>
      <c r="TF96" s="23"/>
      <c r="TG96" s="23"/>
      <c r="TH96" s="23">
        <v>228955</v>
      </c>
      <c r="TI96" s="23"/>
      <c r="TJ96" s="23"/>
      <c r="TK96" s="23"/>
      <c r="TL96" s="23"/>
      <c r="TM96" s="23"/>
      <c r="TN96" s="23"/>
      <c r="TO96" s="23">
        <v>220642</v>
      </c>
      <c r="TP96" s="23"/>
      <c r="TQ96" s="23"/>
      <c r="TR96" s="23"/>
      <c r="TS96" s="23"/>
      <c r="TT96" s="23"/>
      <c r="TU96" s="23"/>
      <c r="TV96" s="23">
        <v>208005</v>
      </c>
      <c r="TW96" s="23"/>
      <c r="TX96" s="23"/>
      <c r="TY96" s="23"/>
      <c r="TZ96" s="23"/>
      <c r="UA96" s="23"/>
      <c r="UB96" s="23"/>
      <c r="UC96" s="23">
        <v>213550</v>
      </c>
      <c r="UD96" s="23"/>
      <c r="UE96" s="23"/>
      <c r="UF96" s="23"/>
      <c r="UG96" s="23"/>
      <c r="UH96" s="23"/>
      <c r="UI96" s="23"/>
      <c r="UJ96" s="23"/>
      <c r="UK96" s="23"/>
      <c r="UL96" s="23"/>
      <c r="UM96" s="23"/>
      <c r="UN96" s="23"/>
      <c r="UO96" s="23"/>
      <c r="UP96" s="23"/>
      <c r="UQ96" s="23"/>
      <c r="UR96" s="23"/>
      <c r="US96" s="23"/>
      <c r="UT96" s="23"/>
    </row>
    <row r="97" ht="16.5" customHeight="1" spans="4:566">
      <c r="D97" s="33" t="s">
        <v>341</v>
      </c>
      <c r="E97" s="21" t="s">
        <v>342</v>
      </c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>
        <v>3.3</v>
      </c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>
        <v>4.3</v>
      </c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>
        <v>5</v>
      </c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  <c r="DI97" s="31"/>
      <c r="DJ97" s="31"/>
      <c r="DK97" s="31"/>
      <c r="DL97" s="31"/>
      <c r="DM97" s="31"/>
      <c r="DN97" s="31"/>
      <c r="DO97" s="31"/>
      <c r="DP97" s="31"/>
      <c r="DQ97" s="31"/>
      <c r="DR97" s="31"/>
      <c r="DS97" s="31"/>
      <c r="DT97" s="31"/>
      <c r="DU97" s="31"/>
      <c r="DV97" s="31">
        <v>6.5</v>
      </c>
      <c r="DW97" s="31"/>
      <c r="DX97" s="31"/>
      <c r="DY97" s="31"/>
      <c r="DZ97" s="31"/>
      <c r="EA97" s="31"/>
      <c r="EB97" s="31"/>
      <c r="EC97" s="31"/>
      <c r="ED97" s="31"/>
      <c r="EE97" s="31"/>
      <c r="EF97" s="31"/>
      <c r="EG97" s="31"/>
      <c r="EH97" s="31"/>
      <c r="EI97" s="31"/>
      <c r="EJ97" s="31"/>
      <c r="EK97" s="31"/>
      <c r="EL97" s="31"/>
      <c r="EM97" s="31"/>
      <c r="EN97" s="31"/>
      <c r="EO97" s="31"/>
      <c r="EP97" s="31"/>
      <c r="EQ97" s="31"/>
      <c r="ER97" s="31"/>
      <c r="ES97" s="31"/>
      <c r="ET97" s="31"/>
      <c r="EU97" s="31"/>
      <c r="EV97" s="31"/>
      <c r="EW97" s="31"/>
      <c r="EX97" s="31"/>
      <c r="EY97" s="31"/>
      <c r="EZ97" s="31"/>
      <c r="FA97" s="31">
        <v>6.6</v>
      </c>
      <c r="FB97" s="31"/>
      <c r="FC97" s="31"/>
      <c r="FD97" s="31"/>
      <c r="FE97" s="31"/>
      <c r="FF97" s="31"/>
      <c r="FG97" s="31"/>
      <c r="FH97" s="31"/>
      <c r="FI97" s="31"/>
      <c r="FJ97" s="31"/>
      <c r="FK97" s="31"/>
      <c r="FL97" s="31"/>
      <c r="FM97" s="31"/>
      <c r="FN97" s="31"/>
      <c r="FO97" s="31"/>
      <c r="FP97" s="31"/>
      <c r="FQ97" s="31"/>
      <c r="FR97" s="31"/>
      <c r="FS97" s="31"/>
      <c r="FT97" s="31"/>
      <c r="FU97" s="31"/>
      <c r="FV97" s="31"/>
      <c r="FW97" s="31"/>
      <c r="FX97" s="31"/>
      <c r="FY97" s="31"/>
      <c r="FZ97" s="31"/>
      <c r="GA97" s="31"/>
      <c r="GB97" s="31"/>
      <c r="GC97" s="31"/>
      <c r="GD97" s="31"/>
      <c r="GE97" s="31">
        <v>5</v>
      </c>
      <c r="GF97" s="31"/>
      <c r="GG97" s="31"/>
      <c r="GH97" s="31"/>
      <c r="GI97" s="31"/>
      <c r="GJ97" s="31"/>
      <c r="GK97" s="31"/>
      <c r="GL97" s="31"/>
      <c r="GM97" s="31"/>
      <c r="GN97" s="31"/>
      <c r="GO97" s="31"/>
      <c r="GP97" s="31"/>
      <c r="GQ97" s="31"/>
      <c r="GR97" s="31"/>
      <c r="GS97" s="31"/>
      <c r="GT97" s="31"/>
      <c r="GU97" s="31"/>
      <c r="GV97" s="31"/>
      <c r="GW97" s="31"/>
      <c r="GX97" s="31"/>
      <c r="GY97" s="31"/>
      <c r="GZ97" s="31"/>
      <c r="HA97" s="31"/>
      <c r="HB97" s="31"/>
      <c r="HC97" s="31"/>
      <c r="HD97" s="31"/>
      <c r="HE97" s="31"/>
      <c r="HF97" s="31"/>
      <c r="HG97" s="31"/>
      <c r="HH97" s="31"/>
      <c r="HI97" s="31"/>
      <c r="HJ97" s="31">
        <v>4.5</v>
      </c>
      <c r="HK97" s="31"/>
      <c r="HL97" s="31"/>
      <c r="HM97" s="31"/>
      <c r="HN97" s="31"/>
      <c r="HO97" s="31"/>
      <c r="HP97" s="31"/>
      <c r="HQ97" s="31"/>
      <c r="HR97" s="31"/>
      <c r="HS97" s="31"/>
      <c r="HT97" s="31"/>
      <c r="HU97" s="31"/>
      <c r="HV97" s="31"/>
      <c r="HW97" s="31"/>
      <c r="HX97" s="31"/>
      <c r="HY97" s="31"/>
      <c r="HZ97" s="31"/>
      <c r="IA97" s="31"/>
      <c r="IB97" s="31"/>
      <c r="IC97" s="31"/>
      <c r="ID97" s="31"/>
      <c r="IE97" s="31"/>
      <c r="IF97" s="31"/>
      <c r="IG97" s="31"/>
      <c r="IH97" s="31"/>
      <c r="II97" s="31"/>
      <c r="IJ97" s="31"/>
      <c r="IK97" s="31"/>
      <c r="IL97" s="31"/>
      <c r="IM97" s="31"/>
      <c r="IN97" s="31"/>
      <c r="IO97" s="31">
        <v>4.8</v>
      </c>
      <c r="IP97" s="31"/>
      <c r="IQ97" s="31"/>
      <c r="IR97" s="31"/>
      <c r="IS97" s="31"/>
      <c r="IT97" s="31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  <c r="JN97" s="31"/>
      <c r="JO97" s="31"/>
      <c r="JP97" s="31"/>
      <c r="JQ97" s="31"/>
      <c r="JR97" s="31"/>
      <c r="JS97" s="31">
        <v>4.7</v>
      </c>
      <c r="JT97" s="31"/>
      <c r="JU97" s="31"/>
      <c r="JV97" s="31"/>
      <c r="JW97" s="31"/>
      <c r="JX97" s="31"/>
      <c r="JY97" s="31"/>
      <c r="JZ97" s="23"/>
      <c r="KA97" s="23"/>
      <c r="KB97" s="23"/>
      <c r="KC97" s="23"/>
      <c r="KD97" s="23"/>
      <c r="KE97" s="23"/>
      <c r="KF97" s="23"/>
      <c r="KG97" s="23"/>
      <c r="KH97" s="23"/>
      <c r="KI97" s="23"/>
      <c r="KJ97" s="23"/>
      <c r="KK97" s="23"/>
      <c r="KL97" s="23"/>
      <c r="KM97" s="23"/>
      <c r="KN97" s="23"/>
      <c r="KO97" s="23"/>
      <c r="KP97" s="23"/>
      <c r="KQ97" s="23"/>
      <c r="KR97" s="23"/>
      <c r="KS97" s="23"/>
      <c r="KT97" s="23"/>
      <c r="KU97" s="23"/>
      <c r="KV97" s="23"/>
      <c r="KW97" s="23"/>
      <c r="KX97" s="23">
        <v>4.6</v>
      </c>
      <c r="KY97" s="23"/>
      <c r="KZ97" s="23"/>
      <c r="LA97" s="23"/>
      <c r="LB97" s="23"/>
      <c r="LC97" s="23"/>
      <c r="LD97" s="23"/>
      <c r="LE97" s="23"/>
      <c r="LF97" s="23"/>
      <c r="LG97" s="23"/>
      <c r="LH97" s="23"/>
      <c r="LI97" s="23"/>
      <c r="LJ97" s="23"/>
      <c r="LK97" s="23"/>
      <c r="LL97" s="23"/>
      <c r="LM97" s="23"/>
      <c r="LN97" s="23"/>
      <c r="LO97" s="23"/>
      <c r="LP97" s="23"/>
      <c r="LQ97" s="23"/>
      <c r="LR97" s="23"/>
      <c r="LS97" s="23"/>
      <c r="LT97" s="23"/>
      <c r="LU97" s="23"/>
      <c r="LV97" s="23"/>
      <c r="LW97" s="23"/>
      <c r="LX97" s="23"/>
      <c r="LY97" s="23"/>
      <c r="LZ97" s="23"/>
      <c r="MA97" s="23"/>
      <c r="MB97" s="23">
        <v>4.5</v>
      </c>
      <c r="MC97" s="23"/>
      <c r="MD97" s="23"/>
      <c r="ME97" s="23"/>
      <c r="MF97" s="23"/>
      <c r="MG97" s="23"/>
      <c r="MH97" s="23"/>
      <c r="MI97" s="23"/>
      <c r="MJ97" s="23"/>
      <c r="MK97" s="23"/>
      <c r="ML97" s="23"/>
      <c r="MM97" s="23"/>
      <c r="MN97" s="23"/>
      <c r="MO97" s="23"/>
      <c r="MP97" s="23"/>
      <c r="MQ97" s="23"/>
      <c r="MR97" s="23"/>
      <c r="MS97" s="23"/>
      <c r="MT97" s="23"/>
      <c r="MU97" s="23"/>
      <c r="MV97" s="23"/>
      <c r="MW97" s="23"/>
      <c r="MX97" s="23"/>
      <c r="MY97" s="23"/>
      <c r="MZ97" s="23"/>
      <c r="NA97" s="23"/>
      <c r="NB97" s="23"/>
      <c r="NC97" s="23"/>
      <c r="ND97" s="23"/>
      <c r="NE97" s="23"/>
      <c r="NF97" s="23"/>
      <c r="NG97" s="23">
        <v>4.2</v>
      </c>
      <c r="NH97" s="23"/>
      <c r="NI97" s="23"/>
      <c r="NJ97" s="23"/>
      <c r="NK97" s="23"/>
      <c r="NL97" s="23"/>
      <c r="NM97" s="23"/>
      <c r="NN97" s="23"/>
      <c r="NO97" s="23"/>
      <c r="NP97" s="23"/>
      <c r="NQ97" s="23"/>
      <c r="NR97" s="23"/>
      <c r="NS97" s="23"/>
      <c r="NT97" s="23"/>
      <c r="NU97" s="23"/>
      <c r="NV97" s="23"/>
      <c r="NW97" s="23"/>
      <c r="NX97" s="23"/>
      <c r="NY97" s="23"/>
      <c r="NZ97" s="23"/>
      <c r="OA97" s="23"/>
      <c r="OB97" s="23"/>
      <c r="OC97" s="23"/>
      <c r="OD97" s="23"/>
      <c r="OE97" s="23"/>
      <c r="OF97" s="23"/>
      <c r="OG97" s="23"/>
      <c r="OH97" s="23"/>
      <c r="OI97" s="23"/>
      <c r="OJ97" s="23"/>
      <c r="OK97" s="23"/>
      <c r="OL97" s="23">
        <v>4</v>
      </c>
      <c r="OM97" s="23"/>
      <c r="ON97" s="23"/>
      <c r="OO97" s="23"/>
      <c r="OP97" s="23"/>
      <c r="OQ97" s="23"/>
      <c r="OR97" s="23"/>
      <c r="OS97" s="23"/>
      <c r="OT97" s="23"/>
      <c r="OU97" s="23"/>
      <c r="OV97" s="23"/>
      <c r="OW97" s="23"/>
      <c r="OX97" s="23"/>
      <c r="OY97" s="23"/>
      <c r="OZ97" s="23"/>
      <c r="PA97" s="23"/>
      <c r="PB97" s="23"/>
      <c r="PC97" s="23"/>
      <c r="PD97" s="23"/>
      <c r="PE97" s="23"/>
      <c r="PF97" s="23"/>
      <c r="PG97" s="23"/>
      <c r="PH97" s="23"/>
      <c r="PI97" s="23"/>
      <c r="PJ97" s="23"/>
      <c r="PK97" s="23"/>
      <c r="PL97" s="23"/>
      <c r="PM97" s="23"/>
      <c r="PN97" s="23">
        <v>3.4</v>
      </c>
      <c r="PO97" s="23"/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>
        <v>3.8</v>
      </c>
      <c r="QT97" s="23"/>
      <c r="QU97" s="23"/>
      <c r="QV97" s="23"/>
      <c r="QW97" s="23"/>
      <c r="QX97" s="23"/>
      <c r="QY97" s="23"/>
      <c r="QZ97" s="23"/>
      <c r="RA97" s="23"/>
      <c r="RB97" s="23"/>
      <c r="RC97" s="23"/>
      <c r="RD97" s="23"/>
      <c r="RE97" s="23"/>
      <c r="RF97" s="23"/>
      <c r="RG97" s="23"/>
      <c r="RH97" s="23"/>
      <c r="RI97" s="23"/>
      <c r="RJ97" s="23"/>
      <c r="RK97" s="23"/>
      <c r="RL97" s="23"/>
      <c r="RM97" s="23"/>
      <c r="RN97" s="23"/>
      <c r="RO97" s="23"/>
      <c r="RP97" s="23"/>
      <c r="RQ97" s="23"/>
      <c r="RR97" s="23"/>
      <c r="RS97" s="23"/>
      <c r="RT97" s="23"/>
      <c r="RU97" s="23"/>
      <c r="RV97" s="23"/>
      <c r="RW97" s="23">
        <v>4.7</v>
      </c>
      <c r="RX97" s="23"/>
      <c r="RY97" s="23"/>
      <c r="RZ97" s="23"/>
      <c r="SA97" s="23"/>
      <c r="SB97" s="23"/>
      <c r="SC97" s="23"/>
      <c r="SD97" s="23"/>
      <c r="SE97" s="23"/>
      <c r="SF97" s="23"/>
      <c r="SG97" s="23"/>
      <c r="SH97" s="23"/>
      <c r="SI97" s="23"/>
      <c r="SJ97" s="23"/>
      <c r="SK97" s="23"/>
      <c r="SL97" s="23"/>
      <c r="SM97" s="23"/>
      <c r="SN97" s="23"/>
      <c r="SO97" s="23"/>
      <c r="SP97" s="23"/>
      <c r="SQ97" s="23"/>
      <c r="SR97" s="23"/>
      <c r="SS97" s="23"/>
      <c r="ST97" s="23"/>
      <c r="SU97" s="23"/>
      <c r="SV97" s="23"/>
      <c r="SW97" s="23"/>
      <c r="SX97" s="23"/>
      <c r="SY97" s="23"/>
      <c r="SZ97" s="23"/>
      <c r="TA97" s="23"/>
      <c r="TB97" s="23">
        <v>4.8</v>
      </c>
      <c r="TC97" s="23"/>
      <c r="TD97" s="23"/>
      <c r="TE97" s="23"/>
      <c r="TF97" s="23"/>
      <c r="TG97" s="23"/>
      <c r="TH97" s="23"/>
      <c r="TI97" s="23"/>
      <c r="TJ97" s="23"/>
      <c r="TK97" s="23"/>
      <c r="TL97" s="23"/>
      <c r="TM97" s="23"/>
      <c r="TN97" s="23"/>
      <c r="TO97" s="23"/>
      <c r="TP97" s="23"/>
      <c r="TQ97" s="23"/>
      <c r="TR97" s="23"/>
      <c r="TS97" s="23"/>
      <c r="TT97" s="23"/>
      <c r="TU97" s="23"/>
      <c r="TV97" s="23"/>
      <c r="TW97" s="23"/>
      <c r="TX97" s="23"/>
      <c r="TY97" s="23"/>
      <c r="TZ97" s="23"/>
      <c r="UA97" s="23"/>
      <c r="UB97" s="23"/>
      <c r="UC97" s="23"/>
      <c r="UD97" s="23"/>
      <c r="UE97" s="23"/>
      <c r="UF97" s="23">
        <v>4.6</v>
      </c>
      <c r="UG97" s="23"/>
      <c r="UH97" s="23"/>
      <c r="UI97" s="23"/>
      <c r="UJ97" s="23"/>
      <c r="UK97" s="23"/>
      <c r="UL97" s="23"/>
      <c r="UM97" s="23"/>
      <c r="UN97" s="23"/>
      <c r="UO97" s="23"/>
      <c r="UP97" s="23"/>
      <c r="UQ97" s="23"/>
      <c r="UR97" s="23"/>
      <c r="US97" s="23"/>
      <c r="UT97" s="23"/>
    </row>
    <row r="98" ht="16.5" customHeight="1" spans="4:566">
      <c r="D98" s="33" t="s">
        <v>343</v>
      </c>
      <c r="E98" s="21" t="s">
        <v>344</v>
      </c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>
        <v>143</v>
      </c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>
        <v>151</v>
      </c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>
        <v>228</v>
      </c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  <c r="DI98" s="31"/>
      <c r="DJ98" s="31"/>
      <c r="DK98" s="31"/>
      <c r="DL98" s="31"/>
      <c r="DM98" s="31"/>
      <c r="DN98" s="31"/>
      <c r="DO98" s="31"/>
      <c r="DP98" s="31"/>
      <c r="DQ98" s="31"/>
      <c r="DR98" s="31"/>
      <c r="DS98" s="31"/>
      <c r="DT98" s="31"/>
      <c r="DU98" s="31"/>
      <c r="DV98" s="31">
        <v>177</v>
      </c>
      <c r="DW98" s="31"/>
      <c r="DX98" s="31"/>
      <c r="DY98" s="31"/>
      <c r="DZ98" s="31"/>
      <c r="EA98" s="31"/>
      <c r="EB98" s="31"/>
      <c r="EC98" s="31"/>
      <c r="ED98" s="31"/>
      <c r="EE98" s="31"/>
      <c r="EF98" s="31"/>
      <c r="EG98" s="31"/>
      <c r="EH98" s="31"/>
      <c r="EI98" s="31"/>
      <c r="EJ98" s="31"/>
      <c r="EK98" s="31"/>
      <c r="EL98" s="31"/>
      <c r="EM98" s="31"/>
      <c r="EN98" s="31"/>
      <c r="EO98" s="31"/>
      <c r="EP98" s="31"/>
      <c r="EQ98" s="31"/>
      <c r="ER98" s="31"/>
      <c r="ES98" s="31"/>
      <c r="ET98" s="31"/>
      <c r="EU98" s="31"/>
      <c r="EV98" s="31"/>
      <c r="EW98" s="31"/>
      <c r="EX98" s="31"/>
      <c r="EY98" s="31"/>
      <c r="EZ98" s="31"/>
      <c r="FA98" s="31">
        <v>139</v>
      </c>
      <c r="FB98" s="31"/>
      <c r="FC98" s="31"/>
      <c r="FD98" s="31"/>
      <c r="FE98" s="31"/>
      <c r="FF98" s="31"/>
      <c r="FG98" s="31"/>
      <c r="FH98" s="31"/>
      <c r="FI98" s="31"/>
      <c r="FJ98" s="31"/>
      <c r="FK98" s="31"/>
      <c r="FL98" s="31"/>
      <c r="FM98" s="31"/>
      <c r="FN98" s="31"/>
      <c r="FO98" s="31"/>
      <c r="FP98" s="31"/>
      <c r="FQ98" s="31"/>
      <c r="FR98" s="31"/>
      <c r="FS98" s="31"/>
      <c r="FT98" s="31"/>
      <c r="FU98" s="31"/>
      <c r="FV98" s="31"/>
      <c r="FW98" s="31"/>
      <c r="FX98" s="31"/>
      <c r="FY98" s="31"/>
      <c r="FZ98" s="31"/>
      <c r="GA98" s="31"/>
      <c r="GB98" s="31"/>
      <c r="GC98" s="31"/>
      <c r="GD98" s="31"/>
      <c r="GE98" s="31">
        <v>147</v>
      </c>
      <c r="GF98" s="31"/>
      <c r="GG98" s="31"/>
      <c r="GH98" s="31"/>
      <c r="GI98" s="31"/>
      <c r="GJ98" s="31"/>
      <c r="GK98" s="31"/>
      <c r="GL98" s="31"/>
      <c r="GM98" s="31"/>
      <c r="GN98" s="31"/>
      <c r="GO98" s="31"/>
      <c r="GP98" s="31"/>
      <c r="GQ98" s="31"/>
      <c r="GR98" s="31"/>
      <c r="GS98" s="31"/>
      <c r="GT98" s="31"/>
      <c r="GU98" s="31"/>
      <c r="GV98" s="31"/>
      <c r="GW98" s="31"/>
      <c r="GX98" s="31"/>
      <c r="GY98" s="31"/>
      <c r="GZ98" s="31"/>
      <c r="HA98" s="31"/>
      <c r="HB98" s="31"/>
      <c r="HC98" s="31"/>
      <c r="HD98" s="31"/>
      <c r="HE98" s="31"/>
      <c r="HF98" s="31"/>
      <c r="HG98" s="31"/>
      <c r="HH98" s="31"/>
      <c r="HI98" s="31"/>
      <c r="HJ98" s="31">
        <v>73</v>
      </c>
      <c r="HK98" s="31"/>
      <c r="HL98" s="31"/>
      <c r="HM98" s="31"/>
      <c r="HN98" s="31"/>
      <c r="HO98" s="31"/>
      <c r="HP98" s="31"/>
      <c r="HQ98" s="31"/>
      <c r="HR98" s="31"/>
      <c r="HS98" s="31"/>
      <c r="HT98" s="31"/>
      <c r="HU98" s="31"/>
      <c r="HV98" s="31"/>
      <c r="HW98" s="31"/>
      <c r="HX98" s="31"/>
      <c r="HY98" s="31"/>
      <c r="HZ98" s="31"/>
      <c r="IA98" s="31"/>
      <c r="IB98" s="31"/>
      <c r="IC98" s="31"/>
      <c r="ID98" s="31"/>
      <c r="IE98" s="31"/>
      <c r="IF98" s="31"/>
      <c r="IG98" s="31"/>
      <c r="IH98" s="31"/>
      <c r="II98" s="31"/>
      <c r="IJ98" s="31"/>
      <c r="IK98" s="31"/>
      <c r="IL98" s="31"/>
      <c r="IM98" s="31"/>
      <c r="IN98" s="31"/>
      <c r="IO98" s="31">
        <v>22</v>
      </c>
      <c r="IP98" s="31"/>
      <c r="IQ98" s="31"/>
      <c r="IR98" s="31"/>
      <c r="IS98" s="31"/>
      <c r="IT98" s="31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  <c r="JH98" s="31"/>
      <c r="JI98" s="31"/>
      <c r="JJ98" s="31"/>
      <c r="JK98" s="31"/>
      <c r="JL98" s="31"/>
      <c r="JM98" s="31"/>
      <c r="JN98" s="31"/>
      <c r="JO98" s="31"/>
      <c r="JP98" s="31"/>
      <c r="JQ98" s="31"/>
      <c r="JR98" s="31"/>
      <c r="JS98" s="31">
        <v>119</v>
      </c>
      <c r="JT98" s="31"/>
      <c r="JU98" s="31"/>
      <c r="JV98" s="31"/>
      <c r="JW98" s="31"/>
      <c r="JX98" s="31"/>
      <c r="JY98" s="31"/>
      <c r="JZ98" s="23"/>
      <c r="KA98" s="23"/>
      <c r="KB98" s="23"/>
      <c r="KC98" s="23"/>
      <c r="KD98" s="23"/>
      <c r="KE98" s="23"/>
      <c r="KF98" s="23"/>
      <c r="KG98" s="23"/>
      <c r="KH98" s="23"/>
      <c r="KI98" s="23"/>
      <c r="KJ98" s="23"/>
      <c r="KK98" s="23"/>
      <c r="KL98" s="23"/>
      <c r="KM98" s="23"/>
      <c r="KN98" s="23"/>
      <c r="KO98" s="23"/>
      <c r="KP98" s="23"/>
      <c r="KQ98" s="23"/>
      <c r="KR98" s="23"/>
      <c r="KS98" s="23"/>
      <c r="KT98" s="23"/>
      <c r="KU98" s="23"/>
      <c r="KV98" s="23"/>
      <c r="KW98" s="23"/>
      <c r="KX98" s="23">
        <v>-105</v>
      </c>
      <c r="KY98" s="23"/>
      <c r="KZ98" s="23"/>
      <c r="LA98" s="23"/>
      <c r="LB98" s="23"/>
      <c r="LC98" s="23"/>
      <c r="LD98" s="23"/>
      <c r="LE98" s="23"/>
      <c r="LF98" s="23"/>
      <c r="LG98" s="23"/>
      <c r="LH98" s="23"/>
      <c r="LI98" s="23"/>
      <c r="LJ98" s="23"/>
      <c r="LK98" s="23"/>
      <c r="LL98" s="23"/>
      <c r="LM98" s="23"/>
      <c r="LN98" s="23"/>
      <c r="LO98" s="23"/>
      <c r="LP98" s="23"/>
      <c r="LQ98" s="23"/>
      <c r="LR98" s="23"/>
      <c r="LS98" s="23"/>
      <c r="LT98" s="23"/>
      <c r="LU98" s="23"/>
      <c r="LV98" s="23"/>
      <c r="LW98" s="23"/>
      <c r="LX98" s="23"/>
      <c r="LY98" s="23"/>
      <c r="LZ98" s="23"/>
      <c r="MA98" s="23"/>
      <c r="MB98" s="23">
        <v>64</v>
      </c>
      <c r="MC98" s="23"/>
      <c r="MD98" s="23"/>
      <c r="ME98" s="23"/>
      <c r="MF98" s="23"/>
      <c r="MG98" s="23"/>
      <c r="MH98" s="23"/>
      <c r="MI98" s="23"/>
      <c r="MJ98" s="23"/>
      <c r="MK98" s="23"/>
      <c r="ML98" s="23"/>
      <c r="MM98" s="23"/>
      <c r="MN98" s="23"/>
      <c r="MO98" s="23"/>
      <c r="MP98" s="23"/>
      <c r="MQ98" s="23"/>
      <c r="MR98" s="23"/>
      <c r="MS98" s="23"/>
      <c r="MT98" s="23"/>
      <c r="MU98" s="23"/>
      <c r="MV98" s="23"/>
      <c r="MW98" s="23"/>
      <c r="MX98" s="23"/>
      <c r="MY98" s="23"/>
      <c r="MZ98" s="23"/>
      <c r="NA98" s="23"/>
      <c r="NB98" s="23"/>
      <c r="NC98" s="23"/>
      <c r="ND98" s="23"/>
      <c r="NE98" s="23"/>
      <c r="NF98" s="23"/>
      <c r="NG98" s="23">
        <v>50</v>
      </c>
      <c r="NH98" s="23"/>
      <c r="NI98" s="23"/>
      <c r="NJ98" s="23"/>
      <c r="NK98" s="23"/>
      <c r="NL98" s="23"/>
      <c r="NM98" s="23"/>
      <c r="NN98" s="23"/>
      <c r="NO98" s="23"/>
      <c r="NP98" s="23"/>
      <c r="NQ98" s="23"/>
      <c r="NR98" s="23"/>
      <c r="NS98" s="23"/>
      <c r="NT98" s="23"/>
      <c r="NU98" s="23"/>
      <c r="NV98" s="23"/>
      <c r="NW98" s="23"/>
      <c r="NX98" s="23"/>
      <c r="NY98" s="23"/>
      <c r="NZ98" s="23"/>
      <c r="OA98" s="23"/>
      <c r="OB98" s="23"/>
      <c r="OC98" s="23"/>
      <c r="OD98" s="23"/>
      <c r="OE98" s="23"/>
      <c r="OF98" s="23"/>
      <c r="OG98" s="23"/>
      <c r="OH98" s="23"/>
      <c r="OI98" s="23"/>
      <c r="OJ98" s="23"/>
      <c r="OK98" s="23"/>
      <c r="OL98" s="23">
        <v>130</v>
      </c>
      <c r="OM98" s="23"/>
      <c r="ON98" s="23"/>
      <c r="OO98" s="23"/>
      <c r="OP98" s="23"/>
      <c r="OQ98" s="23"/>
      <c r="OR98" s="23"/>
      <c r="OS98" s="23"/>
      <c r="OT98" s="23"/>
      <c r="OU98" s="23"/>
      <c r="OV98" s="23"/>
      <c r="OW98" s="23"/>
      <c r="OX98" s="23"/>
      <c r="OY98" s="23"/>
      <c r="OZ98" s="23"/>
      <c r="PA98" s="23"/>
      <c r="PB98" s="23"/>
      <c r="PC98" s="23"/>
      <c r="PD98" s="23"/>
      <c r="PE98" s="23"/>
      <c r="PF98" s="23"/>
      <c r="PG98" s="23"/>
      <c r="PH98" s="23"/>
      <c r="PI98" s="23"/>
      <c r="PJ98" s="23"/>
      <c r="PK98" s="23"/>
      <c r="PL98" s="23"/>
      <c r="PM98" s="23"/>
      <c r="PN98" s="23">
        <v>-92</v>
      </c>
      <c r="PO98" s="23"/>
      <c r="PP98" s="23"/>
      <c r="PQ98" s="23"/>
      <c r="PR98" s="23"/>
      <c r="PS98" s="23"/>
      <c r="PT98" s="23"/>
      <c r="PU98" s="23"/>
      <c r="PV98" s="23"/>
      <c r="PW98" s="23"/>
      <c r="PX98" s="23"/>
      <c r="PY98" s="23"/>
      <c r="PZ98" s="23"/>
      <c r="QA98" s="23"/>
      <c r="QB98" s="23"/>
      <c r="QC98" s="23"/>
      <c r="QD98" s="23"/>
      <c r="QE98" s="23"/>
      <c r="QF98" s="23"/>
      <c r="QG98" s="23"/>
      <c r="QH98" s="23"/>
      <c r="QI98" s="23"/>
      <c r="QJ98" s="23"/>
      <c r="QK98" s="23"/>
      <c r="QL98" s="23"/>
      <c r="QM98" s="23"/>
      <c r="QN98" s="23"/>
      <c r="QO98" s="23"/>
      <c r="QP98" s="23"/>
      <c r="QQ98" s="23"/>
      <c r="QR98" s="23"/>
      <c r="QS98" s="23">
        <v>178</v>
      </c>
      <c r="QT98" s="23"/>
      <c r="QU98" s="23"/>
      <c r="QV98" s="23"/>
      <c r="QW98" s="23"/>
      <c r="QX98" s="23"/>
      <c r="QY98" s="23"/>
      <c r="QZ98" s="23"/>
      <c r="RA98" s="23"/>
      <c r="RB98" s="23"/>
      <c r="RC98" s="23"/>
      <c r="RD98" s="23"/>
      <c r="RE98" s="23"/>
      <c r="RF98" s="23"/>
      <c r="RG98" s="23"/>
      <c r="RH98" s="23"/>
      <c r="RI98" s="23"/>
      <c r="RJ98" s="23"/>
      <c r="RK98" s="23"/>
      <c r="RL98" s="23"/>
      <c r="RM98" s="23"/>
      <c r="RN98" s="23"/>
      <c r="RO98" s="23"/>
      <c r="RP98" s="23"/>
      <c r="RQ98" s="23"/>
      <c r="RR98" s="23"/>
      <c r="RS98" s="23"/>
      <c r="RT98" s="23"/>
      <c r="RU98" s="23"/>
      <c r="RV98" s="23"/>
      <c r="RW98" s="23">
        <v>115</v>
      </c>
      <c r="RX98" s="23"/>
      <c r="RY98" s="23"/>
      <c r="RZ98" s="23"/>
      <c r="SA98" s="23"/>
      <c r="SB98" s="23"/>
      <c r="SC98" s="23"/>
      <c r="SD98" s="23"/>
      <c r="SE98" s="23"/>
      <c r="SF98" s="23"/>
      <c r="SG98" s="23"/>
      <c r="SH98" s="23"/>
      <c r="SI98" s="23"/>
      <c r="SJ98" s="23"/>
      <c r="SK98" s="23"/>
      <c r="SL98" s="23"/>
      <c r="SM98" s="23"/>
      <c r="SN98" s="23"/>
      <c r="SO98" s="23"/>
      <c r="SP98" s="23"/>
      <c r="SQ98" s="23"/>
      <c r="SR98" s="23"/>
      <c r="SS98" s="23"/>
      <c r="ST98" s="23"/>
      <c r="SU98" s="23"/>
      <c r="SV98" s="23"/>
      <c r="SW98" s="23"/>
      <c r="SX98" s="23"/>
      <c r="SY98" s="23"/>
      <c r="SZ98" s="23"/>
      <c r="TA98" s="23"/>
      <c r="TB98" s="23">
        <v>172</v>
      </c>
      <c r="TC98" s="23"/>
      <c r="TD98" s="23"/>
      <c r="TE98" s="23"/>
      <c r="TF98" s="23"/>
      <c r="TG98" s="23"/>
      <c r="TH98" s="23"/>
      <c r="TI98" s="23"/>
      <c r="TJ98" s="23"/>
      <c r="TK98" s="23"/>
      <c r="TL98" s="23"/>
      <c r="TM98" s="23"/>
      <c r="TN98" s="23"/>
      <c r="TO98" s="23"/>
      <c r="TP98" s="23"/>
      <c r="TQ98" s="23"/>
      <c r="TR98" s="23"/>
      <c r="TS98" s="23"/>
      <c r="TT98" s="23"/>
      <c r="TU98" s="23"/>
      <c r="TV98" s="23"/>
      <c r="TW98" s="23"/>
      <c r="TX98" s="23"/>
      <c r="TY98" s="23"/>
      <c r="TZ98" s="23"/>
      <c r="UA98" s="23"/>
      <c r="UB98" s="23"/>
      <c r="UC98" s="23"/>
      <c r="UD98" s="23"/>
      <c r="UE98" s="23"/>
      <c r="UF98" s="23">
        <v>57</v>
      </c>
      <c r="UG98" s="23"/>
      <c r="UH98" s="23"/>
      <c r="UI98" s="23"/>
      <c r="UJ98" s="23"/>
      <c r="UK98" s="23"/>
      <c r="UL98" s="23"/>
      <c r="UM98" s="23"/>
      <c r="UN98" s="23"/>
      <c r="UO98" s="23"/>
      <c r="UP98" s="23"/>
      <c r="UQ98" s="23"/>
      <c r="UR98" s="23"/>
      <c r="US98" s="23"/>
      <c r="UT98" s="23"/>
    </row>
    <row r="99" ht="16.5" customHeight="1" spans="4:566">
      <c r="D99" s="26" t="s">
        <v>345</v>
      </c>
      <c r="E99" s="21" t="s">
        <v>346</v>
      </c>
      <c r="F99" s="31"/>
      <c r="G99" s="31"/>
      <c r="H99" s="31">
        <v>75.93</v>
      </c>
      <c r="I99" s="31">
        <v>76.51</v>
      </c>
      <c r="J99" s="31"/>
      <c r="K99" s="31"/>
      <c r="L99" s="31">
        <v>76.3</v>
      </c>
      <c r="M99" s="31">
        <v>77.05</v>
      </c>
      <c r="N99" s="31">
        <v>76.16</v>
      </c>
      <c r="O99" s="31">
        <v>76.92</v>
      </c>
      <c r="P99" s="31">
        <v>79.76</v>
      </c>
      <c r="Q99" s="31"/>
      <c r="R99" s="31"/>
      <c r="S99" s="31">
        <v>81.01</v>
      </c>
      <c r="T99" s="31">
        <v>79.92</v>
      </c>
      <c r="U99" s="31">
        <v>82.03</v>
      </c>
      <c r="V99" s="31">
        <v>81.29</v>
      </c>
      <c r="W99" s="31">
        <v>80.79</v>
      </c>
      <c r="X99" s="31"/>
      <c r="Y99" s="31"/>
      <c r="Z99" s="31">
        <v>80.15</v>
      </c>
      <c r="AA99" s="31">
        <v>79.29</v>
      </c>
      <c r="AB99" s="31">
        <v>79</v>
      </c>
      <c r="AC99" s="31">
        <v>78.29</v>
      </c>
      <c r="AD99" s="31">
        <v>78.5</v>
      </c>
      <c r="AE99" s="31"/>
      <c r="AF99" s="31"/>
      <c r="AG99" s="31">
        <v>77.08</v>
      </c>
      <c r="AH99" s="31">
        <v>77.49</v>
      </c>
      <c r="AI99" s="31">
        <v>76.58</v>
      </c>
      <c r="AJ99" s="31">
        <v>76.87</v>
      </c>
      <c r="AK99" s="31">
        <v>76.76</v>
      </c>
      <c r="AL99" s="31"/>
      <c r="AM99" s="31"/>
      <c r="AN99" s="31">
        <v>75.96</v>
      </c>
      <c r="AO99" s="31">
        <v>76.2</v>
      </c>
      <c r="AP99" s="31">
        <v>74.61</v>
      </c>
      <c r="AQ99" s="31">
        <v>74.29</v>
      </c>
      <c r="AR99" s="31">
        <v>74.66</v>
      </c>
      <c r="AS99" s="31"/>
      <c r="AT99" s="31"/>
      <c r="AU99" s="31">
        <v>75.87</v>
      </c>
      <c r="AV99" s="31">
        <v>77</v>
      </c>
      <c r="AW99" s="31">
        <v>75.18</v>
      </c>
      <c r="AX99" s="31">
        <v>75.02</v>
      </c>
      <c r="AY99" s="31">
        <v>74.74</v>
      </c>
      <c r="AZ99" s="31"/>
      <c r="BA99" s="31"/>
      <c r="BB99" s="31">
        <v>75.22</v>
      </c>
      <c r="BC99" s="31">
        <v>75.84</v>
      </c>
      <c r="BD99" s="31">
        <v>76.04</v>
      </c>
      <c r="BE99" s="31">
        <v>76.48</v>
      </c>
      <c r="BF99" s="31">
        <v>74.43</v>
      </c>
      <c r="BG99" s="31"/>
      <c r="BH99" s="31"/>
      <c r="BI99" s="31">
        <v>74.78</v>
      </c>
      <c r="BJ99" s="31">
        <v>73.02</v>
      </c>
      <c r="BK99" s="31">
        <v>72.53</v>
      </c>
      <c r="BL99" s="31">
        <v>74.04</v>
      </c>
      <c r="BM99" s="31">
        <v>73.18</v>
      </c>
      <c r="BN99" s="31"/>
      <c r="BO99" s="31"/>
      <c r="BP99" s="31">
        <v>71.62</v>
      </c>
      <c r="BQ99" s="31">
        <v>71.04</v>
      </c>
      <c r="BR99" s="31">
        <v>69.3</v>
      </c>
      <c r="BS99" s="31">
        <v>69.46</v>
      </c>
      <c r="BT99" s="31">
        <v>70.36</v>
      </c>
      <c r="BU99" s="31"/>
      <c r="BV99" s="31"/>
      <c r="BW99" s="31">
        <v>69.28</v>
      </c>
      <c r="BX99" s="31">
        <v>69.56</v>
      </c>
      <c r="BY99" s="31">
        <v>70.95</v>
      </c>
      <c r="BZ99" s="31">
        <v>69.88</v>
      </c>
      <c r="CA99" s="31">
        <v>70.58</v>
      </c>
      <c r="CB99" s="31"/>
      <c r="CC99" s="31"/>
      <c r="CD99" s="31">
        <v>71.07</v>
      </c>
      <c r="CE99" s="31">
        <v>70.56</v>
      </c>
      <c r="CF99" s="31">
        <v>70.78</v>
      </c>
      <c r="CG99" s="31">
        <v>72</v>
      </c>
      <c r="CH99" s="31">
        <v>72.16</v>
      </c>
      <c r="CI99" s="31"/>
      <c r="CJ99" s="31"/>
      <c r="CK99" s="31">
        <v>73</v>
      </c>
      <c r="CL99" s="31">
        <v>73.02</v>
      </c>
      <c r="CM99" s="31">
        <v>73.79</v>
      </c>
      <c r="CN99" s="31">
        <v>74.03</v>
      </c>
      <c r="CO99" s="31">
        <v>73.63</v>
      </c>
      <c r="CP99" s="31"/>
      <c r="CQ99" s="31"/>
      <c r="CR99" s="31">
        <v>74.74</v>
      </c>
      <c r="CS99" s="31">
        <v>74.49</v>
      </c>
      <c r="CT99" s="31">
        <v>74.95</v>
      </c>
      <c r="CU99" s="31">
        <v>70.14</v>
      </c>
      <c r="CV99" s="31">
        <v>65.58</v>
      </c>
      <c r="CW99" s="31"/>
      <c r="CX99" s="31"/>
      <c r="CY99" s="31">
        <v>64.21</v>
      </c>
      <c r="CZ99" s="31">
        <v>62.82</v>
      </c>
      <c r="DA99" s="31">
        <v>65.48</v>
      </c>
      <c r="DB99" s="31">
        <v>63.33</v>
      </c>
      <c r="DC99" s="31">
        <v>64.76</v>
      </c>
      <c r="DD99" s="31"/>
      <c r="DE99" s="31"/>
      <c r="DF99" s="31">
        <v>64.88</v>
      </c>
      <c r="DG99" s="31">
        <v>64.67</v>
      </c>
      <c r="DH99" s="31">
        <v>65.85</v>
      </c>
      <c r="DI99" s="31">
        <v>67.96</v>
      </c>
      <c r="DJ99" s="31"/>
      <c r="DK99" s="31"/>
      <c r="DL99" s="31"/>
      <c r="DM99" s="31">
        <v>66.26</v>
      </c>
      <c r="DN99" s="31">
        <v>67.44</v>
      </c>
      <c r="DO99" s="31">
        <v>66.12</v>
      </c>
      <c r="DP99" s="31">
        <v>66.55</v>
      </c>
      <c r="DQ99" s="31">
        <v>66.87</v>
      </c>
      <c r="DR99" s="31"/>
      <c r="DS99" s="31"/>
      <c r="DT99" s="31">
        <v>65.86</v>
      </c>
      <c r="DU99" s="31">
        <v>64.25</v>
      </c>
      <c r="DV99" s="31">
        <v>63.12</v>
      </c>
      <c r="DW99" s="31">
        <v>62.13</v>
      </c>
      <c r="DX99" s="31">
        <v>61.29</v>
      </c>
      <c r="DY99" s="31"/>
      <c r="DZ99" s="31"/>
      <c r="EA99" s="31">
        <v>60.23</v>
      </c>
      <c r="EB99" s="31">
        <v>62.15</v>
      </c>
      <c r="EC99" s="31">
        <v>61.12</v>
      </c>
      <c r="ED99" s="31">
        <v>62.84</v>
      </c>
      <c r="EE99" s="31">
        <v>63.91</v>
      </c>
      <c r="EF99" s="31"/>
      <c r="EG99" s="31"/>
      <c r="EH99" s="31">
        <v>64.96</v>
      </c>
      <c r="EI99" s="31">
        <v>66.63</v>
      </c>
      <c r="EJ99" s="31">
        <v>66.09</v>
      </c>
      <c r="EK99" s="31">
        <v>64.53</v>
      </c>
      <c r="EL99" s="31">
        <v>65.41</v>
      </c>
      <c r="EM99" s="31"/>
      <c r="EN99" s="31"/>
      <c r="EO99" s="31">
        <v>65.54</v>
      </c>
      <c r="EP99" s="31">
        <v>65.38</v>
      </c>
      <c r="EQ99" s="31">
        <v>64.91</v>
      </c>
      <c r="ER99" s="31">
        <v>64.44</v>
      </c>
      <c r="ES99" s="31">
        <v>64.78</v>
      </c>
      <c r="ET99" s="31"/>
      <c r="EU99" s="31"/>
      <c r="EV99" s="31">
        <v>64.74</v>
      </c>
      <c r="EW99" s="31">
        <v>64.09</v>
      </c>
      <c r="EX99" s="31">
        <v>64.9</v>
      </c>
      <c r="EY99" s="31">
        <v>64.15</v>
      </c>
      <c r="EZ99" s="31">
        <v>63.9</v>
      </c>
      <c r="FA99" s="31"/>
      <c r="FB99" s="31"/>
      <c r="FC99" s="31">
        <v>64.63</v>
      </c>
      <c r="FD99" s="31">
        <v>65.63</v>
      </c>
      <c r="FE99" s="31">
        <v>64.86</v>
      </c>
      <c r="FF99" s="31">
        <v>65.34</v>
      </c>
      <c r="FG99" s="31">
        <v>66.47</v>
      </c>
      <c r="FH99" s="31"/>
      <c r="FI99" s="31"/>
      <c r="FJ99" s="31">
        <v>67.04</v>
      </c>
      <c r="FK99" s="31">
        <v>66.87</v>
      </c>
      <c r="FL99" s="31">
        <v>69.77</v>
      </c>
      <c r="FM99" s="31">
        <v>69.36</v>
      </c>
      <c r="FN99" s="31">
        <v>74.23</v>
      </c>
      <c r="FO99" s="31"/>
      <c r="FP99" s="31"/>
      <c r="FQ99" s="31">
        <v>73.23</v>
      </c>
      <c r="FR99" s="31">
        <v>76.45</v>
      </c>
      <c r="FS99" s="31">
        <v>76.7</v>
      </c>
      <c r="FT99" s="31">
        <v>78.85</v>
      </c>
      <c r="FU99" s="31">
        <v>77.01</v>
      </c>
      <c r="FV99" s="31"/>
      <c r="FW99" s="31"/>
      <c r="FX99" s="31">
        <v>71.48</v>
      </c>
      <c r="FY99" s="31">
        <v>67.14</v>
      </c>
      <c r="FZ99" s="31">
        <v>67.68</v>
      </c>
      <c r="GA99" s="31">
        <v>67.73</v>
      </c>
      <c r="GB99" s="31">
        <v>67.77</v>
      </c>
      <c r="GC99" s="31"/>
      <c r="GD99" s="31"/>
      <c r="GE99" s="31">
        <v>67.61</v>
      </c>
      <c r="GF99" s="31">
        <v>67.11</v>
      </c>
      <c r="GG99" s="31">
        <v>69.11</v>
      </c>
      <c r="GH99" s="31">
        <v>68.8</v>
      </c>
      <c r="GI99" s="31">
        <v>68.3</v>
      </c>
      <c r="GJ99" s="31"/>
      <c r="GK99" s="31"/>
      <c r="GL99" s="31">
        <v>69.58</v>
      </c>
      <c r="GM99" s="31">
        <v>70.15</v>
      </c>
      <c r="GN99" s="31">
        <v>70.19</v>
      </c>
      <c r="GO99" s="31">
        <v>68.64</v>
      </c>
      <c r="GP99" s="31">
        <v>70.36</v>
      </c>
      <c r="GQ99" s="31"/>
      <c r="GR99" s="31"/>
      <c r="GS99" s="31">
        <v>69.21</v>
      </c>
      <c r="GT99" s="31">
        <v>68.71</v>
      </c>
      <c r="GU99" s="31">
        <v>68.52</v>
      </c>
      <c r="GV99" s="31">
        <v>69.52</v>
      </c>
      <c r="GW99" s="31">
        <v>69.28</v>
      </c>
      <c r="GX99" s="31"/>
      <c r="GY99" s="31"/>
      <c r="GZ99" s="31">
        <v>69.21</v>
      </c>
      <c r="HA99" s="31">
        <v>68.59</v>
      </c>
      <c r="HB99" s="31">
        <v>68.51</v>
      </c>
      <c r="HC99" s="31">
        <v>69.18</v>
      </c>
      <c r="HD99" s="31">
        <v>68.44</v>
      </c>
      <c r="HE99" s="31"/>
      <c r="HF99" s="31"/>
      <c r="HG99" s="31">
        <v>70.04</v>
      </c>
      <c r="HH99" s="31">
        <v>72.51</v>
      </c>
      <c r="HI99" s="31">
        <v>73.24</v>
      </c>
      <c r="HJ99" s="31">
        <v>72.53</v>
      </c>
      <c r="HK99" s="31">
        <v>69.67</v>
      </c>
      <c r="HL99" s="31"/>
      <c r="HM99" s="31"/>
      <c r="HN99" s="31">
        <v>68.76</v>
      </c>
      <c r="HO99" s="31">
        <v>67.64</v>
      </c>
      <c r="HP99" s="31">
        <v>66.89</v>
      </c>
      <c r="HQ99" s="31">
        <v>66.43</v>
      </c>
      <c r="HR99" s="31">
        <v>66.59</v>
      </c>
      <c r="HS99" s="31"/>
      <c r="HT99" s="31"/>
      <c r="HU99" s="31">
        <v>66.63</v>
      </c>
      <c r="HV99" s="31">
        <v>66.12</v>
      </c>
      <c r="HW99" s="31">
        <v>65.63</v>
      </c>
      <c r="HX99" s="31">
        <v>66.84</v>
      </c>
      <c r="HY99" s="31">
        <v>65.85</v>
      </c>
      <c r="HZ99" s="31"/>
      <c r="IA99" s="31"/>
      <c r="IB99" s="31">
        <v>66.6</v>
      </c>
      <c r="IC99" s="31">
        <v>65.79</v>
      </c>
      <c r="ID99" s="31">
        <v>66.84</v>
      </c>
      <c r="IE99" s="31">
        <v>67.67</v>
      </c>
      <c r="IF99" s="31">
        <v>67.73</v>
      </c>
      <c r="IG99" s="31"/>
      <c r="IH99" s="31"/>
      <c r="II99" s="31">
        <v>68.8</v>
      </c>
      <c r="IJ99" s="31">
        <v>67.22</v>
      </c>
      <c r="IK99" s="31">
        <v>68.05</v>
      </c>
      <c r="IL99" s="31">
        <v>68.62</v>
      </c>
      <c r="IM99" s="31">
        <v>68.12</v>
      </c>
      <c r="IN99" s="31"/>
      <c r="IO99" s="31"/>
      <c r="IP99" s="31">
        <v>68.15</v>
      </c>
      <c r="IQ99" s="31">
        <v>69.14</v>
      </c>
      <c r="IR99" s="31">
        <v>67.6</v>
      </c>
      <c r="IS99" s="31">
        <v>66.99</v>
      </c>
      <c r="IT99" s="31">
        <v>65.5</v>
      </c>
      <c r="IU99" s="31"/>
      <c r="IV99" s="31"/>
      <c r="IW99" s="31">
        <v>66.02</v>
      </c>
      <c r="IX99" s="31">
        <v>66.39</v>
      </c>
      <c r="IY99" s="31">
        <v>67.49</v>
      </c>
      <c r="IZ99" s="31">
        <v>66.37</v>
      </c>
      <c r="JA99" s="31">
        <v>66.99</v>
      </c>
      <c r="JB99" s="31"/>
      <c r="JC99" s="31"/>
      <c r="JD99" s="31">
        <v>67.44</v>
      </c>
      <c r="JE99" s="31">
        <v>68.47</v>
      </c>
      <c r="JF99" s="31">
        <v>67.95</v>
      </c>
      <c r="JG99" s="31">
        <v>67.44</v>
      </c>
      <c r="JH99" s="31">
        <v>66.68</v>
      </c>
      <c r="JI99" s="31"/>
      <c r="JJ99" s="31"/>
      <c r="JK99" s="31">
        <v>66.57</v>
      </c>
      <c r="JL99" s="31">
        <v>67.63</v>
      </c>
      <c r="JM99" s="31">
        <v>69.31</v>
      </c>
      <c r="JN99" s="31">
        <v>69.42</v>
      </c>
      <c r="JO99" s="31">
        <v>70.13</v>
      </c>
      <c r="JP99" s="31"/>
      <c r="JQ99" s="31"/>
      <c r="JR99" s="31">
        <v>67.97</v>
      </c>
      <c r="JS99" s="31">
        <v>67.02</v>
      </c>
      <c r="JT99" s="31">
        <v>65.35</v>
      </c>
      <c r="JU99" s="31">
        <v>64.11</v>
      </c>
      <c r="JV99" s="31">
        <v>64.53</v>
      </c>
      <c r="JW99" s="31"/>
      <c r="JX99" s="31"/>
      <c r="JY99" s="31">
        <v>65.47</v>
      </c>
      <c r="JZ99" s="31">
        <v>65.45</v>
      </c>
      <c r="KA99" s="31">
        <v>66.25</v>
      </c>
      <c r="KB99" s="31">
        <v>65.22</v>
      </c>
      <c r="KC99" s="31">
        <v>62.73</v>
      </c>
      <c r="KD99" s="31"/>
      <c r="KE99" s="31"/>
      <c r="KF99" s="31">
        <v>63.32</v>
      </c>
      <c r="KG99" s="31">
        <v>62.39</v>
      </c>
      <c r="KH99" s="31">
        <v>61.91</v>
      </c>
      <c r="KI99" s="31">
        <v>61.06</v>
      </c>
      <c r="KJ99" s="31">
        <v>61.29</v>
      </c>
      <c r="KK99" s="31"/>
      <c r="KL99" s="31"/>
      <c r="KM99" s="31">
        <v>61.01</v>
      </c>
      <c r="KN99" s="31">
        <v>61.32</v>
      </c>
      <c r="KO99" s="31">
        <v>62.59</v>
      </c>
      <c r="KP99" s="31">
        <v>65.99</v>
      </c>
      <c r="KQ99" s="31">
        <v>65.94</v>
      </c>
      <c r="KR99" s="31"/>
      <c r="KS99" s="31"/>
      <c r="KT99" s="31">
        <v>65.62</v>
      </c>
      <c r="KU99" s="31">
        <v>64.4</v>
      </c>
      <c r="KV99" s="31">
        <v>64.92</v>
      </c>
      <c r="KW99" s="31">
        <v>65</v>
      </c>
      <c r="KX99" s="31">
        <v>65.07</v>
      </c>
      <c r="KY99" s="31"/>
      <c r="KZ99" s="31"/>
      <c r="LA99" s="31">
        <v>64.89</v>
      </c>
      <c r="LB99" s="31">
        <v>64.44</v>
      </c>
      <c r="LC99" s="31">
        <v>63.52</v>
      </c>
      <c r="LD99" s="31">
        <v>63.38</v>
      </c>
      <c r="LE99" s="31">
        <v>63.63</v>
      </c>
      <c r="LF99" s="31"/>
      <c r="LG99" s="31"/>
      <c r="LH99" s="31">
        <v>64.06</v>
      </c>
      <c r="LI99" s="31">
        <v>65.16</v>
      </c>
      <c r="LJ99" s="31">
        <v>62.71</v>
      </c>
      <c r="LK99" s="31">
        <v>63.01</v>
      </c>
      <c r="LL99" s="31">
        <v>64.39</v>
      </c>
      <c r="LM99" s="31"/>
      <c r="LN99" s="31"/>
      <c r="LO99" s="31">
        <v>64.2</v>
      </c>
      <c r="LP99" s="31">
        <v>64.89</v>
      </c>
      <c r="LQ99" s="31">
        <v>63.51</v>
      </c>
      <c r="LR99" s="31">
        <v>63.38</v>
      </c>
      <c r="LS99" s="31">
        <v>62.56</v>
      </c>
      <c r="LT99" s="31"/>
      <c r="LU99" s="31"/>
      <c r="LV99" s="31">
        <v>63.37</v>
      </c>
      <c r="LW99" s="31">
        <v>62.48</v>
      </c>
      <c r="LX99" s="31">
        <v>63.13</v>
      </c>
      <c r="LY99" s="31">
        <v>63.34</v>
      </c>
      <c r="LZ99" s="31">
        <v>63.2</v>
      </c>
      <c r="MA99" s="31"/>
      <c r="MB99" s="31"/>
      <c r="MC99" s="31">
        <v>63.17</v>
      </c>
      <c r="MD99" s="31">
        <v>62.45</v>
      </c>
      <c r="ME99" s="31">
        <v>62.67</v>
      </c>
      <c r="MF99" s="31">
        <v>63.26</v>
      </c>
      <c r="MG99" s="31">
        <v>63.75</v>
      </c>
      <c r="MH99" s="31"/>
      <c r="MI99" s="31"/>
      <c r="MJ99" s="31">
        <v>62.49</v>
      </c>
      <c r="MK99" s="31">
        <v>61.94</v>
      </c>
      <c r="ML99" s="31">
        <v>62.21</v>
      </c>
      <c r="MM99" s="31">
        <v>61.28</v>
      </c>
      <c r="MN99" s="31">
        <v>61.12</v>
      </c>
      <c r="MO99" s="31"/>
      <c r="MP99" s="31"/>
      <c r="MQ99" s="31">
        <v>60.56</v>
      </c>
      <c r="MR99" s="31">
        <v>58.92</v>
      </c>
      <c r="MS99" s="31">
        <v>59.68</v>
      </c>
      <c r="MT99" s="31">
        <v>59.82</v>
      </c>
      <c r="MU99" s="31">
        <v>60.47</v>
      </c>
      <c r="MV99" s="31"/>
      <c r="MW99" s="31"/>
      <c r="MX99" s="31">
        <v>62.07</v>
      </c>
      <c r="MY99" s="31">
        <v>62.38</v>
      </c>
      <c r="MZ99" s="31">
        <v>62.24</v>
      </c>
      <c r="NA99" s="31"/>
      <c r="NB99" s="31">
        <v>60.64</v>
      </c>
      <c r="NC99" s="31"/>
      <c r="ND99" s="31"/>
      <c r="NE99" s="31">
        <v>61.94</v>
      </c>
      <c r="NF99" s="31">
        <v>61.92</v>
      </c>
      <c r="NG99" s="31">
        <v>60.85</v>
      </c>
      <c r="NH99" s="31"/>
      <c r="NI99" s="31">
        <v>60.75</v>
      </c>
      <c r="NJ99" s="31"/>
      <c r="NK99" s="31"/>
      <c r="NL99" s="31">
        <v>61.76</v>
      </c>
      <c r="NM99" s="31">
        <v>60.7</v>
      </c>
      <c r="NN99" s="31">
        <v>59.96</v>
      </c>
      <c r="NO99" s="31">
        <v>61.99</v>
      </c>
      <c r="NP99" s="31">
        <v>63.34</v>
      </c>
      <c r="NQ99" s="31"/>
      <c r="NR99" s="31"/>
      <c r="NS99" s="31">
        <v>63.87</v>
      </c>
      <c r="NT99" s="31">
        <v>65.47</v>
      </c>
      <c r="NU99" s="31">
        <v>66.52</v>
      </c>
      <c r="NV99" s="31">
        <v>63.76</v>
      </c>
      <c r="NW99" s="31">
        <v>64.13</v>
      </c>
      <c r="NX99" s="31"/>
      <c r="NY99" s="31"/>
      <c r="NZ99" s="31">
        <v>63.94</v>
      </c>
      <c r="OA99" s="31">
        <v>64.92</v>
      </c>
      <c r="OB99" s="31">
        <v>65.24</v>
      </c>
      <c r="OC99" s="31">
        <v>64.06</v>
      </c>
      <c r="OD99" s="31">
        <v>65.88</v>
      </c>
      <c r="OE99" s="31"/>
      <c r="OF99" s="31"/>
      <c r="OG99" s="31">
        <v>65.59</v>
      </c>
      <c r="OH99" s="31">
        <v>67.57</v>
      </c>
      <c r="OI99" s="31">
        <v>68.4</v>
      </c>
      <c r="OJ99" s="31">
        <v>70.71</v>
      </c>
      <c r="OK99" s="31">
        <v>70.69</v>
      </c>
      <c r="OL99" s="31"/>
      <c r="OM99" s="31"/>
      <c r="ON99" s="31">
        <v>66.3</v>
      </c>
      <c r="OO99" s="31">
        <v>67.33</v>
      </c>
      <c r="OP99" s="31">
        <v>69.46</v>
      </c>
      <c r="OQ99" s="31">
        <v>67.55</v>
      </c>
      <c r="OR99" s="31">
        <v>68.05</v>
      </c>
      <c r="OS99" s="31"/>
      <c r="OT99" s="31"/>
      <c r="OU99" s="31">
        <v>69.04</v>
      </c>
      <c r="OV99" s="31">
        <v>68.8</v>
      </c>
      <c r="OW99" s="31">
        <v>69.4</v>
      </c>
      <c r="OX99" s="31">
        <v>67.52</v>
      </c>
      <c r="OY99" s="31">
        <v>67.75</v>
      </c>
      <c r="OZ99" s="31"/>
      <c r="PA99" s="31"/>
      <c r="PB99" s="31">
        <v>68.65</v>
      </c>
      <c r="PC99" s="31">
        <v>67.42</v>
      </c>
      <c r="PD99" s="31">
        <v>70.35</v>
      </c>
      <c r="PE99" s="31">
        <v>71.66</v>
      </c>
      <c r="PF99" s="31">
        <v>71.76</v>
      </c>
      <c r="PG99" s="31"/>
      <c r="PH99" s="31"/>
      <c r="PI99" s="31">
        <v>71.49</v>
      </c>
      <c r="PJ99" s="31">
        <v>70.77</v>
      </c>
      <c r="PK99" s="31">
        <v>70.85</v>
      </c>
      <c r="PL99" s="31">
        <v>70.75</v>
      </c>
      <c r="PM99" s="31">
        <v>72.48</v>
      </c>
      <c r="PN99" s="31"/>
      <c r="PO99" s="31"/>
      <c r="PP99" s="31">
        <v>77.74</v>
      </c>
      <c r="PQ99" s="31">
        <v>81.4</v>
      </c>
      <c r="PR99" s="31">
        <v>81.4</v>
      </c>
      <c r="PS99" s="31">
        <v>85.41</v>
      </c>
      <c r="PT99" s="31">
        <v>92.69</v>
      </c>
      <c r="PU99" s="31"/>
      <c r="PV99" s="31"/>
      <c r="PW99" s="31">
        <v>98.96</v>
      </c>
      <c r="PX99" s="31">
        <v>87.8</v>
      </c>
      <c r="PY99" s="31">
        <v>91.98</v>
      </c>
      <c r="PZ99" s="31">
        <v>100.46</v>
      </c>
      <c r="QA99" s="31">
        <v>103.14</v>
      </c>
      <c r="QB99" s="31"/>
      <c r="QC99" s="31"/>
      <c r="QD99" s="31">
        <v>100.21</v>
      </c>
      <c r="QE99" s="31">
        <v>103.42</v>
      </c>
      <c r="QF99" s="31">
        <v>107.38</v>
      </c>
      <c r="QG99" s="31">
        <v>108.65</v>
      </c>
      <c r="QH99" s="31">
        <v>112.19</v>
      </c>
      <c r="QI99" s="31"/>
      <c r="QJ99" s="31"/>
      <c r="QK99" s="31">
        <v>99.94</v>
      </c>
      <c r="QL99" s="31">
        <v>104.49</v>
      </c>
      <c r="QM99" s="31">
        <v>102.22</v>
      </c>
      <c r="QN99" s="31">
        <v>108.01</v>
      </c>
      <c r="QO99" s="31">
        <v>112.57</v>
      </c>
      <c r="QP99" s="31"/>
      <c r="QQ99" s="31"/>
      <c r="QR99" s="31">
        <v>112.78</v>
      </c>
      <c r="QS99" s="31">
        <v>118.35</v>
      </c>
      <c r="QT99" s="31">
        <v>101.16</v>
      </c>
      <c r="QU99" s="31">
        <v>109.03</v>
      </c>
      <c r="QV99" s="31"/>
      <c r="QW99" s="31"/>
      <c r="QX99" s="31"/>
      <c r="QY99" s="31">
        <v>109.77</v>
      </c>
      <c r="QZ99" s="31">
        <v>109.27</v>
      </c>
      <c r="RA99" s="31">
        <v>94.75</v>
      </c>
      <c r="RB99" s="31">
        <v>95.92</v>
      </c>
      <c r="RC99" s="31">
        <v>95.2</v>
      </c>
      <c r="RD99" s="31"/>
      <c r="RE99" s="31"/>
      <c r="RF99" s="31">
        <v>99.36</v>
      </c>
      <c r="RG99" s="31">
        <v>94.79</v>
      </c>
      <c r="RH99" s="31">
        <v>94.93</v>
      </c>
      <c r="RI99" s="31">
        <v>99.39</v>
      </c>
      <c r="RJ99" s="31">
        <v>90.38</v>
      </c>
      <c r="RK99" s="31"/>
      <c r="RL99" s="31"/>
      <c r="RM99" s="31">
        <v>95.48</v>
      </c>
      <c r="RN99" s="31">
        <v>98.48</v>
      </c>
      <c r="RO99" s="31">
        <v>101.91</v>
      </c>
      <c r="RP99" s="31">
        <v>105.07</v>
      </c>
      <c r="RQ99" s="31">
        <v>105.33</v>
      </c>
      <c r="RR99" s="23"/>
      <c r="RS99" s="23"/>
      <c r="RT99" s="23">
        <v>108.23</v>
      </c>
      <c r="RU99" s="23">
        <v>111.26</v>
      </c>
      <c r="RV99" s="23">
        <v>118.03</v>
      </c>
      <c r="RW99" s="23">
        <v>114.01</v>
      </c>
      <c r="RX99" s="23">
        <v>108.17</v>
      </c>
      <c r="RY99" s="23"/>
      <c r="RZ99" s="23"/>
      <c r="SA99" s="23">
        <v>114.44</v>
      </c>
      <c r="SB99" s="23">
        <v>109.87</v>
      </c>
      <c r="SC99" s="23">
        <v>101.27</v>
      </c>
      <c r="SD99" s="23">
        <v>100.06</v>
      </c>
      <c r="SE99" s="23">
        <v>101.29</v>
      </c>
      <c r="SF99" s="23"/>
      <c r="SG99" s="23"/>
      <c r="SH99" s="23">
        <v>104.21</v>
      </c>
      <c r="SI99" s="23">
        <v>107.77</v>
      </c>
      <c r="SJ99" s="23">
        <v>105.63</v>
      </c>
      <c r="SK99" s="23">
        <v>105.72</v>
      </c>
      <c r="SL99" s="23">
        <v>109.26</v>
      </c>
      <c r="SM99" s="23"/>
      <c r="SN99" s="23"/>
      <c r="SO99" s="23">
        <v>112.1</v>
      </c>
      <c r="SP99" s="23">
        <v>111.28</v>
      </c>
      <c r="SQ99" s="23">
        <v>105.02</v>
      </c>
      <c r="SR99" s="23">
        <v>102.58</v>
      </c>
      <c r="SS99" s="23">
        <v>103.54</v>
      </c>
      <c r="ST99" s="23"/>
      <c r="SU99" s="23"/>
      <c r="SV99" s="23">
        <v>96.14</v>
      </c>
      <c r="SW99" s="23">
        <v>99.58</v>
      </c>
      <c r="SX99" s="23">
        <v>94.29</v>
      </c>
      <c r="SY99" s="23">
        <v>93.71</v>
      </c>
      <c r="SZ99" s="23">
        <v>92.05</v>
      </c>
      <c r="TA99" s="23"/>
      <c r="TB99" s="23"/>
      <c r="TC99" s="23">
        <v>94.98</v>
      </c>
      <c r="TD99" s="23">
        <v>96</v>
      </c>
      <c r="TE99" s="23">
        <v>97.81</v>
      </c>
      <c r="TF99" s="23">
        <v>95.03</v>
      </c>
      <c r="TG99" s="23">
        <v>93.09</v>
      </c>
      <c r="TH99" s="23"/>
      <c r="TI99" s="23"/>
      <c r="TJ99" s="23">
        <v>94.25</v>
      </c>
      <c r="TK99" s="23">
        <v>91.45</v>
      </c>
      <c r="TL99" s="23">
        <v>93.1</v>
      </c>
      <c r="TM99" s="23">
        <v>90.38</v>
      </c>
      <c r="TN99" s="23">
        <v>87.33</v>
      </c>
      <c r="TO99" s="23"/>
      <c r="TP99" s="23"/>
      <c r="TQ99" s="23">
        <v>83.17</v>
      </c>
      <c r="TR99" s="23">
        <v>78.96</v>
      </c>
      <c r="TS99" s="23">
        <v>79.55</v>
      </c>
      <c r="TT99" s="23">
        <v>79.85</v>
      </c>
      <c r="TU99" s="23">
        <v>80.57</v>
      </c>
      <c r="TV99" s="23"/>
      <c r="TW99" s="23"/>
      <c r="TX99" s="23">
        <v>77.9</v>
      </c>
      <c r="TY99" s="23">
        <v>77.08</v>
      </c>
      <c r="TZ99" s="23">
        <v>73.74</v>
      </c>
      <c r="UA99" s="23">
        <v>75.26</v>
      </c>
      <c r="UB99" s="23">
        <v>71.99</v>
      </c>
      <c r="UC99" s="23"/>
      <c r="UD99" s="23"/>
      <c r="UE99" s="23">
        <v>73.15</v>
      </c>
      <c r="UF99" s="23">
        <v>72.92</v>
      </c>
      <c r="UG99" s="23">
        <v>71.57</v>
      </c>
      <c r="UH99" s="23">
        <v>71.8</v>
      </c>
      <c r="UI99" s="23">
        <v>72.12</v>
      </c>
      <c r="UJ99" s="23"/>
      <c r="UK99" s="23"/>
      <c r="UL99" s="23"/>
      <c r="UM99" s="23"/>
      <c r="UN99" s="23"/>
      <c r="UO99" s="23"/>
      <c r="UP99" s="23"/>
      <c r="UQ99" s="23"/>
      <c r="UR99" s="23"/>
      <c r="US99" s="23"/>
      <c r="UT99" s="23"/>
    </row>
    <row r="100" ht="16.5" customHeight="1" spans="4:566">
      <c r="D100" s="26" t="s">
        <v>212</v>
      </c>
      <c r="E100" s="21" t="s">
        <v>213</v>
      </c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>
        <v>-497</v>
      </c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>
        <v>-2741</v>
      </c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>
        <v>4841</v>
      </c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  <c r="DI100" s="31"/>
      <c r="DJ100" s="31"/>
      <c r="DK100" s="31"/>
      <c r="DL100" s="31"/>
      <c r="DM100" s="31"/>
      <c r="DN100" s="31"/>
      <c r="DO100" s="31"/>
      <c r="DP100" s="31"/>
      <c r="DQ100" s="31"/>
      <c r="DR100" s="31"/>
      <c r="DS100" s="31"/>
      <c r="DT100" s="31"/>
      <c r="DU100" s="31"/>
      <c r="DV100" s="31">
        <v>-4019</v>
      </c>
      <c r="DW100" s="31"/>
      <c r="DX100" s="31"/>
      <c r="DY100" s="31"/>
      <c r="DZ100" s="31"/>
      <c r="EA100" s="31"/>
      <c r="EB100" s="31"/>
      <c r="EC100" s="31"/>
      <c r="ED100" s="31"/>
      <c r="EE100" s="31"/>
      <c r="EF100" s="31"/>
      <c r="EG100" s="31"/>
      <c r="EH100" s="31"/>
      <c r="EI100" s="31"/>
      <c r="EJ100" s="31"/>
      <c r="EK100" s="31"/>
      <c r="EL100" s="31"/>
      <c r="EM100" s="31"/>
      <c r="EN100" s="31"/>
      <c r="EO100" s="31"/>
      <c r="EP100" s="31"/>
      <c r="EQ100" s="31"/>
      <c r="ER100" s="31"/>
      <c r="ES100" s="31"/>
      <c r="ET100" s="31"/>
      <c r="EU100" s="31"/>
      <c r="EV100" s="31"/>
      <c r="EW100" s="31"/>
      <c r="EX100" s="31"/>
      <c r="EY100" s="31"/>
      <c r="EZ100" s="31"/>
      <c r="FA100" s="31">
        <v>-208</v>
      </c>
      <c r="FB100" s="31"/>
      <c r="FC100" s="31"/>
      <c r="FD100" s="31"/>
      <c r="FE100" s="31"/>
      <c r="FF100" s="31"/>
      <c r="FG100" s="31"/>
      <c r="FH100" s="31"/>
      <c r="FI100" s="31"/>
      <c r="FJ100" s="31"/>
      <c r="FK100" s="31"/>
      <c r="FL100" s="31"/>
      <c r="FM100" s="31"/>
      <c r="FN100" s="31"/>
      <c r="FO100" s="31"/>
      <c r="FP100" s="31"/>
      <c r="FQ100" s="31"/>
      <c r="FR100" s="31"/>
      <c r="FS100" s="31"/>
      <c r="FT100" s="31"/>
      <c r="FU100" s="31"/>
      <c r="FV100" s="31"/>
      <c r="FW100" s="31"/>
      <c r="FX100" s="31"/>
      <c r="FY100" s="31"/>
      <c r="FZ100" s="31"/>
      <c r="GA100" s="31"/>
      <c r="GB100" s="31"/>
      <c r="GC100" s="31"/>
      <c r="GD100" s="31"/>
      <c r="GE100" s="31">
        <v>2621</v>
      </c>
      <c r="GF100" s="31"/>
      <c r="GG100" s="31"/>
      <c r="GH100" s="31"/>
      <c r="GI100" s="31"/>
      <c r="GJ100" s="31"/>
      <c r="GK100" s="31"/>
      <c r="GL100" s="31"/>
      <c r="GM100" s="31"/>
      <c r="GN100" s="31"/>
      <c r="GO100" s="31"/>
      <c r="GP100" s="31"/>
      <c r="GQ100" s="31"/>
      <c r="GR100" s="31"/>
      <c r="GS100" s="31"/>
      <c r="GT100" s="31"/>
      <c r="GU100" s="31"/>
      <c r="GV100" s="31"/>
      <c r="GW100" s="31"/>
      <c r="GX100" s="31"/>
      <c r="GY100" s="31"/>
      <c r="GZ100" s="31"/>
      <c r="HA100" s="31"/>
      <c r="HB100" s="31"/>
      <c r="HC100" s="31"/>
      <c r="HD100" s="31"/>
      <c r="HE100" s="31"/>
      <c r="HF100" s="31"/>
      <c r="HG100" s="31"/>
      <c r="HH100" s="31"/>
      <c r="HI100" s="31"/>
      <c r="HJ100" s="31">
        <v>-3827</v>
      </c>
      <c r="HK100" s="31"/>
      <c r="HL100" s="31"/>
      <c r="HM100" s="31"/>
      <c r="HN100" s="31"/>
      <c r="HO100" s="31"/>
      <c r="HP100" s="31"/>
      <c r="HQ100" s="31"/>
      <c r="HR100" s="31"/>
      <c r="HS100" s="31"/>
      <c r="HT100" s="31"/>
      <c r="HU100" s="31"/>
      <c r="HV100" s="31"/>
      <c r="HW100" s="31"/>
      <c r="HX100" s="31"/>
      <c r="HY100" s="31"/>
      <c r="HZ100" s="31"/>
      <c r="IA100" s="31"/>
      <c r="IB100" s="31"/>
      <c r="IC100" s="31"/>
      <c r="ID100" s="31"/>
      <c r="IE100" s="31"/>
      <c r="IF100" s="31"/>
      <c r="IG100" s="31"/>
      <c r="IH100" s="31"/>
      <c r="II100" s="31"/>
      <c r="IJ100" s="31"/>
      <c r="IK100" s="31"/>
      <c r="IL100" s="31"/>
      <c r="IM100" s="31"/>
      <c r="IN100" s="31"/>
      <c r="IO100" s="31">
        <v>105</v>
      </c>
      <c r="IP100" s="31"/>
      <c r="IQ100" s="31"/>
      <c r="IR100" s="31"/>
      <c r="IS100" s="31"/>
      <c r="IT100" s="31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  <c r="JH100" s="31"/>
      <c r="JI100" s="31"/>
      <c r="JJ100" s="31"/>
      <c r="JK100" s="31"/>
      <c r="JL100" s="31"/>
      <c r="JM100" s="31"/>
      <c r="JN100" s="31"/>
      <c r="JO100" s="31"/>
      <c r="JP100" s="31"/>
      <c r="JQ100" s="31"/>
      <c r="JR100" s="31"/>
      <c r="JS100" s="31">
        <v>1421</v>
      </c>
      <c r="JT100" s="31"/>
      <c r="JU100" s="31"/>
      <c r="JV100" s="31"/>
      <c r="JW100" s="31"/>
      <c r="JX100" s="31"/>
      <c r="JY100" s="31"/>
      <c r="JZ100" s="31"/>
      <c r="KA100" s="31"/>
      <c r="KB100" s="31"/>
      <c r="KC100" s="31"/>
      <c r="KD100" s="31"/>
      <c r="KE100" s="31"/>
      <c r="KF100" s="31"/>
      <c r="KG100" s="31"/>
      <c r="KH100" s="31"/>
      <c r="KI100" s="31"/>
      <c r="KJ100" s="31"/>
      <c r="KK100" s="31"/>
      <c r="KL100" s="31"/>
      <c r="KM100" s="31"/>
      <c r="KN100" s="31"/>
      <c r="KO100" s="31"/>
      <c r="KP100" s="31"/>
      <c r="KQ100" s="31"/>
      <c r="KR100" s="31"/>
      <c r="KS100" s="31"/>
      <c r="KT100" s="31"/>
      <c r="KU100" s="31"/>
      <c r="KV100" s="31"/>
      <c r="KW100" s="31"/>
      <c r="KX100" s="31">
        <v>-2866</v>
      </c>
      <c r="KY100" s="31"/>
      <c r="KZ100" s="31"/>
      <c r="LA100" s="31"/>
      <c r="LB100" s="31"/>
      <c r="LC100" s="31"/>
      <c r="LD100" s="31"/>
      <c r="LE100" s="31"/>
      <c r="LF100" s="31"/>
      <c r="LG100" s="31"/>
      <c r="LH100" s="31"/>
      <c r="LI100" s="31"/>
      <c r="LJ100" s="31"/>
      <c r="LK100" s="31"/>
      <c r="LL100" s="31"/>
      <c r="LM100" s="31"/>
      <c r="LN100" s="31"/>
      <c r="LO100" s="31"/>
      <c r="LP100" s="31"/>
      <c r="LQ100" s="31"/>
      <c r="LR100" s="31"/>
      <c r="LS100" s="31"/>
      <c r="LT100" s="31"/>
      <c r="LU100" s="31"/>
      <c r="LV100" s="31"/>
      <c r="LW100" s="31"/>
      <c r="LX100" s="31"/>
      <c r="LY100" s="31"/>
      <c r="LZ100" s="31"/>
      <c r="MA100" s="31"/>
      <c r="MB100" s="31">
        <v>-2158</v>
      </c>
      <c r="MC100" s="31"/>
      <c r="MD100" s="31"/>
      <c r="ME100" s="31"/>
      <c r="MF100" s="31"/>
      <c r="MG100" s="31"/>
      <c r="MH100" s="31"/>
      <c r="MI100" s="31"/>
      <c r="MJ100" s="31"/>
      <c r="MK100" s="31"/>
      <c r="ML100" s="31"/>
      <c r="MM100" s="31"/>
      <c r="MN100" s="31"/>
      <c r="MO100" s="31"/>
      <c r="MP100" s="31"/>
      <c r="MQ100" s="31"/>
      <c r="MR100" s="31"/>
      <c r="MS100" s="31"/>
      <c r="MT100" s="31"/>
      <c r="MU100" s="31"/>
      <c r="MV100" s="31"/>
      <c r="MW100" s="31"/>
      <c r="MX100" s="31"/>
      <c r="MY100" s="31"/>
      <c r="MZ100" s="31"/>
      <c r="NA100" s="31"/>
      <c r="NB100" s="31"/>
      <c r="NC100" s="31"/>
      <c r="ND100" s="31"/>
      <c r="NE100" s="31"/>
      <c r="NF100" s="31"/>
      <c r="NG100" s="31">
        <v>-1023</v>
      </c>
      <c r="NH100" s="31"/>
      <c r="NI100" s="31"/>
      <c r="NJ100" s="31"/>
      <c r="NK100" s="31"/>
      <c r="NL100" s="31"/>
      <c r="NM100" s="31"/>
      <c r="NN100" s="31"/>
      <c r="NO100" s="31"/>
      <c r="NP100" s="31"/>
      <c r="NQ100" s="31"/>
      <c r="NR100" s="31"/>
      <c r="NS100" s="31"/>
      <c r="NT100" s="31"/>
      <c r="NU100" s="31"/>
      <c r="NV100" s="31"/>
      <c r="NW100" s="31"/>
      <c r="NX100" s="31"/>
      <c r="NY100" s="31"/>
      <c r="NZ100" s="31"/>
      <c r="OA100" s="31"/>
      <c r="OB100" s="31"/>
      <c r="OC100" s="31"/>
      <c r="OD100" s="31"/>
      <c r="OE100" s="31"/>
      <c r="OF100" s="31"/>
      <c r="OG100" s="31"/>
      <c r="OH100" s="31"/>
      <c r="OI100" s="31"/>
      <c r="OJ100" s="31"/>
      <c r="OK100" s="31"/>
      <c r="OL100" s="31">
        <v>1097</v>
      </c>
      <c r="OM100" s="31"/>
      <c r="ON100" s="31"/>
      <c r="OO100" s="31"/>
      <c r="OP100" s="31"/>
      <c r="OQ100" s="31"/>
      <c r="OR100" s="31"/>
      <c r="OS100" s="31"/>
      <c r="OT100" s="31"/>
      <c r="OU100" s="31"/>
      <c r="OV100" s="31"/>
      <c r="OW100" s="31"/>
      <c r="OX100" s="31"/>
      <c r="OY100" s="31"/>
      <c r="OZ100" s="31"/>
      <c r="PA100" s="31"/>
      <c r="PB100" s="31"/>
      <c r="PC100" s="31"/>
      <c r="PD100" s="31"/>
      <c r="PE100" s="31"/>
      <c r="PF100" s="31"/>
      <c r="PG100" s="31"/>
      <c r="PH100" s="31"/>
      <c r="PI100" s="31"/>
      <c r="PJ100" s="31"/>
      <c r="PK100" s="31"/>
      <c r="PL100" s="31"/>
      <c r="PM100" s="31"/>
      <c r="PN100" s="31">
        <v>-4693</v>
      </c>
      <c r="PO100" s="31"/>
      <c r="PP100" s="31"/>
      <c r="PQ100" s="31"/>
      <c r="PR100" s="31"/>
      <c r="PS100" s="31"/>
      <c r="PT100" s="31"/>
      <c r="PU100" s="31"/>
      <c r="PV100" s="31"/>
      <c r="PW100" s="31"/>
      <c r="PX100" s="31"/>
      <c r="PY100" s="31"/>
      <c r="PZ100" s="31"/>
      <c r="QA100" s="31"/>
      <c r="QB100" s="31"/>
      <c r="QC100" s="31"/>
      <c r="QD100" s="31"/>
      <c r="QE100" s="31"/>
      <c r="QF100" s="31"/>
      <c r="QG100" s="31"/>
      <c r="QH100" s="31"/>
      <c r="QI100" s="31"/>
      <c r="QJ100" s="31"/>
      <c r="QK100" s="31"/>
      <c r="QL100" s="31"/>
      <c r="QM100" s="31"/>
      <c r="QN100" s="31"/>
      <c r="QO100" s="31"/>
      <c r="QP100" s="31"/>
      <c r="QQ100" s="31"/>
      <c r="QR100" s="31"/>
      <c r="QS100" s="31">
        <v>1956</v>
      </c>
      <c r="QT100" s="31"/>
      <c r="QU100" s="31"/>
      <c r="QV100" s="31"/>
      <c r="QW100" s="31"/>
      <c r="QX100" s="31"/>
      <c r="QY100" s="31"/>
      <c r="QZ100" s="31"/>
      <c r="RA100" s="31"/>
      <c r="RB100" s="31"/>
      <c r="RC100" s="31"/>
      <c r="RD100" s="31"/>
      <c r="RE100" s="31"/>
      <c r="RF100" s="31"/>
      <c r="RG100" s="31"/>
      <c r="RH100" s="31"/>
      <c r="RI100" s="31"/>
      <c r="RJ100" s="31"/>
      <c r="RK100" s="31"/>
      <c r="RL100" s="31"/>
      <c r="RM100" s="31"/>
      <c r="RN100" s="31"/>
      <c r="RO100" s="31"/>
      <c r="RP100" s="31"/>
      <c r="RQ100" s="31"/>
      <c r="RR100" s="23"/>
      <c r="RS100" s="23"/>
      <c r="RT100" s="23"/>
      <c r="RU100" s="23"/>
      <c r="RV100" s="23"/>
      <c r="RW100" s="23">
        <v>-4462</v>
      </c>
      <c r="RX100" s="23"/>
      <c r="RY100" s="23"/>
      <c r="RZ100" s="23"/>
      <c r="SA100" s="23"/>
      <c r="SB100" s="23"/>
      <c r="SC100" s="23"/>
      <c r="SD100" s="23"/>
      <c r="SE100" s="23"/>
      <c r="SF100" s="23"/>
      <c r="SG100" s="23"/>
      <c r="SH100" s="23"/>
      <c r="SI100" s="23"/>
      <c r="SJ100" s="23"/>
      <c r="SK100" s="23"/>
      <c r="SL100" s="23"/>
      <c r="SM100" s="23"/>
      <c r="SN100" s="23"/>
      <c r="SO100" s="23"/>
      <c r="SP100" s="23"/>
      <c r="SQ100" s="23"/>
      <c r="SR100" s="23"/>
      <c r="SS100" s="23"/>
      <c r="ST100" s="23"/>
      <c r="SU100" s="23"/>
      <c r="SV100" s="23"/>
      <c r="SW100" s="23"/>
      <c r="SX100" s="23"/>
      <c r="SY100" s="23"/>
      <c r="SZ100" s="23"/>
      <c r="TA100" s="23"/>
      <c r="TB100" s="23">
        <v>-840</v>
      </c>
      <c r="TC100" s="23"/>
      <c r="TD100" s="23"/>
      <c r="TE100" s="23"/>
      <c r="TF100" s="23"/>
      <c r="TG100" s="23"/>
      <c r="TH100" s="23"/>
      <c r="TI100" s="23"/>
      <c r="TJ100" s="23"/>
      <c r="TK100" s="23"/>
      <c r="TL100" s="23"/>
      <c r="TM100" s="23"/>
      <c r="TN100" s="23"/>
      <c r="TO100" s="23"/>
      <c r="TP100" s="23"/>
      <c r="TQ100" s="23"/>
      <c r="TR100" s="23"/>
      <c r="TS100" s="23"/>
      <c r="TT100" s="23"/>
      <c r="TU100" s="23"/>
      <c r="TV100" s="23"/>
      <c r="TW100" s="23"/>
      <c r="TX100" s="23"/>
      <c r="TY100" s="23"/>
      <c r="TZ100" s="23"/>
      <c r="UA100" s="23"/>
      <c r="UB100" s="23"/>
      <c r="UC100" s="23"/>
      <c r="UD100" s="23"/>
      <c r="UE100" s="23"/>
      <c r="UF100" s="23"/>
      <c r="UG100" s="23"/>
      <c r="UH100" s="23"/>
      <c r="UI100" s="23"/>
      <c r="UJ100" s="23"/>
      <c r="UK100" s="23"/>
      <c r="UL100" s="23"/>
      <c r="UM100" s="23"/>
      <c r="UN100" s="23"/>
      <c r="UO100" s="23"/>
      <c r="UP100" s="23"/>
      <c r="UQ100" s="23"/>
      <c r="UR100" s="23"/>
      <c r="US100" s="23"/>
      <c r="UT100" s="23"/>
    </row>
    <row r="101" ht="16.5" customHeight="1" spans="4:566">
      <c r="D101" s="26" t="s">
        <v>214</v>
      </c>
      <c r="E101" s="21" t="s">
        <v>215</v>
      </c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>
        <v>4935</v>
      </c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>
        <v>-1150</v>
      </c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>
        <v>5047</v>
      </c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  <c r="DI101" s="31"/>
      <c r="DJ101" s="31"/>
      <c r="DK101" s="31"/>
      <c r="DL101" s="31"/>
      <c r="DM101" s="31"/>
      <c r="DN101" s="31"/>
      <c r="DO101" s="31"/>
      <c r="DP101" s="31"/>
      <c r="DQ101" s="31"/>
      <c r="DR101" s="31"/>
      <c r="DS101" s="31"/>
      <c r="DT101" s="31"/>
      <c r="DU101" s="31"/>
      <c r="DV101" s="31">
        <v>-1231</v>
      </c>
      <c r="DW101" s="31"/>
      <c r="DX101" s="31"/>
      <c r="DY101" s="31"/>
      <c r="DZ101" s="31"/>
      <c r="EA101" s="31"/>
      <c r="EB101" s="31"/>
      <c r="EC101" s="31"/>
      <c r="ED101" s="31"/>
      <c r="EE101" s="31"/>
      <c r="EF101" s="31"/>
      <c r="EG101" s="31"/>
      <c r="EH101" s="31"/>
      <c r="EI101" s="31"/>
      <c r="EJ101" s="31"/>
      <c r="EK101" s="31"/>
      <c r="EL101" s="31"/>
      <c r="EM101" s="31"/>
      <c r="EN101" s="31"/>
      <c r="EO101" s="31"/>
      <c r="EP101" s="31"/>
      <c r="EQ101" s="31"/>
      <c r="ER101" s="31"/>
      <c r="ES101" s="31"/>
      <c r="ET101" s="31"/>
      <c r="EU101" s="31"/>
      <c r="EV101" s="31"/>
      <c r="EW101" s="31"/>
      <c r="EX101" s="31"/>
      <c r="EY101" s="31"/>
      <c r="EZ101" s="31"/>
      <c r="FA101" s="31">
        <v>746</v>
      </c>
      <c r="FB101" s="31"/>
      <c r="FC101" s="31"/>
      <c r="FD101" s="31"/>
      <c r="FE101" s="31"/>
      <c r="FF101" s="31"/>
      <c r="FG101" s="31"/>
      <c r="FH101" s="31"/>
      <c r="FI101" s="31"/>
      <c r="FJ101" s="31"/>
      <c r="FK101" s="31"/>
      <c r="FL101" s="31"/>
      <c r="FM101" s="31"/>
      <c r="FN101" s="31"/>
      <c r="FO101" s="31"/>
      <c r="FP101" s="31"/>
      <c r="FQ101" s="31"/>
      <c r="FR101" s="31"/>
      <c r="FS101" s="31"/>
      <c r="FT101" s="31"/>
      <c r="FU101" s="31"/>
      <c r="FV101" s="31"/>
      <c r="FW101" s="31"/>
      <c r="FX101" s="31"/>
      <c r="FY101" s="31"/>
      <c r="FZ101" s="31"/>
      <c r="GA101" s="31"/>
      <c r="GB101" s="31"/>
      <c r="GC101" s="31"/>
      <c r="GD101" s="31"/>
      <c r="GE101" s="31">
        <v>3353</v>
      </c>
      <c r="GF101" s="31"/>
      <c r="GG101" s="31"/>
      <c r="GH101" s="31"/>
      <c r="GI101" s="31"/>
      <c r="GJ101" s="31"/>
      <c r="GK101" s="31"/>
      <c r="GL101" s="31"/>
      <c r="GM101" s="31"/>
      <c r="GN101" s="31"/>
      <c r="GO101" s="31"/>
      <c r="GP101" s="31"/>
      <c r="GQ101" s="31"/>
      <c r="GR101" s="31"/>
      <c r="GS101" s="31"/>
      <c r="GT101" s="31"/>
      <c r="GU101" s="31"/>
      <c r="GV101" s="31"/>
      <c r="GW101" s="31"/>
      <c r="GX101" s="31"/>
      <c r="GY101" s="31"/>
      <c r="GZ101" s="31"/>
      <c r="HA101" s="31"/>
      <c r="HB101" s="31"/>
      <c r="HC101" s="31"/>
      <c r="HD101" s="31"/>
      <c r="HE101" s="31"/>
      <c r="HF101" s="31"/>
      <c r="HG101" s="31"/>
      <c r="HH101" s="31"/>
      <c r="HI101" s="31"/>
      <c r="HJ101" s="31">
        <v>-1100</v>
      </c>
      <c r="HK101" s="31"/>
      <c r="HL101" s="31"/>
      <c r="HM101" s="31"/>
      <c r="HN101" s="31"/>
      <c r="HO101" s="31"/>
      <c r="HP101" s="31"/>
      <c r="HQ101" s="31"/>
      <c r="HR101" s="31"/>
      <c r="HS101" s="31"/>
      <c r="HT101" s="31"/>
      <c r="HU101" s="31"/>
      <c r="HV101" s="31"/>
      <c r="HW101" s="31"/>
      <c r="HX101" s="31"/>
      <c r="HY101" s="31"/>
      <c r="HZ101" s="31"/>
      <c r="IA101" s="31"/>
      <c r="IB101" s="31"/>
      <c r="IC101" s="31"/>
      <c r="ID101" s="31"/>
      <c r="IE101" s="31"/>
      <c r="IF101" s="31"/>
      <c r="IG101" s="31"/>
      <c r="IH101" s="31"/>
      <c r="II101" s="31"/>
      <c r="IJ101" s="31"/>
      <c r="IK101" s="31"/>
      <c r="IL101" s="31"/>
      <c r="IM101" s="31"/>
      <c r="IN101" s="31"/>
      <c r="IO101" s="31">
        <v>200</v>
      </c>
      <c r="IP101" s="31"/>
      <c r="IQ101" s="31"/>
      <c r="IR101" s="31"/>
      <c r="IS101" s="31"/>
      <c r="IT101" s="31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  <c r="JN101" s="31"/>
      <c r="JO101" s="31"/>
      <c r="JP101" s="31"/>
      <c r="JQ101" s="31"/>
      <c r="JR101" s="31"/>
      <c r="JS101" s="31">
        <v>2500</v>
      </c>
      <c r="JT101" s="31"/>
      <c r="JU101" s="31"/>
      <c r="JV101" s="31"/>
      <c r="JW101" s="31"/>
      <c r="JX101" s="31"/>
      <c r="JY101" s="31"/>
      <c r="JZ101" s="31"/>
      <c r="KA101" s="31"/>
      <c r="KB101" s="31"/>
      <c r="KC101" s="31"/>
      <c r="KD101" s="31"/>
      <c r="KE101" s="31"/>
      <c r="KF101" s="31"/>
      <c r="KG101" s="31"/>
      <c r="KH101" s="31"/>
      <c r="KI101" s="31"/>
      <c r="KJ101" s="31"/>
      <c r="KK101" s="31"/>
      <c r="KL101" s="31"/>
      <c r="KM101" s="31"/>
      <c r="KN101" s="31"/>
      <c r="KO101" s="31"/>
      <c r="KP101" s="31"/>
      <c r="KQ101" s="31"/>
      <c r="KR101" s="31"/>
      <c r="KS101" s="31"/>
      <c r="KT101" s="31"/>
      <c r="KU101" s="31"/>
      <c r="KV101" s="31"/>
      <c r="KW101" s="31"/>
      <c r="KX101" s="31">
        <v>-700</v>
      </c>
      <c r="KY101" s="31"/>
      <c r="KZ101" s="31"/>
      <c r="LA101" s="31"/>
      <c r="LB101" s="31"/>
      <c r="LC101" s="31"/>
      <c r="LD101" s="31"/>
      <c r="LE101" s="31"/>
      <c r="LF101" s="31"/>
      <c r="LG101" s="31"/>
      <c r="LH101" s="31"/>
      <c r="LI101" s="31"/>
      <c r="LJ101" s="31"/>
      <c r="LK101" s="31"/>
      <c r="LL101" s="31"/>
      <c r="LM101" s="31"/>
      <c r="LN101" s="31"/>
      <c r="LO101" s="31"/>
      <c r="LP101" s="31"/>
      <c r="LQ101" s="31"/>
      <c r="LR101" s="31"/>
      <c r="LS101" s="31"/>
      <c r="LT101" s="31"/>
      <c r="LU101" s="31"/>
      <c r="LV101" s="31"/>
      <c r="LW101" s="31"/>
      <c r="LX101" s="31"/>
      <c r="LY101" s="31"/>
      <c r="LZ101" s="31"/>
      <c r="MA101" s="31"/>
      <c r="MB101" s="31">
        <v>100</v>
      </c>
      <c r="MC101" s="31"/>
      <c r="MD101" s="31"/>
      <c r="ME101" s="31"/>
      <c r="MF101" s="31"/>
      <c r="MG101" s="31"/>
      <c r="MH101" s="31"/>
      <c r="MI101" s="31"/>
      <c r="MJ101" s="31"/>
      <c r="MK101" s="31"/>
      <c r="ML101" s="31"/>
      <c r="MM101" s="31"/>
      <c r="MN101" s="31"/>
      <c r="MO101" s="31"/>
      <c r="MP101" s="31"/>
      <c r="MQ101" s="31"/>
      <c r="MR101" s="31"/>
      <c r="MS101" s="31"/>
      <c r="MT101" s="31"/>
      <c r="MU101" s="31"/>
      <c r="MV101" s="31"/>
      <c r="MW101" s="31"/>
      <c r="MX101" s="31"/>
      <c r="MY101" s="31"/>
      <c r="MZ101" s="31"/>
      <c r="NA101" s="31"/>
      <c r="NB101" s="31"/>
      <c r="NC101" s="31"/>
      <c r="ND101" s="31"/>
      <c r="NE101" s="31"/>
      <c r="NF101" s="31"/>
      <c r="NG101" s="31">
        <v>100</v>
      </c>
      <c r="NH101" s="31"/>
      <c r="NI101" s="31"/>
      <c r="NJ101" s="31"/>
      <c r="NK101" s="31"/>
      <c r="NL101" s="31"/>
      <c r="NM101" s="31"/>
      <c r="NN101" s="31"/>
      <c r="NO101" s="31"/>
      <c r="NP101" s="31"/>
      <c r="NQ101" s="31"/>
      <c r="NR101" s="31"/>
      <c r="NS101" s="31"/>
      <c r="NT101" s="31"/>
      <c r="NU101" s="31"/>
      <c r="NV101" s="31"/>
      <c r="NW101" s="31"/>
      <c r="NX101" s="31"/>
      <c r="NY101" s="31"/>
      <c r="NZ101" s="31"/>
      <c r="OA101" s="31"/>
      <c r="OB101" s="31"/>
      <c r="OC101" s="31"/>
      <c r="OD101" s="31"/>
      <c r="OE101" s="31"/>
      <c r="OF101" s="31"/>
      <c r="OG101" s="31"/>
      <c r="OH101" s="31"/>
      <c r="OI101" s="31"/>
      <c r="OJ101" s="31"/>
      <c r="OK101" s="31"/>
      <c r="OL101" s="31">
        <v>3469</v>
      </c>
      <c r="OM101" s="31"/>
      <c r="ON101" s="31"/>
      <c r="OO101" s="31"/>
      <c r="OP101" s="31"/>
      <c r="OQ101" s="31"/>
      <c r="OR101" s="31"/>
      <c r="OS101" s="31"/>
      <c r="OT101" s="31"/>
      <c r="OU101" s="31"/>
      <c r="OV101" s="31"/>
      <c r="OW101" s="31"/>
      <c r="OX101" s="31"/>
      <c r="OY101" s="31"/>
      <c r="OZ101" s="31"/>
      <c r="PA101" s="31"/>
      <c r="PB101" s="31"/>
      <c r="PC101" s="31"/>
      <c r="PD101" s="31"/>
      <c r="PE101" s="31"/>
      <c r="PF101" s="31"/>
      <c r="PG101" s="31"/>
      <c r="PH101" s="31"/>
      <c r="PI101" s="31"/>
      <c r="PJ101" s="31"/>
      <c r="PK101" s="31"/>
      <c r="PL101" s="31"/>
      <c r="PM101" s="31"/>
      <c r="PN101" s="31">
        <v>-1815</v>
      </c>
      <c r="PO101" s="31"/>
      <c r="PP101" s="31"/>
      <c r="PQ101" s="31"/>
      <c r="PR101" s="31"/>
      <c r="PS101" s="31"/>
      <c r="PT101" s="31"/>
      <c r="PU101" s="31"/>
      <c r="PV101" s="31"/>
      <c r="PW101" s="31"/>
      <c r="PX101" s="31"/>
      <c r="PY101" s="31"/>
      <c r="PZ101" s="31"/>
      <c r="QA101" s="31"/>
      <c r="QB101" s="31"/>
      <c r="QC101" s="31"/>
      <c r="QD101" s="31"/>
      <c r="QE101" s="31"/>
      <c r="QF101" s="31"/>
      <c r="QG101" s="31"/>
      <c r="QH101" s="31"/>
      <c r="QI101" s="31"/>
      <c r="QJ101" s="31"/>
      <c r="QK101" s="31"/>
      <c r="QL101" s="31"/>
      <c r="QM101" s="31"/>
      <c r="QN101" s="31"/>
      <c r="QO101" s="31"/>
      <c r="QP101" s="31"/>
      <c r="QQ101" s="31"/>
      <c r="QR101" s="31"/>
      <c r="QS101" s="31">
        <v>2953</v>
      </c>
      <c r="QT101" s="31"/>
      <c r="QU101" s="31"/>
      <c r="QV101" s="31"/>
      <c r="QW101" s="31"/>
      <c r="QX101" s="31"/>
      <c r="QY101" s="31"/>
      <c r="QZ101" s="31"/>
      <c r="RA101" s="31"/>
      <c r="RB101" s="31"/>
      <c r="RC101" s="31"/>
      <c r="RD101" s="31"/>
      <c r="RE101" s="31"/>
      <c r="RF101" s="31"/>
      <c r="RG101" s="31"/>
      <c r="RH101" s="31"/>
      <c r="RI101" s="31"/>
      <c r="RJ101" s="31"/>
      <c r="RK101" s="31"/>
      <c r="RL101" s="31"/>
      <c r="RM101" s="31"/>
      <c r="RN101" s="31"/>
      <c r="RO101" s="31"/>
      <c r="RP101" s="31"/>
      <c r="RQ101" s="31"/>
      <c r="RR101" s="23"/>
      <c r="RS101" s="23"/>
      <c r="RT101" s="23"/>
      <c r="RU101" s="23"/>
      <c r="RV101" s="23"/>
      <c r="RW101" s="23">
        <v>-3408</v>
      </c>
      <c r="RX101" s="23"/>
      <c r="RY101" s="23"/>
      <c r="RZ101" s="23"/>
      <c r="SA101" s="23"/>
      <c r="SB101" s="23"/>
      <c r="SC101" s="23"/>
      <c r="SD101" s="23"/>
      <c r="SE101" s="23"/>
      <c r="SF101" s="23"/>
      <c r="SG101" s="23"/>
      <c r="SH101" s="23"/>
      <c r="SI101" s="23"/>
      <c r="SJ101" s="23"/>
      <c r="SK101" s="23"/>
      <c r="SL101" s="23"/>
      <c r="SM101" s="23"/>
      <c r="SN101" s="23"/>
      <c r="SO101" s="23"/>
      <c r="SP101" s="23"/>
      <c r="SQ101" s="23"/>
      <c r="SR101" s="23"/>
      <c r="SS101" s="23"/>
      <c r="ST101" s="23"/>
      <c r="SU101" s="23"/>
      <c r="SV101" s="23"/>
      <c r="SW101" s="23"/>
      <c r="SX101" s="23"/>
      <c r="SY101" s="23"/>
      <c r="SZ101" s="23"/>
      <c r="TA101" s="23"/>
      <c r="TB101" s="23">
        <v>-571</v>
      </c>
      <c r="TC101" s="23"/>
      <c r="TD101" s="23"/>
      <c r="TE101" s="23"/>
      <c r="TF101" s="23"/>
      <c r="TG101" s="23"/>
      <c r="TH101" s="23"/>
      <c r="TI101" s="23"/>
      <c r="TJ101" s="23"/>
      <c r="TK101" s="23"/>
      <c r="TL101" s="23"/>
      <c r="TM101" s="23"/>
      <c r="TN101" s="23"/>
      <c r="TO101" s="23"/>
      <c r="TP101" s="23"/>
      <c r="TQ101" s="23"/>
      <c r="TR101" s="23"/>
      <c r="TS101" s="23"/>
      <c r="TT101" s="23"/>
      <c r="TU101" s="23"/>
      <c r="TV101" s="23"/>
      <c r="TW101" s="23"/>
      <c r="TX101" s="23"/>
      <c r="TY101" s="23"/>
      <c r="TZ101" s="23"/>
      <c r="UA101" s="23"/>
      <c r="UB101" s="23"/>
      <c r="UC101" s="23"/>
      <c r="UD101" s="23"/>
      <c r="UE101" s="23"/>
      <c r="UF101" s="23"/>
      <c r="UG101" s="23"/>
      <c r="UH101" s="23"/>
      <c r="UI101" s="23"/>
      <c r="UJ101" s="23"/>
      <c r="UK101" s="23"/>
      <c r="UL101" s="23"/>
      <c r="UM101" s="23"/>
      <c r="UN101" s="23"/>
      <c r="UO101" s="23"/>
      <c r="UP101" s="23"/>
      <c r="UQ101" s="23"/>
      <c r="UR101" s="23"/>
      <c r="US101" s="23"/>
      <c r="UT101" s="23"/>
    </row>
    <row r="102" ht="16.5" customHeight="1" spans="4:566">
      <c r="D102" s="26" t="s">
        <v>216</v>
      </c>
      <c r="E102" s="21" t="s">
        <v>217</v>
      </c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>
        <v>4438</v>
      </c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>
        <v>547</v>
      </c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>
        <v>10400</v>
      </c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  <c r="DI102" s="31"/>
      <c r="DJ102" s="31"/>
      <c r="DK102" s="31"/>
      <c r="DL102" s="31"/>
      <c r="DM102" s="31"/>
      <c r="DN102" s="31"/>
      <c r="DO102" s="31"/>
      <c r="DP102" s="31"/>
      <c r="DQ102" s="31"/>
      <c r="DR102" s="31"/>
      <c r="DS102" s="31"/>
      <c r="DT102" s="31"/>
      <c r="DU102" s="31"/>
      <c r="DV102" s="31">
        <v>5184</v>
      </c>
      <c r="DW102" s="31"/>
      <c r="DX102" s="31"/>
      <c r="DY102" s="31"/>
      <c r="DZ102" s="31"/>
      <c r="EA102" s="31"/>
      <c r="EB102" s="31"/>
      <c r="EC102" s="31"/>
      <c r="ED102" s="31"/>
      <c r="EE102" s="31"/>
      <c r="EF102" s="31"/>
      <c r="EG102" s="31"/>
      <c r="EH102" s="31"/>
      <c r="EI102" s="31"/>
      <c r="EJ102" s="31"/>
      <c r="EK102" s="31"/>
      <c r="EL102" s="31"/>
      <c r="EM102" s="31"/>
      <c r="EN102" s="31"/>
      <c r="EO102" s="31"/>
      <c r="EP102" s="31"/>
      <c r="EQ102" s="31"/>
      <c r="ER102" s="31"/>
      <c r="ES102" s="31"/>
      <c r="ET102" s="31"/>
      <c r="EU102" s="31"/>
      <c r="EV102" s="31"/>
      <c r="EW102" s="31"/>
      <c r="EX102" s="31"/>
      <c r="EY102" s="31"/>
      <c r="EZ102" s="31"/>
      <c r="FA102" s="31">
        <v>5724</v>
      </c>
      <c r="FB102" s="31"/>
      <c r="FC102" s="31"/>
      <c r="FD102" s="31"/>
      <c r="FE102" s="31"/>
      <c r="FF102" s="31"/>
      <c r="FG102" s="31"/>
      <c r="FH102" s="31"/>
      <c r="FI102" s="31"/>
      <c r="FJ102" s="31"/>
      <c r="FK102" s="31"/>
      <c r="FL102" s="31"/>
      <c r="FM102" s="31"/>
      <c r="FN102" s="31"/>
      <c r="FO102" s="31"/>
      <c r="FP102" s="31"/>
      <c r="FQ102" s="31"/>
      <c r="FR102" s="31"/>
      <c r="FS102" s="31"/>
      <c r="FT102" s="31"/>
      <c r="FU102" s="31"/>
      <c r="FV102" s="31"/>
      <c r="FW102" s="31"/>
      <c r="FX102" s="31"/>
      <c r="FY102" s="31"/>
      <c r="FZ102" s="31"/>
      <c r="GA102" s="31"/>
      <c r="GB102" s="31"/>
      <c r="GC102" s="31"/>
      <c r="GD102" s="31"/>
      <c r="GE102" s="31">
        <v>11700</v>
      </c>
      <c r="GF102" s="31"/>
      <c r="GG102" s="31"/>
      <c r="GH102" s="31"/>
      <c r="GI102" s="31"/>
      <c r="GJ102" s="31"/>
      <c r="GK102" s="31"/>
      <c r="GL102" s="31"/>
      <c r="GM102" s="31"/>
      <c r="GN102" s="31"/>
      <c r="GO102" s="31"/>
      <c r="GP102" s="31"/>
      <c r="GQ102" s="31"/>
      <c r="GR102" s="31"/>
      <c r="GS102" s="31"/>
      <c r="GT102" s="31"/>
      <c r="GU102" s="31"/>
      <c r="GV102" s="31"/>
      <c r="GW102" s="31"/>
      <c r="GX102" s="31"/>
      <c r="GY102" s="31"/>
      <c r="GZ102" s="31"/>
      <c r="HA102" s="31"/>
      <c r="HB102" s="31"/>
      <c r="HC102" s="31"/>
      <c r="HD102" s="31"/>
      <c r="HE102" s="31"/>
      <c r="HF102" s="31"/>
      <c r="HG102" s="31"/>
      <c r="HH102" s="31"/>
      <c r="HI102" s="31"/>
      <c r="HJ102" s="31">
        <v>6807</v>
      </c>
      <c r="HK102" s="31"/>
      <c r="HL102" s="31"/>
      <c r="HM102" s="31"/>
      <c r="HN102" s="31"/>
      <c r="HO102" s="31"/>
      <c r="HP102" s="31"/>
      <c r="HQ102" s="31"/>
      <c r="HR102" s="31"/>
      <c r="HS102" s="31"/>
      <c r="HT102" s="31"/>
      <c r="HU102" s="31"/>
      <c r="HV102" s="31"/>
      <c r="HW102" s="31"/>
      <c r="HX102" s="31"/>
      <c r="HY102" s="31"/>
      <c r="HZ102" s="31"/>
      <c r="IA102" s="31"/>
      <c r="IB102" s="31"/>
      <c r="IC102" s="31"/>
      <c r="ID102" s="31"/>
      <c r="IE102" s="31"/>
      <c r="IF102" s="31"/>
      <c r="IG102" s="31"/>
      <c r="IH102" s="31"/>
      <c r="II102" s="31"/>
      <c r="IJ102" s="31"/>
      <c r="IK102" s="31"/>
      <c r="IL102" s="31"/>
      <c r="IM102" s="31"/>
      <c r="IN102" s="31"/>
      <c r="IO102" s="31">
        <v>7110</v>
      </c>
      <c r="IP102" s="31"/>
      <c r="IQ102" s="31"/>
      <c r="IR102" s="31"/>
      <c r="IS102" s="31"/>
      <c r="IT102" s="31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  <c r="JH102" s="31"/>
      <c r="JI102" s="31"/>
      <c r="JJ102" s="31"/>
      <c r="JK102" s="31"/>
      <c r="JL102" s="31"/>
      <c r="JM102" s="31"/>
      <c r="JN102" s="31"/>
      <c r="JO102" s="31"/>
      <c r="JP102" s="31"/>
      <c r="JQ102" s="31"/>
      <c r="JR102" s="31"/>
      <c r="JS102" s="31">
        <v>11000</v>
      </c>
      <c r="JT102" s="31"/>
      <c r="JU102" s="31"/>
      <c r="JV102" s="31"/>
      <c r="JW102" s="31"/>
      <c r="JX102" s="31"/>
      <c r="JY102" s="31"/>
      <c r="JZ102" s="31"/>
      <c r="KA102" s="31"/>
      <c r="KB102" s="31"/>
      <c r="KC102" s="31"/>
      <c r="KD102" s="31"/>
      <c r="KE102" s="31"/>
      <c r="KF102" s="31"/>
      <c r="KG102" s="31"/>
      <c r="KH102" s="31"/>
      <c r="KI102" s="31"/>
      <c r="KJ102" s="31"/>
      <c r="KK102" s="31"/>
      <c r="KL102" s="31"/>
      <c r="KM102" s="31"/>
      <c r="KN102" s="31"/>
      <c r="KO102" s="31"/>
      <c r="KP102" s="31"/>
      <c r="KQ102" s="31"/>
      <c r="KR102" s="31"/>
      <c r="KS102" s="31"/>
      <c r="KT102" s="31"/>
      <c r="KU102" s="31"/>
      <c r="KV102" s="31"/>
      <c r="KW102" s="31"/>
      <c r="KX102" s="31">
        <v>7396</v>
      </c>
      <c r="KY102" s="31"/>
      <c r="KZ102" s="31"/>
      <c r="LA102" s="31"/>
      <c r="LB102" s="31"/>
      <c r="LC102" s="31"/>
      <c r="LD102" s="31"/>
      <c r="LE102" s="31"/>
      <c r="LF102" s="31"/>
      <c r="LG102" s="31"/>
      <c r="LH102" s="31"/>
      <c r="LI102" s="31"/>
      <c r="LJ102" s="31"/>
      <c r="LK102" s="31"/>
      <c r="LL102" s="31"/>
      <c r="LM102" s="31"/>
      <c r="LN102" s="31"/>
      <c r="LO102" s="31"/>
      <c r="LP102" s="31"/>
      <c r="LQ102" s="31"/>
      <c r="LR102" s="31"/>
      <c r="LS102" s="31"/>
      <c r="LT102" s="31"/>
      <c r="LU102" s="31"/>
      <c r="LV102" s="31"/>
      <c r="LW102" s="31"/>
      <c r="LX102" s="31"/>
      <c r="LY102" s="31"/>
      <c r="LZ102" s="31"/>
      <c r="MA102" s="31"/>
      <c r="MB102" s="31">
        <v>5333</v>
      </c>
      <c r="MC102" s="31"/>
      <c r="MD102" s="31"/>
      <c r="ME102" s="31"/>
      <c r="MF102" s="31"/>
      <c r="MG102" s="31"/>
      <c r="MH102" s="31"/>
      <c r="MI102" s="31"/>
      <c r="MJ102" s="31"/>
      <c r="MK102" s="31"/>
      <c r="ML102" s="31"/>
      <c r="MM102" s="31"/>
      <c r="MN102" s="31"/>
      <c r="MO102" s="31"/>
      <c r="MP102" s="31"/>
      <c r="MQ102" s="31"/>
      <c r="MR102" s="31"/>
      <c r="MS102" s="31"/>
      <c r="MT102" s="31"/>
      <c r="MU102" s="31"/>
      <c r="MV102" s="31"/>
      <c r="MW102" s="31"/>
      <c r="MX102" s="31"/>
      <c r="MY102" s="31"/>
      <c r="MZ102" s="31"/>
      <c r="NA102" s="31"/>
      <c r="NB102" s="31"/>
      <c r="NC102" s="31"/>
      <c r="ND102" s="31"/>
      <c r="NE102" s="31"/>
      <c r="NF102" s="31"/>
      <c r="NG102" s="31">
        <v>4417</v>
      </c>
      <c r="NH102" s="31"/>
      <c r="NI102" s="31"/>
      <c r="NJ102" s="31"/>
      <c r="NK102" s="31"/>
      <c r="NL102" s="31"/>
      <c r="NM102" s="31"/>
      <c r="NN102" s="31"/>
      <c r="NO102" s="31"/>
      <c r="NP102" s="31"/>
      <c r="NQ102" s="31"/>
      <c r="NR102" s="31"/>
      <c r="NS102" s="31"/>
      <c r="NT102" s="31"/>
      <c r="NU102" s="31"/>
      <c r="NV102" s="31"/>
      <c r="NW102" s="31"/>
      <c r="NX102" s="31"/>
      <c r="NY102" s="31"/>
      <c r="NZ102" s="31"/>
      <c r="OA102" s="31"/>
      <c r="OB102" s="31"/>
      <c r="OC102" s="31"/>
      <c r="OD102" s="31"/>
      <c r="OE102" s="31"/>
      <c r="OF102" s="31"/>
      <c r="OG102" s="31"/>
      <c r="OH102" s="31"/>
      <c r="OI102" s="31"/>
      <c r="OJ102" s="31"/>
      <c r="OK102" s="31"/>
      <c r="OL102" s="31">
        <v>4565</v>
      </c>
      <c r="OM102" s="31"/>
      <c r="ON102" s="31"/>
      <c r="OO102" s="31"/>
      <c r="OP102" s="31"/>
      <c r="OQ102" s="31"/>
      <c r="OR102" s="31"/>
      <c r="OS102" s="31"/>
      <c r="OT102" s="31"/>
      <c r="OU102" s="31"/>
      <c r="OV102" s="31"/>
      <c r="OW102" s="31"/>
      <c r="OX102" s="31"/>
      <c r="OY102" s="31"/>
      <c r="OZ102" s="31"/>
      <c r="PA102" s="31"/>
      <c r="PB102" s="31"/>
      <c r="PC102" s="31"/>
      <c r="PD102" s="31"/>
      <c r="PE102" s="31"/>
      <c r="PF102" s="31"/>
      <c r="PG102" s="31"/>
      <c r="PH102" s="31"/>
      <c r="PI102" s="31"/>
      <c r="PJ102" s="31"/>
      <c r="PK102" s="31"/>
      <c r="PL102" s="31"/>
      <c r="PM102" s="31"/>
      <c r="PN102" s="31">
        <v>-1942</v>
      </c>
      <c r="PO102" s="31"/>
      <c r="PP102" s="31"/>
      <c r="PQ102" s="31"/>
      <c r="PR102" s="31"/>
      <c r="PS102" s="31"/>
      <c r="PT102" s="31"/>
      <c r="PU102" s="31"/>
      <c r="PV102" s="31"/>
      <c r="PW102" s="31"/>
      <c r="PX102" s="31"/>
      <c r="PY102" s="31"/>
      <c r="PZ102" s="31"/>
      <c r="QA102" s="31"/>
      <c r="QB102" s="31"/>
      <c r="QC102" s="31"/>
      <c r="QD102" s="31"/>
      <c r="QE102" s="31"/>
      <c r="QF102" s="31"/>
      <c r="QG102" s="31"/>
      <c r="QH102" s="31"/>
      <c r="QI102" s="31"/>
      <c r="QJ102" s="31"/>
      <c r="QK102" s="31"/>
      <c r="QL102" s="31"/>
      <c r="QM102" s="31"/>
      <c r="QN102" s="31"/>
      <c r="QO102" s="31"/>
      <c r="QP102" s="31"/>
      <c r="QQ102" s="31"/>
      <c r="QR102" s="31"/>
      <c r="QS102" s="31">
        <v>2967</v>
      </c>
      <c r="QT102" s="31"/>
      <c r="QU102" s="31"/>
      <c r="QV102" s="31"/>
      <c r="QW102" s="31"/>
      <c r="QX102" s="31"/>
      <c r="QY102" s="31"/>
      <c r="QZ102" s="31"/>
      <c r="RA102" s="31"/>
      <c r="RB102" s="31"/>
      <c r="RC102" s="31"/>
      <c r="RD102" s="31"/>
      <c r="RE102" s="31"/>
      <c r="RF102" s="31"/>
      <c r="RG102" s="31"/>
      <c r="RH102" s="31"/>
      <c r="RI102" s="31"/>
      <c r="RJ102" s="31"/>
      <c r="RK102" s="31"/>
      <c r="RL102" s="31"/>
      <c r="RM102" s="31"/>
      <c r="RN102" s="31"/>
      <c r="RO102" s="31"/>
      <c r="RP102" s="31"/>
      <c r="RQ102" s="31"/>
      <c r="RR102" s="23"/>
      <c r="RS102" s="23"/>
      <c r="RT102" s="23"/>
      <c r="RU102" s="23"/>
      <c r="RV102" s="23"/>
      <c r="RW102" s="23">
        <v>-4902</v>
      </c>
      <c r="RX102" s="23"/>
      <c r="RY102" s="23"/>
      <c r="RZ102" s="23"/>
      <c r="SA102" s="23"/>
      <c r="SB102" s="23"/>
      <c r="SC102" s="23"/>
      <c r="SD102" s="23"/>
      <c r="SE102" s="23"/>
      <c r="SF102" s="23"/>
      <c r="SG102" s="23"/>
      <c r="SH102" s="23"/>
      <c r="SI102" s="23"/>
      <c r="SJ102" s="23"/>
      <c r="SK102" s="23"/>
      <c r="SL102" s="23"/>
      <c r="SM102" s="23"/>
      <c r="SN102" s="23"/>
      <c r="SO102" s="23"/>
      <c r="SP102" s="23"/>
      <c r="SQ102" s="23"/>
      <c r="SR102" s="23"/>
      <c r="SS102" s="23"/>
      <c r="ST102" s="23"/>
      <c r="SU102" s="23"/>
      <c r="SV102" s="23"/>
      <c r="SW102" s="23"/>
      <c r="SX102" s="23"/>
      <c r="SY102" s="23"/>
      <c r="SZ102" s="23"/>
      <c r="TA102" s="23"/>
      <c r="TB102" s="23">
        <v>-6314</v>
      </c>
      <c r="TC102" s="23"/>
      <c r="TD102" s="23"/>
      <c r="TE102" s="23"/>
      <c r="TF102" s="23"/>
      <c r="TG102" s="23"/>
      <c r="TH102" s="23"/>
      <c r="TI102" s="23"/>
      <c r="TJ102" s="23"/>
      <c r="TK102" s="23"/>
      <c r="TL102" s="23"/>
      <c r="TM102" s="23"/>
      <c r="TN102" s="23"/>
      <c r="TO102" s="23"/>
      <c r="TP102" s="23"/>
      <c r="TQ102" s="23"/>
      <c r="TR102" s="23"/>
      <c r="TS102" s="23"/>
      <c r="TT102" s="23"/>
      <c r="TU102" s="23"/>
      <c r="TV102" s="23"/>
      <c r="TW102" s="23"/>
      <c r="TX102" s="23"/>
      <c r="TY102" s="23"/>
      <c r="TZ102" s="23"/>
      <c r="UA102" s="23"/>
      <c r="UB102" s="23"/>
      <c r="UC102" s="23"/>
      <c r="UD102" s="23"/>
      <c r="UE102" s="23"/>
      <c r="UF102" s="23"/>
      <c r="UG102" s="23"/>
      <c r="UH102" s="23"/>
      <c r="UI102" s="23"/>
      <c r="UJ102" s="23"/>
      <c r="UK102" s="23"/>
      <c r="UL102" s="23"/>
      <c r="UM102" s="23"/>
      <c r="UN102" s="23"/>
      <c r="UO102" s="23"/>
      <c r="UP102" s="23"/>
      <c r="UQ102" s="23"/>
      <c r="UR102" s="23"/>
      <c r="US102" s="23"/>
      <c r="UT102" s="23"/>
    </row>
    <row r="103" ht="16.5" customHeight="1" spans="4:566">
      <c r="D103" s="26" t="s">
        <v>218</v>
      </c>
      <c r="E103" s="21" t="s">
        <v>219</v>
      </c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>
        <v>34600</v>
      </c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>
        <v>5400</v>
      </c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>
        <v>15800</v>
      </c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  <c r="DI103" s="31"/>
      <c r="DJ103" s="31"/>
      <c r="DK103" s="31"/>
      <c r="DL103" s="31"/>
      <c r="DM103" s="31"/>
      <c r="DN103" s="31"/>
      <c r="DO103" s="31"/>
      <c r="DP103" s="31"/>
      <c r="DQ103" s="31"/>
      <c r="DR103" s="31"/>
      <c r="DS103" s="31"/>
      <c r="DT103" s="31"/>
      <c r="DU103" s="31"/>
      <c r="DV103" s="31">
        <v>2500</v>
      </c>
      <c r="DW103" s="31"/>
      <c r="DX103" s="31"/>
      <c r="DY103" s="31"/>
      <c r="DZ103" s="31"/>
      <c r="EA103" s="31"/>
      <c r="EB103" s="31"/>
      <c r="EC103" s="31"/>
      <c r="ED103" s="31"/>
      <c r="EE103" s="31"/>
      <c r="EF103" s="31"/>
      <c r="EG103" s="31"/>
      <c r="EH103" s="31"/>
      <c r="EI103" s="31"/>
      <c r="EJ103" s="31"/>
      <c r="EK103" s="31"/>
      <c r="EL103" s="31"/>
      <c r="EM103" s="31"/>
      <c r="EN103" s="31"/>
      <c r="EO103" s="31"/>
      <c r="EP103" s="31"/>
      <c r="EQ103" s="31"/>
      <c r="ER103" s="31"/>
      <c r="ES103" s="31"/>
      <c r="ET103" s="31"/>
      <c r="EU103" s="31"/>
      <c r="EV103" s="31"/>
      <c r="EW103" s="31"/>
      <c r="EX103" s="31"/>
      <c r="EY103" s="31"/>
      <c r="EZ103" s="31"/>
      <c r="FA103" s="31">
        <v>3300</v>
      </c>
      <c r="FB103" s="31"/>
      <c r="FC103" s="31"/>
      <c r="FD103" s="31"/>
      <c r="FE103" s="31"/>
      <c r="FF103" s="31"/>
      <c r="FG103" s="31"/>
      <c r="FH103" s="31"/>
      <c r="FI103" s="31"/>
      <c r="FJ103" s="31"/>
      <c r="FK103" s="31"/>
      <c r="FL103" s="31"/>
      <c r="FM103" s="31"/>
      <c r="FN103" s="31"/>
      <c r="FO103" s="31"/>
      <c r="FP103" s="31"/>
      <c r="FQ103" s="31"/>
      <c r="FR103" s="31"/>
      <c r="FS103" s="31"/>
      <c r="FT103" s="31"/>
      <c r="FU103" s="31"/>
      <c r="FV103" s="31"/>
      <c r="FW103" s="31"/>
      <c r="FX103" s="31"/>
      <c r="FY103" s="31"/>
      <c r="FZ103" s="31"/>
      <c r="GA103" s="31"/>
      <c r="GB103" s="31"/>
      <c r="GC103" s="31"/>
      <c r="GD103" s="31"/>
      <c r="GE103" s="31">
        <v>10100</v>
      </c>
      <c r="GF103" s="31"/>
      <c r="GG103" s="31"/>
      <c r="GH103" s="31"/>
      <c r="GI103" s="31"/>
      <c r="GJ103" s="31"/>
      <c r="GK103" s="31"/>
      <c r="GL103" s="31"/>
      <c r="GM103" s="31"/>
      <c r="GN103" s="31"/>
      <c r="GO103" s="31"/>
      <c r="GP103" s="31"/>
      <c r="GQ103" s="31"/>
      <c r="GR103" s="31"/>
      <c r="GS103" s="31"/>
      <c r="GT103" s="31"/>
      <c r="GU103" s="31"/>
      <c r="GV103" s="31"/>
      <c r="GW103" s="31"/>
      <c r="GX103" s="31"/>
      <c r="GY103" s="31"/>
      <c r="GZ103" s="31"/>
      <c r="HA103" s="31"/>
      <c r="HB103" s="31"/>
      <c r="HC103" s="31"/>
      <c r="HD103" s="31"/>
      <c r="HE103" s="31"/>
      <c r="HF103" s="31"/>
      <c r="HG103" s="31"/>
      <c r="HH103" s="31"/>
      <c r="HI103" s="31"/>
      <c r="HJ103" s="31">
        <v>-2600</v>
      </c>
      <c r="HK103" s="31"/>
      <c r="HL103" s="31"/>
      <c r="HM103" s="31"/>
      <c r="HN103" s="31"/>
      <c r="HO103" s="31"/>
      <c r="HP103" s="31"/>
      <c r="HQ103" s="31"/>
      <c r="HR103" s="31"/>
      <c r="HS103" s="31"/>
      <c r="HT103" s="31"/>
      <c r="HU103" s="31"/>
      <c r="HV103" s="31"/>
      <c r="HW103" s="31"/>
      <c r="HX103" s="31"/>
      <c r="HY103" s="31"/>
      <c r="HZ103" s="31"/>
      <c r="IA103" s="31"/>
      <c r="IB103" s="31"/>
      <c r="IC103" s="31"/>
      <c r="ID103" s="31"/>
      <c r="IE103" s="31"/>
      <c r="IF103" s="31"/>
      <c r="IG103" s="31"/>
      <c r="IH103" s="31"/>
      <c r="II103" s="31"/>
      <c r="IJ103" s="31"/>
      <c r="IK103" s="31"/>
      <c r="IL103" s="31"/>
      <c r="IM103" s="31"/>
      <c r="IN103" s="31"/>
      <c r="IO103" s="31">
        <v>4700</v>
      </c>
      <c r="IP103" s="31"/>
      <c r="IQ103" s="31"/>
      <c r="IR103" s="31"/>
      <c r="IS103" s="31"/>
      <c r="IT103" s="31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  <c r="JH103" s="31"/>
      <c r="JI103" s="31"/>
      <c r="JJ103" s="31"/>
      <c r="JK103" s="31"/>
      <c r="JL103" s="31"/>
      <c r="JM103" s="31"/>
      <c r="JN103" s="31"/>
      <c r="JO103" s="31"/>
      <c r="JP103" s="31"/>
      <c r="JQ103" s="31"/>
      <c r="JR103" s="31"/>
      <c r="JS103" s="31">
        <v>9100</v>
      </c>
      <c r="JT103" s="31"/>
      <c r="JU103" s="31"/>
      <c r="JV103" s="31"/>
      <c r="JW103" s="31"/>
      <c r="JX103" s="31"/>
      <c r="JY103" s="31"/>
      <c r="JZ103" s="31"/>
      <c r="KA103" s="31"/>
      <c r="KB103" s="31"/>
      <c r="KC103" s="31"/>
      <c r="KD103" s="31"/>
      <c r="KE103" s="31"/>
      <c r="KF103" s="31"/>
      <c r="KG103" s="31"/>
      <c r="KH103" s="31"/>
      <c r="KI103" s="31"/>
      <c r="KJ103" s="31"/>
      <c r="KK103" s="31"/>
      <c r="KL103" s="31"/>
      <c r="KM103" s="31"/>
      <c r="KN103" s="31"/>
      <c r="KO103" s="31"/>
      <c r="KP103" s="31"/>
      <c r="KQ103" s="31"/>
      <c r="KR103" s="31"/>
      <c r="KS103" s="31"/>
      <c r="KT103" s="31"/>
      <c r="KU103" s="31"/>
      <c r="KV103" s="31"/>
      <c r="KW103" s="31"/>
      <c r="KX103" s="31">
        <v>300</v>
      </c>
      <c r="KY103" s="31"/>
      <c r="KZ103" s="31"/>
      <c r="LA103" s="31"/>
      <c r="LB103" s="31"/>
      <c r="LC103" s="31"/>
      <c r="LD103" s="31"/>
      <c r="LE103" s="31"/>
      <c r="LF103" s="31"/>
      <c r="LG103" s="31"/>
      <c r="LH103" s="31"/>
      <c r="LI103" s="31"/>
      <c r="LJ103" s="31"/>
      <c r="LK103" s="31"/>
      <c r="LL103" s="31"/>
      <c r="LM103" s="31"/>
      <c r="LN103" s="31"/>
      <c r="LO103" s="31"/>
      <c r="LP103" s="31"/>
      <c r="LQ103" s="31"/>
      <c r="LR103" s="31"/>
      <c r="LS103" s="31"/>
      <c r="LT103" s="31"/>
      <c r="LU103" s="31"/>
      <c r="LV103" s="31"/>
      <c r="LW103" s="31"/>
      <c r="LX103" s="31"/>
      <c r="LY103" s="31"/>
      <c r="LZ103" s="31"/>
      <c r="MA103" s="31"/>
      <c r="MB103" s="31">
        <v>1700</v>
      </c>
      <c r="MC103" s="31"/>
      <c r="MD103" s="31"/>
      <c r="ME103" s="31"/>
      <c r="MF103" s="31"/>
      <c r="MG103" s="31"/>
      <c r="MH103" s="31"/>
      <c r="MI103" s="31"/>
      <c r="MJ103" s="31"/>
      <c r="MK103" s="31"/>
      <c r="ML103" s="31"/>
      <c r="MM103" s="31"/>
      <c r="MN103" s="31"/>
      <c r="MO103" s="31"/>
      <c r="MP103" s="31"/>
      <c r="MQ103" s="31"/>
      <c r="MR103" s="31"/>
      <c r="MS103" s="31"/>
      <c r="MT103" s="31"/>
      <c r="MU103" s="31"/>
      <c r="MV103" s="31"/>
      <c r="MW103" s="31"/>
      <c r="MX103" s="31"/>
      <c r="MY103" s="31"/>
      <c r="MZ103" s="31"/>
      <c r="NA103" s="31"/>
      <c r="NB103" s="31"/>
      <c r="NC103" s="31"/>
      <c r="ND103" s="31"/>
      <c r="NE103" s="31"/>
      <c r="NF103" s="31"/>
      <c r="NG103" s="31">
        <v>3300</v>
      </c>
      <c r="NH103" s="31"/>
      <c r="NI103" s="31"/>
      <c r="NJ103" s="31"/>
      <c r="NK103" s="31"/>
      <c r="NL103" s="31"/>
      <c r="NM103" s="31"/>
      <c r="NN103" s="31"/>
      <c r="NO103" s="31"/>
      <c r="NP103" s="31"/>
      <c r="NQ103" s="31"/>
      <c r="NR103" s="31"/>
      <c r="NS103" s="31"/>
      <c r="NT103" s="31"/>
      <c r="NU103" s="31"/>
      <c r="NV103" s="31"/>
      <c r="NW103" s="31"/>
      <c r="NX103" s="31"/>
      <c r="NY103" s="31"/>
      <c r="NZ103" s="31"/>
      <c r="OA103" s="31"/>
      <c r="OB103" s="31"/>
      <c r="OC103" s="31"/>
      <c r="OD103" s="31"/>
      <c r="OE103" s="31"/>
      <c r="OF103" s="31"/>
      <c r="OG103" s="31"/>
      <c r="OH103" s="31"/>
      <c r="OI103" s="31"/>
      <c r="OJ103" s="31"/>
      <c r="OK103" s="31"/>
      <c r="OL103" s="31">
        <v>31800</v>
      </c>
      <c r="OM103" s="31"/>
      <c r="ON103" s="31"/>
      <c r="OO103" s="31"/>
      <c r="OP103" s="31"/>
      <c r="OQ103" s="31"/>
      <c r="OR103" s="31"/>
      <c r="OS103" s="31"/>
      <c r="OT103" s="31"/>
      <c r="OU103" s="31"/>
      <c r="OV103" s="31"/>
      <c r="OW103" s="31"/>
      <c r="OX103" s="31"/>
      <c r="OY103" s="31"/>
      <c r="OZ103" s="31"/>
      <c r="PA103" s="31"/>
      <c r="PB103" s="31"/>
      <c r="PC103" s="31"/>
      <c r="PD103" s="31"/>
      <c r="PE103" s="31"/>
      <c r="PF103" s="31"/>
      <c r="PG103" s="31"/>
      <c r="PH103" s="31"/>
      <c r="PI103" s="31"/>
      <c r="PJ103" s="31"/>
      <c r="PK103" s="31"/>
      <c r="PL103" s="31"/>
      <c r="PM103" s="31"/>
      <c r="PN103" s="31">
        <v>8900</v>
      </c>
      <c r="PO103" s="31"/>
      <c r="PP103" s="31"/>
      <c r="PQ103" s="31"/>
      <c r="PR103" s="31"/>
      <c r="PS103" s="31"/>
      <c r="PT103" s="31"/>
      <c r="PU103" s="31"/>
      <c r="PV103" s="31"/>
      <c r="PW103" s="31"/>
      <c r="PX103" s="31"/>
      <c r="PY103" s="31"/>
      <c r="PZ103" s="31"/>
      <c r="QA103" s="31"/>
      <c r="QB103" s="31"/>
      <c r="QC103" s="31"/>
      <c r="QD103" s="31"/>
      <c r="QE103" s="31"/>
      <c r="QF103" s="31"/>
      <c r="QG103" s="31"/>
      <c r="QH103" s="31"/>
      <c r="QI103" s="31"/>
      <c r="QJ103" s="31"/>
      <c r="QK103" s="31"/>
      <c r="QL103" s="31"/>
      <c r="QM103" s="31"/>
      <c r="QN103" s="31"/>
      <c r="QO103" s="31"/>
      <c r="QP103" s="31"/>
      <c r="QQ103" s="31"/>
      <c r="QR103" s="31"/>
      <c r="QS103" s="31">
        <v>13500</v>
      </c>
      <c r="QT103" s="31"/>
      <c r="QU103" s="31"/>
      <c r="QV103" s="31"/>
      <c r="QW103" s="31"/>
      <c r="QX103" s="31"/>
      <c r="QY103" s="31"/>
      <c r="QZ103" s="31"/>
      <c r="RA103" s="31"/>
      <c r="RB103" s="31"/>
      <c r="RC103" s="31"/>
      <c r="RD103" s="31"/>
      <c r="RE103" s="31"/>
      <c r="RF103" s="31"/>
      <c r="RG103" s="31"/>
      <c r="RH103" s="31"/>
      <c r="RI103" s="31"/>
      <c r="RJ103" s="31"/>
      <c r="RK103" s="31"/>
      <c r="RL103" s="31"/>
      <c r="RM103" s="31"/>
      <c r="RN103" s="31"/>
      <c r="RO103" s="31"/>
      <c r="RP103" s="31"/>
      <c r="RQ103" s="31"/>
      <c r="RR103" s="23"/>
      <c r="RS103" s="23"/>
      <c r="RT103" s="23"/>
      <c r="RU103" s="23"/>
      <c r="RV103" s="23"/>
      <c r="RW103" s="23">
        <v>-4100</v>
      </c>
      <c r="RX103" s="23"/>
      <c r="RY103" s="23"/>
      <c r="RZ103" s="23"/>
      <c r="SA103" s="23"/>
      <c r="SB103" s="23"/>
      <c r="SC103" s="23"/>
      <c r="SD103" s="23"/>
      <c r="SE103" s="23"/>
      <c r="SF103" s="23"/>
      <c r="SG103" s="23"/>
      <c r="SH103" s="23"/>
      <c r="SI103" s="23"/>
      <c r="SJ103" s="23"/>
      <c r="SK103" s="23"/>
      <c r="SL103" s="23"/>
      <c r="SM103" s="23"/>
      <c r="SN103" s="23"/>
      <c r="SO103" s="23"/>
      <c r="SP103" s="23"/>
      <c r="SQ103" s="23"/>
      <c r="SR103" s="23"/>
      <c r="SS103" s="23"/>
      <c r="ST103" s="23"/>
      <c r="SU103" s="23"/>
      <c r="SV103" s="23"/>
      <c r="SW103" s="23"/>
      <c r="SX103" s="23"/>
      <c r="SY103" s="23"/>
      <c r="SZ103" s="23"/>
      <c r="TA103" s="23"/>
      <c r="TB103" s="23">
        <v>-200</v>
      </c>
      <c r="TC103" s="23"/>
      <c r="TD103" s="23"/>
      <c r="TE103" s="23"/>
      <c r="TF103" s="23"/>
      <c r="TG103" s="23"/>
      <c r="TH103" s="23"/>
      <c r="TI103" s="23"/>
      <c r="TJ103" s="23"/>
      <c r="TK103" s="23"/>
      <c r="TL103" s="23"/>
      <c r="TM103" s="23"/>
      <c r="TN103" s="23"/>
      <c r="TO103" s="23"/>
      <c r="TP103" s="23"/>
      <c r="TQ103" s="23"/>
      <c r="TR103" s="23"/>
      <c r="TS103" s="23"/>
      <c r="TT103" s="23"/>
      <c r="TU103" s="23"/>
      <c r="TV103" s="23"/>
      <c r="TW103" s="23"/>
      <c r="TX103" s="23"/>
      <c r="TY103" s="23"/>
      <c r="TZ103" s="23"/>
      <c r="UA103" s="23"/>
      <c r="UB103" s="23"/>
      <c r="UC103" s="23"/>
      <c r="UD103" s="23"/>
      <c r="UE103" s="23"/>
      <c r="UF103" s="23"/>
      <c r="UG103" s="23"/>
      <c r="UH103" s="23"/>
      <c r="UI103" s="23"/>
      <c r="UJ103" s="23"/>
      <c r="UK103" s="23"/>
      <c r="UL103" s="23"/>
      <c r="UM103" s="23"/>
      <c r="UN103" s="23"/>
      <c r="UO103" s="23"/>
      <c r="UP103" s="23"/>
      <c r="UQ103" s="23"/>
      <c r="UR103" s="23"/>
      <c r="US103" s="23"/>
      <c r="UT103" s="23"/>
    </row>
    <row r="104" ht="16.5" customHeight="1" spans="4:566">
      <c r="D104" s="26" t="s">
        <v>220</v>
      </c>
      <c r="E104" s="21" t="s">
        <v>221</v>
      </c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>
        <v>11754</v>
      </c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>
        <v>14006</v>
      </c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>
        <v>31261</v>
      </c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  <c r="DI104" s="31"/>
      <c r="DJ104" s="31"/>
      <c r="DK104" s="31"/>
      <c r="DL104" s="31"/>
      <c r="DM104" s="31"/>
      <c r="DN104" s="31"/>
      <c r="DO104" s="31"/>
      <c r="DP104" s="31"/>
      <c r="DQ104" s="31"/>
      <c r="DR104" s="31"/>
      <c r="DS104" s="31"/>
      <c r="DT104" s="31"/>
      <c r="DU104" s="31"/>
      <c r="DV104" s="31">
        <v>30783</v>
      </c>
      <c r="DW104" s="31"/>
      <c r="DX104" s="31"/>
      <c r="DY104" s="31"/>
      <c r="DZ104" s="31"/>
      <c r="EA104" s="31"/>
      <c r="EB104" s="31"/>
      <c r="EC104" s="31"/>
      <c r="ED104" s="31"/>
      <c r="EE104" s="31"/>
      <c r="EF104" s="31"/>
      <c r="EG104" s="31"/>
      <c r="EH104" s="31"/>
      <c r="EI104" s="31"/>
      <c r="EJ104" s="31"/>
      <c r="EK104" s="31"/>
      <c r="EL104" s="31"/>
      <c r="EM104" s="31"/>
      <c r="EN104" s="31"/>
      <c r="EO104" s="31"/>
      <c r="EP104" s="31"/>
      <c r="EQ104" s="31"/>
      <c r="ER104" s="31"/>
      <c r="ES104" s="31"/>
      <c r="ET104" s="31"/>
      <c r="EU104" s="31"/>
      <c r="EV104" s="31"/>
      <c r="EW104" s="31"/>
      <c r="EX104" s="31"/>
      <c r="EY104" s="31"/>
      <c r="EZ104" s="31"/>
      <c r="FA104" s="31">
        <v>32421</v>
      </c>
      <c r="FB104" s="31"/>
      <c r="FC104" s="31"/>
      <c r="FD104" s="31"/>
      <c r="FE104" s="31"/>
      <c r="FF104" s="31"/>
      <c r="FG104" s="31"/>
      <c r="FH104" s="31"/>
      <c r="FI104" s="31"/>
      <c r="FJ104" s="31"/>
      <c r="FK104" s="31"/>
      <c r="FL104" s="31"/>
      <c r="FM104" s="31"/>
      <c r="FN104" s="31"/>
      <c r="FO104" s="31"/>
      <c r="FP104" s="31"/>
      <c r="FQ104" s="31"/>
      <c r="FR104" s="31"/>
      <c r="FS104" s="31"/>
      <c r="FT104" s="31"/>
      <c r="FU104" s="31"/>
      <c r="FV104" s="31"/>
      <c r="FW104" s="31"/>
      <c r="FX104" s="31"/>
      <c r="FY104" s="31"/>
      <c r="FZ104" s="31"/>
      <c r="GA104" s="31"/>
      <c r="GB104" s="31"/>
      <c r="GC104" s="31"/>
      <c r="GD104" s="31"/>
      <c r="GE104" s="31">
        <v>42533</v>
      </c>
      <c r="GF104" s="31"/>
      <c r="GG104" s="31"/>
      <c r="GH104" s="31"/>
      <c r="GI104" s="31"/>
      <c r="GJ104" s="31"/>
      <c r="GK104" s="31"/>
      <c r="GL104" s="31"/>
      <c r="GM104" s="31"/>
      <c r="GN104" s="31"/>
      <c r="GO104" s="31"/>
      <c r="GP104" s="31"/>
      <c r="GQ104" s="31"/>
      <c r="GR104" s="31"/>
      <c r="GS104" s="31"/>
      <c r="GT104" s="31"/>
      <c r="GU104" s="31"/>
      <c r="GV104" s="31"/>
      <c r="GW104" s="31"/>
      <c r="GX104" s="31"/>
      <c r="GY104" s="31"/>
      <c r="GZ104" s="31"/>
      <c r="HA104" s="31"/>
      <c r="HB104" s="31"/>
      <c r="HC104" s="31"/>
      <c r="HD104" s="31"/>
      <c r="HE104" s="31"/>
      <c r="HF104" s="31"/>
      <c r="HG104" s="31"/>
      <c r="HH104" s="31"/>
      <c r="HI104" s="31"/>
      <c r="HJ104" s="31">
        <v>41917</v>
      </c>
      <c r="HK104" s="31"/>
      <c r="HL104" s="31"/>
      <c r="HM104" s="31"/>
      <c r="HN104" s="31"/>
      <c r="HO104" s="31"/>
      <c r="HP104" s="31"/>
      <c r="HQ104" s="31"/>
      <c r="HR104" s="31"/>
      <c r="HS104" s="31"/>
      <c r="HT104" s="31"/>
      <c r="HU104" s="31"/>
      <c r="HV104" s="31"/>
      <c r="HW104" s="31"/>
      <c r="HX104" s="31"/>
      <c r="HY104" s="31"/>
      <c r="HZ104" s="31"/>
      <c r="IA104" s="31"/>
      <c r="IB104" s="31"/>
      <c r="IC104" s="31"/>
      <c r="ID104" s="31"/>
      <c r="IE104" s="31"/>
      <c r="IF104" s="31"/>
      <c r="IG104" s="31"/>
      <c r="IH104" s="31"/>
      <c r="II104" s="31"/>
      <c r="IJ104" s="31"/>
      <c r="IK104" s="31"/>
      <c r="IL104" s="31"/>
      <c r="IM104" s="31"/>
      <c r="IN104" s="31"/>
      <c r="IO104" s="31">
        <v>43253</v>
      </c>
      <c r="IP104" s="31"/>
      <c r="IQ104" s="31"/>
      <c r="IR104" s="31"/>
      <c r="IS104" s="31"/>
      <c r="IT104" s="31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  <c r="JH104" s="31"/>
      <c r="JI104" s="31"/>
      <c r="JJ104" s="31"/>
      <c r="JK104" s="31"/>
      <c r="JL104" s="31"/>
      <c r="JM104" s="31"/>
      <c r="JN104" s="31"/>
      <c r="JO104" s="31"/>
      <c r="JP104" s="31"/>
      <c r="JQ104" s="31"/>
      <c r="JR104" s="31"/>
      <c r="JS104" s="31">
        <v>47748</v>
      </c>
      <c r="JT104" s="31"/>
      <c r="JU104" s="31"/>
      <c r="JV104" s="31"/>
      <c r="JW104" s="31"/>
      <c r="JX104" s="31"/>
      <c r="JY104" s="31"/>
      <c r="JZ104" s="31"/>
      <c r="KA104" s="31"/>
      <c r="KB104" s="31"/>
      <c r="KC104" s="31"/>
      <c r="KD104" s="31"/>
      <c r="KE104" s="31"/>
      <c r="KF104" s="31"/>
      <c r="KG104" s="31"/>
      <c r="KH104" s="31"/>
      <c r="KI104" s="31"/>
      <c r="KJ104" s="31"/>
      <c r="KK104" s="31"/>
      <c r="KL104" s="31"/>
      <c r="KM104" s="31"/>
      <c r="KN104" s="31"/>
      <c r="KO104" s="31"/>
      <c r="KP104" s="31"/>
      <c r="KQ104" s="31"/>
      <c r="KR104" s="31"/>
      <c r="KS104" s="31"/>
      <c r="KT104" s="31"/>
      <c r="KU104" s="31"/>
      <c r="KV104" s="31"/>
      <c r="KW104" s="31"/>
      <c r="KX104" s="31">
        <v>47988</v>
      </c>
      <c r="KY104" s="31"/>
      <c r="KZ104" s="31"/>
      <c r="LA104" s="31"/>
      <c r="LB104" s="31"/>
      <c r="LC104" s="31"/>
      <c r="LD104" s="31"/>
      <c r="LE104" s="31"/>
      <c r="LF104" s="31"/>
      <c r="LG104" s="31"/>
      <c r="LH104" s="31"/>
      <c r="LI104" s="31"/>
      <c r="LJ104" s="31"/>
      <c r="LK104" s="31"/>
      <c r="LL104" s="31"/>
      <c r="LM104" s="31"/>
      <c r="LN104" s="31"/>
      <c r="LO104" s="31"/>
      <c r="LP104" s="31"/>
      <c r="LQ104" s="31"/>
      <c r="LR104" s="31"/>
      <c r="LS104" s="31"/>
      <c r="LT104" s="31"/>
      <c r="LU104" s="31"/>
      <c r="LV104" s="31"/>
      <c r="LW104" s="31"/>
      <c r="LX104" s="31"/>
      <c r="LY104" s="31"/>
      <c r="LZ104" s="31"/>
      <c r="MA104" s="31"/>
      <c r="MB104" s="31">
        <v>50172</v>
      </c>
      <c r="MC104" s="31"/>
      <c r="MD104" s="31"/>
      <c r="ME104" s="31"/>
      <c r="MF104" s="31"/>
      <c r="MG104" s="31"/>
      <c r="MH104" s="31"/>
      <c r="MI104" s="31"/>
      <c r="MJ104" s="31"/>
      <c r="MK104" s="31"/>
      <c r="ML104" s="31"/>
      <c r="MM104" s="31"/>
      <c r="MN104" s="31"/>
      <c r="MO104" s="31"/>
      <c r="MP104" s="31"/>
      <c r="MQ104" s="31"/>
      <c r="MR104" s="31"/>
      <c r="MS104" s="31"/>
      <c r="MT104" s="31"/>
      <c r="MU104" s="31"/>
      <c r="MV104" s="31"/>
      <c r="MW104" s="31"/>
      <c r="MX104" s="31"/>
      <c r="MY104" s="31"/>
      <c r="MZ104" s="31"/>
      <c r="NA104" s="31"/>
      <c r="NB104" s="31"/>
      <c r="NC104" s="31"/>
      <c r="ND104" s="31"/>
      <c r="NE104" s="31"/>
      <c r="NF104" s="31"/>
      <c r="NG104" s="31">
        <v>56349</v>
      </c>
      <c r="NH104" s="31"/>
      <c r="NI104" s="31"/>
      <c r="NJ104" s="31"/>
      <c r="NK104" s="31"/>
      <c r="NL104" s="31"/>
      <c r="NM104" s="31"/>
      <c r="NN104" s="31"/>
      <c r="NO104" s="31"/>
      <c r="NP104" s="31"/>
      <c r="NQ104" s="31"/>
      <c r="NR104" s="31"/>
      <c r="NS104" s="31"/>
      <c r="NT104" s="31"/>
      <c r="NU104" s="31"/>
      <c r="NV104" s="31"/>
      <c r="NW104" s="31"/>
      <c r="NX104" s="31"/>
      <c r="NY104" s="31"/>
      <c r="NZ104" s="31"/>
      <c r="OA104" s="31"/>
      <c r="OB104" s="31"/>
      <c r="OC104" s="31"/>
      <c r="OD104" s="31"/>
      <c r="OE104" s="31"/>
      <c r="OF104" s="31"/>
      <c r="OG104" s="31"/>
      <c r="OH104" s="31"/>
      <c r="OI104" s="31"/>
      <c r="OJ104" s="31"/>
      <c r="OK104" s="31"/>
      <c r="OL104" s="31">
        <v>12858</v>
      </c>
      <c r="OM104" s="31"/>
      <c r="ON104" s="31"/>
      <c r="OO104" s="31"/>
      <c r="OP104" s="31"/>
      <c r="OQ104" s="31"/>
      <c r="OR104" s="31"/>
      <c r="OS104" s="31"/>
      <c r="OT104" s="31"/>
      <c r="OU104" s="31"/>
      <c r="OV104" s="31"/>
      <c r="OW104" s="31"/>
      <c r="OX104" s="31"/>
      <c r="OY104" s="31"/>
      <c r="OZ104" s="31"/>
      <c r="PA104" s="31"/>
      <c r="PB104" s="31"/>
      <c r="PC104" s="31"/>
      <c r="PD104" s="31"/>
      <c r="PE104" s="31"/>
      <c r="PF104" s="31"/>
      <c r="PG104" s="31"/>
      <c r="PH104" s="31"/>
      <c r="PI104" s="31"/>
      <c r="PJ104" s="31"/>
      <c r="PK104" s="31"/>
      <c r="PL104" s="31"/>
      <c r="PM104" s="31"/>
      <c r="PN104" s="31">
        <v>13815</v>
      </c>
      <c r="PO104" s="31"/>
      <c r="PP104" s="31"/>
      <c r="PQ104" s="31"/>
      <c r="PR104" s="31"/>
      <c r="PS104" s="31"/>
      <c r="PT104" s="31"/>
      <c r="PU104" s="31"/>
      <c r="PV104" s="31"/>
      <c r="PW104" s="31"/>
      <c r="PX104" s="31"/>
      <c r="PY104" s="31"/>
      <c r="PZ104" s="31"/>
      <c r="QA104" s="31"/>
      <c r="QB104" s="31"/>
      <c r="QC104" s="31"/>
      <c r="QD104" s="31"/>
      <c r="QE104" s="31"/>
      <c r="QF104" s="31"/>
      <c r="QG104" s="31"/>
      <c r="QH104" s="31"/>
      <c r="QI104" s="31"/>
      <c r="QJ104" s="31"/>
      <c r="QK104" s="31"/>
      <c r="QL104" s="31"/>
      <c r="QM104" s="31"/>
      <c r="QN104" s="31"/>
      <c r="QO104" s="31"/>
      <c r="QP104" s="31"/>
      <c r="QQ104" s="31"/>
      <c r="QR104" s="31"/>
      <c r="QS104" s="31">
        <v>28660</v>
      </c>
      <c r="QT104" s="31"/>
      <c r="QU104" s="31"/>
      <c r="QV104" s="31"/>
      <c r="QW104" s="31"/>
      <c r="QX104" s="31"/>
      <c r="QY104" s="31"/>
      <c r="QZ104" s="31"/>
      <c r="RA104" s="31"/>
      <c r="RB104" s="31"/>
      <c r="RC104" s="31"/>
      <c r="RD104" s="31"/>
      <c r="RE104" s="31"/>
      <c r="RF104" s="31"/>
      <c r="RG104" s="31"/>
      <c r="RH104" s="31"/>
      <c r="RI104" s="31"/>
      <c r="RJ104" s="31"/>
      <c r="RK104" s="31"/>
      <c r="RL104" s="31"/>
      <c r="RM104" s="31"/>
      <c r="RN104" s="31"/>
      <c r="RO104" s="31"/>
      <c r="RP104" s="31"/>
      <c r="RQ104" s="31"/>
      <c r="RR104" s="23"/>
      <c r="RS104" s="23"/>
      <c r="RT104" s="23"/>
      <c r="RU104" s="23"/>
      <c r="RV104" s="23"/>
      <c r="RW104" s="23">
        <v>32027</v>
      </c>
      <c r="RX104" s="23"/>
      <c r="RY104" s="23"/>
      <c r="RZ104" s="23"/>
      <c r="SA104" s="23"/>
      <c r="SB104" s="23"/>
      <c r="SC104" s="23"/>
      <c r="SD104" s="23"/>
      <c r="SE104" s="23"/>
      <c r="SF104" s="23"/>
      <c r="SG104" s="23"/>
      <c r="SH104" s="23"/>
      <c r="SI104" s="23"/>
      <c r="SJ104" s="23"/>
      <c r="SK104" s="23"/>
      <c r="SL104" s="23"/>
      <c r="SM104" s="23"/>
      <c r="SN104" s="23"/>
      <c r="SO104" s="23"/>
      <c r="SP104" s="23"/>
      <c r="SQ104" s="23"/>
      <c r="SR104" s="23"/>
      <c r="SS104" s="23"/>
      <c r="ST104" s="23"/>
      <c r="SU104" s="23"/>
      <c r="SV104" s="23"/>
      <c r="SW104" s="23"/>
      <c r="SX104" s="23"/>
      <c r="SY104" s="23"/>
      <c r="SZ104" s="23"/>
      <c r="TA104" s="23"/>
      <c r="TB104" s="23">
        <v>37757</v>
      </c>
      <c r="TC104" s="23"/>
      <c r="TD104" s="23"/>
      <c r="TE104" s="23"/>
      <c r="TF104" s="23"/>
      <c r="TG104" s="23"/>
      <c r="TH104" s="23"/>
      <c r="TI104" s="23"/>
      <c r="TJ104" s="23"/>
      <c r="TK104" s="23"/>
      <c r="TL104" s="23"/>
      <c r="TM104" s="23"/>
      <c r="TN104" s="23"/>
      <c r="TO104" s="23"/>
      <c r="TP104" s="23"/>
      <c r="TQ104" s="23"/>
      <c r="TR104" s="23"/>
      <c r="TS104" s="23"/>
      <c r="TT104" s="23"/>
      <c r="TU104" s="23"/>
      <c r="TV104" s="23"/>
      <c r="TW104" s="23"/>
      <c r="TX104" s="23"/>
      <c r="TY104" s="23"/>
      <c r="TZ104" s="23"/>
      <c r="UA104" s="23"/>
      <c r="UB104" s="23"/>
      <c r="UC104" s="23"/>
      <c r="UD104" s="23"/>
      <c r="UE104" s="23"/>
      <c r="UF104" s="23"/>
      <c r="UG104" s="23"/>
      <c r="UH104" s="23"/>
      <c r="UI104" s="23"/>
      <c r="UJ104" s="23"/>
      <c r="UK104" s="23"/>
      <c r="UL104" s="23"/>
      <c r="UM104" s="23"/>
      <c r="UN104" s="23"/>
      <c r="UO104" s="23"/>
      <c r="UP104" s="23"/>
      <c r="UQ104" s="23"/>
      <c r="UR104" s="23"/>
      <c r="US104" s="23"/>
      <c r="UT104" s="23"/>
    </row>
    <row r="105" ht="16.5" customHeight="1" spans="4:566">
      <c r="D105" s="26" t="s">
        <v>420</v>
      </c>
      <c r="E105" s="21" t="s">
        <v>123</v>
      </c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>
        <v>-5.1</v>
      </c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>
        <v>-3</v>
      </c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  <c r="DI105" s="31"/>
      <c r="DJ105" s="31"/>
      <c r="DK105" s="31"/>
      <c r="DL105" s="31"/>
      <c r="DM105" s="31"/>
      <c r="DN105" s="31"/>
      <c r="DO105" s="31"/>
      <c r="DP105" s="31"/>
      <c r="DQ105" s="31"/>
      <c r="DR105" s="31"/>
      <c r="DS105" s="31"/>
      <c r="DT105" s="31"/>
      <c r="DU105" s="31"/>
      <c r="DV105" s="31">
        <v>-2.8</v>
      </c>
      <c r="DW105" s="31"/>
      <c r="DX105" s="31"/>
      <c r="DY105" s="31"/>
      <c r="DZ105" s="31"/>
      <c r="EA105" s="31"/>
      <c r="EB105" s="31"/>
      <c r="EC105" s="31"/>
      <c r="ED105" s="31"/>
      <c r="EE105" s="31"/>
      <c r="EF105" s="31"/>
      <c r="EG105" s="31"/>
      <c r="EH105" s="31"/>
      <c r="EI105" s="31"/>
      <c r="EJ105" s="31"/>
      <c r="EK105" s="31"/>
      <c r="EL105" s="31"/>
      <c r="EM105" s="31"/>
      <c r="EN105" s="31"/>
      <c r="EO105" s="31"/>
      <c r="EP105" s="31"/>
      <c r="EQ105" s="31"/>
      <c r="ER105" s="31"/>
      <c r="ES105" s="31"/>
      <c r="ET105" s="31"/>
      <c r="EU105" s="31"/>
      <c r="EV105" s="31"/>
      <c r="EW105" s="31"/>
      <c r="EX105" s="31"/>
      <c r="EY105" s="31"/>
      <c r="EZ105" s="31"/>
      <c r="FA105" s="31">
        <v>-2.9</v>
      </c>
      <c r="FB105" s="31"/>
      <c r="FC105" s="31"/>
      <c r="FD105" s="31"/>
      <c r="FE105" s="31"/>
      <c r="FF105" s="31"/>
      <c r="FG105" s="31"/>
      <c r="FH105" s="31"/>
      <c r="FI105" s="31"/>
      <c r="FJ105" s="31"/>
      <c r="FK105" s="31"/>
      <c r="FL105" s="31"/>
      <c r="FM105" s="31"/>
      <c r="FN105" s="31"/>
      <c r="FO105" s="31"/>
      <c r="FP105" s="31"/>
      <c r="FQ105" s="31"/>
      <c r="FR105" s="31"/>
      <c r="FS105" s="31"/>
      <c r="FT105" s="31"/>
      <c r="FU105" s="31"/>
      <c r="FV105" s="31"/>
      <c r="FW105" s="31"/>
      <c r="FX105" s="31"/>
      <c r="FY105" s="31"/>
      <c r="FZ105" s="31"/>
      <c r="GA105" s="31"/>
      <c r="GB105" s="31"/>
      <c r="GC105" s="31"/>
      <c r="GD105" s="31"/>
      <c r="GE105" s="31">
        <v>-3.5</v>
      </c>
      <c r="GF105" s="31"/>
      <c r="GG105" s="31"/>
      <c r="GH105" s="31"/>
      <c r="GI105" s="31"/>
      <c r="GJ105" s="31"/>
      <c r="GK105" s="31"/>
      <c r="GL105" s="31"/>
      <c r="GM105" s="31"/>
      <c r="GN105" s="31"/>
      <c r="GO105" s="31"/>
      <c r="GP105" s="31"/>
      <c r="GQ105" s="31"/>
      <c r="GR105" s="31"/>
      <c r="GS105" s="31"/>
      <c r="GT105" s="31"/>
      <c r="GU105" s="31"/>
      <c r="GV105" s="31"/>
      <c r="GW105" s="31"/>
      <c r="GX105" s="31"/>
      <c r="GY105" s="31"/>
      <c r="GZ105" s="31"/>
      <c r="HA105" s="31"/>
      <c r="HB105" s="31"/>
      <c r="HC105" s="31"/>
      <c r="HD105" s="31"/>
      <c r="HE105" s="31"/>
      <c r="HF105" s="31"/>
      <c r="HG105" s="31"/>
      <c r="HH105" s="31"/>
      <c r="HI105" s="31"/>
      <c r="HJ105" s="31">
        <v>-4</v>
      </c>
      <c r="HK105" s="31"/>
      <c r="HL105" s="31"/>
      <c r="HM105" s="31"/>
      <c r="HN105" s="31"/>
      <c r="HO105" s="31"/>
      <c r="HP105" s="31"/>
      <c r="HQ105" s="31"/>
      <c r="HR105" s="31"/>
      <c r="HS105" s="31"/>
      <c r="HT105" s="31"/>
      <c r="HU105" s="31"/>
      <c r="HV105" s="31"/>
      <c r="HW105" s="31"/>
      <c r="HX105" s="31"/>
      <c r="HY105" s="31"/>
      <c r="HZ105" s="31"/>
      <c r="IA105" s="31"/>
      <c r="IB105" s="31"/>
      <c r="IC105" s="31"/>
      <c r="ID105" s="31"/>
      <c r="IE105" s="31"/>
      <c r="IF105" s="31"/>
      <c r="IG105" s="31"/>
      <c r="IH105" s="31"/>
      <c r="II105" s="31"/>
      <c r="IJ105" s="31"/>
      <c r="IK105" s="31"/>
      <c r="IL105" s="31"/>
      <c r="IM105" s="31"/>
      <c r="IN105" s="31"/>
      <c r="IO105" s="31">
        <v>-4.7</v>
      </c>
      <c r="IP105" s="31"/>
      <c r="IQ105" s="31"/>
      <c r="IR105" s="31"/>
      <c r="IS105" s="31"/>
      <c r="IT105" s="31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  <c r="JH105" s="31"/>
      <c r="JI105" s="31"/>
      <c r="JJ105" s="31"/>
      <c r="JK105" s="31"/>
      <c r="JL105" s="31"/>
      <c r="JM105" s="31"/>
      <c r="JN105" s="31"/>
      <c r="JO105" s="31"/>
      <c r="JP105" s="31"/>
      <c r="JQ105" s="31"/>
      <c r="JR105" s="31"/>
      <c r="JS105" s="31">
        <v>-5.5</v>
      </c>
      <c r="JT105" s="31"/>
      <c r="JU105" s="31"/>
      <c r="JV105" s="31"/>
      <c r="JW105" s="31"/>
      <c r="JX105" s="31"/>
      <c r="JY105" s="31"/>
      <c r="JZ105" s="31"/>
      <c r="KA105" s="31"/>
      <c r="KB105" s="31"/>
      <c r="KC105" s="31"/>
      <c r="KD105" s="31"/>
      <c r="KE105" s="31"/>
      <c r="KF105" s="31"/>
      <c r="KG105" s="31"/>
      <c r="KH105" s="31"/>
      <c r="KI105" s="31"/>
      <c r="KJ105" s="31"/>
      <c r="KK105" s="31"/>
      <c r="KL105" s="31"/>
      <c r="KM105" s="31"/>
      <c r="KN105" s="31"/>
      <c r="KO105" s="31"/>
      <c r="KP105" s="31"/>
      <c r="KQ105" s="31"/>
      <c r="KR105" s="31"/>
      <c r="KS105" s="31"/>
      <c r="KT105" s="31"/>
      <c r="KU105" s="31"/>
      <c r="KV105" s="31"/>
      <c r="KW105" s="31"/>
      <c r="KX105" s="31">
        <v>-6.8</v>
      </c>
      <c r="KY105" s="31"/>
      <c r="KZ105" s="31"/>
      <c r="LA105" s="31"/>
      <c r="LB105" s="31"/>
      <c r="LC105" s="31"/>
      <c r="LD105" s="31"/>
      <c r="LE105" s="31"/>
      <c r="LF105" s="31"/>
      <c r="LG105" s="31"/>
      <c r="LH105" s="31"/>
      <c r="LI105" s="31"/>
      <c r="LJ105" s="31"/>
      <c r="LK105" s="31"/>
      <c r="LL105" s="31"/>
      <c r="LM105" s="31"/>
      <c r="LN105" s="31"/>
      <c r="LO105" s="31"/>
      <c r="LP105" s="31"/>
      <c r="LQ105" s="31"/>
      <c r="LR105" s="31"/>
      <c r="LS105" s="31"/>
      <c r="LT105" s="31"/>
      <c r="LU105" s="31"/>
      <c r="LV105" s="31"/>
      <c r="LW105" s="31"/>
      <c r="LX105" s="31"/>
      <c r="LY105" s="31"/>
      <c r="LZ105" s="31"/>
      <c r="MA105" s="31"/>
      <c r="MB105" s="31">
        <v>-7.8</v>
      </c>
      <c r="MC105" s="31"/>
      <c r="MD105" s="31"/>
      <c r="ME105" s="31"/>
      <c r="MF105" s="31"/>
      <c r="MG105" s="31"/>
      <c r="MH105" s="31"/>
      <c r="MI105" s="31"/>
      <c r="MJ105" s="31"/>
      <c r="MK105" s="31"/>
      <c r="ML105" s="31"/>
      <c r="MM105" s="31"/>
      <c r="MN105" s="31"/>
      <c r="MO105" s="31"/>
      <c r="MP105" s="31"/>
      <c r="MQ105" s="31"/>
      <c r="MR105" s="31"/>
      <c r="MS105" s="31"/>
      <c r="MT105" s="31"/>
      <c r="MU105" s="31"/>
      <c r="MV105" s="31"/>
      <c r="MW105" s="31"/>
      <c r="MX105" s="31"/>
      <c r="MY105" s="31"/>
      <c r="MZ105" s="31"/>
      <c r="NA105" s="31"/>
      <c r="NB105" s="31"/>
      <c r="NC105" s="31"/>
      <c r="ND105" s="31"/>
      <c r="NE105" s="31"/>
      <c r="NF105" s="31"/>
      <c r="NG105" s="31">
        <v>-8.7</v>
      </c>
      <c r="NH105" s="31"/>
      <c r="NI105" s="31"/>
      <c r="NJ105" s="31"/>
      <c r="NK105" s="31"/>
      <c r="NL105" s="31"/>
      <c r="NM105" s="31"/>
      <c r="NN105" s="31"/>
      <c r="NO105" s="31"/>
      <c r="NP105" s="31"/>
      <c r="NQ105" s="31"/>
      <c r="NR105" s="31"/>
      <c r="NS105" s="31"/>
      <c r="NT105" s="31"/>
      <c r="NU105" s="31"/>
      <c r="NV105" s="31"/>
      <c r="NW105" s="31"/>
      <c r="NX105" s="31"/>
      <c r="NY105" s="31"/>
      <c r="NZ105" s="31"/>
      <c r="OA105" s="31"/>
      <c r="OB105" s="31"/>
      <c r="OC105" s="31"/>
      <c r="OD105" s="31"/>
      <c r="OE105" s="31"/>
      <c r="OF105" s="31"/>
      <c r="OG105" s="31"/>
      <c r="OH105" s="31"/>
      <c r="OI105" s="31"/>
      <c r="OJ105" s="31"/>
      <c r="OK105" s="31"/>
      <c r="OL105" s="31"/>
      <c r="OM105" s="31"/>
      <c r="ON105" s="31"/>
      <c r="OO105" s="31"/>
      <c r="OP105" s="31"/>
      <c r="OQ105" s="31"/>
      <c r="OR105" s="31"/>
      <c r="OS105" s="31"/>
      <c r="OT105" s="31"/>
      <c r="OU105" s="31"/>
      <c r="OV105" s="31"/>
      <c r="OW105" s="31"/>
      <c r="OX105" s="31"/>
      <c r="OY105" s="31"/>
      <c r="OZ105" s="31"/>
      <c r="PA105" s="31"/>
      <c r="PB105" s="31"/>
      <c r="PC105" s="31"/>
      <c r="PD105" s="31"/>
      <c r="PE105" s="31"/>
      <c r="PF105" s="31"/>
      <c r="PG105" s="31"/>
      <c r="PH105" s="31"/>
      <c r="PI105" s="31"/>
      <c r="PJ105" s="31"/>
      <c r="PK105" s="31"/>
      <c r="PL105" s="31"/>
      <c r="PM105" s="31"/>
      <c r="PN105" s="31">
        <v>-13.5</v>
      </c>
      <c r="PO105" s="31"/>
      <c r="PP105" s="31"/>
      <c r="PQ105" s="31"/>
      <c r="PR105" s="31"/>
      <c r="PS105" s="31"/>
      <c r="PT105" s="31"/>
      <c r="PU105" s="31"/>
      <c r="PV105" s="31"/>
      <c r="PW105" s="31"/>
      <c r="PX105" s="31"/>
      <c r="PY105" s="31"/>
      <c r="PZ105" s="31"/>
      <c r="QA105" s="31"/>
      <c r="QB105" s="31"/>
      <c r="QC105" s="31"/>
      <c r="QD105" s="31"/>
      <c r="QE105" s="31"/>
      <c r="QF105" s="31"/>
      <c r="QG105" s="31"/>
      <c r="QH105" s="31"/>
      <c r="QI105" s="31"/>
      <c r="QJ105" s="31"/>
      <c r="QK105" s="31"/>
      <c r="QL105" s="31"/>
      <c r="QM105" s="31"/>
      <c r="QN105" s="31"/>
      <c r="QO105" s="31"/>
      <c r="QP105" s="31"/>
      <c r="QQ105" s="31"/>
      <c r="QR105" s="31"/>
      <c r="QS105" s="31">
        <v>-10.4</v>
      </c>
      <c r="QT105" s="31"/>
      <c r="QU105" s="31"/>
      <c r="QV105" s="31"/>
      <c r="QW105" s="31"/>
      <c r="QX105" s="31"/>
      <c r="QY105" s="31"/>
      <c r="QZ105" s="31"/>
      <c r="RA105" s="31"/>
      <c r="RB105" s="31"/>
      <c r="RC105" s="31"/>
      <c r="RD105" s="31"/>
      <c r="RE105" s="31"/>
      <c r="RF105" s="31"/>
      <c r="RG105" s="31"/>
      <c r="RH105" s="31"/>
      <c r="RI105" s="31"/>
      <c r="RJ105" s="31"/>
      <c r="RK105" s="31"/>
      <c r="RL105" s="31"/>
      <c r="RM105" s="31"/>
      <c r="RN105" s="31"/>
      <c r="RO105" s="31"/>
      <c r="RP105" s="31"/>
      <c r="RQ105" s="31"/>
      <c r="RR105" s="23"/>
      <c r="RS105" s="23"/>
      <c r="RT105" s="23"/>
      <c r="RU105" s="23"/>
      <c r="RV105" s="23"/>
      <c r="RW105" s="23">
        <v>-10.2</v>
      </c>
      <c r="RX105" s="23"/>
      <c r="RY105" s="23"/>
      <c r="RZ105" s="23"/>
      <c r="SA105" s="23"/>
      <c r="SB105" s="23"/>
      <c r="SC105" s="23"/>
      <c r="SD105" s="23"/>
      <c r="SE105" s="23"/>
      <c r="SF105" s="23"/>
      <c r="SG105" s="23"/>
      <c r="SH105" s="23"/>
      <c r="SI105" s="23"/>
      <c r="SJ105" s="23"/>
      <c r="SK105" s="23"/>
      <c r="SL105" s="23"/>
      <c r="SM105" s="23"/>
      <c r="SN105" s="23"/>
      <c r="SO105" s="23"/>
      <c r="SP105" s="23"/>
      <c r="SQ105" s="23"/>
      <c r="SR105" s="23"/>
      <c r="SS105" s="23"/>
      <c r="ST105" s="23"/>
      <c r="SU105" s="23"/>
      <c r="SV105" s="23"/>
      <c r="SW105" s="23"/>
      <c r="SX105" s="23"/>
      <c r="SY105" s="23"/>
      <c r="SZ105" s="23"/>
      <c r="TA105" s="23"/>
      <c r="TB105" s="23">
        <v>-10.8</v>
      </c>
      <c r="TC105" s="23"/>
      <c r="TD105" s="23"/>
      <c r="TE105" s="23"/>
      <c r="TF105" s="23"/>
      <c r="TG105" s="23"/>
      <c r="TH105" s="23"/>
      <c r="TI105" s="23"/>
      <c r="TJ105" s="23"/>
      <c r="TK105" s="23"/>
      <c r="TL105" s="23"/>
      <c r="TM105" s="23"/>
      <c r="TN105" s="23"/>
      <c r="TO105" s="23"/>
      <c r="TP105" s="23"/>
      <c r="TQ105" s="23"/>
      <c r="TR105" s="23"/>
      <c r="TS105" s="23"/>
      <c r="TT105" s="23"/>
      <c r="TU105" s="23"/>
      <c r="TV105" s="23"/>
      <c r="TW105" s="23"/>
      <c r="TX105" s="23"/>
      <c r="TY105" s="23"/>
      <c r="TZ105" s="23"/>
      <c r="UA105" s="23"/>
      <c r="UB105" s="23"/>
      <c r="UC105" s="23"/>
      <c r="UD105" s="23"/>
      <c r="UE105" s="23"/>
      <c r="UF105" s="23"/>
      <c r="UG105" s="23"/>
      <c r="UH105" s="23"/>
      <c r="UI105" s="23"/>
      <c r="UJ105" s="23"/>
      <c r="UK105" s="23"/>
      <c r="UL105" s="23"/>
      <c r="UM105" s="23"/>
      <c r="UN105" s="23"/>
      <c r="UO105" s="23"/>
      <c r="UP105" s="23"/>
      <c r="UQ105" s="23"/>
      <c r="UR105" s="23"/>
      <c r="US105" s="23"/>
      <c r="UT105" s="23"/>
    </row>
    <row r="106" ht="16.5" customHeight="1" spans="4:566">
      <c r="D106" s="26" t="s">
        <v>90</v>
      </c>
      <c r="E106" s="21" t="s">
        <v>91</v>
      </c>
      <c r="F106" s="31"/>
      <c r="G106" s="31"/>
      <c r="H106" s="31">
        <v>1.5746</v>
      </c>
      <c r="I106" s="31">
        <v>1.555</v>
      </c>
      <c r="J106" s="31"/>
      <c r="K106" s="31"/>
      <c r="L106" s="31">
        <v>1.5449</v>
      </c>
      <c r="M106" s="31">
        <v>1.5524</v>
      </c>
      <c r="N106" s="31">
        <v>1.565</v>
      </c>
      <c r="O106" s="31">
        <v>1.6041</v>
      </c>
      <c r="P106" s="31">
        <v>1.6343</v>
      </c>
      <c r="Q106" s="31"/>
      <c r="R106" s="31"/>
      <c r="S106" s="31">
        <v>1.6607</v>
      </c>
      <c r="T106" s="31">
        <v>1.6738</v>
      </c>
      <c r="U106" s="31">
        <v>1.6483</v>
      </c>
      <c r="V106" s="31">
        <v>1.6955</v>
      </c>
      <c r="W106" s="31">
        <v>1.7023</v>
      </c>
      <c r="X106" s="31"/>
      <c r="Y106" s="31"/>
      <c r="Z106" s="31">
        <v>1.74</v>
      </c>
      <c r="AA106" s="31">
        <v>1.7383</v>
      </c>
      <c r="AB106" s="31">
        <v>1.711</v>
      </c>
      <c r="AC106" s="31">
        <v>1.7378</v>
      </c>
      <c r="AD106" s="31">
        <v>1.757</v>
      </c>
      <c r="AE106" s="31"/>
      <c r="AF106" s="31">
        <v>1.7198</v>
      </c>
      <c r="AG106" s="31">
        <v>1.7116</v>
      </c>
      <c r="AH106" s="31"/>
      <c r="AI106" s="31"/>
      <c r="AJ106" s="31"/>
      <c r="AK106" s="31"/>
      <c r="AL106" s="31"/>
      <c r="AM106" s="31"/>
      <c r="AN106" s="31"/>
      <c r="AO106" s="31"/>
      <c r="AP106" s="31">
        <v>1.725</v>
      </c>
      <c r="AQ106" s="31">
        <v>1.6958</v>
      </c>
      <c r="AR106" s="31">
        <v>1.6706</v>
      </c>
      <c r="AS106" s="31">
        <v>1.6758</v>
      </c>
      <c r="AT106" s="31"/>
      <c r="AU106" s="31">
        <v>1.7308</v>
      </c>
      <c r="AV106" s="31">
        <v>1.748</v>
      </c>
      <c r="AW106" s="31">
        <v>1.7358</v>
      </c>
      <c r="AX106" s="31">
        <v>1.7559</v>
      </c>
      <c r="AY106" s="31">
        <v>1.8017</v>
      </c>
      <c r="AZ106" s="31"/>
      <c r="BA106" s="31"/>
      <c r="BB106" s="31">
        <v>1.8455</v>
      </c>
      <c r="BC106" s="31">
        <v>1.8725</v>
      </c>
      <c r="BD106" s="31">
        <v>1.8711</v>
      </c>
      <c r="BE106" s="31">
        <v>1.9415</v>
      </c>
      <c r="BF106" s="31">
        <v>1.9625</v>
      </c>
      <c r="BG106" s="31"/>
      <c r="BH106" s="31"/>
      <c r="BI106" s="31">
        <v>1.986</v>
      </c>
      <c r="BJ106" s="31">
        <v>1.99</v>
      </c>
      <c r="BK106" s="31">
        <v>2</v>
      </c>
      <c r="BL106" s="31">
        <v>2.02</v>
      </c>
      <c r="BM106" s="31">
        <v>2.005</v>
      </c>
      <c r="BN106" s="31"/>
      <c r="BO106" s="31"/>
      <c r="BP106" s="31">
        <v>1.9856</v>
      </c>
      <c r="BQ106" s="31">
        <v>1.995</v>
      </c>
      <c r="BR106" s="31">
        <v>2</v>
      </c>
      <c r="BS106" s="31">
        <v>1.9975</v>
      </c>
      <c r="BT106" s="31">
        <v>2.0248</v>
      </c>
      <c r="BU106" s="31"/>
      <c r="BV106" s="31"/>
      <c r="BW106" s="31">
        <v>2.0217</v>
      </c>
      <c r="BX106" s="31">
        <v>2.0306</v>
      </c>
      <c r="BY106" s="31">
        <v>1.9912</v>
      </c>
      <c r="BZ106" s="31">
        <v>1.9628</v>
      </c>
      <c r="CA106" s="31">
        <v>1.9604</v>
      </c>
      <c r="CB106" s="31"/>
      <c r="CC106" s="31"/>
      <c r="CD106" s="31">
        <v>1.9798</v>
      </c>
      <c r="CE106" s="31">
        <v>1.9775</v>
      </c>
      <c r="CF106" s="31">
        <v>1.9707</v>
      </c>
      <c r="CG106" s="31">
        <v>1.949</v>
      </c>
      <c r="CH106" s="31">
        <v>1.935</v>
      </c>
      <c r="CI106" s="31"/>
      <c r="CJ106" s="31"/>
      <c r="CK106" s="31">
        <v>1.926</v>
      </c>
      <c r="CL106" s="31">
        <v>1.9057</v>
      </c>
      <c r="CM106" s="31">
        <v>1.9054</v>
      </c>
      <c r="CN106" s="31">
        <v>1.9</v>
      </c>
      <c r="CO106" s="31">
        <v>1.8994</v>
      </c>
      <c r="CP106" s="31"/>
      <c r="CQ106" s="31"/>
      <c r="CR106" s="31">
        <v>1.8838</v>
      </c>
      <c r="CS106" s="31">
        <v>1.9</v>
      </c>
      <c r="CT106" s="31">
        <v>1.8649</v>
      </c>
      <c r="CU106" s="31">
        <v>1.8</v>
      </c>
      <c r="CV106" s="31"/>
      <c r="CW106" s="31"/>
      <c r="CX106" s="31"/>
      <c r="CY106" s="31">
        <v>1.7377</v>
      </c>
      <c r="CZ106" s="31">
        <v>1.7933</v>
      </c>
      <c r="DA106" s="31">
        <v>1.7653</v>
      </c>
      <c r="DB106" s="31">
        <v>1.7558</v>
      </c>
      <c r="DC106" s="31">
        <v>1.7418</v>
      </c>
      <c r="DD106" s="31"/>
      <c r="DE106" s="31"/>
      <c r="DF106" s="31">
        <v>1.7569</v>
      </c>
      <c r="DG106" s="31">
        <v>1.77</v>
      </c>
      <c r="DH106" s="31">
        <v>1.7638</v>
      </c>
      <c r="DI106" s="31">
        <v>1.76</v>
      </c>
      <c r="DJ106" s="31">
        <v>1.76</v>
      </c>
      <c r="DK106" s="31"/>
      <c r="DL106" s="31"/>
      <c r="DM106" s="31">
        <v>1.7628</v>
      </c>
      <c r="DN106" s="31">
        <v>1.76</v>
      </c>
      <c r="DO106" s="31">
        <v>1.7611</v>
      </c>
      <c r="DP106" s="31">
        <v>1.765</v>
      </c>
      <c r="DQ106" s="31">
        <v>1.763</v>
      </c>
      <c r="DR106" s="31"/>
      <c r="DS106" s="31">
        <v>1.7625</v>
      </c>
      <c r="DT106" s="31">
        <v>1.7663</v>
      </c>
      <c r="DU106" s="31">
        <v>1.76</v>
      </c>
      <c r="DV106" s="31">
        <v>1.7412</v>
      </c>
      <c r="DW106" s="31"/>
      <c r="DX106" s="31"/>
      <c r="DY106" s="31"/>
      <c r="DZ106" s="31"/>
      <c r="EA106" s="31"/>
      <c r="EB106" s="31">
        <v>1.7436</v>
      </c>
      <c r="EC106" s="31">
        <v>1.7091</v>
      </c>
      <c r="ED106" s="31">
        <v>1.665</v>
      </c>
      <c r="EE106" s="31">
        <v>1.6636</v>
      </c>
      <c r="EF106" s="31"/>
      <c r="EG106" s="31"/>
      <c r="EH106" s="31">
        <v>1.6654</v>
      </c>
      <c r="EI106" s="31">
        <v>1.66</v>
      </c>
      <c r="EJ106" s="31">
        <v>1.665</v>
      </c>
      <c r="EK106" s="31">
        <v>1.6675</v>
      </c>
      <c r="EL106" s="31">
        <v>1.685</v>
      </c>
      <c r="EM106" s="31"/>
      <c r="EN106" s="31"/>
      <c r="EO106" s="31">
        <v>1.67</v>
      </c>
      <c r="EP106" s="31">
        <v>1.6763</v>
      </c>
      <c r="EQ106" s="31">
        <v>1.69</v>
      </c>
      <c r="ER106" s="31">
        <v>1.685</v>
      </c>
      <c r="ES106" s="31">
        <v>1.7</v>
      </c>
      <c r="ET106" s="31"/>
      <c r="EU106" s="31"/>
      <c r="EV106" s="31">
        <v>1.705</v>
      </c>
      <c r="EW106" s="31">
        <v>1.711</v>
      </c>
      <c r="EX106" s="31">
        <v>1.715</v>
      </c>
      <c r="EY106" s="31">
        <v>1.72</v>
      </c>
      <c r="EZ106" s="31">
        <v>1.7025</v>
      </c>
      <c r="FA106" s="31"/>
      <c r="FB106" s="31"/>
      <c r="FC106" s="31"/>
      <c r="FD106" s="31">
        <v>1.715</v>
      </c>
      <c r="FE106" s="31">
        <v>1.712</v>
      </c>
      <c r="FF106" s="31">
        <v>1.7025</v>
      </c>
      <c r="FG106" s="31">
        <v>1.68</v>
      </c>
      <c r="FH106" s="31"/>
      <c r="FI106" s="31"/>
      <c r="FJ106" s="31">
        <v>1.6705</v>
      </c>
      <c r="FK106" s="31">
        <v>1.67</v>
      </c>
      <c r="FL106" s="31">
        <v>1.67</v>
      </c>
      <c r="FM106" s="31">
        <v>1.6745</v>
      </c>
      <c r="FN106" s="31">
        <v>1.6709</v>
      </c>
      <c r="FO106" s="31"/>
      <c r="FP106" s="31"/>
      <c r="FQ106" s="31">
        <v>1.6708</v>
      </c>
      <c r="FR106" s="31">
        <v>1.6525</v>
      </c>
      <c r="FS106" s="31">
        <v>1.6475</v>
      </c>
      <c r="FT106" s="31">
        <v>1.64</v>
      </c>
      <c r="FU106" s="31">
        <v>1.6375</v>
      </c>
      <c r="FV106" s="31"/>
      <c r="FW106" s="31"/>
      <c r="FX106" s="31">
        <v>1.6425</v>
      </c>
      <c r="FY106" s="31">
        <v>1.645</v>
      </c>
      <c r="FZ106" s="31">
        <v>1.6525</v>
      </c>
      <c r="GA106" s="31">
        <v>1.645</v>
      </c>
      <c r="GB106" s="31">
        <v>1.646</v>
      </c>
      <c r="GC106" s="31"/>
      <c r="GD106" s="31"/>
      <c r="GE106" s="31">
        <v>1.63</v>
      </c>
      <c r="GF106" s="31">
        <v>1.62</v>
      </c>
      <c r="GG106" s="31">
        <v>1.61</v>
      </c>
      <c r="GH106" s="31">
        <v>1.605</v>
      </c>
      <c r="GI106" s="31">
        <v>1.6058</v>
      </c>
      <c r="GJ106" s="31"/>
      <c r="GK106" s="31"/>
      <c r="GL106" s="31">
        <v>1.5975</v>
      </c>
      <c r="GM106" s="31">
        <v>1.6085</v>
      </c>
      <c r="GN106" s="31">
        <v>1.615</v>
      </c>
      <c r="GO106" s="31">
        <v>1.6253</v>
      </c>
      <c r="GP106" s="31">
        <v>1.6305</v>
      </c>
      <c r="GQ106" s="31"/>
      <c r="GR106" s="31"/>
      <c r="GS106" s="31">
        <v>1.6418</v>
      </c>
      <c r="GT106" s="31">
        <v>1.6253</v>
      </c>
      <c r="GU106" s="31">
        <v>1.63</v>
      </c>
      <c r="GV106" s="31">
        <v>1.625</v>
      </c>
      <c r="GW106" s="31">
        <v>1.6175</v>
      </c>
      <c r="GX106" s="31"/>
      <c r="GY106" s="31"/>
      <c r="GZ106" s="31">
        <v>1.6325</v>
      </c>
      <c r="HA106" s="31">
        <v>1.63</v>
      </c>
      <c r="HB106" s="31">
        <v>1.6432</v>
      </c>
      <c r="HC106" s="31">
        <v>1.668</v>
      </c>
      <c r="HD106" s="31">
        <v>1.6707</v>
      </c>
      <c r="HE106" s="31"/>
      <c r="HF106" s="31"/>
      <c r="HG106" s="31">
        <v>1.66</v>
      </c>
      <c r="HH106" s="31">
        <v>1.675</v>
      </c>
      <c r="HI106" s="31">
        <v>1.665</v>
      </c>
      <c r="HJ106" s="31">
        <v>1.64</v>
      </c>
      <c r="HK106" s="31">
        <v>1.635</v>
      </c>
      <c r="HL106" s="31"/>
      <c r="HM106" s="31"/>
      <c r="HN106" s="31">
        <v>1.6304</v>
      </c>
      <c r="HO106" s="31">
        <v>1.6386</v>
      </c>
      <c r="HP106" s="31">
        <v>1.6325</v>
      </c>
      <c r="HQ106" s="31">
        <v>1.63</v>
      </c>
      <c r="HR106" s="31">
        <v>1.6222</v>
      </c>
      <c r="HS106" s="31"/>
      <c r="HT106" s="31"/>
      <c r="HU106" s="31">
        <v>1.63</v>
      </c>
      <c r="HV106" s="31">
        <v>1.64</v>
      </c>
      <c r="HW106" s="31">
        <v>1.6375</v>
      </c>
      <c r="HX106" s="31">
        <v>1.6425</v>
      </c>
      <c r="HY106" s="31">
        <v>1.6425</v>
      </c>
      <c r="HZ106" s="31"/>
      <c r="IA106" s="31"/>
      <c r="IB106" s="31">
        <v>1.6736</v>
      </c>
      <c r="IC106" s="31">
        <v>1.6655</v>
      </c>
      <c r="ID106" s="31">
        <v>1.67</v>
      </c>
      <c r="IE106" s="31">
        <v>1.6675</v>
      </c>
      <c r="IF106" s="31">
        <v>1.6675</v>
      </c>
      <c r="IG106" s="31"/>
      <c r="IH106" s="31"/>
      <c r="II106" s="31">
        <v>1.6675</v>
      </c>
      <c r="IJ106" s="31">
        <v>1.665</v>
      </c>
      <c r="IK106" s="31">
        <v>1.6665</v>
      </c>
      <c r="IL106" s="31">
        <v>1.6675</v>
      </c>
      <c r="IM106" s="31">
        <v>1.665</v>
      </c>
      <c r="IN106" s="31"/>
      <c r="IO106" s="31"/>
      <c r="IP106" s="31">
        <v>1.66</v>
      </c>
      <c r="IQ106" s="31">
        <v>1.6575</v>
      </c>
      <c r="IR106" s="31">
        <v>1.6525</v>
      </c>
      <c r="IS106" s="31">
        <v>1.66</v>
      </c>
      <c r="IT106" s="31">
        <v>1.665</v>
      </c>
      <c r="IU106" s="31"/>
      <c r="IV106" s="31"/>
      <c r="IW106" s="31">
        <v>1.675</v>
      </c>
      <c r="IX106" s="31">
        <v>1.675</v>
      </c>
      <c r="IY106" s="31">
        <v>1.6775</v>
      </c>
      <c r="IZ106" s="31">
        <v>1.68</v>
      </c>
      <c r="JA106" s="31">
        <v>1.6764</v>
      </c>
      <c r="JB106" s="31"/>
      <c r="JC106" s="31"/>
      <c r="JD106" s="31">
        <v>1.6769</v>
      </c>
      <c r="JE106" s="31">
        <v>1.68</v>
      </c>
      <c r="JF106" s="31">
        <v>1.6775</v>
      </c>
      <c r="JG106" s="31">
        <v>1.68</v>
      </c>
      <c r="JH106" s="31">
        <v>1.68</v>
      </c>
      <c r="JI106" s="31"/>
      <c r="JJ106" s="31"/>
      <c r="JK106" s="31">
        <v>1.685</v>
      </c>
      <c r="JL106" s="31">
        <v>1.6875</v>
      </c>
      <c r="JM106" s="31">
        <v>1.695</v>
      </c>
      <c r="JN106" s="31">
        <v>1.6981</v>
      </c>
      <c r="JO106" s="31">
        <v>1.692</v>
      </c>
      <c r="JP106" s="31"/>
      <c r="JQ106" s="31">
        <v>1.695</v>
      </c>
      <c r="JR106" s="31">
        <v>1.685</v>
      </c>
      <c r="JS106" s="31">
        <v>1.675</v>
      </c>
      <c r="JT106" s="31"/>
      <c r="JU106" s="31"/>
      <c r="JV106" s="31"/>
      <c r="JW106" s="31"/>
      <c r="JX106" s="31"/>
      <c r="JY106" s="31"/>
      <c r="JZ106" s="31"/>
      <c r="KA106" s="31"/>
      <c r="KB106" s="31">
        <v>1.6647</v>
      </c>
      <c r="KC106" s="31">
        <v>1.6619</v>
      </c>
      <c r="KD106" s="31">
        <v>1.6521</v>
      </c>
      <c r="KE106" s="31"/>
      <c r="KF106" s="31">
        <v>1.6657</v>
      </c>
      <c r="KG106" s="31">
        <v>1.6695</v>
      </c>
      <c r="KH106" s="31">
        <v>1.67</v>
      </c>
      <c r="KI106" s="31">
        <v>1.6725</v>
      </c>
      <c r="KJ106" s="31">
        <v>1.6725</v>
      </c>
      <c r="KK106" s="31"/>
      <c r="KL106" s="31"/>
      <c r="KM106" s="31">
        <v>1.6745</v>
      </c>
      <c r="KN106" s="31">
        <v>1.6725</v>
      </c>
      <c r="KO106" s="31">
        <v>1.6754</v>
      </c>
      <c r="KP106" s="31">
        <v>1.68</v>
      </c>
      <c r="KQ106" s="31">
        <v>1.68</v>
      </c>
      <c r="KR106" s="31"/>
      <c r="KS106" s="31"/>
      <c r="KT106" s="31">
        <v>1.6761</v>
      </c>
      <c r="KU106" s="31">
        <v>1.6625</v>
      </c>
      <c r="KV106" s="31">
        <v>1.641</v>
      </c>
      <c r="KW106" s="31">
        <v>1.64</v>
      </c>
      <c r="KX106" s="31">
        <v>1.6325</v>
      </c>
      <c r="KY106" s="31"/>
      <c r="KZ106" s="31"/>
      <c r="LA106" s="31">
        <v>1.6325</v>
      </c>
      <c r="LB106" s="31">
        <v>1.64</v>
      </c>
      <c r="LC106" s="31">
        <v>1.6375</v>
      </c>
      <c r="LD106" s="31">
        <v>1.635</v>
      </c>
      <c r="LE106" s="31">
        <v>1.6375</v>
      </c>
      <c r="LF106" s="31"/>
      <c r="LG106" s="31"/>
      <c r="LH106" s="31">
        <v>1.635</v>
      </c>
      <c r="LI106" s="31">
        <v>1.635</v>
      </c>
      <c r="LJ106" s="31">
        <v>1.6335</v>
      </c>
      <c r="LK106" s="31">
        <v>1.635</v>
      </c>
      <c r="LL106" s="31">
        <v>1.64</v>
      </c>
      <c r="LM106" s="31"/>
      <c r="LN106" s="31"/>
      <c r="LO106" s="31">
        <v>1.64</v>
      </c>
      <c r="LP106" s="31">
        <v>1.6396</v>
      </c>
      <c r="LQ106" s="31">
        <v>1.6375</v>
      </c>
      <c r="LR106" s="31">
        <v>1.64</v>
      </c>
      <c r="LS106" s="31">
        <v>1.64</v>
      </c>
      <c r="LT106" s="31"/>
      <c r="LU106" s="31"/>
      <c r="LV106" s="31">
        <v>1.6425</v>
      </c>
      <c r="LW106" s="31">
        <v>1.6475</v>
      </c>
      <c r="LX106" s="31">
        <v>1.645</v>
      </c>
      <c r="LY106" s="31">
        <v>1.65</v>
      </c>
      <c r="LZ106" s="31">
        <v>1.65</v>
      </c>
      <c r="MA106" s="31"/>
      <c r="MB106" s="31"/>
      <c r="MC106" s="31">
        <v>1.64</v>
      </c>
      <c r="MD106" s="31">
        <v>1.6494</v>
      </c>
      <c r="ME106" s="31">
        <v>1.6525</v>
      </c>
      <c r="MF106" s="31">
        <v>1.665</v>
      </c>
      <c r="MG106" s="31">
        <v>1.66</v>
      </c>
      <c r="MH106" s="31"/>
      <c r="MI106" s="31"/>
      <c r="MJ106" s="31">
        <v>1.66</v>
      </c>
      <c r="MK106" s="31">
        <v>1.66</v>
      </c>
      <c r="ML106" s="31">
        <v>1.66</v>
      </c>
      <c r="MM106" s="31">
        <v>1.6625</v>
      </c>
      <c r="MN106" s="31">
        <v>1.665</v>
      </c>
      <c r="MO106" s="31"/>
      <c r="MP106" s="31"/>
      <c r="MQ106" s="31">
        <v>1.6675</v>
      </c>
      <c r="MR106" s="31">
        <v>1.67</v>
      </c>
      <c r="MS106" s="31">
        <v>1.66</v>
      </c>
      <c r="MT106" s="31">
        <v>1.6485</v>
      </c>
      <c r="MU106" s="31">
        <v>1.6388</v>
      </c>
      <c r="MV106" s="31"/>
      <c r="MW106" s="31"/>
      <c r="MX106" s="31">
        <v>1.6425</v>
      </c>
      <c r="MY106" s="31">
        <v>1.6425</v>
      </c>
      <c r="MZ106" s="31">
        <v>1.6425</v>
      </c>
      <c r="NA106" s="31">
        <v>1.6425</v>
      </c>
      <c r="NB106" s="31">
        <v>1.6425</v>
      </c>
      <c r="NC106" s="31"/>
      <c r="ND106" s="31"/>
      <c r="NE106" s="31">
        <v>1.645</v>
      </c>
      <c r="NF106" s="31">
        <v>1.64</v>
      </c>
      <c r="NG106" s="31">
        <v>1.63</v>
      </c>
      <c r="NH106" s="31"/>
      <c r="NI106" s="31"/>
      <c r="NJ106" s="31"/>
      <c r="NK106" s="31">
        <v>1.625</v>
      </c>
      <c r="NL106" s="31">
        <v>1.6225</v>
      </c>
      <c r="NM106" s="31">
        <v>1.6335</v>
      </c>
      <c r="NN106" s="31">
        <v>1.6375</v>
      </c>
      <c r="NO106" s="31">
        <v>1.6275</v>
      </c>
      <c r="NP106" s="31">
        <v>1.6375</v>
      </c>
      <c r="NQ106" s="31"/>
      <c r="NR106" s="31"/>
      <c r="NS106" s="31">
        <v>1.64</v>
      </c>
      <c r="NT106" s="31">
        <v>1.64</v>
      </c>
      <c r="NU106" s="31">
        <v>1.64</v>
      </c>
      <c r="NV106" s="31">
        <v>1.6325</v>
      </c>
      <c r="NW106" s="31">
        <v>1.6275</v>
      </c>
      <c r="NX106" s="31"/>
      <c r="NY106" s="31"/>
      <c r="NZ106" s="31">
        <v>1.6275</v>
      </c>
      <c r="OA106" s="31">
        <v>1.6225</v>
      </c>
      <c r="OB106" s="31">
        <v>1.6075</v>
      </c>
      <c r="OC106" s="31">
        <v>1.61</v>
      </c>
      <c r="OD106" s="31">
        <v>1.595</v>
      </c>
      <c r="OE106" s="31"/>
      <c r="OF106" s="31"/>
      <c r="OG106" s="31">
        <v>1.605</v>
      </c>
      <c r="OH106" s="31">
        <v>1.605</v>
      </c>
      <c r="OI106" s="31">
        <v>1.6035</v>
      </c>
      <c r="OJ106" s="31">
        <v>1.605</v>
      </c>
      <c r="OK106" s="31">
        <v>1.6</v>
      </c>
      <c r="OL106" s="31"/>
      <c r="OM106" s="31"/>
      <c r="ON106" s="31">
        <v>1.5975</v>
      </c>
      <c r="OO106" s="31">
        <v>1.6</v>
      </c>
      <c r="OP106" s="31">
        <v>1.6</v>
      </c>
      <c r="OQ106" s="31">
        <v>1.595</v>
      </c>
      <c r="OR106" s="31">
        <v>1.59</v>
      </c>
      <c r="OS106" s="31"/>
      <c r="OT106" s="31"/>
      <c r="OU106" s="31">
        <v>1.5875</v>
      </c>
      <c r="OV106" s="31">
        <v>1.5925</v>
      </c>
      <c r="OW106" s="31">
        <v>1.5913</v>
      </c>
      <c r="OX106" s="31">
        <v>1.5862</v>
      </c>
      <c r="OY106" s="31">
        <v>1.5825</v>
      </c>
      <c r="OZ106" s="31">
        <v>1.585</v>
      </c>
      <c r="PA106" s="31"/>
      <c r="PB106" s="31"/>
      <c r="PC106" s="31"/>
      <c r="PD106" s="31"/>
      <c r="PE106" s="31"/>
      <c r="PF106" s="31"/>
      <c r="PG106" s="31"/>
      <c r="PH106" s="31"/>
      <c r="PI106" s="31"/>
      <c r="PJ106" s="31">
        <v>1.5876</v>
      </c>
      <c r="PK106" s="31">
        <v>1.5899</v>
      </c>
      <c r="PL106" s="31">
        <v>1.5908</v>
      </c>
      <c r="PM106" s="31">
        <v>1.583</v>
      </c>
      <c r="PN106" s="31">
        <v>1.58</v>
      </c>
      <c r="PO106" s="31"/>
      <c r="PP106" s="31">
        <v>1.575</v>
      </c>
      <c r="PQ106" s="31">
        <v>1.565</v>
      </c>
      <c r="PR106" s="31">
        <v>1.5575</v>
      </c>
      <c r="PS106" s="31">
        <v>1.5575</v>
      </c>
      <c r="PT106" s="31">
        <v>1.5575</v>
      </c>
      <c r="PU106" s="31"/>
      <c r="PV106" s="31"/>
      <c r="PW106" s="31">
        <v>1.5625</v>
      </c>
      <c r="PX106" s="31">
        <v>1.56</v>
      </c>
      <c r="PY106" s="31">
        <v>1.5575</v>
      </c>
      <c r="PZ106" s="31">
        <v>1.5525</v>
      </c>
      <c r="QA106" s="31">
        <v>1.535</v>
      </c>
      <c r="QB106" s="31"/>
      <c r="QC106" s="31"/>
      <c r="QD106" s="31">
        <v>1.5425</v>
      </c>
      <c r="QE106" s="31">
        <v>1.54</v>
      </c>
      <c r="QF106" s="31">
        <v>1.5335</v>
      </c>
      <c r="QG106" s="31">
        <v>1.5225</v>
      </c>
      <c r="QH106" s="31">
        <v>1.5175</v>
      </c>
      <c r="QI106" s="31"/>
      <c r="QJ106" s="31"/>
      <c r="QK106" s="31">
        <v>1.53</v>
      </c>
      <c r="QL106" s="31">
        <v>1.535</v>
      </c>
      <c r="QM106" s="31">
        <v>1.5325</v>
      </c>
      <c r="QN106" s="31">
        <v>1.535</v>
      </c>
      <c r="QO106" s="31">
        <v>1.531</v>
      </c>
      <c r="QP106" s="31"/>
      <c r="QQ106" s="31"/>
      <c r="QR106" s="31">
        <v>1.5125</v>
      </c>
      <c r="QS106" s="31">
        <v>1.5125</v>
      </c>
      <c r="QT106" s="31">
        <v>1.5155</v>
      </c>
      <c r="QU106" s="31">
        <v>1.5</v>
      </c>
      <c r="QV106" s="31">
        <v>1.48</v>
      </c>
      <c r="QW106" s="31"/>
      <c r="QX106" s="31"/>
      <c r="QY106" s="31"/>
      <c r="QZ106" s="31">
        <v>1.4775</v>
      </c>
      <c r="RA106" s="31">
        <v>1.48</v>
      </c>
      <c r="RB106" s="31">
        <v>1.4825</v>
      </c>
      <c r="RC106" s="31">
        <v>1.4825</v>
      </c>
      <c r="RD106" s="31"/>
      <c r="RE106" s="31"/>
      <c r="RF106" s="31">
        <v>1.486</v>
      </c>
      <c r="RG106" s="31">
        <v>1.4872</v>
      </c>
      <c r="RH106" s="31">
        <v>1.483</v>
      </c>
      <c r="RI106" s="31">
        <v>1.48</v>
      </c>
      <c r="RJ106" s="31">
        <v>1.475</v>
      </c>
      <c r="RK106" s="31"/>
      <c r="RL106" s="31"/>
      <c r="RM106" s="31">
        <v>1.4725</v>
      </c>
      <c r="RN106" s="31">
        <v>1.455</v>
      </c>
      <c r="RO106" s="31">
        <v>1.443</v>
      </c>
      <c r="RP106" s="31">
        <v>1.4485</v>
      </c>
      <c r="RQ106" s="31">
        <v>1.4475</v>
      </c>
      <c r="RR106" s="23"/>
      <c r="RS106" s="23"/>
      <c r="RT106" s="23">
        <v>1.4635</v>
      </c>
      <c r="RU106" s="23">
        <v>1.4575</v>
      </c>
      <c r="RV106" s="23">
        <v>1.4459</v>
      </c>
      <c r="RW106" s="23">
        <v>1.4484</v>
      </c>
      <c r="RX106" s="23"/>
      <c r="RY106" s="23"/>
      <c r="RZ106" s="23"/>
      <c r="SA106" s="23"/>
      <c r="SB106" s="23"/>
      <c r="SC106" s="23">
        <v>1.47</v>
      </c>
      <c r="SD106" s="23">
        <v>1.45</v>
      </c>
      <c r="SE106" s="23">
        <v>1.4475</v>
      </c>
      <c r="SF106" s="23">
        <v>1.4435</v>
      </c>
      <c r="SG106" s="23"/>
      <c r="SH106" s="23">
        <v>1.444</v>
      </c>
      <c r="SI106" s="23">
        <v>1.4375</v>
      </c>
      <c r="SJ106" s="23">
        <v>1.44</v>
      </c>
      <c r="SK106" s="23">
        <v>1.44</v>
      </c>
      <c r="SL106" s="23">
        <v>1.445</v>
      </c>
      <c r="SM106" s="23"/>
      <c r="SN106" s="23"/>
      <c r="SO106" s="23">
        <v>1.4475</v>
      </c>
      <c r="SP106" s="23">
        <v>1.445</v>
      </c>
      <c r="SQ106" s="23">
        <v>1.4455</v>
      </c>
      <c r="SR106" s="23">
        <v>1.4475</v>
      </c>
      <c r="SS106" s="23">
        <v>1.4525</v>
      </c>
      <c r="ST106" s="23"/>
      <c r="SU106" s="23"/>
      <c r="SV106" s="23">
        <v>1.4475</v>
      </c>
      <c r="SW106" s="23">
        <v>1.445</v>
      </c>
      <c r="SX106" s="23">
        <v>1.438</v>
      </c>
      <c r="SY106" s="23">
        <v>1.4355</v>
      </c>
      <c r="SZ106" s="23">
        <v>1.435</v>
      </c>
      <c r="TA106" s="23"/>
      <c r="TB106" s="23"/>
      <c r="TC106" s="23">
        <v>1.4325</v>
      </c>
      <c r="TD106" s="23">
        <v>1.434</v>
      </c>
      <c r="TE106" s="23">
        <v>1.435</v>
      </c>
      <c r="TF106" s="23">
        <v>1.4375</v>
      </c>
      <c r="TG106" s="23">
        <v>1.445</v>
      </c>
      <c r="TH106" s="23"/>
      <c r="TI106" s="23"/>
      <c r="TJ106" s="23">
        <v>1.455</v>
      </c>
      <c r="TK106" s="23">
        <v>1.4617</v>
      </c>
      <c r="TL106" s="23">
        <v>1.465</v>
      </c>
      <c r="TM106" s="23">
        <v>1.4825</v>
      </c>
      <c r="TN106" s="23">
        <v>1.495</v>
      </c>
      <c r="TO106" s="23"/>
      <c r="TP106" s="23"/>
      <c r="TQ106" s="23">
        <v>1.5</v>
      </c>
      <c r="TR106" s="23">
        <v>1.5</v>
      </c>
      <c r="TS106" s="23">
        <v>1.4765</v>
      </c>
      <c r="TT106" s="23">
        <v>1.4775</v>
      </c>
      <c r="TU106" s="23"/>
      <c r="TV106" s="23"/>
      <c r="TW106" s="23"/>
      <c r="TX106" s="23">
        <v>1.49</v>
      </c>
      <c r="TY106" s="23">
        <v>1.4975</v>
      </c>
      <c r="TZ106" s="23">
        <v>1.49</v>
      </c>
      <c r="UA106" s="23">
        <v>1.485</v>
      </c>
      <c r="UB106" s="23">
        <v>1.485</v>
      </c>
      <c r="UC106" s="23"/>
      <c r="UD106" s="23"/>
      <c r="UE106" s="23">
        <v>1.47</v>
      </c>
      <c r="UF106" s="23">
        <v>1.4668</v>
      </c>
      <c r="UG106" s="23">
        <v>1.4812</v>
      </c>
      <c r="UH106" s="23">
        <v>1.47</v>
      </c>
      <c r="UI106" s="23">
        <v>1.465</v>
      </c>
      <c r="UJ106" s="23"/>
      <c r="UK106" s="23"/>
      <c r="UL106" s="23"/>
      <c r="UM106" s="23"/>
      <c r="UN106" s="23"/>
      <c r="UO106" s="23"/>
      <c r="UP106" s="23"/>
      <c r="UQ106" s="23"/>
      <c r="UR106" s="23"/>
      <c r="US106" s="23"/>
      <c r="UT106" s="23"/>
    </row>
    <row r="107" ht="16.5" customHeight="1" spans="4:566">
      <c r="D107" s="26" t="s">
        <v>421</v>
      </c>
      <c r="E107" s="21" t="s">
        <v>137</v>
      </c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>
        <v>49.5</v>
      </c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>
        <v>50.8</v>
      </c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>
        <v>49.8</v>
      </c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  <c r="DI107" s="31"/>
      <c r="DJ107" s="31"/>
      <c r="DK107" s="31"/>
      <c r="DL107" s="31"/>
      <c r="DM107" s="31"/>
      <c r="DN107" s="31"/>
      <c r="DO107" s="31"/>
      <c r="DP107" s="31"/>
      <c r="DQ107" s="31"/>
      <c r="DR107" s="31"/>
      <c r="DS107" s="31"/>
      <c r="DT107" s="31"/>
      <c r="DU107" s="31"/>
      <c r="DV107" s="31">
        <v>47</v>
      </c>
      <c r="DW107" s="31"/>
      <c r="DX107" s="31"/>
      <c r="DY107" s="31"/>
      <c r="DZ107" s="31"/>
      <c r="EA107" s="31"/>
      <c r="EB107" s="31"/>
      <c r="EC107" s="31"/>
      <c r="ED107" s="31"/>
      <c r="EE107" s="31"/>
      <c r="EF107" s="31"/>
      <c r="EG107" s="31"/>
      <c r="EH107" s="31"/>
      <c r="EI107" s="31"/>
      <c r="EJ107" s="31"/>
      <c r="EK107" s="31"/>
      <c r="EL107" s="31"/>
      <c r="EM107" s="31"/>
      <c r="EN107" s="31"/>
      <c r="EO107" s="31"/>
      <c r="EP107" s="31"/>
      <c r="EQ107" s="31"/>
      <c r="ER107" s="31"/>
      <c r="ES107" s="31"/>
      <c r="ET107" s="31"/>
      <c r="EU107" s="31"/>
      <c r="EV107" s="31"/>
      <c r="EW107" s="31"/>
      <c r="EX107" s="31"/>
      <c r="EY107" s="31"/>
      <c r="EZ107" s="31"/>
      <c r="FA107" s="31">
        <v>46.9</v>
      </c>
      <c r="FB107" s="31"/>
      <c r="FC107" s="31"/>
      <c r="FD107" s="31"/>
      <c r="FE107" s="31"/>
      <c r="FF107" s="31"/>
      <c r="FG107" s="31"/>
      <c r="FH107" s="31"/>
      <c r="FI107" s="31"/>
      <c r="FJ107" s="31"/>
      <c r="FK107" s="31"/>
      <c r="FL107" s="31"/>
      <c r="FM107" s="31"/>
      <c r="FN107" s="31"/>
      <c r="FO107" s="31"/>
      <c r="FP107" s="31"/>
      <c r="FQ107" s="31"/>
      <c r="FR107" s="31"/>
      <c r="FS107" s="31"/>
      <c r="FT107" s="31"/>
      <c r="FU107" s="31"/>
      <c r="FV107" s="31"/>
      <c r="FW107" s="31"/>
      <c r="FX107" s="31"/>
      <c r="FY107" s="31"/>
      <c r="FZ107" s="31"/>
      <c r="GA107" s="31"/>
      <c r="GB107" s="31"/>
      <c r="GC107" s="31"/>
      <c r="GD107" s="31"/>
      <c r="GE107" s="31">
        <v>48.4</v>
      </c>
      <c r="GF107" s="31"/>
      <c r="GG107" s="31"/>
      <c r="GH107" s="31"/>
      <c r="GI107" s="31"/>
      <c r="GJ107" s="31"/>
      <c r="GK107" s="31"/>
      <c r="GL107" s="31"/>
      <c r="GM107" s="31"/>
      <c r="GN107" s="31"/>
      <c r="GO107" s="31"/>
      <c r="GP107" s="31"/>
      <c r="GQ107" s="31"/>
      <c r="GR107" s="31"/>
      <c r="GS107" s="31"/>
      <c r="GT107" s="31"/>
      <c r="GU107" s="31"/>
      <c r="GV107" s="31"/>
      <c r="GW107" s="31"/>
      <c r="GX107" s="31"/>
      <c r="GY107" s="31"/>
      <c r="GZ107" s="31"/>
      <c r="HA107" s="31"/>
      <c r="HB107" s="31"/>
      <c r="HC107" s="31"/>
      <c r="HD107" s="31"/>
      <c r="HE107" s="31"/>
      <c r="HF107" s="31"/>
      <c r="HG107" s="31"/>
      <c r="HH107" s="31"/>
      <c r="HI107" s="31"/>
      <c r="HJ107" s="31">
        <v>51.5</v>
      </c>
      <c r="HK107" s="31"/>
      <c r="HL107" s="31"/>
      <c r="HM107" s="31"/>
      <c r="HN107" s="31"/>
      <c r="HO107" s="31"/>
      <c r="HP107" s="31"/>
      <c r="HQ107" s="31"/>
      <c r="HR107" s="31"/>
      <c r="HS107" s="31"/>
      <c r="HT107" s="31"/>
      <c r="HU107" s="31"/>
      <c r="HV107" s="31"/>
      <c r="HW107" s="31"/>
      <c r="HX107" s="31"/>
      <c r="HY107" s="31"/>
      <c r="HZ107" s="31"/>
      <c r="IA107" s="31"/>
      <c r="IB107" s="31"/>
      <c r="IC107" s="31"/>
      <c r="ID107" s="31"/>
      <c r="IE107" s="31"/>
      <c r="IF107" s="31"/>
      <c r="IG107" s="31"/>
      <c r="IH107" s="31"/>
      <c r="II107" s="31"/>
      <c r="IJ107" s="31"/>
      <c r="IK107" s="31"/>
      <c r="IL107" s="31"/>
      <c r="IM107" s="31"/>
      <c r="IN107" s="31"/>
      <c r="IO107" s="31">
        <v>53.3</v>
      </c>
      <c r="IP107" s="31"/>
      <c r="IQ107" s="31"/>
      <c r="IR107" s="31"/>
      <c r="IS107" s="31"/>
      <c r="IT107" s="31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  <c r="JN107" s="31"/>
      <c r="JO107" s="31"/>
      <c r="JP107" s="31"/>
      <c r="JQ107" s="31"/>
      <c r="JR107" s="31"/>
      <c r="JS107" s="31">
        <v>53.2</v>
      </c>
      <c r="JT107" s="31"/>
      <c r="JU107" s="31"/>
      <c r="JV107" s="31"/>
      <c r="JW107" s="31"/>
      <c r="JX107" s="31"/>
      <c r="JY107" s="31"/>
      <c r="JZ107" s="31"/>
      <c r="KA107" s="31"/>
      <c r="KB107" s="31"/>
      <c r="KC107" s="31"/>
      <c r="KD107" s="31"/>
      <c r="KE107" s="31"/>
      <c r="KF107" s="31"/>
      <c r="KG107" s="31"/>
      <c r="KH107" s="31"/>
      <c r="KI107" s="31"/>
      <c r="KJ107" s="31"/>
      <c r="KK107" s="31"/>
      <c r="KL107" s="31"/>
      <c r="KM107" s="31"/>
      <c r="KN107" s="31"/>
      <c r="KO107" s="31"/>
      <c r="KP107" s="31"/>
      <c r="KQ107" s="31"/>
      <c r="KR107" s="31"/>
      <c r="KS107" s="31"/>
      <c r="KT107" s="31"/>
      <c r="KU107" s="31"/>
      <c r="KV107" s="31"/>
      <c r="KW107" s="31"/>
      <c r="KX107" s="31">
        <v>52.5</v>
      </c>
      <c r="KY107" s="31"/>
      <c r="KZ107" s="31"/>
      <c r="LA107" s="31"/>
      <c r="LB107" s="31"/>
      <c r="LC107" s="31"/>
      <c r="LD107" s="31"/>
      <c r="LE107" s="31"/>
      <c r="LF107" s="31"/>
      <c r="LG107" s="31"/>
      <c r="LH107" s="31"/>
      <c r="LI107" s="31"/>
      <c r="LJ107" s="31"/>
      <c r="LK107" s="31"/>
      <c r="LL107" s="31"/>
      <c r="LM107" s="31"/>
      <c r="LN107" s="31"/>
      <c r="LO107" s="31"/>
      <c r="LP107" s="31"/>
      <c r="LQ107" s="31"/>
      <c r="LR107" s="31"/>
      <c r="LS107" s="31"/>
      <c r="LT107" s="31"/>
      <c r="LU107" s="31"/>
      <c r="LV107" s="31"/>
      <c r="LW107" s="31"/>
      <c r="LX107" s="31"/>
      <c r="LY107" s="31"/>
      <c r="LZ107" s="31"/>
      <c r="MA107" s="31"/>
      <c r="MB107" s="31">
        <v>53.6</v>
      </c>
      <c r="MC107" s="31"/>
      <c r="MD107" s="31"/>
      <c r="ME107" s="31"/>
      <c r="MF107" s="31"/>
      <c r="MG107" s="31"/>
      <c r="MH107" s="31"/>
      <c r="MI107" s="31"/>
      <c r="MJ107" s="31"/>
      <c r="MK107" s="31"/>
      <c r="ML107" s="31"/>
      <c r="MM107" s="31"/>
      <c r="MN107" s="31"/>
      <c r="MO107" s="31"/>
      <c r="MP107" s="31"/>
      <c r="MQ107" s="31"/>
      <c r="MR107" s="31"/>
      <c r="MS107" s="31"/>
      <c r="MT107" s="31"/>
      <c r="MU107" s="31"/>
      <c r="MV107" s="31"/>
      <c r="MW107" s="31"/>
      <c r="MX107" s="31"/>
      <c r="MY107" s="31"/>
      <c r="MZ107" s="31"/>
      <c r="NA107" s="31"/>
      <c r="NB107" s="31"/>
      <c r="NC107" s="31"/>
      <c r="ND107" s="31"/>
      <c r="NE107" s="31"/>
      <c r="NF107" s="31"/>
      <c r="NG107" s="31">
        <v>53.1</v>
      </c>
      <c r="NH107" s="31"/>
      <c r="NI107" s="31"/>
      <c r="NJ107" s="31"/>
      <c r="NK107" s="31"/>
      <c r="NL107" s="31"/>
      <c r="NM107" s="31"/>
      <c r="NN107" s="31"/>
      <c r="NO107" s="31"/>
      <c r="NP107" s="31"/>
      <c r="NQ107" s="31"/>
      <c r="NR107" s="31"/>
      <c r="NS107" s="31"/>
      <c r="NT107" s="31"/>
      <c r="NU107" s="31"/>
      <c r="NV107" s="31"/>
      <c r="NW107" s="31"/>
      <c r="NX107" s="31"/>
      <c r="NY107" s="31"/>
      <c r="NZ107" s="31"/>
      <c r="OA107" s="31"/>
      <c r="OB107" s="31"/>
      <c r="OC107" s="31"/>
      <c r="OD107" s="31"/>
      <c r="OE107" s="31"/>
      <c r="OF107" s="31"/>
      <c r="OG107" s="31"/>
      <c r="OH107" s="31"/>
      <c r="OI107" s="31"/>
      <c r="OJ107" s="31"/>
      <c r="OK107" s="31"/>
      <c r="OL107" s="31">
        <v>56.1</v>
      </c>
      <c r="OM107" s="31"/>
      <c r="ON107" s="31"/>
      <c r="OO107" s="31"/>
      <c r="OP107" s="31"/>
      <c r="OQ107" s="31"/>
      <c r="OR107" s="31"/>
      <c r="OS107" s="31"/>
      <c r="OT107" s="31"/>
      <c r="OU107" s="31"/>
      <c r="OV107" s="31"/>
      <c r="OW107" s="31"/>
      <c r="OX107" s="31"/>
      <c r="OY107" s="31"/>
      <c r="OZ107" s="31"/>
      <c r="PA107" s="31"/>
      <c r="PB107" s="31"/>
      <c r="PC107" s="31"/>
      <c r="PD107" s="31"/>
      <c r="PE107" s="31"/>
      <c r="PF107" s="31"/>
      <c r="PG107" s="31"/>
      <c r="PH107" s="31"/>
      <c r="PI107" s="31"/>
      <c r="PJ107" s="31"/>
      <c r="PK107" s="31"/>
      <c r="PL107" s="31"/>
      <c r="PM107" s="31"/>
      <c r="PN107" s="31">
        <v>54.8</v>
      </c>
      <c r="PO107" s="31"/>
      <c r="PP107" s="31"/>
      <c r="PQ107" s="31"/>
      <c r="PR107" s="31"/>
      <c r="PS107" s="31"/>
      <c r="PT107" s="31"/>
      <c r="PU107" s="31"/>
      <c r="PV107" s="31"/>
      <c r="PW107" s="31"/>
      <c r="PX107" s="31"/>
      <c r="PY107" s="31"/>
      <c r="PZ107" s="31"/>
      <c r="QA107" s="31"/>
      <c r="QB107" s="31"/>
      <c r="QC107" s="31"/>
      <c r="QD107" s="31"/>
      <c r="QE107" s="31"/>
      <c r="QF107" s="31"/>
      <c r="QG107" s="31"/>
      <c r="QH107" s="31"/>
      <c r="QI107" s="31"/>
      <c r="QJ107" s="31"/>
      <c r="QK107" s="31"/>
      <c r="QL107" s="31"/>
      <c r="QM107" s="31"/>
      <c r="QN107" s="31"/>
      <c r="QO107" s="31"/>
      <c r="QP107" s="31"/>
      <c r="QQ107" s="31"/>
      <c r="QR107" s="31"/>
      <c r="QS107" s="31">
        <v>63.9</v>
      </c>
      <c r="QT107" s="31"/>
      <c r="QU107" s="31"/>
      <c r="QV107" s="31"/>
      <c r="QW107" s="31"/>
      <c r="QX107" s="31"/>
      <c r="QY107" s="31"/>
      <c r="QZ107" s="31"/>
      <c r="RA107" s="31"/>
      <c r="RB107" s="31"/>
      <c r="RC107" s="31"/>
      <c r="RD107" s="31"/>
      <c r="RE107" s="31"/>
      <c r="RF107" s="31"/>
      <c r="RG107" s="31"/>
      <c r="RH107" s="31"/>
      <c r="RI107" s="31"/>
      <c r="RJ107" s="31"/>
      <c r="RK107" s="31"/>
      <c r="RL107" s="31"/>
      <c r="RM107" s="31"/>
      <c r="RN107" s="31"/>
      <c r="RO107" s="31"/>
      <c r="RP107" s="31"/>
      <c r="RQ107" s="31"/>
      <c r="RR107" s="23"/>
      <c r="RS107" s="23"/>
      <c r="RT107" s="23"/>
      <c r="RU107" s="23"/>
      <c r="RV107" s="23"/>
      <c r="RW107" s="23">
        <v>63.7</v>
      </c>
      <c r="RX107" s="23"/>
      <c r="RY107" s="23"/>
      <c r="RZ107" s="23"/>
      <c r="SA107" s="23"/>
      <c r="SB107" s="23"/>
      <c r="SC107" s="23"/>
      <c r="SD107" s="23"/>
      <c r="SE107" s="23"/>
      <c r="SF107" s="23"/>
      <c r="SG107" s="23"/>
      <c r="SH107" s="23"/>
      <c r="SI107" s="23"/>
      <c r="SJ107" s="23"/>
      <c r="SK107" s="23"/>
      <c r="SL107" s="23"/>
      <c r="SM107" s="23"/>
      <c r="SN107" s="23"/>
      <c r="SO107" s="23"/>
      <c r="SP107" s="23"/>
      <c r="SQ107" s="23"/>
      <c r="SR107" s="23"/>
      <c r="SS107" s="23"/>
      <c r="ST107" s="23"/>
      <c r="SU107" s="23"/>
      <c r="SV107" s="23"/>
      <c r="SW107" s="23"/>
      <c r="SX107" s="23"/>
      <c r="SY107" s="23"/>
      <c r="SZ107" s="23"/>
      <c r="TA107" s="23"/>
      <c r="TB107" s="23">
        <v>60.5</v>
      </c>
      <c r="TC107" s="23"/>
      <c r="TD107" s="23"/>
      <c r="TE107" s="23"/>
      <c r="TF107" s="23"/>
      <c r="TG107" s="23"/>
      <c r="TH107" s="23"/>
      <c r="TI107" s="23"/>
      <c r="TJ107" s="23"/>
      <c r="TK107" s="23"/>
      <c r="TL107" s="23"/>
      <c r="TM107" s="23"/>
      <c r="TN107" s="23"/>
      <c r="TO107" s="23"/>
      <c r="TP107" s="23"/>
      <c r="TQ107" s="23"/>
      <c r="TR107" s="23"/>
      <c r="TS107" s="23"/>
      <c r="TT107" s="23"/>
      <c r="TU107" s="23"/>
      <c r="TV107" s="23"/>
      <c r="TW107" s="23"/>
      <c r="TX107" s="23"/>
      <c r="TY107" s="23"/>
      <c r="TZ107" s="23"/>
      <c r="UA107" s="23"/>
      <c r="UB107" s="23"/>
      <c r="UC107" s="23"/>
      <c r="UD107" s="23"/>
      <c r="UE107" s="23"/>
      <c r="UF107" s="23">
        <v>54.2</v>
      </c>
      <c r="UG107" s="23"/>
      <c r="UH107" s="23"/>
      <c r="UI107" s="23"/>
      <c r="UJ107" s="23"/>
      <c r="UK107" s="23"/>
      <c r="UL107" s="23"/>
      <c r="UM107" s="23"/>
      <c r="UN107" s="23"/>
      <c r="UO107" s="23"/>
      <c r="UP107" s="23"/>
      <c r="UQ107" s="23"/>
      <c r="UR107" s="23"/>
      <c r="US107" s="23"/>
      <c r="UT107" s="23"/>
    </row>
    <row r="108" ht="16.5" customHeight="1" spans="4:566">
      <c r="D108" s="26" t="s">
        <v>347</v>
      </c>
      <c r="E108" s="21" t="s">
        <v>348</v>
      </c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>
        <v>3.3</v>
      </c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>
        <v>3.1</v>
      </c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>
        <v>2.8</v>
      </c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  <c r="DI108" s="31"/>
      <c r="DJ108" s="31"/>
      <c r="DK108" s="31"/>
      <c r="DL108" s="31"/>
      <c r="DM108" s="31"/>
      <c r="DN108" s="31"/>
      <c r="DO108" s="31"/>
      <c r="DP108" s="31"/>
      <c r="DQ108" s="31"/>
      <c r="DR108" s="31"/>
      <c r="DS108" s="31"/>
      <c r="DT108" s="31"/>
      <c r="DU108" s="31"/>
      <c r="DV108" s="31">
        <v>2.8</v>
      </c>
      <c r="DW108" s="31"/>
      <c r="DX108" s="31"/>
      <c r="DY108" s="31"/>
      <c r="DZ108" s="31"/>
      <c r="EA108" s="31"/>
      <c r="EB108" s="31"/>
      <c r="EC108" s="31"/>
      <c r="ED108" s="31"/>
      <c r="EE108" s="31"/>
      <c r="EF108" s="31"/>
      <c r="EG108" s="31"/>
      <c r="EH108" s="31"/>
      <c r="EI108" s="31"/>
      <c r="EJ108" s="31"/>
      <c r="EK108" s="31"/>
      <c r="EL108" s="31"/>
      <c r="EM108" s="31"/>
      <c r="EN108" s="31"/>
      <c r="EO108" s="31"/>
      <c r="EP108" s="31"/>
      <c r="EQ108" s="31"/>
      <c r="ER108" s="31"/>
      <c r="ES108" s="31"/>
      <c r="ET108" s="31"/>
      <c r="EU108" s="31"/>
      <c r="EV108" s="31"/>
      <c r="EW108" s="31"/>
      <c r="EX108" s="31"/>
      <c r="EY108" s="31"/>
      <c r="EZ108" s="31"/>
      <c r="FA108" s="31">
        <v>2.8</v>
      </c>
      <c r="FB108" s="31"/>
      <c r="FC108" s="31"/>
      <c r="FD108" s="31"/>
      <c r="FE108" s="31"/>
      <c r="FF108" s="31"/>
      <c r="FG108" s="31"/>
      <c r="FH108" s="31"/>
      <c r="FI108" s="31"/>
      <c r="FJ108" s="31"/>
      <c r="FK108" s="31"/>
      <c r="FL108" s="31"/>
      <c r="FM108" s="31"/>
      <c r="FN108" s="31"/>
      <c r="FO108" s="31"/>
      <c r="FP108" s="31"/>
      <c r="FQ108" s="31"/>
      <c r="FR108" s="31"/>
      <c r="FS108" s="31"/>
      <c r="FT108" s="31"/>
      <c r="FU108" s="31"/>
      <c r="FV108" s="31"/>
      <c r="FW108" s="31"/>
      <c r="FX108" s="31"/>
      <c r="FY108" s="31"/>
      <c r="FZ108" s="31"/>
      <c r="GA108" s="31"/>
      <c r="GB108" s="31"/>
      <c r="GC108" s="31"/>
      <c r="GD108" s="31"/>
      <c r="GE108" s="31">
        <v>2.9</v>
      </c>
      <c r="GF108" s="31"/>
      <c r="GG108" s="31"/>
      <c r="GH108" s="31"/>
      <c r="GI108" s="31"/>
      <c r="GJ108" s="31"/>
      <c r="GK108" s="31"/>
      <c r="GL108" s="31"/>
      <c r="GM108" s="31"/>
      <c r="GN108" s="31"/>
      <c r="GO108" s="31"/>
      <c r="GP108" s="31"/>
      <c r="GQ108" s="31"/>
      <c r="GR108" s="31"/>
      <c r="GS108" s="31"/>
      <c r="GT108" s="31"/>
      <c r="GU108" s="31"/>
      <c r="GV108" s="31"/>
      <c r="GW108" s="31"/>
      <c r="GX108" s="31"/>
      <c r="GY108" s="31"/>
      <c r="GZ108" s="31"/>
      <c r="HA108" s="31"/>
      <c r="HB108" s="31"/>
      <c r="HC108" s="31"/>
      <c r="HD108" s="31"/>
      <c r="HE108" s="31"/>
      <c r="HF108" s="31"/>
      <c r="HG108" s="31"/>
      <c r="HH108" s="31"/>
      <c r="HI108" s="31"/>
      <c r="HJ108" s="31">
        <v>3.1</v>
      </c>
      <c r="HK108" s="31"/>
      <c r="HL108" s="31"/>
      <c r="HM108" s="31"/>
      <c r="HN108" s="31"/>
      <c r="HO108" s="31"/>
      <c r="HP108" s="31"/>
      <c r="HQ108" s="31"/>
      <c r="HR108" s="31"/>
      <c r="HS108" s="31"/>
      <c r="HT108" s="31"/>
      <c r="HU108" s="31"/>
      <c r="HV108" s="31"/>
      <c r="HW108" s="31"/>
      <c r="HX108" s="31"/>
      <c r="HY108" s="31"/>
      <c r="HZ108" s="31"/>
      <c r="IA108" s="31"/>
      <c r="IB108" s="31"/>
      <c r="IC108" s="31"/>
      <c r="ID108" s="31"/>
      <c r="IE108" s="31"/>
      <c r="IF108" s="31"/>
      <c r="IG108" s="31"/>
      <c r="IH108" s="31"/>
      <c r="II108" s="31"/>
      <c r="IJ108" s="31"/>
      <c r="IK108" s="31"/>
      <c r="IL108" s="31"/>
      <c r="IM108" s="31"/>
      <c r="IN108" s="31"/>
      <c r="IO108" s="31">
        <v>3.1</v>
      </c>
      <c r="IP108" s="31"/>
      <c r="IQ108" s="31"/>
      <c r="IR108" s="31"/>
      <c r="IS108" s="31"/>
      <c r="IT108" s="31"/>
      <c r="IU108" s="31"/>
      <c r="IV108" s="31"/>
      <c r="IW108" s="31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  <c r="JN108" s="31"/>
      <c r="JO108" s="31"/>
      <c r="JP108" s="31"/>
      <c r="JQ108" s="31"/>
      <c r="JR108" s="31"/>
      <c r="JS108" s="31">
        <v>3</v>
      </c>
      <c r="JT108" s="31"/>
      <c r="JU108" s="31"/>
      <c r="JV108" s="31"/>
      <c r="JW108" s="31"/>
      <c r="JX108" s="31"/>
      <c r="JY108" s="31"/>
      <c r="JZ108" s="31"/>
      <c r="KA108" s="31"/>
      <c r="KB108" s="31"/>
      <c r="KC108" s="31"/>
      <c r="KD108" s="31"/>
      <c r="KE108" s="31"/>
      <c r="KF108" s="31"/>
      <c r="KG108" s="31"/>
      <c r="KH108" s="31"/>
      <c r="KI108" s="31"/>
      <c r="KJ108" s="31"/>
      <c r="KK108" s="31"/>
      <c r="KL108" s="31"/>
      <c r="KM108" s="31"/>
      <c r="KN108" s="31"/>
      <c r="KO108" s="31"/>
      <c r="KP108" s="31"/>
      <c r="KQ108" s="31"/>
      <c r="KR108" s="31"/>
      <c r="KS108" s="31"/>
      <c r="KT108" s="31"/>
      <c r="KU108" s="31"/>
      <c r="KV108" s="31"/>
      <c r="KW108" s="31"/>
      <c r="KX108" s="31"/>
      <c r="KY108" s="31"/>
      <c r="KZ108" s="31"/>
      <c r="LA108" s="31"/>
      <c r="LB108" s="31"/>
      <c r="LC108" s="31"/>
      <c r="LD108" s="31"/>
      <c r="LE108" s="31"/>
      <c r="LF108" s="31"/>
      <c r="LG108" s="31"/>
      <c r="LH108" s="31"/>
      <c r="LI108" s="31"/>
      <c r="LJ108" s="31"/>
      <c r="LK108" s="31"/>
      <c r="LL108" s="31"/>
      <c r="LM108" s="31"/>
      <c r="LN108" s="31"/>
      <c r="LO108" s="31"/>
      <c r="LP108" s="31"/>
      <c r="LQ108" s="31"/>
      <c r="LR108" s="31"/>
      <c r="LS108" s="31"/>
      <c r="LT108" s="31"/>
      <c r="LU108" s="31"/>
      <c r="LV108" s="31"/>
      <c r="LW108" s="31"/>
      <c r="LX108" s="31"/>
      <c r="LY108" s="31"/>
      <c r="LZ108" s="31"/>
      <c r="MA108" s="31"/>
      <c r="MB108" s="31">
        <v>2.6</v>
      </c>
      <c r="MC108" s="31"/>
      <c r="MD108" s="31"/>
      <c r="ME108" s="31"/>
      <c r="MF108" s="31"/>
      <c r="MG108" s="31"/>
      <c r="MH108" s="31"/>
      <c r="MI108" s="31"/>
      <c r="MJ108" s="31"/>
      <c r="MK108" s="31"/>
      <c r="ML108" s="31"/>
      <c r="MM108" s="31"/>
      <c r="MN108" s="31"/>
      <c r="MO108" s="31"/>
      <c r="MP108" s="31"/>
      <c r="MQ108" s="31"/>
      <c r="MR108" s="31"/>
      <c r="MS108" s="31"/>
      <c r="MT108" s="31"/>
      <c r="MU108" s="31"/>
      <c r="MV108" s="31"/>
      <c r="MW108" s="31"/>
      <c r="MX108" s="31"/>
      <c r="MY108" s="31"/>
      <c r="MZ108" s="31"/>
      <c r="NA108" s="31"/>
      <c r="NB108" s="31"/>
      <c r="NC108" s="31"/>
      <c r="ND108" s="31"/>
      <c r="NE108" s="31"/>
      <c r="NF108" s="31"/>
      <c r="NG108" s="31">
        <v>2.6</v>
      </c>
      <c r="NH108" s="31"/>
      <c r="NI108" s="31"/>
      <c r="NJ108" s="31"/>
      <c r="NK108" s="31"/>
      <c r="NL108" s="31"/>
      <c r="NM108" s="31"/>
      <c r="NN108" s="31"/>
      <c r="NO108" s="31"/>
      <c r="NP108" s="31"/>
      <c r="NQ108" s="31"/>
      <c r="NR108" s="31"/>
      <c r="NS108" s="31"/>
      <c r="NT108" s="31"/>
      <c r="NU108" s="31"/>
      <c r="NV108" s="31"/>
      <c r="NW108" s="31"/>
      <c r="NX108" s="31"/>
      <c r="NY108" s="31"/>
      <c r="NZ108" s="31"/>
      <c r="OA108" s="31"/>
      <c r="OB108" s="31"/>
      <c r="OC108" s="31"/>
      <c r="OD108" s="31"/>
      <c r="OE108" s="31"/>
      <c r="OF108" s="31"/>
      <c r="OG108" s="31"/>
      <c r="OH108" s="31"/>
      <c r="OI108" s="31"/>
      <c r="OJ108" s="31"/>
      <c r="OK108" s="31"/>
      <c r="OL108" s="31">
        <v>2.5</v>
      </c>
      <c r="OM108" s="31"/>
      <c r="ON108" s="31"/>
      <c r="OO108" s="31"/>
      <c r="OP108" s="31"/>
      <c r="OQ108" s="31"/>
      <c r="OR108" s="31"/>
      <c r="OS108" s="31"/>
      <c r="OT108" s="31"/>
      <c r="OU108" s="31"/>
      <c r="OV108" s="31"/>
      <c r="OW108" s="31"/>
      <c r="OX108" s="31"/>
      <c r="OY108" s="31"/>
      <c r="OZ108" s="31"/>
      <c r="PA108" s="31"/>
      <c r="PB108" s="31"/>
      <c r="PC108" s="31"/>
      <c r="PD108" s="31"/>
      <c r="PE108" s="31"/>
      <c r="PF108" s="31"/>
      <c r="PG108" s="31"/>
      <c r="PH108" s="31"/>
      <c r="PI108" s="31"/>
      <c r="PJ108" s="31"/>
      <c r="PK108" s="31"/>
      <c r="PL108" s="31"/>
      <c r="PM108" s="31"/>
      <c r="PN108" s="31">
        <v>2.5</v>
      </c>
      <c r="PO108" s="31"/>
      <c r="PP108" s="31"/>
      <c r="PQ108" s="31"/>
      <c r="PR108" s="31"/>
      <c r="PS108" s="31"/>
      <c r="PT108" s="31"/>
      <c r="PU108" s="31"/>
      <c r="PV108" s="31"/>
      <c r="PW108" s="31"/>
      <c r="PX108" s="31"/>
      <c r="PY108" s="31"/>
      <c r="PZ108" s="31"/>
      <c r="QA108" s="31"/>
      <c r="QB108" s="31"/>
      <c r="QC108" s="31"/>
      <c r="QD108" s="31"/>
      <c r="QE108" s="31"/>
      <c r="QF108" s="31"/>
      <c r="QG108" s="31"/>
      <c r="QH108" s="31"/>
      <c r="QI108" s="31"/>
      <c r="QJ108" s="31"/>
      <c r="QK108" s="31"/>
      <c r="QL108" s="31"/>
      <c r="QM108" s="31"/>
      <c r="QN108" s="31"/>
      <c r="QO108" s="31"/>
      <c r="QP108" s="31"/>
      <c r="QQ108" s="31"/>
      <c r="QR108" s="31"/>
      <c r="QS108" s="31">
        <v>2.6</v>
      </c>
      <c r="QT108" s="31"/>
      <c r="QU108" s="31"/>
      <c r="QV108" s="31"/>
      <c r="QW108" s="31"/>
      <c r="QX108" s="31"/>
      <c r="QY108" s="31"/>
      <c r="QZ108" s="31"/>
      <c r="RA108" s="31"/>
      <c r="RB108" s="31"/>
      <c r="RC108" s="31"/>
      <c r="RD108" s="31"/>
      <c r="RE108" s="31"/>
      <c r="RF108" s="31"/>
      <c r="RG108" s="31"/>
      <c r="RH108" s="31"/>
      <c r="RI108" s="31"/>
      <c r="RJ108" s="31"/>
      <c r="RK108" s="31"/>
      <c r="RL108" s="31"/>
      <c r="RM108" s="31"/>
      <c r="RN108" s="31"/>
      <c r="RO108" s="31"/>
      <c r="RP108" s="31"/>
      <c r="RQ108" s="31"/>
      <c r="RR108" s="23"/>
      <c r="RS108" s="23"/>
      <c r="RT108" s="23"/>
      <c r="RU108" s="23"/>
      <c r="RV108" s="23"/>
      <c r="RW108" s="23">
        <v>2.8</v>
      </c>
      <c r="RX108" s="23"/>
      <c r="RY108" s="23"/>
      <c r="RZ108" s="23"/>
      <c r="SA108" s="23"/>
      <c r="SB108" s="23"/>
      <c r="SC108" s="23"/>
      <c r="SD108" s="23"/>
      <c r="SE108" s="23"/>
      <c r="SF108" s="23"/>
      <c r="SG108" s="23"/>
      <c r="SH108" s="23"/>
      <c r="SI108" s="23"/>
      <c r="SJ108" s="23"/>
      <c r="SK108" s="23"/>
      <c r="SL108" s="23"/>
      <c r="SM108" s="23"/>
      <c r="SN108" s="23"/>
      <c r="SO108" s="23"/>
      <c r="SP108" s="23"/>
      <c r="SQ108" s="23"/>
      <c r="SR108" s="23"/>
      <c r="SS108" s="23"/>
      <c r="ST108" s="23"/>
      <c r="SU108" s="23"/>
      <c r="SV108" s="23"/>
      <c r="SW108" s="23"/>
      <c r="SX108" s="23"/>
      <c r="SY108" s="23"/>
      <c r="SZ108" s="23"/>
      <c r="TA108" s="23"/>
      <c r="TB108" s="23">
        <v>2.9</v>
      </c>
      <c r="TC108" s="23"/>
      <c r="TD108" s="23"/>
      <c r="TE108" s="23"/>
      <c r="TF108" s="23"/>
      <c r="TG108" s="23"/>
      <c r="TH108" s="23"/>
      <c r="TI108" s="23"/>
      <c r="TJ108" s="23"/>
      <c r="TK108" s="23"/>
      <c r="TL108" s="23"/>
      <c r="TM108" s="23"/>
      <c r="TN108" s="23"/>
      <c r="TO108" s="23"/>
      <c r="TP108" s="23"/>
      <c r="TQ108" s="23"/>
      <c r="TR108" s="23"/>
      <c r="TS108" s="23"/>
      <c r="TT108" s="23"/>
      <c r="TU108" s="23"/>
      <c r="TV108" s="23"/>
      <c r="TW108" s="23"/>
      <c r="TX108" s="23"/>
      <c r="TY108" s="23"/>
      <c r="TZ108" s="23"/>
      <c r="UA108" s="23"/>
      <c r="UB108" s="23"/>
      <c r="UC108" s="23"/>
      <c r="UD108" s="23"/>
      <c r="UE108" s="23"/>
      <c r="UF108" s="23"/>
      <c r="UG108" s="23"/>
      <c r="UH108" s="23"/>
      <c r="UI108" s="23"/>
      <c r="UJ108" s="23"/>
      <c r="UK108" s="23"/>
      <c r="UL108" s="23"/>
      <c r="UM108" s="23"/>
      <c r="UN108" s="23"/>
      <c r="UO108" s="23"/>
      <c r="UP108" s="23"/>
      <c r="UQ108" s="23"/>
      <c r="UR108" s="23"/>
      <c r="US108" s="23"/>
      <c r="UT108" s="23"/>
    </row>
    <row r="109" ht="16.5" customHeight="1" spans="4:566">
      <c r="D109" s="30" t="s">
        <v>222</v>
      </c>
      <c r="E109" s="21" t="s">
        <v>223</v>
      </c>
      <c r="F109" s="31"/>
      <c r="G109" s="31"/>
      <c r="H109" s="31"/>
      <c r="I109" s="31">
        <v>102.09</v>
      </c>
      <c r="J109" s="31"/>
      <c r="K109" s="31"/>
      <c r="L109" s="31"/>
      <c r="M109" s="31"/>
      <c r="N109" s="31"/>
      <c r="O109" s="31"/>
      <c r="P109" s="31">
        <v>101.4</v>
      </c>
      <c r="Q109" s="31"/>
      <c r="R109" s="31"/>
      <c r="S109" s="31"/>
      <c r="T109" s="31"/>
      <c r="U109" s="31"/>
      <c r="V109" s="31"/>
      <c r="W109" s="31">
        <v>101.35</v>
      </c>
      <c r="X109" s="31"/>
      <c r="Y109" s="31"/>
      <c r="Z109" s="31"/>
      <c r="AA109" s="31"/>
      <c r="AB109" s="31"/>
      <c r="AC109" s="31"/>
      <c r="AD109" s="31">
        <v>100.9</v>
      </c>
      <c r="AE109" s="31"/>
      <c r="AF109" s="31"/>
      <c r="AG109" s="31">
        <v>100.7</v>
      </c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>
        <v>100.55</v>
      </c>
      <c r="AS109" s="31"/>
      <c r="AT109" s="31"/>
      <c r="AU109" s="31"/>
      <c r="AV109" s="31"/>
      <c r="AW109" s="31"/>
      <c r="AX109" s="31"/>
      <c r="AY109" s="31">
        <v>100.06</v>
      </c>
      <c r="AZ109" s="31"/>
      <c r="BA109" s="31"/>
      <c r="BB109" s="31"/>
      <c r="BC109" s="31"/>
      <c r="BD109" s="31"/>
      <c r="BE109" s="31"/>
      <c r="BF109" s="31">
        <v>99.63</v>
      </c>
      <c r="BG109" s="31"/>
      <c r="BH109" s="31"/>
      <c r="BI109" s="31"/>
      <c r="BJ109" s="31"/>
      <c r="BK109" s="31"/>
      <c r="BL109" s="31"/>
      <c r="BM109" s="31">
        <v>99.9</v>
      </c>
      <c r="BN109" s="31"/>
      <c r="BO109" s="31"/>
      <c r="BP109" s="31"/>
      <c r="BQ109" s="31"/>
      <c r="BR109" s="31"/>
      <c r="BS109" s="31"/>
      <c r="BT109" s="31">
        <v>99.05</v>
      </c>
      <c r="BU109" s="31"/>
      <c r="BV109" s="31"/>
      <c r="BW109" s="31"/>
      <c r="BX109" s="31"/>
      <c r="BY109" s="31"/>
      <c r="BZ109" s="31"/>
      <c r="CA109" s="31">
        <v>98.81</v>
      </c>
      <c r="CB109" s="31"/>
      <c r="CC109" s="31"/>
      <c r="CD109" s="31"/>
      <c r="CE109" s="31"/>
      <c r="CF109" s="31"/>
      <c r="CG109" s="31"/>
      <c r="CH109" s="31">
        <v>98.78</v>
      </c>
      <c r="CI109" s="31"/>
      <c r="CJ109" s="31"/>
      <c r="CK109" s="31"/>
      <c r="CL109" s="31"/>
      <c r="CM109" s="31"/>
      <c r="CN109" s="31"/>
      <c r="CO109" s="31">
        <v>99</v>
      </c>
      <c r="CP109" s="31"/>
      <c r="CQ109" s="31"/>
      <c r="CR109" s="31"/>
      <c r="CS109" s="31"/>
      <c r="CT109" s="31"/>
      <c r="CU109" s="31">
        <v>98.77</v>
      </c>
      <c r="CV109" s="31"/>
      <c r="CW109" s="31"/>
      <c r="CX109" s="31"/>
      <c r="CY109" s="31"/>
      <c r="CZ109" s="31"/>
      <c r="DA109" s="31"/>
      <c r="DB109" s="31"/>
      <c r="DC109" s="31">
        <v>97.35</v>
      </c>
      <c r="DD109" s="31"/>
      <c r="DE109" s="31"/>
      <c r="DF109" s="31"/>
      <c r="DG109" s="31"/>
      <c r="DH109" s="31"/>
      <c r="DI109" s="31"/>
      <c r="DJ109" s="31">
        <v>96.14</v>
      </c>
      <c r="DK109" s="31"/>
      <c r="DL109" s="31"/>
      <c r="DM109" s="31"/>
      <c r="DN109" s="31"/>
      <c r="DO109" s="31"/>
      <c r="DP109" s="31"/>
      <c r="DQ109" s="31">
        <v>96.29</v>
      </c>
      <c r="DR109" s="31"/>
      <c r="DS109" s="31"/>
      <c r="DT109" s="31"/>
      <c r="DU109" s="31"/>
      <c r="DV109" s="31">
        <v>96.2</v>
      </c>
      <c r="DW109" s="31"/>
      <c r="DX109" s="31"/>
      <c r="DY109" s="31"/>
      <c r="DZ109" s="31"/>
      <c r="EA109" s="31"/>
      <c r="EB109" s="31"/>
      <c r="EC109" s="31"/>
      <c r="ED109" s="31"/>
      <c r="EE109" s="31">
        <v>96.53</v>
      </c>
      <c r="EF109" s="31"/>
      <c r="EG109" s="31"/>
      <c r="EH109" s="31"/>
      <c r="EI109" s="31"/>
      <c r="EJ109" s="31"/>
      <c r="EK109" s="31"/>
      <c r="EL109" s="31">
        <v>96.7</v>
      </c>
      <c r="EM109" s="31"/>
      <c r="EN109" s="31"/>
      <c r="EO109" s="31"/>
      <c r="EP109" s="31"/>
      <c r="EQ109" s="31"/>
      <c r="ER109" s="31"/>
      <c r="ES109" s="31">
        <v>96.2</v>
      </c>
      <c r="ET109" s="31"/>
      <c r="EU109" s="31"/>
      <c r="EV109" s="31"/>
      <c r="EW109" s="31"/>
      <c r="EX109" s="31"/>
      <c r="EY109" s="31"/>
      <c r="EZ109" s="31">
        <v>95.96</v>
      </c>
      <c r="FA109" s="31"/>
      <c r="FB109" s="31"/>
      <c r="FC109" s="31"/>
      <c r="FD109" s="31"/>
      <c r="FE109" s="31"/>
      <c r="FF109" s="31"/>
      <c r="FG109" s="31">
        <v>95.58</v>
      </c>
      <c r="FH109" s="31"/>
      <c r="FI109" s="31"/>
      <c r="FJ109" s="31"/>
      <c r="FK109" s="31"/>
      <c r="FL109" s="31"/>
      <c r="FM109" s="31"/>
      <c r="FN109" s="31">
        <v>95.49</v>
      </c>
      <c r="FO109" s="31"/>
      <c r="FP109" s="31"/>
      <c r="FQ109" s="31"/>
      <c r="FR109" s="31"/>
      <c r="FS109" s="31"/>
      <c r="FT109" s="31"/>
      <c r="FU109" s="31">
        <v>95.92</v>
      </c>
      <c r="FV109" s="31"/>
      <c r="FW109" s="31"/>
      <c r="FX109" s="31"/>
      <c r="FY109" s="31"/>
      <c r="FZ109" s="31"/>
      <c r="GA109" s="31"/>
      <c r="GB109" s="31">
        <v>95.36</v>
      </c>
      <c r="GC109" s="31"/>
      <c r="GD109" s="31"/>
      <c r="GE109" s="31">
        <v>95.35</v>
      </c>
      <c r="GF109" s="31"/>
      <c r="GG109" s="31"/>
      <c r="GH109" s="31"/>
      <c r="GI109" s="31">
        <v>95.3</v>
      </c>
      <c r="GJ109" s="31"/>
      <c r="GK109" s="31"/>
      <c r="GL109" s="31"/>
      <c r="GM109" s="31"/>
      <c r="GN109" s="31"/>
      <c r="GO109" s="31"/>
      <c r="GP109" s="31">
        <v>95.6</v>
      </c>
      <c r="GQ109" s="31"/>
      <c r="GR109" s="31"/>
      <c r="GS109" s="31"/>
      <c r="GT109" s="31"/>
      <c r="GU109" s="31"/>
      <c r="GV109" s="31"/>
      <c r="GW109" s="31">
        <v>96.14</v>
      </c>
      <c r="GX109" s="31"/>
      <c r="GY109" s="31"/>
      <c r="GZ109" s="31"/>
      <c r="HA109" s="31"/>
      <c r="HB109" s="31"/>
      <c r="HC109" s="31"/>
      <c r="HD109" s="31">
        <v>95.71</v>
      </c>
      <c r="HE109" s="31"/>
      <c r="HF109" s="31"/>
      <c r="HG109" s="31"/>
      <c r="HH109" s="31"/>
      <c r="HI109" s="31"/>
      <c r="HJ109" s="31">
        <v>96.76</v>
      </c>
      <c r="HK109" s="31">
        <v>96.94</v>
      </c>
      <c r="HL109" s="31"/>
      <c r="HM109" s="31"/>
      <c r="HN109" s="31"/>
      <c r="HO109" s="31"/>
      <c r="HP109" s="31"/>
      <c r="HQ109" s="31"/>
      <c r="HR109" s="31">
        <v>96.04</v>
      </c>
      <c r="HS109" s="31"/>
      <c r="HT109" s="31"/>
      <c r="HU109" s="31"/>
      <c r="HV109" s="31"/>
      <c r="HW109" s="31"/>
      <c r="HX109" s="31"/>
      <c r="HY109" s="31">
        <v>96.17</v>
      </c>
      <c r="HZ109" s="31"/>
      <c r="IA109" s="31"/>
      <c r="IB109" s="31"/>
      <c r="IC109" s="31"/>
      <c r="ID109" s="31"/>
      <c r="IE109" s="31"/>
      <c r="IF109" s="31">
        <v>96.57</v>
      </c>
      <c r="IG109" s="31"/>
      <c r="IH109" s="31"/>
      <c r="II109" s="31"/>
      <c r="IJ109" s="31"/>
      <c r="IK109" s="31"/>
      <c r="IL109" s="31"/>
      <c r="IM109" s="31">
        <v>96.57</v>
      </c>
      <c r="IN109" s="31"/>
      <c r="IO109" s="31"/>
      <c r="IP109" s="31"/>
      <c r="IQ109" s="31"/>
      <c r="IR109" s="31"/>
      <c r="IS109" s="31"/>
      <c r="IT109" s="31">
        <v>96.77</v>
      </c>
      <c r="IU109" s="31"/>
      <c r="IV109" s="31"/>
      <c r="IW109" s="31"/>
      <c r="IX109" s="31"/>
      <c r="IY109" s="31"/>
      <c r="IZ109" s="31"/>
      <c r="JA109" s="31">
        <v>96.6</v>
      </c>
      <c r="JB109" s="31"/>
      <c r="JC109" s="31"/>
      <c r="JD109" s="31"/>
      <c r="JE109" s="31"/>
      <c r="JF109" s="31"/>
      <c r="JG109" s="31"/>
      <c r="JH109" s="31">
        <v>96.36</v>
      </c>
      <c r="JI109" s="31"/>
      <c r="JJ109" s="31"/>
      <c r="JK109" s="31"/>
      <c r="JL109" s="31"/>
      <c r="JM109" s="31"/>
      <c r="JN109" s="31"/>
      <c r="JO109" s="31">
        <v>96.97</v>
      </c>
      <c r="JP109" s="31"/>
      <c r="JQ109" s="31"/>
      <c r="JR109" s="31"/>
      <c r="JS109" s="31">
        <v>96.77</v>
      </c>
      <c r="JT109" s="31"/>
      <c r="JU109" s="31"/>
      <c r="JV109" s="31"/>
      <c r="JW109" s="31"/>
      <c r="JX109" s="31"/>
      <c r="JY109" s="31"/>
      <c r="JZ109" s="31"/>
      <c r="KA109" s="31"/>
      <c r="KB109" s="31"/>
      <c r="KC109" s="31">
        <v>97.32</v>
      </c>
      <c r="KD109" s="31"/>
      <c r="KE109" s="31"/>
      <c r="KF109" s="31"/>
      <c r="KG109" s="31"/>
      <c r="KH109" s="31"/>
      <c r="KI109" s="31"/>
      <c r="KJ109" s="31">
        <v>97.08</v>
      </c>
      <c r="KK109" s="31"/>
      <c r="KL109" s="31"/>
      <c r="KM109" s="31"/>
      <c r="KN109" s="31"/>
      <c r="KO109" s="31"/>
      <c r="KP109" s="31"/>
      <c r="KQ109" s="31">
        <v>97.55</v>
      </c>
      <c r="KR109" s="31"/>
      <c r="KS109" s="31"/>
      <c r="KT109" s="31"/>
      <c r="KU109" s="31"/>
      <c r="KV109" s="31"/>
      <c r="KW109" s="31"/>
      <c r="KX109" s="31">
        <v>97.61</v>
      </c>
      <c r="KY109" s="31"/>
      <c r="KZ109" s="31"/>
      <c r="LA109" s="31"/>
      <c r="LB109" s="31"/>
      <c r="LC109" s="31"/>
      <c r="LD109" s="31"/>
      <c r="LE109" s="31">
        <v>97.96</v>
      </c>
      <c r="LF109" s="31"/>
      <c r="LG109" s="31"/>
      <c r="LH109" s="31"/>
      <c r="LI109" s="31"/>
      <c r="LJ109" s="31"/>
      <c r="LK109" s="31"/>
      <c r="LL109" s="31">
        <v>97.83</v>
      </c>
      <c r="LM109" s="31"/>
      <c r="LN109" s="31"/>
      <c r="LO109" s="31"/>
      <c r="LP109" s="31"/>
      <c r="LQ109" s="31"/>
      <c r="LR109" s="31"/>
      <c r="LS109" s="31">
        <v>98.22</v>
      </c>
      <c r="LT109" s="31"/>
      <c r="LU109" s="31"/>
      <c r="LV109" s="31"/>
      <c r="LW109" s="31"/>
      <c r="LX109" s="31"/>
      <c r="LY109" s="31"/>
      <c r="LZ109" s="31">
        <v>97.92</v>
      </c>
      <c r="MA109" s="31"/>
      <c r="MB109" s="31"/>
      <c r="MC109" s="31"/>
      <c r="MD109" s="31"/>
      <c r="ME109" s="31"/>
      <c r="MF109" s="31"/>
      <c r="MG109" s="31">
        <v>97.65</v>
      </c>
      <c r="MH109" s="31"/>
      <c r="MI109" s="31"/>
      <c r="MJ109" s="31"/>
      <c r="MK109" s="31"/>
      <c r="ML109" s="31"/>
      <c r="MM109" s="31"/>
      <c r="MN109" s="31">
        <v>97.71</v>
      </c>
      <c r="MO109" s="31"/>
      <c r="MP109" s="31"/>
      <c r="MQ109" s="31"/>
      <c r="MR109" s="31"/>
      <c r="MS109" s="31"/>
      <c r="MT109" s="31"/>
      <c r="MU109" s="31">
        <v>97.88</v>
      </c>
      <c r="MV109" s="31"/>
      <c r="MW109" s="31"/>
      <c r="MX109" s="31"/>
      <c r="MY109" s="31"/>
      <c r="MZ109" s="31"/>
      <c r="NA109" s="31"/>
      <c r="NB109" s="31">
        <v>97.64</v>
      </c>
      <c r="NC109" s="31"/>
      <c r="ND109" s="31"/>
      <c r="NE109" s="31"/>
      <c r="NF109" s="31"/>
      <c r="NG109" s="31">
        <v>97.99</v>
      </c>
      <c r="NH109" s="31"/>
      <c r="NI109" s="31"/>
      <c r="NJ109" s="31"/>
      <c r="NK109" s="31"/>
      <c r="NL109" s="31"/>
      <c r="NM109" s="31"/>
      <c r="NN109" s="31"/>
      <c r="NO109" s="31"/>
      <c r="NP109" s="31">
        <v>98.54</v>
      </c>
      <c r="NQ109" s="31"/>
      <c r="NR109" s="31"/>
      <c r="NS109" s="31"/>
      <c r="NT109" s="31"/>
      <c r="NU109" s="31"/>
      <c r="NV109" s="31"/>
      <c r="NW109" s="31">
        <v>98.79</v>
      </c>
      <c r="NX109" s="31"/>
      <c r="NY109" s="31"/>
      <c r="NZ109" s="31"/>
      <c r="OA109" s="31"/>
      <c r="OB109" s="31"/>
      <c r="OC109" s="31"/>
      <c r="OD109" s="31">
        <v>98.24</v>
      </c>
      <c r="OE109" s="31"/>
      <c r="OF109" s="31"/>
      <c r="OG109" s="31"/>
      <c r="OH109" s="31"/>
      <c r="OI109" s="31"/>
      <c r="OJ109" s="31"/>
      <c r="OK109" s="31">
        <v>96.99</v>
      </c>
      <c r="OL109" s="31"/>
      <c r="OM109" s="31"/>
      <c r="ON109" s="31"/>
      <c r="OO109" s="31"/>
      <c r="OP109" s="31"/>
      <c r="OQ109" s="31"/>
      <c r="OR109" s="31">
        <v>98.34</v>
      </c>
      <c r="OS109" s="31"/>
      <c r="OT109" s="31"/>
      <c r="OU109" s="31"/>
      <c r="OV109" s="31"/>
      <c r="OW109" s="31"/>
      <c r="OX109" s="31"/>
      <c r="OY109" s="31">
        <v>97.81</v>
      </c>
      <c r="OZ109" s="31"/>
      <c r="PA109" s="31"/>
      <c r="PB109" s="31"/>
      <c r="PC109" s="31"/>
      <c r="PD109" s="31"/>
      <c r="PE109" s="31"/>
      <c r="PF109" s="31"/>
      <c r="PG109" s="31"/>
      <c r="PH109" s="31"/>
      <c r="PI109" s="31"/>
      <c r="PJ109" s="31"/>
      <c r="PK109" s="31"/>
      <c r="PL109" s="31"/>
      <c r="PM109" s="31">
        <v>98.58</v>
      </c>
      <c r="PN109" s="31"/>
      <c r="PO109" s="31"/>
      <c r="PP109" s="31"/>
      <c r="PQ109" s="31"/>
      <c r="PR109" s="31"/>
      <c r="PS109" s="31"/>
      <c r="PT109" s="31">
        <v>99.65</v>
      </c>
      <c r="PU109" s="31"/>
      <c r="PV109" s="31"/>
      <c r="PW109" s="31"/>
      <c r="PX109" s="31"/>
      <c r="PY109" s="31"/>
      <c r="PZ109" s="31"/>
      <c r="QA109" s="31">
        <v>100.15</v>
      </c>
      <c r="QB109" s="31"/>
      <c r="QC109" s="31"/>
      <c r="QD109" s="31"/>
      <c r="QE109" s="31"/>
      <c r="QF109" s="31"/>
      <c r="QG109" s="31"/>
      <c r="QH109" s="31">
        <v>100.58</v>
      </c>
      <c r="QI109" s="31"/>
      <c r="QJ109" s="31"/>
      <c r="QK109" s="31"/>
      <c r="QL109" s="31"/>
      <c r="QM109" s="31"/>
      <c r="QN109" s="31"/>
      <c r="QO109" s="31">
        <v>100.6</v>
      </c>
      <c r="QP109" s="31"/>
      <c r="QQ109" s="31"/>
      <c r="QR109" s="31"/>
      <c r="QS109" s="31">
        <v>100.87</v>
      </c>
      <c r="QT109" s="31"/>
      <c r="QU109" s="31"/>
      <c r="QV109" s="31">
        <v>100.84</v>
      </c>
      <c r="QW109" s="31"/>
      <c r="QX109" s="31"/>
      <c r="QY109" s="31"/>
      <c r="QZ109" s="31"/>
      <c r="RA109" s="31"/>
      <c r="RB109" s="31"/>
      <c r="RC109" s="31">
        <v>100.25</v>
      </c>
      <c r="RD109" s="31"/>
      <c r="RE109" s="31"/>
      <c r="RF109" s="31"/>
      <c r="RG109" s="31"/>
      <c r="RH109" s="31"/>
      <c r="RI109" s="31"/>
      <c r="RJ109" s="31">
        <v>99.88</v>
      </c>
      <c r="RK109" s="31"/>
      <c r="RL109" s="31"/>
      <c r="RM109" s="31"/>
      <c r="RN109" s="31"/>
      <c r="RO109" s="31"/>
      <c r="RP109" s="31"/>
      <c r="RQ109" s="31">
        <v>100.08</v>
      </c>
      <c r="RR109" s="23"/>
      <c r="RS109" s="23"/>
      <c r="RT109" s="23"/>
      <c r="RU109" s="23"/>
      <c r="RV109" s="23"/>
      <c r="RW109" s="23">
        <v>100.17</v>
      </c>
      <c r="RX109" s="23"/>
      <c r="RY109" s="23"/>
      <c r="RZ109" s="23"/>
      <c r="SA109" s="23"/>
      <c r="SB109" s="23"/>
      <c r="SC109" s="23"/>
      <c r="SD109" s="23"/>
      <c r="SE109" s="23">
        <v>99.7</v>
      </c>
      <c r="SF109" s="23"/>
      <c r="SG109" s="23"/>
      <c r="SH109" s="23"/>
      <c r="SI109" s="23"/>
      <c r="SJ109" s="23"/>
      <c r="SK109" s="23"/>
      <c r="SL109" s="23">
        <v>100.28</v>
      </c>
      <c r="SM109" s="23"/>
      <c r="SN109" s="23"/>
      <c r="SO109" s="23"/>
      <c r="SP109" s="23"/>
      <c r="SQ109" s="23"/>
      <c r="SR109" s="23"/>
      <c r="SS109" s="23">
        <v>100.47</v>
      </c>
      <c r="ST109" s="23"/>
      <c r="SU109" s="23"/>
      <c r="SV109" s="23"/>
      <c r="SW109" s="23"/>
      <c r="SX109" s="23"/>
      <c r="SY109" s="23"/>
      <c r="SZ109" s="23">
        <v>100.66</v>
      </c>
      <c r="TA109" s="23"/>
      <c r="TB109" s="23"/>
      <c r="TC109" s="23"/>
      <c r="TD109" s="23"/>
      <c r="TE109" s="23"/>
      <c r="TF109" s="23"/>
      <c r="TG109" s="23">
        <v>101.33</v>
      </c>
      <c r="TH109" s="23"/>
      <c r="TI109" s="23"/>
      <c r="TJ109" s="23"/>
      <c r="TK109" s="23"/>
      <c r="TL109" s="23"/>
      <c r="TM109" s="23"/>
      <c r="TN109" s="23">
        <v>101.49</v>
      </c>
      <c r="TO109" s="23"/>
      <c r="TP109" s="23"/>
      <c r="TQ109" s="23"/>
      <c r="TR109" s="23"/>
      <c r="TS109" s="23"/>
      <c r="TT109" s="23">
        <v>101.77</v>
      </c>
      <c r="TU109" s="23"/>
      <c r="TV109" s="23"/>
      <c r="TW109" s="23"/>
      <c r="TX109" s="23"/>
      <c r="TY109" s="23"/>
      <c r="TZ109" s="23"/>
      <c r="UA109" s="23"/>
      <c r="UB109" s="23">
        <v>102.57</v>
      </c>
      <c r="UC109" s="23"/>
      <c r="UD109" s="23"/>
      <c r="UE109" s="23"/>
      <c r="UF109" s="23">
        <v>102.59</v>
      </c>
      <c r="UG109" s="23"/>
      <c r="UH109" s="23"/>
      <c r="UI109" s="23">
        <v>102.65</v>
      </c>
      <c r="UJ109" s="23"/>
      <c r="UK109" s="23"/>
      <c r="UL109" s="23"/>
      <c r="UM109" s="23"/>
      <c r="UN109" s="23"/>
      <c r="UO109" s="23"/>
      <c r="UP109" s="23"/>
      <c r="UQ109" s="23"/>
      <c r="UR109" s="23"/>
      <c r="US109" s="23"/>
      <c r="UT109" s="23"/>
    </row>
    <row r="110" ht="16.5" customHeight="1" spans="4:566">
      <c r="D110" s="26" t="s">
        <v>349</v>
      </c>
      <c r="E110" s="21" t="s">
        <v>350</v>
      </c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>
        <v>2.243</v>
      </c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>
        <v>1.935</v>
      </c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  <c r="DI110" s="31"/>
      <c r="DJ110" s="31"/>
      <c r="DK110" s="31"/>
      <c r="DL110" s="31"/>
      <c r="DM110" s="31"/>
      <c r="DN110" s="31"/>
      <c r="DO110" s="31"/>
      <c r="DP110" s="31"/>
      <c r="DQ110" s="31"/>
      <c r="DR110" s="31"/>
      <c r="DS110" s="31"/>
      <c r="DT110" s="31"/>
      <c r="DU110" s="31"/>
      <c r="DV110" s="31"/>
      <c r="DW110" s="31"/>
      <c r="DX110" s="31"/>
      <c r="DY110" s="31"/>
      <c r="DZ110" s="31"/>
      <c r="EA110" s="31"/>
      <c r="EB110" s="31"/>
      <c r="EC110" s="31"/>
      <c r="ED110" s="31"/>
      <c r="EE110" s="31"/>
      <c r="EF110" s="31"/>
      <c r="EG110" s="31"/>
      <c r="EH110" s="31"/>
      <c r="EI110" s="31"/>
      <c r="EJ110" s="31"/>
      <c r="EK110" s="31"/>
      <c r="EL110" s="31"/>
      <c r="EM110" s="31"/>
      <c r="EN110" s="31"/>
      <c r="EO110" s="31"/>
      <c r="EP110" s="31"/>
      <c r="EQ110" s="31"/>
      <c r="ER110" s="31">
        <v>2.22</v>
      </c>
      <c r="ES110" s="31"/>
      <c r="ET110" s="31"/>
      <c r="EU110" s="31"/>
      <c r="EV110" s="31"/>
      <c r="EW110" s="31"/>
      <c r="EX110" s="31"/>
      <c r="EY110" s="31"/>
      <c r="EZ110" s="31"/>
      <c r="FA110" s="31"/>
      <c r="FB110" s="31"/>
      <c r="FC110" s="31"/>
      <c r="FD110" s="31"/>
      <c r="FE110" s="31"/>
      <c r="FF110" s="31"/>
      <c r="FG110" s="31"/>
      <c r="FH110" s="31"/>
      <c r="FI110" s="31"/>
      <c r="FJ110" s="31"/>
      <c r="FK110" s="31"/>
      <c r="FL110" s="31"/>
      <c r="FM110" s="31"/>
      <c r="FN110" s="31"/>
      <c r="FO110" s="31"/>
      <c r="FP110" s="31"/>
      <c r="FQ110" s="31"/>
      <c r="FR110" s="31"/>
      <c r="FS110" s="31"/>
      <c r="FT110" s="31"/>
      <c r="FU110" s="31"/>
      <c r="FV110" s="31"/>
      <c r="FW110" s="31"/>
      <c r="FX110" s="31"/>
      <c r="FY110" s="31"/>
      <c r="FZ110" s="31"/>
      <c r="GA110" s="31"/>
      <c r="GB110" s="31"/>
      <c r="GC110" s="31"/>
      <c r="GD110" s="31"/>
      <c r="GE110" s="31"/>
      <c r="GF110" s="31"/>
      <c r="GG110" s="31"/>
      <c r="GH110" s="31"/>
      <c r="GI110" s="31"/>
      <c r="GJ110" s="31"/>
      <c r="GK110" s="31"/>
      <c r="GL110" s="31"/>
      <c r="GM110" s="31"/>
      <c r="GN110" s="31"/>
      <c r="GO110" s="31"/>
      <c r="GP110" s="31"/>
      <c r="GQ110" s="31"/>
      <c r="GR110" s="31"/>
      <c r="GS110" s="31"/>
      <c r="GT110" s="31"/>
      <c r="GU110" s="31"/>
      <c r="GV110" s="31"/>
      <c r="GW110" s="31"/>
      <c r="GX110" s="31"/>
      <c r="GY110" s="31"/>
      <c r="GZ110" s="31"/>
      <c r="HA110" s="31"/>
      <c r="HB110" s="31"/>
      <c r="HC110" s="31">
        <v>1.985</v>
      </c>
      <c r="HD110" s="31"/>
      <c r="HE110" s="31"/>
      <c r="HF110" s="31"/>
      <c r="HG110" s="31"/>
      <c r="HH110" s="31"/>
      <c r="HI110" s="31"/>
      <c r="HJ110" s="31"/>
      <c r="HK110" s="31"/>
      <c r="HL110" s="31"/>
      <c r="HM110" s="31"/>
      <c r="HN110" s="31"/>
      <c r="HO110" s="31"/>
      <c r="HP110" s="31"/>
      <c r="HQ110" s="31"/>
      <c r="HR110" s="31"/>
      <c r="HS110" s="31"/>
      <c r="HT110" s="31"/>
      <c r="HU110" s="31"/>
      <c r="HV110" s="31"/>
      <c r="HW110" s="31"/>
      <c r="HX110" s="31"/>
      <c r="HY110" s="31"/>
      <c r="HZ110" s="31"/>
      <c r="IA110" s="31"/>
      <c r="IB110" s="31"/>
      <c r="IC110" s="31"/>
      <c r="ID110" s="31"/>
      <c r="IE110" s="31"/>
      <c r="IF110" s="31"/>
      <c r="IG110" s="31"/>
      <c r="IH110" s="31"/>
      <c r="II110" s="31"/>
      <c r="IJ110" s="31"/>
      <c r="IK110" s="31"/>
      <c r="IL110" s="31"/>
      <c r="IM110" s="31"/>
      <c r="IN110" s="31"/>
      <c r="IO110" s="31"/>
      <c r="IP110" s="31"/>
      <c r="IQ110" s="31"/>
      <c r="IR110" s="31"/>
      <c r="IS110" s="31"/>
      <c r="IT110" s="31"/>
      <c r="IU110" s="31"/>
      <c r="IV110" s="31"/>
      <c r="IW110" s="31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>
        <v>1.734</v>
      </c>
      <c r="JH110" s="31"/>
      <c r="JI110" s="31"/>
      <c r="JJ110" s="31"/>
      <c r="JK110" s="31"/>
      <c r="JL110" s="31"/>
      <c r="JM110" s="31"/>
      <c r="JN110" s="31"/>
      <c r="JO110" s="31"/>
      <c r="JP110" s="31"/>
      <c r="JQ110" s="31"/>
      <c r="JR110" s="31"/>
      <c r="JS110" s="31"/>
      <c r="JT110" s="31"/>
      <c r="JU110" s="31"/>
      <c r="JV110" s="31"/>
      <c r="JW110" s="31"/>
      <c r="JX110" s="31"/>
      <c r="JY110" s="31"/>
      <c r="JZ110" s="31"/>
      <c r="KA110" s="31"/>
      <c r="KB110" s="31"/>
      <c r="KC110" s="31"/>
      <c r="KD110" s="31"/>
      <c r="KE110" s="31"/>
      <c r="KF110" s="31"/>
      <c r="KG110" s="31"/>
      <c r="KH110" s="31"/>
      <c r="KI110" s="31"/>
      <c r="KJ110" s="31"/>
      <c r="KK110" s="31"/>
      <c r="KL110" s="31"/>
      <c r="KM110" s="31"/>
      <c r="KN110" s="31"/>
      <c r="KO110" s="31"/>
      <c r="KP110" s="31"/>
      <c r="KQ110" s="31"/>
      <c r="KR110" s="31"/>
      <c r="KS110" s="31"/>
      <c r="KT110" s="31"/>
      <c r="KU110" s="31"/>
      <c r="KV110" s="31"/>
      <c r="KW110" s="31"/>
      <c r="KX110" s="31"/>
      <c r="KY110" s="31"/>
      <c r="KZ110" s="31"/>
      <c r="LA110" s="31"/>
      <c r="LB110" s="31"/>
      <c r="LC110" s="31"/>
      <c r="LD110" s="31"/>
      <c r="LE110" s="31"/>
      <c r="LF110" s="31"/>
      <c r="LG110" s="31"/>
      <c r="LH110" s="31"/>
      <c r="LI110" s="31"/>
      <c r="LJ110" s="31"/>
      <c r="LK110" s="31"/>
      <c r="LL110" s="31"/>
      <c r="LM110" s="31"/>
      <c r="LN110" s="31"/>
      <c r="LO110" s="31"/>
      <c r="LP110" s="31"/>
      <c r="LQ110" s="31"/>
      <c r="LR110" s="31">
        <v>1.843</v>
      </c>
      <c r="LS110" s="31"/>
      <c r="LT110" s="31"/>
      <c r="LU110" s="31"/>
      <c r="LV110" s="31"/>
      <c r="LW110" s="31"/>
      <c r="LX110" s="31"/>
      <c r="LY110" s="31"/>
      <c r="LZ110" s="31"/>
      <c r="MA110" s="31"/>
      <c r="MB110" s="31"/>
      <c r="MC110" s="31"/>
      <c r="MD110" s="31"/>
      <c r="ME110" s="31"/>
      <c r="MF110" s="31"/>
      <c r="MG110" s="31"/>
      <c r="MH110" s="31"/>
      <c r="MI110" s="31"/>
      <c r="MJ110" s="31"/>
      <c r="MK110" s="31"/>
      <c r="ML110" s="31"/>
      <c r="MM110" s="31"/>
      <c r="MN110" s="31"/>
      <c r="MO110" s="31"/>
      <c r="MP110" s="31"/>
      <c r="MQ110" s="31"/>
      <c r="MR110" s="31"/>
      <c r="MS110" s="31"/>
      <c r="MT110" s="31"/>
      <c r="MU110" s="31"/>
      <c r="MV110" s="31"/>
      <c r="MW110" s="31"/>
      <c r="MX110" s="31"/>
      <c r="MY110" s="31"/>
      <c r="MZ110" s="31"/>
      <c r="NA110" s="31"/>
      <c r="NB110" s="31"/>
      <c r="NC110" s="31"/>
      <c r="ND110" s="31"/>
      <c r="NE110" s="31"/>
      <c r="NF110" s="31"/>
      <c r="NG110" s="31"/>
      <c r="NH110" s="31"/>
      <c r="NI110" s="31"/>
      <c r="NJ110" s="31"/>
      <c r="NK110" s="31"/>
      <c r="NL110" s="31"/>
      <c r="NM110" s="31"/>
      <c r="NN110" s="31"/>
      <c r="NO110" s="31"/>
      <c r="NP110" s="31"/>
      <c r="NQ110" s="31"/>
      <c r="NR110" s="31"/>
      <c r="NS110" s="31"/>
      <c r="NT110" s="31"/>
      <c r="NU110" s="31"/>
      <c r="NV110" s="31"/>
      <c r="NW110" s="31"/>
      <c r="NX110" s="31"/>
      <c r="NY110" s="31"/>
      <c r="NZ110" s="31"/>
      <c r="OA110" s="31"/>
      <c r="OB110" s="31"/>
      <c r="OC110" s="31">
        <v>1.94</v>
      </c>
      <c r="OD110" s="31"/>
      <c r="OE110" s="31"/>
      <c r="OF110" s="31"/>
      <c r="OG110" s="31"/>
      <c r="OH110" s="31"/>
      <c r="OI110" s="31"/>
      <c r="OJ110" s="31"/>
      <c r="OK110" s="31"/>
      <c r="OL110" s="31"/>
      <c r="OM110" s="31"/>
      <c r="ON110" s="31"/>
      <c r="OO110" s="31"/>
      <c r="OP110" s="31"/>
      <c r="OQ110" s="31"/>
      <c r="OR110" s="31"/>
      <c r="OS110" s="31"/>
      <c r="OT110" s="31"/>
      <c r="OU110" s="31"/>
      <c r="OV110" s="31"/>
      <c r="OW110" s="31"/>
      <c r="OX110" s="31"/>
      <c r="OY110" s="31"/>
      <c r="OZ110" s="31"/>
      <c r="PA110" s="31"/>
      <c r="PB110" s="31"/>
      <c r="PC110" s="31"/>
      <c r="PD110" s="31"/>
      <c r="PE110" s="31"/>
      <c r="PF110" s="31"/>
      <c r="PG110" s="31"/>
      <c r="PH110" s="31"/>
      <c r="PI110" s="31"/>
      <c r="PJ110" s="31"/>
      <c r="PK110" s="31"/>
      <c r="PL110" s="31"/>
      <c r="PM110" s="31"/>
      <c r="PN110" s="31"/>
      <c r="PO110" s="31"/>
      <c r="PP110" s="31"/>
      <c r="PQ110" s="31"/>
      <c r="PR110" s="31"/>
      <c r="PS110" s="31"/>
      <c r="PT110" s="31"/>
      <c r="PU110" s="31"/>
      <c r="PV110" s="31"/>
      <c r="PW110" s="31"/>
      <c r="PX110" s="31"/>
      <c r="PY110" s="31"/>
      <c r="PZ110" s="31"/>
      <c r="QA110" s="31"/>
      <c r="QB110" s="31"/>
      <c r="QC110" s="31"/>
      <c r="QD110" s="31"/>
      <c r="QE110" s="31"/>
      <c r="QF110" s="31"/>
      <c r="QG110" s="31">
        <v>1.896</v>
      </c>
      <c r="QH110" s="31"/>
      <c r="QI110" s="31"/>
      <c r="QJ110" s="31"/>
      <c r="QK110" s="31"/>
      <c r="QL110" s="31"/>
      <c r="QM110" s="31"/>
      <c r="QN110" s="31"/>
      <c r="QO110" s="31"/>
      <c r="QP110" s="31"/>
      <c r="QQ110" s="31"/>
      <c r="QR110" s="31"/>
      <c r="QS110" s="31"/>
      <c r="QT110" s="31"/>
      <c r="QU110" s="31"/>
      <c r="QV110" s="31"/>
      <c r="QW110" s="31"/>
      <c r="QX110" s="31"/>
      <c r="QY110" s="31"/>
      <c r="QZ110" s="31"/>
      <c r="RA110" s="31"/>
      <c r="RB110" s="31"/>
      <c r="RC110" s="31"/>
      <c r="RD110" s="31"/>
      <c r="RE110" s="31"/>
      <c r="RF110" s="31"/>
      <c r="RG110" s="31"/>
      <c r="RH110" s="31"/>
      <c r="RI110" s="31"/>
      <c r="RJ110" s="31"/>
      <c r="RK110" s="31"/>
      <c r="RL110" s="31"/>
      <c r="RM110" s="31"/>
      <c r="RN110" s="31"/>
      <c r="RO110" s="31"/>
      <c r="RP110" s="31"/>
      <c r="RQ110" s="31"/>
      <c r="RR110" s="23"/>
      <c r="RS110" s="23"/>
      <c r="RT110" s="23"/>
      <c r="RU110" s="23"/>
      <c r="RV110" s="23"/>
      <c r="RW110" s="23"/>
      <c r="RX110" s="23"/>
      <c r="RY110" s="23"/>
      <c r="RZ110" s="23"/>
      <c r="SA110" s="23"/>
      <c r="SB110" s="23"/>
      <c r="SC110" s="23"/>
      <c r="SD110" s="23"/>
      <c r="SE110" s="23"/>
      <c r="SF110" s="23"/>
      <c r="SG110" s="23"/>
      <c r="SH110" s="23"/>
      <c r="SI110" s="23"/>
      <c r="SJ110" s="23"/>
      <c r="SK110" s="23"/>
      <c r="SL110" s="23"/>
      <c r="SM110" s="23"/>
      <c r="SN110" s="23"/>
      <c r="SO110" s="23"/>
      <c r="SP110" s="23"/>
      <c r="SQ110" s="23"/>
      <c r="SR110" s="23">
        <v>2.169</v>
      </c>
      <c r="SS110" s="23"/>
      <c r="ST110" s="23"/>
      <c r="SU110" s="23"/>
      <c r="SV110" s="23"/>
      <c r="SW110" s="23"/>
      <c r="SX110" s="23"/>
      <c r="SY110" s="23"/>
      <c r="SZ110" s="23"/>
      <c r="TA110" s="23"/>
      <c r="TB110" s="23"/>
      <c r="TC110" s="23"/>
      <c r="TD110" s="23"/>
      <c r="TE110" s="23"/>
      <c r="TF110" s="23"/>
      <c r="TG110" s="23"/>
      <c r="TH110" s="23"/>
      <c r="TI110" s="23"/>
      <c r="TJ110" s="23"/>
      <c r="TK110" s="23"/>
      <c r="TL110" s="23"/>
      <c r="TM110" s="23"/>
      <c r="TN110" s="23"/>
      <c r="TO110" s="23"/>
      <c r="TP110" s="23"/>
      <c r="TQ110" s="23"/>
      <c r="TR110" s="23"/>
      <c r="TS110" s="23"/>
      <c r="TT110" s="23"/>
      <c r="TU110" s="23"/>
      <c r="TV110" s="23"/>
      <c r="TW110" s="23"/>
      <c r="TX110" s="23"/>
      <c r="TY110" s="23"/>
      <c r="TZ110" s="23"/>
      <c r="UA110" s="23"/>
      <c r="UB110" s="23"/>
      <c r="UC110" s="23"/>
      <c r="UD110" s="23"/>
      <c r="UE110" s="23"/>
      <c r="UF110" s="23"/>
      <c r="UG110" s="23"/>
      <c r="UH110" s="23"/>
      <c r="UI110" s="23"/>
      <c r="UJ110" s="23"/>
      <c r="UK110" s="23"/>
      <c r="UL110" s="23"/>
      <c r="UM110" s="23"/>
      <c r="UN110" s="23"/>
      <c r="UO110" s="23"/>
      <c r="UP110" s="23"/>
      <c r="UQ110" s="23"/>
      <c r="UR110" s="23"/>
      <c r="US110" s="23"/>
      <c r="UT110" s="23"/>
    </row>
    <row r="111" ht="16.5" customHeight="1" spans="4:566">
      <c r="D111" s="26" t="s">
        <v>351</v>
      </c>
      <c r="E111" s="21" t="s">
        <v>352</v>
      </c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>
        <v>22.839547</v>
      </c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>
        <v>27.584015</v>
      </c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>
        <v>33.557858</v>
      </c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  <c r="DI111" s="31"/>
      <c r="DJ111" s="31"/>
      <c r="DK111" s="31"/>
      <c r="DL111" s="31"/>
      <c r="DM111" s="31"/>
      <c r="DN111" s="31"/>
      <c r="DO111" s="31"/>
      <c r="DP111" s="31"/>
      <c r="DQ111" s="31"/>
      <c r="DR111" s="31"/>
      <c r="DS111" s="31"/>
      <c r="DT111" s="31"/>
      <c r="DU111" s="31"/>
      <c r="DV111" s="31">
        <v>16.474247</v>
      </c>
      <c r="DW111" s="31"/>
      <c r="DX111" s="31"/>
      <c r="DY111" s="31"/>
      <c r="DZ111" s="31"/>
      <c r="EA111" s="31"/>
      <c r="EB111" s="31"/>
      <c r="EC111" s="31"/>
      <c r="ED111" s="31"/>
      <c r="EE111" s="31"/>
      <c r="EF111" s="31"/>
      <c r="EG111" s="31"/>
      <c r="EH111" s="31"/>
      <c r="EI111" s="31"/>
      <c r="EJ111" s="31"/>
      <c r="EK111" s="31"/>
      <c r="EL111" s="31"/>
      <c r="EM111" s="31"/>
      <c r="EN111" s="31"/>
      <c r="EO111" s="31"/>
      <c r="EP111" s="31"/>
      <c r="EQ111" s="31"/>
      <c r="ER111" s="31"/>
      <c r="ES111" s="31"/>
      <c r="ET111" s="31"/>
      <c r="EU111" s="31"/>
      <c r="EV111" s="31"/>
      <c r="EW111" s="31"/>
      <c r="EX111" s="31"/>
      <c r="EY111" s="31"/>
      <c r="EZ111" s="31"/>
      <c r="FA111" s="31">
        <v>18.833861</v>
      </c>
      <c r="FB111" s="31"/>
      <c r="FC111" s="31"/>
      <c r="FD111" s="31"/>
      <c r="FE111" s="31"/>
      <c r="FF111" s="31"/>
      <c r="FG111" s="31"/>
      <c r="FH111" s="31"/>
      <c r="FI111" s="31"/>
      <c r="FJ111" s="31"/>
      <c r="FK111" s="31"/>
      <c r="FL111" s="31"/>
      <c r="FM111" s="31"/>
      <c r="FN111" s="31"/>
      <c r="FO111" s="31"/>
      <c r="FP111" s="31"/>
      <c r="FQ111" s="31"/>
      <c r="FR111" s="31"/>
      <c r="FS111" s="31"/>
      <c r="FT111" s="31"/>
      <c r="FU111" s="31"/>
      <c r="FV111" s="31"/>
      <c r="FW111" s="31"/>
      <c r="FX111" s="31"/>
      <c r="FY111" s="31"/>
      <c r="FZ111" s="31"/>
      <c r="GA111" s="31"/>
      <c r="GB111" s="31"/>
      <c r="GC111" s="31"/>
      <c r="GD111" s="31"/>
      <c r="GE111" s="31">
        <v>37.123028</v>
      </c>
      <c r="GF111" s="31"/>
      <c r="GG111" s="31"/>
      <c r="GH111" s="31"/>
      <c r="GI111" s="31"/>
      <c r="GJ111" s="31"/>
      <c r="GK111" s="31"/>
      <c r="GL111" s="31"/>
      <c r="GM111" s="31"/>
      <c r="GN111" s="31"/>
      <c r="GO111" s="31"/>
      <c r="GP111" s="31"/>
      <c r="GQ111" s="31"/>
      <c r="GR111" s="31"/>
      <c r="GS111" s="31"/>
      <c r="GT111" s="31"/>
      <c r="GU111" s="31"/>
      <c r="GV111" s="31"/>
      <c r="GW111" s="31"/>
      <c r="GX111" s="31"/>
      <c r="GY111" s="31"/>
      <c r="GZ111" s="31"/>
      <c r="HA111" s="31"/>
      <c r="HB111" s="31"/>
      <c r="HC111" s="31"/>
      <c r="HD111" s="31"/>
      <c r="HE111" s="31"/>
      <c r="HF111" s="31"/>
      <c r="HG111" s="31"/>
      <c r="HH111" s="31"/>
      <c r="HI111" s="31"/>
      <c r="HJ111" s="31">
        <v>18.58798</v>
      </c>
      <c r="HK111" s="31"/>
      <c r="HL111" s="31"/>
      <c r="HM111" s="31"/>
      <c r="HN111" s="31"/>
      <c r="HO111" s="31"/>
      <c r="HP111" s="31"/>
      <c r="HQ111" s="31"/>
      <c r="HR111" s="31"/>
      <c r="HS111" s="31"/>
      <c r="HT111" s="31"/>
      <c r="HU111" s="31"/>
      <c r="HV111" s="31"/>
      <c r="HW111" s="31"/>
      <c r="HX111" s="31"/>
      <c r="HY111" s="31"/>
      <c r="HZ111" s="31"/>
      <c r="IA111" s="31"/>
      <c r="IB111" s="31"/>
      <c r="IC111" s="31"/>
      <c r="ID111" s="31"/>
      <c r="IE111" s="31"/>
      <c r="IF111" s="31"/>
      <c r="IG111" s="31"/>
      <c r="IH111" s="31"/>
      <c r="II111" s="31"/>
      <c r="IJ111" s="31"/>
      <c r="IK111" s="31"/>
      <c r="IL111" s="31"/>
      <c r="IM111" s="31"/>
      <c r="IN111" s="31"/>
      <c r="IO111" s="31">
        <v>20.065129</v>
      </c>
      <c r="IP111" s="31"/>
      <c r="IQ111" s="31"/>
      <c r="IR111" s="31"/>
      <c r="IS111" s="31"/>
      <c r="IT111" s="31"/>
      <c r="IU111" s="31"/>
      <c r="IV111" s="31"/>
      <c r="IW111" s="31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  <c r="JN111" s="31"/>
      <c r="JO111" s="31"/>
      <c r="JP111" s="31"/>
      <c r="JQ111" s="31"/>
      <c r="JR111" s="31"/>
      <c r="JS111" s="31">
        <v>40.796265</v>
      </c>
      <c r="JT111" s="31"/>
      <c r="JU111" s="31"/>
      <c r="JV111" s="31"/>
      <c r="JW111" s="31"/>
      <c r="JX111" s="31"/>
      <c r="JY111" s="31"/>
      <c r="JZ111" s="31"/>
      <c r="KA111" s="31"/>
      <c r="KB111" s="31"/>
      <c r="KC111" s="31"/>
      <c r="KD111" s="31"/>
      <c r="KE111" s="31"/>
      <c r="KF111" s="31"/>
      <c r="KG111" s="31"/>
      <c r="KH111" s="31"/>
      <c r="KI111" s="31"/>
      <c r="KJ111" s="31"/>
      <c r="KK111" s="31"/>
      <c r="KL111" s="31"/>
      <c r="KM111" s="31"/>
      <c r="KN111" s="31"/>
      <c r="KO111" s="31"/>
      <c r="KP111" s="31"/>
      <c r="KQ111" s="31"/>
      <c r="KR111" s="31"/>
      <c r="KS111" s="31"/>
      <c r="KT111" s="31"/>
      <c r="KU111" s="31"/>
      <c r="KV111" s="31"/>
      <c r="KW111" s="31"/>
      <c r="KX111" s="31">
        <v>52.061818</v>
      </c>
      <c r="KY111" s="31"/>
      <c r="KZ111" s="31"/>
      <c r="LA111" s="31"/>
      <c r="LB111" s="31"/>
      <c r="LC111" s="31"/>
      <c r="LD111" s="31"/>
      <c r="LE111" s="31"/>
      <c r="LF111" s="31"/>
      <c r="LG111" s="31"/>
      <c r="LH111" s="31"/>
      <c r="LI111" s="31"/>
      <c r="LJ111" s="31"/>
      <c r="LK111" s="31"/>
      <c r="LL111" s="31"/>
      <c r="LM111" s="31"/>
      <c r="LN111" s="31"/>
      <c r="LO111" s="31"/>
      <c r="LP111" s="31"/>
      <c r="LQ111" s="31"/>
      <c r="LR111" s="31"/>
      <c r="LS111" s="31"/>
      <c r="LT111" s="31"/>
      <c r="LU111" s="31"/>
      <c r="LV111" s="31"/>
      <c r="LW111" s="31"/>
      <c r="LX111" s="31"/>
      <c r="LY111" s="31"/>
      <c r="LZ111" s="31"/>
      <c r="MA111" s="31"/>
      <c r="MB111" s="31">
        <v>44.475236</v>
      </c>
      <c r="MC111" s="31"/>
      <c r="MD111" s="31"/>
      <c r="ME111" s="31"/>
      <c r="MF111" s="31"/>
      <c r="MG111" s="31"/>
      <c r="MH111" s="31"/>
      <c r="MI111" s="31"/>
      <c r="MJ111" s="31"/>
      <c r="MK111" s="31"/>
      <c r="ML111" s="31"/>
      <c r="MM111" s="31"/>
      <c r="MN111" s="31"/>
      <c r="MO111" s="31"/>
      <c r="MP111" s="31"/>
      <c r="MQ111" s="31"/>
      <c r="MR111" s="31"/>
      <c r="MS111" s="31"/>
      <c r="MT111" s="31"/>
      <c r="MU111" s="31"/>
      <c r="MV111" s="31"/>
      <c r="MW111" s="31"/>
      <c r="MX111" s="31"/>
      <c r="MY111" s="31"/>
      <c r="MZ111" s="31"/>
      <c r="NA111" s="31"/>
      <c r="NB111" s="31"/>
      <c r="NC111" s="31"/>
      <c r="ND111" s="31"/>
      <c r="NE111" s="31"/>
      <c r="NF111" s="31"/>
      <c r="NG111" s="31">
        <v>34.49004</v>
      </c>
      <c r="NH111" s="31"/>
      <c r="NI111" s="31"/>
      <c r="NJ111" s="31"/>
      <c r="NK111" s="31"/>
      <c r="NL111" s="31"/>
      <c r="NM111" s="31"/>
      <c r="NN111" s="31"/>
      <c r="NO111" s="31"/>
      <c r="NP111" s="31"/>
      <c r="NQ111" s="31"/>
      <c r="NR111" s="31"/>
      <c r="NS111" s="31"/>
      <c r="NT111" s="31"/>
      <c r="NU111" s="31"/>
      <c r="NV111" s="31"/>
      <c r="NW111" s="31"/>
      <c r="NX111" s="31"/>
      <c r="NY111" s="31"/>
      <c r="NZ111" s="31"/>
      <c r="OA111" s="31"/>
      <c r="OB111" s="31"/>
      <c r="OC111" s="31"/>
      <c r="OD111" s="31"/>
      <c r="OE111" s="31"/>
      <c r="OF111" s="31"/>
      <c r="OG111" s="31"/>
      <c r="OH111" s="31"/>
      <c r="OI111" s="31"/>
      <c r="OJ111" s="31"/>
      <c r="OK111" s="31"/>
      <c r="OL111" s="31">
        <v>41.385835</v>
      </c>
      <c r="OM111" s="31"/>
      <c r="ON111" s="31"/>
      <c r="OO111" s="31"/>
      <c r="OP111" s="31"/>
      <c r="OQ111" s="31"/>
      <c r="OR111" s="31"/>
      <c r="OS111" s="31"/>
      <c r="OT111" s="31"/>
      <c r="OU111" s="31"/>
      <c r="OV111" s="31"/>
      <c r="OW111" s="31"/>
      <c r="OX111" s="31"/>
      <c r="OY111" s="31"/>
      <c r="OZ111" s="31"/>
      <c r="PA111" s="31"/>
      <c r="PB111" s="31"/>
      <c r="PC111" s="31"/>
      <c r="PD111" s="31"/>
      <c r="PE111" s="31"/>
      <c r="PF111" s="31"/>
      <c r="PG111" s="31"/>
      <c r="PH111" s="31"/>
      <c r="PI111" s="31"/>
      <c r="PJ111" s="31"/>
      <c r="PK111" s="31"/>
      <c r="PL111" s="31"/>
      <c r="PM111" s="31"/>
      <c r="PN111" s="31">
        <v>30.777161</v>
      </c>
      <c r="PO111" s="31"/>
      <c r="PP111" s="31"/>
      <c r="PQ111" s="31"/>
      <c r="PR111" s="31"/>
      <c r="PS111" s="31"/>
      <c r="PT111" s="31"/>
      <c r="PU111" s="31"/>
      <c r="PV111" s="31"/>
      <c r="PW111" s="31"/>
      <c r="PX111" s="31"/>
      <c r="PY111" s="31"/>
      <c r="PZ111" s="31"/>
      <c r="QA111" s="31"/>
      <c r="QB111" s="31"/>
      <c r="QC111" s="31"/>
      <c r="QD111" s="31"/>
      <c r="QE111" s="31"/>
      <c r="QF111" s="31"/>
      <c r="QG111" s="31"/>
      <c r="QH111" s="31"/>
      <c r="QI111" s="31"/>
      <c r="QJ111" s="31"/>
      <c r="QK111" s="31"/>
      <c r="QL111" s="31"/>
      <c r="QM111" s="31"/>
      <c r="QN111" s="31"/>
      <c r="QO111" s="31"/>
      <c r="QP111" s="31"/>
      <c r="QQ111" s="31"/>
      <c r="QR111" s="31"/>
      <c r="QS111" s="31">
        <v>-50.561878</v>
      </c>
      <c r="QT111" s="31"/>
      <c r="QU111" s="31"/>
      <c r="QV111" s="31"/>
      <c r="QW111" s="31"/>
      <c r="QX111" s="31"/>
      <c r="QY111" s="31"/>
      <c r="QZ111" s="31"/>
      <c r="RA111" s="31"/>
      <c r="RB111" s="31"/>
      <c r="RC111" s="31"/>
      <c r="RD111" s="31"/>
      <c r="RE111" s="31"/>
      <c r="RF111" s="31"/>
      <c r="RG111" s="31"/>
      <c r="RH111" s="31"/>
      <c r="RI111" s="31"/>
      <c r="RJ111" s="31"/>
      <c r="RK111" s="31"/>
      <c r="RL111" s="31"/>
      <c r="RM111" s="31"/>
      <c r="RN111" s="31"/>
      <c r="RO111" s="31"/>
      <c r="RP111" s="31"/>
      <c r="RQ111" s="31"/>
      <c r="RR111" s="23"/>
      <c r="RS111" s="23"/>
      <c r="RT111" s="23"/>
      <c r="RU111" s="23"/>
      <c r="RV111" s="23"/>
      <c r="RW111" s="23">
        <v>21.530776</v>
      </c>
      <c r="RX111" s="23"/>
      <c r="RY111" s="23"/>
      <c r="RZ111" s="23"/>
      <c r="SA111" s="23"/>
      <c r="SB111" s="23"/>
      <c r="SC111" s="23"/>
      <c r="SD111" s="23"/>
      <c r="SE111" s="23"/>
      <c r="SF111" s="23"/>
      <c r="SG111" s="23"/>
      <c r="SH111" s="23"/>
      <c r="SI111" s="23"/>
      <c r="SJ111" s="23"/>
      <c r="SK111" s="23"/>
      <c r="SL111" s="23"/>
      <c r="SM111" s="23"/>
      <c r="SN111" s="23"/>
      <c r="SO111" s="23"/>
      <c r="SP111" s="23"/>
      <c r="SQ111" s="23"/>
      <c r="SR111" s="23"/>
      <c r="SS111" s="23"/>
      <c r="ST111" s="23"/>
      <c r="SU111" s="23"/>
      <c r="SV111" s="23"/>
      <c r="SW111" s="23"/>
      <c r="SX111" s="23"/>
      <c r="SY111" s="23"/>
      <c r="SZ111" s="23"/>
      <c r="TA111" s="23"/>
      <c r="TB111" s="23">
        <v>41.238112</v>
      </c>
      <c r="TC111" s="23"/>
      <c r="TD111" s="23"/>
      <c r="TE111" s="23"/>
      <c r="TF111" s="23"/>
      <c r="TG111" s="23"/>
      <c r="TH111" s="23"/>
      <c r="TI111" s="23"/>
      <c r="TJ111" s="23"/>
      <c r="TK111" s="23"/>
      <c r="TL111" s="23"/>
      <c r="TM111" s="23"/>
      <c r="TN111" s="23"/>
      <c r="TO111" s="23"/>
      <c r="TP111" s="23"/>
      <c r="TQ111" s="23"/>
      <c r="TR111" s="23"/>
      <c r="TS111" s="23"/>
      <c r="TT111" s="23"/>
      <c r="TU111" s="23"/>
      <c r="TV111" s="23"/>
      <c r="TW111" s="23"/>
      <c r="TX111" s="23"/>
      <c r="TY111" s="23"/>
      <c r="TZ111" s="23"/>
      <c r="UA111" s="23"/>
      <c r="UB111" s="23"/>
      <c r="UC111" s="23"/>
      <c r="UD111" s="23"/>
      <c r="UE111" s="23"/>
      <c r="UF111" s="23"/>
      <c r="UG111" s="23"/>
      <c r="UH111" s="23"/>
      <c r="UI111" s="23"/>
      <c r="UJ111" s="23"/>
      <c r="UK111" s="23"/>
      <c r="UL111" s="23"/>
      <c r="UM111" s="23"/>
      <c r="UN111" s="23"/>
      <c r="UO111" s="23"/>
      <c r="UP111" s="23"/>
      <c r="UQ111" s="23"/>
      <c r="UR111" s="23"/>
      <c r="US111" s="23"/>
      <c r="UT111" s="23"/>
    </row>
    <row r="112" ht="16.5" customHeight="1" spans="4:566">
      <c r="D112" s="26" t="s">
        <v>422</v>
      </c>
      <c r="E112" s="21" t="s">
        <v>33</v>
      </c>
      <c r="F112" s="31"/>
      <c r="G112" s="31"/>
      <c r="H112" s="31">
        <v>164784</v>
      </c>
      <c r="I112" s="31">
        <v>160354</v>
      </c>
      <c r="J112" s="31"/>
      <c r="K112" s="31"/>
      <c r="L112" s="31">
        <v>121635</v>
      </c>
      <c r="M112" s="31">
        <v>205718</v>
      </c>
      <c r="N112" s="31">
        <v>168397</v>
      </c>
      <c r="O112" s="31">
        <v>129069</v>
      </c>
      <c r="P112" s="31">
        <v>144698</v>
      </c>
      <c r="Q112" s="31"/>
      <c r="R112" s="31"/>
      <c r="S112" s="31">
        <v>134047</v>
      </c>
      <c r="T112" s="31">
        <v>157687</v>
      </c>
      <c r="U112" s="31">
        <v>128526</v>
      </c>
      <c r="V112" s="31">
        <v>142307</v>
      </c>
      <c r="W112" s="31">
        <v>122272</v>
      </c>
      <c r="X112" s="31"/>
      <c r="Y112" s="31"/>
      <c r="Z112" s="31">
        <v>161376</v>
      </c>
      <c r="AA112" s="31">
        <v>147985</v>
      </c>
      <c r="AB112" s="31">
        <v>135317</v>
      </c>
      <c r="AC112" s="31">
        <v>148515</v>
      </c>
      <c r="AD112" s="31">
        <v>159808</v>
      </c>
      <c r="AE112" s="31"/>
      <c r="AF112" s="31"/>
      <c r="AG112" s="31">
        <v>147332</v>
      </c>
      <c r="AH112" s="31">
        <v>51663</v>
      </c>
      <c r="AI112" s="31"/>
      <c r="AJ112" s="31"/>
      <c r="AK112" s="31"/>
      <c r="AL112" s="31"/>
      <c r="AM112" s="31"/>
      <c r="AN112" s="31">
        <v>124956</v>
      </c>
      <c r="AO112" s="31">
        <v>161875</v>
      </c>
      <c r="AP112" s="31">
        <v>192211</v>
      </c>
      <c r="AQ112" s="31">
        <v>178447</v>
      </c>
      <c r="AR112" s="31">
        <v>246373</v>
      </c>
      <c r="AS112" s="31"/>
      <c r="AT112" s="31"/>
      <c r="AU112" s="31">
        <v>242493</v>
      </c>
      <c r="AV112" s="31">
        <v>219612</v>
      </c>
      <c r="AW112" s="31">
        <v>287163</v>
      </c>
      <c r="AX112" s="31">
        <v>379448</v>
      </c>
      <c r="AY112" s="31">
        <v>364601</v>
      </c>
      <c r="AZ112" s="31"/>
      <c r="BA112" s="31"/>
      <c r="BB112" s="31">
        <v>400237</v>
      </c>
      <c r="BC112" s="31">
        <v>338626</v>
      </c>
      <c r="BD112" s="31">
        <v>262567</v>
      </c>
      <c r="BE112" s="31">
        <v>283943</v>
      </c>
      <c r="BF112" s="31">
        <v>393598</v>
      </c>
      <c r="BG112" s="31"/>
      <c r="BH112" s="31"/>
      <c r="BI112" s="31">
        <v>356031</v>
      </c>
      <c r="BJ112" s="31">
        <v>329552</v>
      </c>
      <c r="BK112" s="31">
        <v>370131</v>
      </c>
      <c r="BL112" s="31">
        <v>406465</v>
      </c>
      <c r="BM112" s="31">
        <v>406264</v>
      </c>
      <c r="BN112" s="31"/>
      <c r="BO112" s="31"/>
      <c r="BP112" s="31">
        <v>301898</v>
      </c>
      <c r="BQ112" s="31">
        <v>269528</v>
      </c>
      <c r="BR112" s="31">
        <v>258689</v>
      </c>
      <c r="BS112" s="31">
        <v>377146</v>
      </c>
      <c r="BT112" s="31">
        <v>383166</v>
      </c>
      <c r="BU112" s="31"/>
      <c r="BV112" s="31"/>
      <c r="BW112" s="31">
        <v>301815</v>
      </c>
      <c r="BX112" s="31">
        <v>307034</v>
      </c>
      <c r="BY112" s="31">
        <v>278492</v>
      </c>
      <c r="BZ112" s="31">
        <v>233833</v>
      </c>
      <c r="CA112" s="31">
        <v>290613</v>
      </c>
      <c r="CB112" s="31"/>
      <c r="CC112" s="31"/>
      <c r="CD112" s="31">
        <v>244822</v>
      </c>
      <c r="CE112" s="31">
        <v>285935</v>
      </c>
      <c r="CF112" s="31">
        <v>271859</v>
      </c>
      <c r="CG112" s="31">
        <v>294855</v>
      </c>
      <c r="CH112" s="31">
        <v>339092</v>
      </c>
      <c r="CI112" s="31"/>
      <c r="CJ112" s="31"/>
      <c r="CK112" s="31">
        <v>233108</v>
      </c>
      <c r="CL112" s="31">
        <v>285269</v>
      </c>
      <c r="CM112" s="31">
        <v>199765</v>
      </c>
      <c r="CN112" s="31">
        <v>239641</v>
      </c>
      <c r="CO112" s="31">
        <v>229622</v>
      </c>
      <c r="CP112" s="31"/>
      <c r="CQ112" s="31"/>
      <c r="CR112" s="31">
        <v>257325</v>
      </c>
      <c r="CS112" s="31">
        <v>250231</v>
      </c>
      <c r="CT112" s="31">
        <v>216598</v>
      </c>
      <c r="CU112" s="31">
        <v>289492</v>
      </c>
      <c r="CV112" s="31"/>
      <c r="CW112" s="31"/>
      <c r="CX112" s="31"/>
      <c r="CY112" s="31">
        <v>620898</v>
      </c>
      <c r="CZ112" s="31">
        <v>433157</v>
      </c>
      <c r="DA112" s="31">
        <v>412385</v>
      </c>
      <c r="DB112" s="31">
        <v>395534</v>
      </c>
      <c r="DC112" s="31">
        <v>276426</v>
      </c>
      <c r="DD112" s="31"/>
      <c r="DE112" s="31"/>
      <c r="DF112" s="31">
        <v>253389</v>
      </c>
      <c r="DG112" s="31">
        <v>185064</v>
      </c>
      <c r="DH112" s="31">
        <v>219992</v>
      </c>
      <c r="DI112" s="31">
        <v>192411</v>
      </c>
      <c r="DJ112" s="31"/>
      <c r="DK112" s="31"/>
      <c r="DL112" s="31"/>
      <c r="DM112" s="31"/>
      <c r="DN112" s="31">
        <v>251382</v>
      </c>
      <c r="DO112" s="31">
        <v>260619</v>
      </c>
      <c r="DP112" s="31">
        <v>204760</v>
      </c>
      <c r="DQ112" s="31">
        <v>208036</v>
      </c>
      <c r="DR112" s="31"/>
      <c r="DS112" s="31"/>
      <c r="DT112" s="31">
        <v>169031</v>
      </c>
      <c r="DU112" s="31">
        <v>177658</v>
      </c>
      <c r="DV112" s="31">
        <v>201553</v>
      </c>
      <c r="DW112" s="31"/>
      <c r="DX112" s="31">
        <v>133728</v>
      </c>
      <c r="DY112" s="31"/>
      <c r="DZ112" s="31"/>
      <c r="EA112" s="31"/>
      <c r="EB112" s="31">
        <v>213368</v>
      </c>
      <c r="EC112" s="31">
        <v>240050</v>
      </c>
      <c r="ED112" s="31">
        <v>185896</v>
      </c>
      <c r="EE112" s="31">
        <v>161629</v>
      </c>
      <c r="EF112" s="31"/>
      <c r="EG112" s="31"/>
      <c r="EH112" s="31">
        <v>322426</v>
      </c>
      <c r="EI112" s="31">
        <v>219845</v>
      </c>
      <c r="EJ112" s="31">
        <v>222841</v>
      </c>
      <c r="EK112" s="31">
        <v>200209</v>
      </c>
      <c r="EL112" s="31">
        <v>190722</v>
      </c>
      <c r="EM112" s="31"/>
      <c r="EN112" s="31"/>
      <c r="EO112" s="31">
        <v>184704</v>
      </c>
      <c r="EP112" s="31">
        <v>205736</v>
      </c>
      <c r="EQ112" s="31">
        <v>216254</v>
      </c>
      <c r="ER112" s="31">
        <v>198229</v>
      </c>
      <c r="ES112" s="31">
        <v>203671</v>
      </c>
      <c r="ET112" s="31"/>
      <c r="EU112" s="31"/>
      <c r="EV112" s="31">
        <v>223520</v>
      </c>
      <c r="EW112" s="31">
        <v>203268</v>
      </c>
      <c r="EX112" s="31">
        <v>180816</v>
      </c>
      <c r="EY112" s="31">
        <v>226855</v>
      </c>
      <c r="EZ112" s="31">
        <v>271563</v>
      </c>
      <c r="FA112" s="31"/>
      <c r="FB112" s="31"/>
      <c r="FC112" s="31">
        <v>145245</v>
      </c>
      <c r="FD112" s="31">
        <v>203681</v>
      </c>
      <c r="FE112" s="31">
        <v>212687</v>
      </c>
      <c r="FF112" s="31">
        <v>222026</v>
      </c>
      <c r="FG112" s="31">
        <v>235622</v>
      </c>
      <c r="FH112" s="31"/>
      <c r="FI112" s="31"/>
      <c r="FJ112" s="31">
        <v>245828</v>
      </c>
      <c r="FK112" s="31">
        <v>250339</v>
      </c>
      <c r="FL112" s="31">
        <v>235173</v>
      </c>
      <c r="FM112" s="31">
        <v>244412</v>
      </c>
      <c r="FN112" s="31">
        <v>294287</v>
      </c>
      <c r="FO112" s="31"/>
      <c r="FP112" s="31"/>
      <c r="FQ112" s="31">
        <v>229241</v>
      </c>
      <c r="FR112" s="31">
        <v>202144</v>
      </c>
      <c r="FS112" s="31">
        <v>181928</v>
      </c>
      <c r="FT112" s="31">
        <v>220099</v>
      </c>
      <c r="FU112" s="31">
        <v>222423</v>
      </c>
      <c r="FV112" s="31"/>
      <c r="FW112" s="31"/>
      <c r="FX112" s="31">
        <v>198591</v>
      </c>
      <c r="FY112" s="31">
        <v>240482</v>
      </c>
      <c r="FZ112" s="31">
        <v>267801</v>
      </c>
      <c r="GA112" s="31">
        <v>261729</v>
      </c>
      <c r="GB112" s="31">
        <v>275115</v>
      </c>
      <c r="GC112" s="31"/>
      <c r="GD112" s="31"/>
      <c r="GE112" s="31">
        <v>242234</v>
      </c>
      <c r="GF112" s="31"/>
      <c r="GG112" s="31">
        <v>240225</v>
      </c>
      <c r="GH112" s="31">
        <v>231247</v>
      </c>
      <c r="GI112" s="31">
        <v>267808</v>
      </c>
      <c r="GJ112" s="31"/>
      <c r="GK112" s="31"/>
      <c r="GL112" s="31">
        <v>193790</v>
      </c>
      <c r="GM112" s="31">
        <v>213289</v>
      </c>
      <c r="GN112" s="31">
        <v>233878</v>
      </c>
      <c r="GO112" s="31">
        <v>246728</v>
      </c>
      <c r="GP112" s="31">
        <v>323950</v>
      </c>
      <c r="GQ112" s="31"/>
      <c r="GR112" s="31"/>
      <c r="GS112" s="31">
        <v>210363</v>
      </c>
      <c r="GT112" s="31">
        <v>288400</v>
      </c>
      <c r="GU112" s="31">
        <v>258951</v>
      </c>
      <c r="GV112" s="31">
        <v>236412</v>
      </c>
      <c r="GW112" s="31">
        <v>238691</v>
      </c>
      <c r="GX112" s="31"/>
      <c r="GY112" s="31"/>
      <c r="GZ112" s="31">
        <v>263012</v>
      </c>
      <c r="HA112" s="31">
        <v>266073</v>
      </c>
      <c r="HB112" s="31">
        <v>333067</v>
      </c>
      <c r="HC112" s="31">
        <v>294811</v>
      </c>
      <c r="HD112" s="31">
        <v>281770</v>
      </c>
      <c r="HE112" s="31"/>
      <c r="HF112" s="31"/>
      <c r="HG112" s="31">
        <v>250299</v>
      </c>
      <c r="HH112" s="31">
        <v>267010</v>
      </c>
      <c r="HI112" s="31">
        <v>319652</v>
      </c>
      <c r="HJ112" s="31">
        <v>320633</v>
      </c>
      <c r="HK112" s="31">
        <v>254674</v>
      </c>
      <c r="HL112" s="31"/>
      <c r="HM112" s="31"/>
      <c r="HN112" s="31">
        <v>234682</v>
      </c>
      <c r="HO112" s="31">
        <v>229399</v>
      </c>
      <c r="HP112" s="31">
        <v>215235</v>
      </c>
      <c r="HQ112" s="31">
        <v>245748</v>
      </c>
      <c r="HR112" s="31">
        <v>206720</v>
      </c>
      <c r="HS112" s="31"/>
      <c r="HT112" s="31"/>
      <c r="HU112" s="31">
        <v>200902</v>
      </c>
      <c r="HV112" s="31">
        <v>215421</v>
      </c>
      <c r="HW112" s="31">
        <v>284041</v>
      </c>
      <c r="HX112" s="31">
        <v>270121</v>
      </c>
      <c r="HY112" s="31">
        <v>312687</v>
      </c>
      <c r="HZ112" s="31"/>
      <c r="IA112" s="31"/>
      <c r="IB112" s="31">
        <v>312783</v>
      </c>
      <c r="IC112" s="31">
        <v>278218</v>
      </c>
      <c r="ID112" s="31">
        <v>285286</v>
      </c>
      <c r="IE112" s="31">
        <v>239487</v>
      </c>
      <c r="IF112" s="31">
        <v>285584</v>
      </c>
      <c r="IG112" s="31"/>
      <c r="IH112" s="31"/>
      <c r="II112" s="31">
        <v>369698</v>
      </c>
      <c r="IJ112" s="31">
        <v>317871</v>
      </c>
      <c r="IK112" s="31">
        <v>371376</v>
      </c>
      <c r="IL112" s="31">
        <v>391488</v>
      </c>
      <c r="IM112" s="31">
        <v>335601</v>
      </c>
      <c r="IN112" s="31"/>
      <c r="IO112" s="31"/>
      <c r="IP112" s="31">
        <v>380231</v>
      </c>
      <c r="IQ112" s="31">
        <v>328119</v>
      </c>
      <c r="IR112" s="31">
        <v>267647</v>
      </c>
      <c r="IS112" s="31">
        <v>302233</v>
      </c>
      <c r="IT112" s="31">
        <v>299945</v>
      </c>
      <c r="IU112" s="31"/>
      <c r="IV112" s="31"/>
      <c r="IW112" s="31">
        <v>286043</v>
      </c>
      <c r="IX112" s="31">
        <v>294033</v>
      </c>
      <c r="IY112" s="31">
        <v>288209</v>
      </c>
      <c r="IZ112" s="31">
        <v>325205</v>
      </c>
      <c r="JA112" s="31">
        <v>320734</v>
      </c>
      <c r="JB112" s="31"/>
      <c r="JC112" s="31"/>
      <c r="JD112" s="31">
        <v>290195</v>
      </c>
      <c r="JE112" s="31">
        <v>294069</v>
      </c>
      <c r="JF112" s="31">
        <v>360284</v>
      </c>
      <c r="JG112" s="31">
        <v>413314</v>
      </c>
      <c r="JH112" s="31">
        <v>376812</v>
      </c>
      <c r="JI112" s="31"/>
      <c r="JJ112" s="31"/>
      <c r="JK112" s="31">
        <v>290537</v>
      </c>
      <c r="JL112" s="31">
        <v>294561</v>
      </c>
      <c r="JM112" s="31">
        <v>288772</v>
      </c>
      <c r="JN112" s="31">
        <v>314890</v>
      </c>
      <c r="JO112" s="31">
        <v>323674</v>
      </c>
      <c r="JP112" s="31"/>
      <c r="JQ112" s="31"/>
      <c r="JR112" s="31">
        <v>309096</v>
      </c>
      <c r="JS112" s="31">
        <v>314926</v>
      </c>
      <c r="JT112" s="31"/>
      <c r="JU112" s="31">
        <v>222468</v>
      </c>
      <c r="JV112" s="31">
        <v>134781</v>
      </c>
      <c r="JW112" s="31"/>
      <c r="JX112" s="31"/>
      <c r="JY112" s="31">
        <v>121257</v>
      </c>
      <c r="JZ112" s="31"/>
      <c r="KA112" s="31">
        <v>173803</v>
      </c>
      <c r="KB112" s="31">
        <v>386818</v>
      </c>
      <c r="KC112" s="31">
        <v>333737</v>
      </c>
      <c r="KD112" s="31"/>
      <c r="KE112" s="31"/>
      <c r="KF112" s="31">
        <v>490366</v>
      </c>
      <c r="KG112" s="31">
        <v>398910</v>
      </c>
      <c r="KH112" s="31">
        <v>315813</v>
      </c>
      <c r="KI112" s="31">
        <v>275431</v>
      </c>
      <c r="KJ112" s="31">
        <v>314624</v>
      </c>
      <c r="KK112" s="31"/>
      <c r="KL112" s="31"/>
      <c r="KM112" s="31">
        <v>239161</v>
      </c>
      <c r="KN112" s="31">
        <v>264657</v>
      </c>
      <c r="KO112" s="31">
        <v>227536</v>
      </c>
      <c r="KP112" s="31">
        <v>245256</v>
      </c>
      <c r="KQ112" s="31">
        <v>226614</v>
      </c>
      <c r="KR112" s="31"/>
      <c r="KS112" s="31"/>
      <c r="KT112" s="31">
        <v>267077</v>
      </c>
      <c r="KU112" s="31">
        <v>242700</v>
      </c>
      <c r="KV112" s="31"/>
      <c r="KW112" s="31">
        <v>353804</v>
      </c>
      <c r="KX112" s="31">
        <v>257612</v>
      </c>
      <c r="KY112" s="31"/>
      <c r="KZ112" s="31"/>
      <c r="LA112" s="31">
        <v>228676</v>
      </c>
      <c r="LB112" s="31">
        <v>239986</v>
      </c>
      <c r="LC112" s="31">
        <v>238825</v>
      </c>
      <c r="LD112" s="31">
        <v>234653</v>
      </c>
      <c r="LE112" s="31">
        <v>209644</v>
      </c>
      <c r="LF112" s="31"/>
      <c r="LG112" s="31"/>
      <c r="LH112" s="31">
        <v>214788</v>
      </c>
      <c r="LI112" s="31">
        <v>210231</v>
      </c>
      <c r="LJ112" s="31">
        <v>236395</v>
      </c>
      <c r="LK112" s="31">
        <v>270673</v>
      </c>
      <c r="LL112" s="31">
        <v>232788</v>
      </c>
      <c r="LM112" s="31"/>
      <c r="LN112" s="31"/>
      <c r="LO112" s="31">
        <v>217613</v>
      </c>
      <c r="LP112" s="31">
        <v>242112</v>
      </c>
      <c r="LQ112" s="31">
        <v>211426</v>
      </c>
      <c r="LR112" s="31">
        <v>245136</v>
      </c>
      <c r="LS112" s="31">
        <v>285702</v>
      </c>
      <c r="LT112" s="31"/>
      <c r="LU112" s="31"/>
      <c r="LV112" s="31">
        <v>302642</v>
      </c>
      <c r="LW112" s="31">
        <v>231149</v>
      </c>
      <c r="LX112" s="31">
        <v>207078</v>
      </c>
      <c r="LY112" s="31">
        <v>204728</v>
      </c>
      <c r="LZ112" s="31">
        <v>146204</v>
      </c>
      <c r="MA112" s="31"/>
      <c r="MB112" s="31"/>
      <c r="MC112" s="31">
        <v>200884</v>
      </c>
      <c r="MD112" s="31">
        <v>178247</v>
      </c>
      <c r="ME112" s="31">
        <v>164361</v>
      </c>
      <c r="MF112" s="31">
        <v>179306</v>
      </c>
      <c r="MG112" s="31">
        <v>210473</v>
      </c>
      <c r="MH112" s="31"/>
      <c r="MI112" s="31"/>
      <c r="MJ112" s="31">
        <v>206230</v>
      </c>
      <c r="MK112" s="31">
        <v>210236</v>
      </c>
      <c r="ML112" s="31">
        <v>193392</v>
      </c>
      <c r="MM112" s="31">
        <v>182477</v>
      </c>
      <c r="MN112" s="31">
        <v>242657</v>
      </c>
      <c r="MO112" s="31"/>
      <c r="MP112" s="31"/>
      <c r="MQ112" s="31">
        <v>204289</v>
      </c>
      <c r="MR112" s="31">
        <v>201528</v>
      </c>
      <c r="MS112" s="31">
        <v>183141</v>
      </c>
      <c r="MT112" s="31">
        <v>162377</v>
      </c>
      <c r="MU112" s="31">
        <v>221186</v>
      </c>
      <c r="MV112" s="31"/>
      <c r="MW112" s="31"/>
      <c r="MX112" s="31">
        <v>169777</v>
      </c>
      <c r="MY112" s="31">
        <v>157131</v>
      </c>
      <c r="MZ112" s="31">
        <v>92524</v>
      </c>
      <c r="NA112" s="31"/>
      <c r="NB112" s="31"/>
      <c r="NC112" s="31"/>
      <c r="ND112" s="31"/>
      <c r="NE112" s="31">
        <v>224508</v>
      </c>
      <c r="NF112" s="31">
        <v>199769</v>
      </c>
      <c r="NG112" s="31">
        <v>118966</v>
      </c>
      <c r="NH112" s="31"/>
      <c r="NI112" s="31">
        <v>140864</v>
      </c>
      <c r="NJ112" s="31"/>
      <c r="NK112" s="31"/>
      <c r="NL112" s="31">
        <v>283462</v>
      </c>
      <c r="NM112" s="31">
        <v>291758</v>
      </c>
      <c r="NN112" s="31">
        <v>276134</v>
      </c>
      <c r="NO112" s="31">
        <v>268275</v>
      </c>
      <c r="NP112" s="31">
        <v>245130</v>
      </c>
      <c r="NQ112" s="31"/>
      <c r="NR112" s="31"/>
      <c r="NS112" s="31">
        <v>306223</v>
      </c>
      <c r="NT112" s="31">
        <v>315192</v>
      </c>
      <c r="NU112" s="31">
        <v>340393</v>
      </c>
      <c r="NV112" s="31">
        <v>290455</v>
      </c>
      <c r="NW112" s="31">
        <v>255079</v>
      </c>
      <c r="NX112" s="31"/>
      <c r="NY112" s="31"/>
      <c r="NZ112" s="31">
        <v>225689</v>
      </c>
      <c r="OA112" s="31">
        <v>237766</v>
      </c>
      <c r="OB112" s="31">
        <v>250451</v>
      </c>
      <c r="OC112" s="31">
        <v>234860</v>
      </c>
      <c r="OD112" s="31">
        <v>240872</v>
      </c>
      <c r="OE112" s="31"/>
      <c r="OF112" s="31"/>
      <c r="OG112" s="31">
        <v>261699</v>
      </c>
      <c r="OH112" s="31">
        <v>254373</v>
      </c>
      <c r="OI112" s="31">
        <v>361523</v>
      </c>
      <c r="OJ112" s="31">
        <v>331994</v>
      </c>
      <c r="OK112" s="31">
        <v>301612</v>
      </c>
      <c r="OL112" s="31"/>
      <c r="OM112" s="31"/>
      <c r="ON112" s="31">
        <v>347886</v>
      </c>
      <c r="OO112" s="31">
        <v>335152</v>
      </c>
      <c r="OP112" s="31">
        <v>285433</v>
      </c>
      <c r="OQ112" s="31">
        <v>315112</v>
      </c>
      <c r="OR112" s="31">
        <v>247865</v>
      </c>
      <c r="OS112" s="31"/>
      <c r="OT112" s="31"/>
      <c r="OU112" s="31">
        <v>255142</v>
      </c>
      <c r="OV112" s="31">
        <v>234040</v>
      </c>
      <c r="OW112" s="31">
        <v>217218</v>
      </c>
      <c r="OX112" s="31">
        <v>238705</v>
      </c>
      <c r="OY112" s="31">
        <v>257578</v>
      </c>
      <c r="OZ112" s="31"/>
      <c r="PA112" s="31"/>
      <c r="PB112" s="31">
        <v>84997</v>
      </c>
      <c r="PC112" s="31"/>
      <c r="PD112" s="31"/>
      <c r="PE112" s="31"/>
      <c r="PF112" s="31">
        <v>165373</v>
      </c>
      <c r="PG112" s="31"/>
      <c r="PH112" s="31"/>
      <c r="PI112" s="31">
        <v>172963</v>
      </c>
      <c r="PJ112" s="31">
        <v>250992</v>
      </c>
      <c r="PK112" s="31">
        <v>236765</v>
      </c>
      <c r="PL112" s="31">
        <v>259277</v>
      </c>
      <c r="PM112" s="31">
        <v>288420</v>
      </c>
      <c r="PN112" s="31"/>
      <c r="PO112" s="31"/>
      <c r="PP112" s="31">
        <v>357679</v>
      </c>
      <c r="PQ112" s="31">
        <v>370545</v>
      </c>
      <c r="PR112" s="31">
        <v>364304</v>
      </c>
      <c r="PS112" s="31">
        <v>321872</v>
      </c>
      <c r="PT112" s="31">
        <v>292766</v>
      </c>
      <c r="PU112" s="31"/>
      <c r="PV112" s="31"/>
      <c r="PW112" s="31">
        <v>392330</v>
      </c>
      <c r="PX112" s="31">
        <v>330929</v>
      </c>
      <c r="PY112" s="31">
        <v>254481</v>
      </c>
      <c r="PZ112" s="31">
        <v>242180</v>
      </c>
      <c r="QA112" s="31">
        <v>246542</v>
      </c>
      <c r="QB112" s="31"/>
      <c r="QC112" s="31"/>
      <c r="QD112" s="31">
        <v>264453</v>
      </c>
      <c r="QE112" s="31">
        <v>268259</v>
      </c>
      <c r="QF112" s="31">
        <v>240374</v>
      </c>
      <c r="QG112" s="31">
        <v>306214</v>
      </c>
      <c r="QH112" s="31">
        <v>342518</v>
      </c>
      <c r="QI112" s="31"/>
      <c r="QJ112" s="31"/>
      <c r="QK112" s="31">
        <v>368677</v>
      </c>
      <c r="QL112" s="31">
        <v>303073</v>
      </c>
      <c r="QM112" s="31">
        <v>350933</v>
      </c>
      <c r="QN112" s="31">
        <v>261662</v>
      </c>
      <c r="QO112" s="31">
        <v>263081</v>
      </c>
      <c r="QP112" s="31"/>
      <c r="QQ112" s="31"/>
      <c r="QR112" s="31">
        <v>285435</v>
      </c>
      <c r="QS112" s="31">
        <v>255760</v>
      </c>
      <c r="QT112" s="31">
        <v>291421</v>
      </c>
      <c r="QU112" s="31">
        <v>243628</v>
      </c>
      <c r="QV112" s="31"/>
      <c r="QW112" s="31"/>
      <c r="QX112" s="31"/>
      <c r="QY112" s="31"/>
      <c r="QZ112" s="31"/>
      <c r="RA112" s="31">
        <v>372437</v>
      </c>
      <c r="RB112" s="31">
        <v>244977</v>
      </c>
      <c r="RC112" s="31">
        <v>246317</v>
      </c>
      <c r="RD112" s="31"/>
      <c r="RE112" s="31"/>
      <c r="RF112" s="31">
        <v>207909</v>
      </c>
      <c r="RG112" s="31">
        <v>236776</v>
      </c>
      <c r="RH112" s="31">
        <v>245588</v>
      </c>
      <c r="RI112" s="31">
        <v>256228</v>
      </c>
      <c r="RJ112" s="31">
        <v>238042</v>
      </c>
      <c r="RK112" s="31"/>
      <c r="RL112" s="31"/>
      <c r="RM112" s="31">
        <v>241463</v>
      </c>
      <c r="RN112" s="31">
        <v>205177</v>
      </c>
      <c r="RO112" s="31">
        <v>228303</v>
      </c>
      <c r="RP112" s="31">
        <v>255379</v>
      </c>
      <c r="RQ112" s="31">
        <v>236723</v>
      </c>
      <c r="RR112" s="31"/>
      <c r="RS112" s="31"/>
      <c r="RT112" s="31">
        <v>251634</v>
      </c>
      <c r="RU112" s="31">
        <v>262333</v>
      </c>
      <c r="RV112" s="31">
        <v>258281</v>
      </c>
      <c r="RW112" s="31">
        <v>291553</v>
      </c>
      <c r="RX112" s="31"/>
      <c r="RY112" s="31"/>
      <c r="RZ112" s="31"/>
      <c r="SA112" s="31">
        <v>176979</v>
      </c>
      <c r="SB112" s="31">
        <v>122235</v>
      </c>
      <c r="SC112" s="31">
        <v>304737</v>
      </c>
      <c r="SD112" s="31">
        <v>312489</v>
      </c>
      <c r="SE112" s="31">
        <v>279754</v>
      </c>
      <c r="SF112" s="31"/>
      <c r="SG112" s="31"/>
      <c r="SH112" s="31">
        <v>288491</v>
      </c>
      <c r="SI112" s="31">
        <v>262647</v>
      </c>
      <c r="SJ112" s="31">
        <v>277771</v>
      </c>
      <c r="SK112" s="31">
        <v>306702</v>
      </c>
      <c r="SL112" s="23">
        <v>325386</v>
      </c>
      <c r="SM112" s="23"/>
      <c r="SN112" s="23"/>
      <c r="SO112" s="23">
        <v>292712</v>
      </c>
      <c r="SP112" s="23">
        <v>272166</v>
      </c>
      <c r="SQ112" s="23">
        <v>262098</v>
      </c>
      <c r="SR112" s="23">
        <v>298552</v>
      </c>
      <c r="SS112" s="23">
        <v>281298</v>
      </c>
      <c r="ST112" s="23"/>
      <c r="SU112" s="23"/>
      <c r="SV112" s="23"/>
      <c r="SW112" s="23">
        <v>359476</v>
      </c>
      <c r="SX112" s="23">
        <v>320758</v>
      </c>
      <c r="SY112" s="23">
        <v>356345</v>
      </c>
      <c r="SZ112" s="23">
        <v>462070</v>
      </c>
      <c r="TA112" s="23"/>
      <c r="TB112" s="23"/>
      <c r="TC112" s="23">
        <v>330937</v>
      </c>
      <c r="TD112" s="23">
        <v>373780</v>
      </c>
      <c r="TE112" s="23">
        <v>322921</v>
      </c>
      <c r="TF112" s="23">
        <v>270230</v>
      </c>
      <c r="TG112" s="23">
        <v>342805</v>
      </c>
      <c r="TH112" s="23"/>
      <c r="TI112" s="23"/>
      <c r="TJ112" s="23">
        <v>363975</v>
      </c>
      <c r="TK112" s="23">
        <v>308916</v>
      </c>
      <c r="TL112" s="23">
        <v>320554</v>
      </c>
      <c r="TM112" s="23">
        <v>288574</v>
      </c>
      <c r="TN112" s="23">
        <v>316438</v>
      </c>
      <c r="TO112" s="23"/>
      <c r="TP112" s="23"/>
      <c r="TQ112" s="23">
        <v>283353</v>
      </c>
      <c r="TR112" s="23">
        <v>249885</v>
      </c>
      <c r="TS112" s="23">
        <v>270412</v>
      </c>
      <c r="TT112" s="23">
        <v>358715</v>
      </c>
      <c r="TU112" s="23"/>
      <c r="TV112" s="23"/>
      <c r="TW112" s="23"/>
      <c r="TX112" s="23">
        <v>348616</v>
      </c>
      <c r="TY112" s="23">
        <v>334361</v>
      </c>
      <c r="TZ112" s="23">
        <v>322918</v>
      </c>
      <c r="UA112" s="23">
        <v>325785</v>
      </c>
      <c r="UB112" s="23">
        <v>342101</v>
      </c>
      <c r="UC112" s="23"/>
      <c r="UD112" s="23"/>
      <c r="UE112" s="23">
        <v>315379</v>
      </c>
      <c r="UF112" s="23">
        <v>308050</v>
      </c>
      <c r="UG112" s="23"/>
      <c r="UH112" s="23">
        <v>369633</v>
      </c>
      <c r="UI112" s="23">
        <v>304954</v>
      </c>
      <c r="UJ112" s="23"/>
      <c r="UK112" s="23"/>
      <c r="UL112" s="23"/>
      <c r="UM112" s="23"/>
      <c r="UN112" s="23"/>
      <c r="UO112" s="23"/>
      <c r="UP112" s="23"/>
      <c r="UQ112" s="23"/>
      <c r="UR112" s="23"/>
      <c r="US112" s="23"/>
      <c r="UT112" s="23"/>
    </row>
    <row r="113" spans="4:566">
      <c r="D113" s="34" t="s">
        <v>353</v>
      </c>
      <c r="E113" s="35" t="s">
        <v>354</v>
      </c>
      <c r="F113" s="31"/>
      <c r="G113" s="31"/>
      <c r="H113" s="31">
        <v>239.858</v>
      </c>
      <c r="I113" s="31">
        <v>237.377</v>
      </c>
      <c r="J113" s="31"/>
      <c r="K113" s="31"/>
      <c r="L113" s="31">
        <v>231.926</v>
      </c>
      <c r="M113" s="31">
        <v>208.296</v>
      </c>
      <c r="N113" s="31">
        <v>185.144</v>
      </c>
      <c r="O113" s="31">
        <v>168.225</v>
      </c>
      <c r="P113" s="31">
        <v>178.8</v>
      </c>
      <c r="Q113" s="31"/>
      <c r="R113" s="31"/>
      <c r="S113" s="31">
        <v>183.669</v>
      </c>
      <c r="T113" s="31">
        <v>160.219</v>
      </c>
      <c r="U113" s="31">
        <v>119.977</v>
      </c>
      <c r="V113" s="31">
        <v>94.489</v>
      </c>
      <c r="W113" s="31">
        <v>118.327</v>
      </c>
      <c r="X113" s="31"/>
      <c r="Y113" s="31"/>
      <c r="Z113" s="31"/>
      <c r="AA113" s="31">
        <v>96.015</v>
      </c>
      <c r="AB113" s="31">
        <v>123.981</v>
      </c>
      <c r="AC113" s="31">
        <v>132.031</v>
      </c>
      <c r="AD113" s="31">
        <v>104.877</v>
      </c>
      <c r="AE113" s="31"/>
      <c r="AF113" s="31"/>
      <c r="AG113" s="31">
        <v>92.863</v>
      </c>
      <c r="AH113" s="31">
        <v>112.76</v>
      </c>
      <c r="AI113" s="31">
        <v>121.842</v>
      </c>
      <c r="AJ113" s="31">
        <v>125.965</v>
      </c>
      <c r="AK113" s="31">
        <v>187.913</v>
      </c>
      <c r="AL113" s="31"/>
      <c r="AM113" s="31"/>
      <c r="AN113" s="31">
        <v>97.781</v>
      </c>
      <c r="AO113" s="31">
        <v>85.654</v>
      </c>
      <c r="AP113" s="31">
        <v>78.788</v>
      </c>
      <c r="AQ113" s="31">
        <v>79.983</v>
      </c>
      <c r="AR113" s="31">
        <v>95.248</v>
      </c>
      <c r="AS113" s="31"/>
      <c r="AT113" s="31"/>
      <c r="AU113" s="31">
        <v>99.653</v>
      </c>
      <c r="AV113" s="31">
        <v>76.446</v>
      </c>
      <c r="AW113" s="31">
        <v>67.67</v>
      </c>
      <c r="AX113" s="31">
        <v>67.82</v>
      </c>
      <c r="AY113" s="31">
        <v>58.77</v>
      </c>
      <c r="AZ113" s="31"/>
      <c r="BA113" s="31"/>
      <c r="BB113" s="31"/>
      <c r="BC113" s="31">
        <v>77.817</v>
      </c>
      <c r="BD113" s="31">
        <v>73.196</v>
      </c>
      <c r="BE113" s="31">
        <v>63.207</v>
      </c>
      <c r="BF113" s="31">
        <v>68.983</v>
      </c>
      <c r="BG113" s="31"/>
      <c r="BH113" s="31"/>
      <c r="BI113" s="31">
        <v>76.818</v>
      </c>
      <c r="BJ113" s="31">
        <v>96</v>
      </c>
      <c r="BK113" s="31">
        <v>126.058</v>
      </c>
      <c r="BL113" s="31">
        <v>182.044</v>
      </c>
      <c r="BM113" s="31">
        <v>234.422</v>
      </c>
      <c r="BN113" s="31"/>
      <c r="BO113" s="31"/>
      <c r="BP113" s="31">
        <v>119.987</v>
      </c>
      <c r="BQ113" s="31">
        <v>135.257</v>
      </c>
      <c r="BR113" s="31">
        <v>139.493</v>
      </c>
      <c r="BS113" s="31">
        <v>129.269</v>
      </c>
      <c r="BT113" s="31">
        <v>136.305</v>
      </c>
      <c r="BU113" s="31"/>
      <c r="BV113" s="31"/>
      <c r="BW113" s="31">
        <v>129.054</v>
      </c>
      <c r="BX113" s="31">
        <v>137.31</v>
      </c>
      <c r="BY113" s="31">
        <v>131.055</v>
      </c>
      <c r="BZ113" s="31">
        <v>113.435</v>
      </c>
      <c r="CA113" s="31">
        <v>126.234</v>
      </c>
      <c r="CB113" s="31"/>
      <c r="CC113" s="31"/>
      <c r="CD113" s="31">
        <v>89.496</v>
      </c>
      <c r="CE113" s="31">
        <v>149.503</v>
      </c>
      <c r="CF113" s="31">
        <v>193.378</v>
      </c>
      <c r="CG113" s="31">
        <v>192.64</v>
      </c>
      <c r="CH113" s="31">
        <v>200.85</v>
      </c>
      <c r="CI113" s="31"/>
      <c r="CJ113" s="31"/>
      <c r="CK113" s="31">
        <v>196.565</v>
      </c>
      <c r="CL113" s="31">
        <v>214.786</v>
      </c>
      <c r="CM113" s="31">
        <v>241.371</v>
      </c>
      <c r="CN113" s="31">
        <v>291.785</v>
      </c>
      <c r="CO113" s="31">
        <v>286.575</v>
      </c>
      <c r="CP113" s="31"/>
      <c r="CQ113" s="31"/>
      <c r="CR113" s="31">
        <v>399.167</v>
      </c>
      <c r="CS113" s="31">
        <v>230.063</v>
      </c>
      <c r="CT113" s="31">
        <v>233.488</v>
      </c>
      <c r="CU113" s="31">
        <v>196.265</v>
      </c>
      <c r="CV113" s="31">
        <v>184.499</v>
      </c>
      <c r="CW113" s="31"/>
      <c r="CX113" s="31"/>
      <c r="CY113" s="31">
        <v>148.146</v>
      </c>
      <c r="CZ113" s="31">
        <v>156.911</v>
      </c>
      <c r="DA113" s="31">
        <v>168.115</v>
      </c>
      <c r="DB113" s="31">
        <v>129.95</v>
      </c>
      <c r="DC113" s="31">
        <v>98.531</v>
      </c>
      <c r="DD113" s="31"/>
      <c r="DE113" s="31"/>
      <c r="DF113" s="31">
        <v>102.838</v>
      </c>
      <c r="DG113" s="31">
        <v>88.878</v>
      </c>
      <c r="DH113" s="31">
        <v>54.772</v>
      </c>
      <c r="DI113" s="31">
        <v>58.6</v>
      </c>
      <c r="DJ113" s="31"/>
      <c r="DK113" s="31"/>
      <c r="DL113" s="31"/>
      <c r="DM113" s="31">
        <v>114.114</v>
      </c>
      <c r="DN113" s="31">
        <v>137.951</v>
      </c>
      <c r="DO113" s="31">
        <v>171.78</v>
      </c>
      <c r="DP113" s="31">
        <v>130.004</v>
      </c>
      <c r="DQ113" s="31">
        <v>94.021</v>
      </c>
      <c r="DR113" s="31"/>
      <c r="DS113" s="31"/>
      <c r="DT113" s="31">
        <v>148.649</v>
      </c>
      <c r="DU113" s="31">
        <v>157.537</v>
      </c>
      <c r="DV113" s="31">
        <v>250.601</v>
      </c>
      <c r="DW113" s="31">
        <v>157.353</v>
      </c>
      <c r="DX113" s="31">
        <v>147.882</v>
      </c>
      <c r="DY113" s="31"/>
      <c r="DZ113" s="31"/>
      <c r="EA113" s="31">
        <v>124.69</v>
      </c>
      <c r="EB113" s="31">
        <v>129.858</v>
      </c>
      <c r="EC113" s="31">
        <v>154.859</v>
      </c>
      <c r="ED113" s="31">
        <v>139.768</v>
      </c>
      <c r="EE113" s="31">
        <v>142.272</v>
      </c>
      <c r="EF113" s="31"/>
      <c r="EG113" s="31"/>
      <c r="EH113" s="31">
        <v>147.505</v>
      </c>
      <c r="EI113" s="31">
        <v>144.214</v>
      </c>
      <c r="EJ113" s="31">
        <v>165.024</v>
      </c>
      <c r="EK113" s="31">
        <v>109.436</v>
      </c>
      <c r="EL113" s="31">
        <v>136.799</v>
      </c>
      <c r="EM113" s="31"/>
      <c r="EN113" s="31"/>
      <c r="EO113" s="31">
        <v>180.417</v>
      </c>
      <c r="EP113" s="31">
        <v>136.033</v>
      </c>
      <c r="EQ113" s="31">
        <v>162.802</v>
      </c>
      <c r="ER113" s="31">
        <v>173.018</v>
      </c>
      <c r="ES113" s="31">
        <v>154.841</v>
      </c>
      <c r="ET113" s="31"/>
      <c r="EU113" s="31"/>
      <c r="EV113" s="31"/>
      <c r="EW113" s="31">
        <v>138.066</v>
      </c>
      <c r="EX113" s="31">
        <v>173.641</v>
      </c>
      <c r="EY113" s="31">
        <v>165.66</v>
      </c>
      <c r="EZ113" s="31">
        <v>315.657</v>
      </c>
      <c r="FA113" s="31"/>
      <c r="FB113" s="31"/>
      <c r="FC113" s="31">
        <v>135.841</v>
      </c>
      <c r="FD113" s="31">
        <v>153.177</v>
      </c>
      <c r="FE113" s="31">
        <v>168.882</v>
      </c>
      <c r="FF113" s="31">
        <v>152.727</v>
      </c>
      <c r="FG113" s="31">
        <v>149.284</v>
      </c>
      <c r="FH113" s="31"/>
      <c r="FI113" s="31"/>
      <c r="FJ113" s="31">
        <v>179.315</v>
      </c>
      <c r="FK113" s="31">
        <v>182.725</v>
      </c>
      <c r="FL113" s="31">
        <v>204.625</v>
      </c>
      <c r="FM113" s="31">
        <v>181.417</v>
      </c>
      <c r="FN113" s="31">
        <v>168.645</v>
      </c>
      <c r="FO113" s="31"/>
      <c r="FP113" s="31"/>
      <c r="FQ113" s="31">
        <v>140.759</v>
      </c>
      <c r="FR113" s="31">
        <v>168.939</v>
      </c>
      <c r="FS113" s="31">
        <v>205.05</v>
      </c>
      <c r="FT113" s="31"/>
      <c r="FU113" s="31">
        <v>138.283</v>
      </c>
      <c r="FV113" s="31"/>
      <c r="FW113" s="31"/>
      <c r="FX113" s="31">
        <v>165.319</v>
      </c>
      <c r="FY113" s="31">
        <v>187.367</v>
      </c>
      <c r="FZ113" s="31">
        <v>210.879</v>
      </c>
      <c r="GA113" s="31">
        <v>252.432</v>
      </c>
      <c r="GB113" s="31">
        <v>285.742</v>
      </c>
      <c r="GC113" s="31"/>
      <c r="GD113" s="31"/>
      <c r="GE113" s="31">
        <v>460.731</v>
      </c>
      <c r="GF113" s="31">
        <v>245.53</v>
      </c>
      <c r="GG113" s="31">
        <v>237.307</v>
      </c>
      <c r="GH113" s="31">
        <v>214.665</v>
      </c>
      <c r="GI113" s="31"/>
      <c r="GJ113" s="31"/>
      <c r="GK113" s="31"/>
      <c r="GL113" s="31">
        <v>218.03</v>
      </c>
      <c r="GM113" s="31">
        <v>219.415</v>
      </c>
      <c r="GN113" s="31">
        <v>227.273</v>
      </c>
      <c r="GO113" s="31">
        <v>183.339</v>
      </c>
      <c r="GP113" s="31">
        <v>181.637</v>
      </c>
      <c r="GQ113" s="31"/>
      <c r="GR113" s="31"/>
      <c r="GS113" s="31">
        <v>217.841</v>
      </c>
      <c r="GT113" s="31">
        <v>198.277</v>
      </c>
      <c r="GU113" s="31">
        <v>197.086</v>
      </c>
      <c r="GV113" s="31">
        <v>193.66</v>
      </c>
      <c r="GW113" s="31">
        <v>199.298</v>
      </c>
      <c r="GX113" s="31"/>
      <c r="GY113" s="31"/>
      <c r="GZ113" s="31">
        <v>213.666</v>
      </c>
      <c r="HA113" s="31">
        <v>196.374</v>
      </c>
      <c r="HB113" s="31">
        <v>189.632</v>
      </c>
      <c r="HC113" s="31">
        <v>132.186</v>
      </c>
      <c r="HD113" s="31">
        <v>150.509</v>
      </c>
      <c r="HE113" s="31"/>
      <c r="HF113" s="31"/>
      <c r="HG113" s="31">
        <v>170.463</v>
      </c>
      <c r="HH113" s="31">
        <v>171.018</v>
      </c>
      <c r="HI113" s="31">
        <v>155.481</v>
      </c>
      <c r="HJ113" s="31">
        <v>214.445</v>
      </c>
      <c r="HK113" s="31">
        <v>97.426</v>
      </c>
      <c r="HL113" s="31"/>
      <c r="HM113" s="31"/>
      <c r="HN113" s="31">
        <v>125.73</v>
      </c>
      <c r="HO113" s="31">
        <v>84.356</v>
      </c>
      <c r="HP113" s="31">
        <v>91.966</v>
      </c>
      <c r="HQ113" s="31">
        <v>77.961</v>
      </c>
      <c r="HR113" s="31">
        <v>80.303</v>
      </c>
      <c r="HS113" s="31"/>
      <c r="HT113" s="31"/>
      <c r="HU113" s="31">
        <v>82.214</v>
      </c>
      <c r="HV113" s="31">
        <v>57.492</v>
      </c>
      <c r="HW113" s="31">
        <v>57.202</v>
      </c>
      <c r="HX113" s="31">
        <v>28.818</v>
      </c>
      <c r="HY113" s="31">
        <v>33.757</v>
      </c>
      <c r="HZ113" s="31"/>
      <c r="IA113" s="31"/>
      <c r="IB113" s="31">
        <v>38.24</v>
      </c>
      <c r="IC113" s="31">
        <v>22.344</v>
      </c>
      <c r="ID113" s="31">
        <v>34.999</v>
      </c>
      <c r="IE113" s="31">
        <v>25.358</v>
      </c>
      <c r="IF113" s="31">
        <v>36.275</v>
      </c>
      <c r="IG113" s="31"/>
      <c r="IH113" s="31"/>
      <c r="II113" s="31">
        <v>47.567</v>
      </c>
      <c r="IJ113" s="31">
        <v>28.574</v>
      </c>
      <c r="IK113" s="31">
        <v>34.744</v>
      </c>
      <c r="IL113" s="31">
        <v>31.966</v>
      </c>
      <c r="IM113" s="31">
        <v>77.898</v>
      </c>
      <c r="IN113" s="31"/>
      <c r="IO113" s="31"/>
      <c r="IP113" s="31"/>
      <c r="IQ113" s="31">
        <v>21.066</v>
      </c>
      <c r="IR113" s="31">
        <v>17.923</v>
      </c>
      <c r="IS113" s="31">
        <v>20.128</v>
      </c>
      <c r="IT113" s="31">
        <v>20.997</v>
      </c>
      <c r="IU113" s="31"/>
      <c r="IV113" s="31"/>
      <c r="IW113" s="31">
        <v>19.416</v>
      </c>
      <c r="IX113" s="31">
        <v>22.915</v>
      </c>
      <c r="IY113" s="31">
        <v>29.4</v>
      </c>
      <c r="IZ113" s="31">
        <v>26.897</v>
      </c>
      <c r="JA113" s="31">
        <v>17.331</v>
      </c>
      <c r="JB113" s="31"/>
      <c r="JC113" s="31"/>
      <c r="JD113" s="31">
        <v>16.954</v>
      </c>
      <c r="JE113" s="31">
        <v>18.817</v>
      </c>
      <c r="JF113" s="31">
        <v>13.963</v>
      </c>
      <c r="JG113" s="31">
        <v>13.707</v>
      </c>
      <c r="JH113" s="31">
        <v>11.363</v>
      </c>
      <c r="JI113" s="31"/>
      <c r="JJ113" s="31"/>
      <c r="JK113" s="31">
        <v>14.173</v>
      </c>
      <c r="JL113" s="31">
        <v>14.402</v>
      </c>
      <c r="JM113" s="31">
        <v>29.172</v>
      </c>
      <c r="JN113" s="31">
        <v>25.369</v>
      </c>
      <c r="JO113" s="31">
        <v>48.073</v>
      </c>
      <c r="JP113" s="31"/>
      <c r="JQ113" s="31"/>
      <c r="JR113" s="31">
        <v>56.22</v>
      </c>
      <c r="JS113" s="31">
        <v>49.071</v>
      </c>
      <c r="JT113" s="31">
        <v>10.179</v>
      </c>
      <c r="JU113" s="31">
        <v>8.436</v>
      </c>
      <c r="JV113" s="31">
        <v>25.392</v>
      </c>
      <c r="JW113" s="31"/>
      <c r="JX113" s="31"/>
      <c r="JY113" s="31">
        <v>21.776</v>
      </c>
      <c r="JZ113" s="31">
        <v>4.622</v>
      </c>
      <c r="KA113" s="31">
        <v>5.231</v>
      </c>
      <c r="KB113" s="31">
        <v>4.496</v>
      </c>
      <c r="KC113" s="31">
        <v>4.124</v>
      </c>
      <c r="KD113" s="31"/>
      <c r="KE113" s="31"/>
      <c r="KF113" s="31"/>
      <c r="KG113" s="31">
        <v>3.516</v>
      </c>
      <c r="KH113" s="31">
        <v>5.484</v>
      </c>
      <c r="KI113" s="31">
        <v>6.96</v>
      </c>
      <c r="KJ113" s="31">
        <v>4.102</v>
      </c>
      <c r="KK113" s="31"/>
      <c r="KL113" s="31"/>
      <c r="KM113" s="31">
        <v>5.931</v>
      </c>
      <c r="KN113" s="31">
        <v>4.699</v>
      </c>
      <c r="KO113" s="31">
        <v>4.005</v>
      </c>
      <c r="KP113" s="31">
        <v>6.941</v>
      </c>
      <c r="KQ113" s="31">
        <v>2.435</v>
      </c>
      <c r="KR113" s="31"/>
      <c r="KS113" s="31"/>
      <c r="KT113" s="31">
        <v>10.642</v>
      </c>
      <c r="KU113" s="31">
        <v>14.096</v>
      </c>
      <c r="KV113" s="31">
        <v>19.504</v>
      </c>
      <c r="KW113" s="31">
        <v>19.166</v>
      </c>
      <c r="KX113" s="31">
        <v>51.802</v>
      </c>
      <c r="KY113" s="31"/>
      <c r="KZ113" s="31"/>
      <c r="LA113" s="31">
        <v>23.792</v>
      </c>
      <c r="LB113" s="31">
        <v>16.983</v>
      </c>
      <c r="LC113" s="31">
        <v>12.7</v>
      </c>
      <c r="LD113" s="31">
        <v>10.754</v>
      </c>
      <c r="LE113" s="31">
        <v>4.903</v>
      </c>
      <c r="LF113" s="31"/>
      <c r="LG113" s="31"/>
      <c r="LH113" s="31">
        <v>7.152</v>
      </c>
      <c r="LI113" s="31"/>
      <c r="LJ113" s="31">
        <v>5.886</v>
      </c>
      <c r="LK113" s="31">
        <v>3.761</v>
      </c>
      <c r="LL113" s="31">
        <v>1.559</v>
      </c>
      <c r="LM113" s="31"/>
      <c r="LN113" s="31"/>
      <c r="LO113" s="31">
        <v>3.172</v>
      </c>
      <c r="LP113" s="31">
        <v>0.905</v>
      </c>
      <c r="LQ113" s="31">
        <v>1.129</v>
      </c>
      <c r="LR113" s="31">
        <v>6.52</v>
      </c>
      <c r="LS113" s="31">
        <v>2.503</v>
      </c>
      <c r="LT113" s="31"/>
      <c r="LU113" s="31"/>
      <c r="LV113" s="31">
        <v>1.077</v>
      </c>
      <c r="LW113" s="31">
        <v>2.314</v>
      </c>
      <c r="LX113" s="31">
        <v>2.217</v>
      </c>
      <c r="LY113" s="31"/>
      <c r="LZ113" s="31">
        <v>7.561</v>
      </c>
      <c r="MA113" s="31"/>
      <c r="MB113" s="31"/>
      <c r="MC113" s="31">
        <v>3.24</v>
      </c>
      <c r="MD113" s="31">
        <v>5.62</v>
      </c>
      <c r="ME113" s="31">
        <v>2.514</v>
      </c>
      <c r="MF113" s="31">
        <v>2.233</v>
      </c>
      <c r="MG113" s="31">
        <v>1.485</v>
      </c>
      <c r="MH113" s="31"/>
      <c r="MI113" s="31"/>
      <c r="MJ113" s="31">
        <v>1.703</v>
      </c>
      <c r="MK113" s="31">
        <v>3.211</v>
      </c>
      <c r="ML113" s="31">
        <v>5.045</v>
      </c>
      <c r="MM113" s="31">
        <v>2.874</v>
      </c>
      <c r="MN113" s="31">
        <v>0.838</v>
      </c>
      <c r="MO113" s="31"/>
      <c r="MP113" s="31"/>
      <c r="MQ113" s="31">
        <v>2.601</v>
      </c>
      <c r="MR113" s="31">
        <v>1.554</v>
      </c>
      <c r="MS113" s="31">
        <v>10.361</v>
      </c>
      <c r="MT113" s="31">
        <v>11.708</v>
      </c>
      <c r="MU113" s="31">
        <v>3.047</v>
      </c>
      <c r="MV113" s="31"/>
      <c r="MW113" s="31"/>
      <c r="MX113" s="31">
        <v>1.523</v>
      </c>
      <c r="MY113" s="31">
        <v>5.893</v>
      </c>
      <c r="MZ113" s="31">
        <v>4.803</v>
      </c>
      <c r="NA113" s="31"/>
      <c r="NB113" s="31">
        <v>20.339</v>
      </c>
      <c r="NC113" s="31"/>
      <c r="ND113" s="31"/>
      <c r="NE113" s="31">
        <v>10.551</v>
      </c>
      <c r="NF113" s="31">
        <v>12.605</v>
      </c>
      <c r="NG113" s="31">
        <v>105.993</v>
      </c>
      <c r="NH113" s="31"/>
      <c r="NI113" s="31">
        <v>5.667</v>
      </c>
      <c r="NJ113" s="31"/>
      <c r="NK113" s="31"/>
      <c r="NL113" s="31">
        <v>6.485</v>
      </c>
      <c r="NM113" s="31">
        <v>2.582</v>
      </c>
      <c r="NN113" s="31">
        <v>4.582</v>
      </c>
      <c r="NO113" s="31">
        <v>3.083</v>
      </c>
      <c r="NP113" s="31">
        <v>3.28</v>
      </c>
      <c r="NQ113" s="31"/>
      <c r="NR113" s="31"/>
      <c r="NS113" s="31">
        <v>3.402</v>
      </c>
      <c r="NT113" s="31">
        <v>3.277</v>
      </c>
      <c r="NU113" s="31">
        <v>3.223</v>
      </c>
      <c r="NV113" s="31">
        <v>2.003</v>
      </c>
      <c r="NW113" s="31">
        <v>1.222</v>
      </c>
      <c r="NX113" s="31"/>
      <c r="NY113" s="31"/>
      <c r="NZ113" s="31"/>
      <c r="OA113" s="31">
        <v>3.506</v>
      </c>
      <c r="OB113" s="31">
        <v>3.344</v>
      </c>
      <c r="OC113" s="31">
        <v>2.058</v>
      </c>
      <c r="OD113" s="31">
        <v>0.927</v>
      </c>
      <c r="OE113" s="31"/>
      <c r="OF113" s="31"/>
      <c r="OG113" s="31">
        <v>1.489</v>
      </c>
      <c r="OH113" s="31">
        <v>1.253</v>
      </c>
      <c r="OI113" s="31">
        <v>1.103</v>
      </c>
      <c r="OJ113" s="31">
        <v>2.852</v>
      </c>
      <c r="OK113" s="31">
        <v>9.629</v>
      </c>
      <c r="OL113" s="31"/>
      <c r="OM113" s="31"/>
      <c r="ON113" s="31">
        <v>10.415</v>
      </c>
      <c r="OO113" s="31">
        <v>1.785</v>
      </c>
      <c r="OP113" s="31">
        <v>2.414</v>
      </c>
      <c r="OQ113" s="31">
        <v>1.748</v>
      </c>
      <c r="OR113" s="31">
        <v>3.111</v>
      </c>
      <c r="OS113" s="31"/>
      <c r="OT113" s="31"/>
      <c r="OU113" s="31">
        <v>1.306</v>
      </c>
      <c r="OV113" s="31">
        <v>1.447</v>
      </c>
      <c r="OW113" s="31">
        <v>1.048</v>
      </c>
      <c r="OX113" s="31">
        <v>2.844</v>
      </c>
      <c r="OY113" s="31">
        <v>0.377</v>
      </c>
      <c r="OZ113" s="31"/>
      <c r="PA113" s="31"/>
      <c r="PB113" s="31"/>
      <c r="PC113" s="31">
        <v>0.441</v>
      </c>
      <c r="PD113" s="31">
        <v>0.856</v>
      </c>
      <c r="PE113" s="31">
        <v>0.632</v>
      </c>
      <c r="PF113" s="31">
        <v>0.496</v>
      </c>
      <c r="PG113" s="31"/>
      <c r="PH113" s="31"/>
      <c r="PI113" s="31">
        <v>0.877</v>
      </c>
      <c r="PJ113" s="31">
        <v>0.917</v>
      </c>
      <c r="PK113" s="31">
        <v>1.159</v>
      </c>
      <c r="PL113" s="31">
        <v>3.796</v>
      </c>
      <c r="PM113" s="31">
        <v>16.318</v>
      </c>
      <c r="PN113" s="31"/>
      <c r="PO113" s="31"/>
      <c r="PP113" s="31">
        <v>0.627</v>
      </c>
      <c r="PQ113" s="31">
        <v>1.203</v>
      </c>
      <c r="PR113" s="31">
        <v>0.877</v>
      </c>
      <c r="PS113" s="31">
        <v>2.793</v>
      </c>
      <c r="PT113" s="31">
        <v>1.512</v>
      </c>
      <c r="PU113" s="31"/>
      <c r="PV113" s="31"/>
      <c r="PW113" s="31">
        <v>0.332</v>
      </c>
      <c r="PX113" s="31">
        <v>0.278</v>
      </c>
      <c r="PY113" s="31">
        <v>0.552</v>
      </c>
      <c r="PZ113" s="31">
        <v>0.137</v>
      </c>
      <c r="QA113" s="31">
        <v>0.427</v>
      </c>
      <c r="QB113" s="31"/>
      <c r="QC113" s="31"/>
      <c r="QD113" s="31">
        <v>0.582</v>
      </c>
      <c r="QE113" s="31">
        <v>0.797</v>
      </c>
      <c r="QF113" s="31">
        <v>0.698</v>
      </c>
      <c r="QG113" s="31">
        <v>0.637</v>
      </c>
      <c r="QH113" s="31">
        <v>0.822</v>
      </c>
      <c r="QI113" s="31"/>
      <c r="QJ113" s="31"/>
      <c r="QK113" s="31">
        <v>0.857</v>
      </c>
      <c r="QL113" s="31">
        <v>1.123</v>
      </c>
      <c r="QM113" s="31">
        <v>0.777</v>
      </c>
      <c r="QN113" s="31">
        <v>0.885</v>
      </c>
      <c r="QO113" s="31">
        <v>0.992</v>
      </c>
      <c r="QP113" s="31"/>
      <c r="QQ113" s="31"/>
      <c r="QR113" s="31">
        <v>0.752</v>
      </c>
      <c r="QS113" s="31">
        <v>15.782</v>
      </c>
      <c r="QT113" s="31">
        <v>2.107</v>
      </c>
      <c r="QU113" s="31">
        <v>0.327</v>
      </c>
      <c r="QV113" s="31"/>
      <c r="QW113" s="31"/>
      <c r="QX113" s="31"/>
      <c r="QY113" s="31">
        <v>0.227</v>
      </c>
      <c r="QZ113" s="31">
        <v>15.345</v>
      </c>
      <c r="RA113" s="31">
        <v>0.177</v>
      </c>
      <c r="RB113" s="31">
        <v>0.402</v>
      </c>
      <c r="RC113" s="31">
        <v>0.507</v>
      </c>
      <c r="RD113" s="31"/>
      <c r="RE113" s="31"/>
      <c r="RF113" s="31">
        <v>0.227</v>
      </c>
      <c r="RG113" s="31">
        <v>0.306</v>
      </c>
      <c r="RH113" s="31">
        <v>0.223</v>
      </c>
      <c r="RI113" s="31">
        <v>0.158</v>
      </c>
      <c r="RJ113" s="31">
        <v>0.137</v>
      </c>
      <c r="RK113" s="31"/>
      <c r="RL113" s="31"/>
      <c r="RM113" s="31">
        <v>0.503</v>
      </c>
      <c r="RN113" s="31">
        <v>0.807</v>
      </c>
      <c r="RO113" s="31">
        <v>0.538</v>
      </c>
      <c r="RP113" s="31">
        <v>0.114</v>
      </c>
      <c r="RQ113" s="31">
        <v>0.082</v>
      </c>
      <c r="RR113" s="31"/>
      <c r="RS113" s="31"/>
      <c r="RT113" s="31">
        <v>0.363</v>
      </c>
      <c r="RU113" s="31">
        <v>0.643</v>
      </c>
      <c r="RV113" s="31">
        <v>0.747</v>
      </c>
      <c r="RW113" s="31">
        <v>8.261</v>
      </c>
      <c r="RX113" s="31">
        <v>0.607</v>
      </c>
      <c r="RY113" s="31"/>
      <c r="RZ113" s="31"/>
      <c r="SA113" s="31">
        <v>0.618</v>
      </c>
      <c r="SB113" s="31">
        <v>1.122</v>
      </c>
      <c r="SC113" s="31">
        <v>1.633</v>
      </c>
      <c r="SD113" s="31">
        <v>0.773</v>
      </c>
      <c r="SE113" s="31">
        <v>0.787</v>
      </c>
      <c r="SF113" s="31"/>
      <c r="SG113" s="31"/>
      <c r="SH113" s="31">
        <v>1.133</v>
      </c>
      <c r="SI113" s="31">
        <v>1.199</v>
      </c>
      <c r="SJ113" s="31">
        <v>3.609</v>
      </c>
      <c r="SK113" s="31">
        <v>2.034</v>
      </c>
      <c r="SL113" s="31">
        <v>0.647</v>
      </c>
      <c r="SM113" s="31"/>
      <c r="SN113" s="31"/>
      <c r="SO113" s="31">
        <v>7.193</v>
      </c>
      <c r="SP113" s="31">
        <v>12.911</v>
      </c>
      <c r="SQ113" s="31">
        <v>24.867</v>
      </c>
      <c r="SR113" s="31">
        <v>3.281</v>
      </c>
      <c r="SS113" s="31">
        <v>0.965</v>
      </c>
      <c r="ST113" s="23"/>
      <c r="SU113" s="23"/>
      <c r="SV113" s="23"/>
      <c r="SW113" s="23">
        <v>1.787</v>
      </c>
      <c r="SX113" s="23">
        <v>1.853</v>
      </c>
      <c r="SY113" s="23">
        <v>1.163</v>
      </c>
      <c r="SZ113" s="23">
        <v>11.677</v>
      </c>
      <c r="TA113" s="23"/>
      <c r="TB113" s="23"/>
      <c r="TC113" s="23">
        <v>1.302</v>
      </c>
      <c r="TD113" s="23">
        <v>2.502</v>
      </c>
      <c r="TE113" s="23">
        <v>2.062</v>
      </c>
      <c r="TF113" s="23">
        <v>1.122</v>
      </c>
      <c r="TG113" s="23">
        <v>0.761</v>
      </c>
      <c r="TH113" s="23"/>
      <c r="TI113" s="23"/>
      <c r="TJ113" s="23">
        <v>1.832</v>
      </c>
      <c r="TK113" s="23">
        <v>0.577</v>
      </c>
      <c r="TL113" s="23">
        <v>0.387</v>
      </c>
      <c r="TM113" s="23">
        <v>0.46</v>
      </c>
      <c r="TN113" s="23">
        <v>0.454</v>
      </c>
      <c r="TO113" s="23"/>
      <c r="TP113" s="23"/>
      <c r="TQ113" s="23">
        <v>0.581</v>
      </c>
      <c r="TR113" s="23">
        <v>10.721</v>
      </c>
      <c r="TS113" s="23">
        <v>6.828</v>
      </c>
      <c r="TT113" s="23">
        <v>0.251</v>
      </c>
      <c r="TU113" s="23"/>
      <c r="TV113" s="23"/>
      <c r="TW113" s="23"/>
      <c r="TX113" s="23">
        <v>3.925</v>
      </c>
      <c r="TY113" s="23">
        <v>6.484</v>
      </c>
      <c r="TZ113" s="23">
        <v>4.534</v>
      </c>
      <c r="UA113" s="23">
        <v>5.718</v>
      </c>
      <c r="UB113" s="23">
        <v>6.426</v>
      </c>
      <c r="UC113" s="23"/>
      <c r="UD113" s="23"/>
      <c r="UE113" s="23">
        <v>3.546</v>
      </c>
      <c r="UF113" s="23">
        <v>26.9</v>
      </c>
      <c r="UG113" s="23">
        <v>1.001</v>
      </c>
      <c r="UH113" s="23">
        <v>2.175</v>
      </c>
      <c r="UI113" s="23"/>
      <c r="UJ113" s="23"/>
      <c r="UK113" s="23"/>
      <c r="UL113" s="23"/>
      <c r="UM113" s="23"/>
      <c r="UN113" s="23"/>
      <c r="UO113" s="23"/>
      <c r="UP113" s="23"/>
      <c r="UQ113" s="23"/>
      <c r="UR113" s="23"/>
      <c r="US113" s="23"/>
      <c r="UT113" s="23"/>
    </row>
    <row r="114" spans="4:566">
      <c r="D114" t="s">
        <v>138</v>
      </c>
      <c r="E114" t="s">
        <v>139</v>
      </c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>
        <v>70546</v>
      </c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>
        <v>22331</v>
      </c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>
        <v>58961</v>
      </c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  <c r="DI114" s="31"/>
      <c r="DJ114" s="31"/>
      <c r="DK114" s="31"/>
      <c r="DL114" s="31"/>
      <c r="DM114" s="31"/>
      <c r="DN114" s="31"/>
      <c r="DO114" s="31"/>
      <c r="DP114" s="31"/>
      <c r="DQ114" s="31"/>
      <c r="DR114" s="31"/>
      <c r="DS114" s="31"/>
      <c r="DT114" s="31"/>
      <c r="DU114" s="31"/>
      <c r="DV114" s="31">
        <v>11599</v>
      </c>
      <c r="DW114" s="31"/>
      <c r="DX114" s="31"/>
      <c r="DY114" s="31"/>
      <c r="DZ114" s="31"/>
      <c r="EA114" s="31"/>
      <c r="EB114" s="31"/>
      <c r="EC114" s="31"/>
      <c r="ED114" s="31"/>
      <c r="EE114" s="31"/>
      <c r="EF114" s="31"/>
      <c r="EG114" s="31"/>
      <c r="EH114" s="31"/>
      <c r="EI114" s="31"/>
      <c r="EJ114" s="31"/>
      <c r="EK114" s="31"/>
      <c r="EL114" s="31"/>
      <c r="EM114" s="31"/>
      <c r="EN114" s="31"/>
      <c r="EO114" s="31"/>
      <c r="EP114" s="31"/>
      <c r="EQ114" s="31"/>
      <c r="ER114" s="31"/>
      <c r="ES114" s="31"/>
      <c r="ET114" s="31"/>
      <c r="EU114" s="31"/>
      <c r="EV114" s="31"/>
      <c r="EW114" s="31"/>
      <c r="EX114" s="31"/>
      <c r="EY114" s="31"/>
      <c r="EZ114" s="31"/>
      <c r="FA114" s="31">
        <v>22900</v>
      </c>
      <c r="FB114" s="31"/>
      <c r="FC114" s="31"/>
      <c r="FD114" s="31"/>
      <c r="FE114" s="31"/>
      <c r="FF114" s="31"/>
      <c r="FG114" s="31"/>
      <c r="FH114" s="31"/>
      <c r="FI114" s="31"/>
      <c r="FJ114" s="31"/>
      <c r="FK114" s="31"/>
      <c r="FL114" s="31"/>
      <c r="FM114" s="31"/>
      <c r="FN114" s="31"/>
      <c r="FO114" s="31"/>
      <c r="FP114" s="31"/>
      <c r="FQ114" s="31"/>
      <c r="FR114" s="31"/>
      <c r="FS114" s="31"/>
      <c r="FT114" s="31"/>
      <c r="FU114" s="31"/>
      <c r="FV114" s="31"/>
      <c r="FW114" s="31"/>
      <c r="FX114" s="31"/>
      <c r="FY114" s="31"/>
      <c r="FZ114" s="31"/>
      <c r="GA114" s="31"/>
      <c r="GB114" s="31"/>
      <c r="GC114" s="31"/>
      <c r="GD114" s="31"/>
      <c r="GE114" s="31">
        <v>42251</v>
      </c>
      <c r="GF114" s="31"/>
      <c r="GG114" s="31"/>
      <c r="GH114" s="31"/>
      <c r="GI114" s="31"/>
      <c r="GJ114" s="31"/>
      <c r="GK114" s="31"/>
      <c r="GL114" s="31"/>
      <c r="GM114" s="31"/>
      <c r="GN114" s="31"/>
      <c r="GO114" s="31"/>
      <c r="GP114" s="31"/>
      <c r="GQ114" s="31"/>
      <c r="GR114" s="31"/>
      <c r="GS114" s="31"/>
      <c r="GT114" s="31"/>
      <c r="GU114" s="31"/>
      <c r="GV114" s="31"/>
      <c r="GW114" s="31"/>
      <c r="GX114" s="31"/>
      <c r="GY114" s="31"/>
      <c r="GZ114" s="31"/>
      <c r="HA114" s="31"/>
      <c r="HB114" s="31"/>
      <c r="HC114" s="31"/>
      <c r="HD114" s="31"/>
      <c r="HE114" s="31"/>
      <c r="HF114" s="31"/>
      <c r="HG114" s="31"/>
      <c r="HH114" s="31"/>
      <c r="HI114" s="31"/>
      <c r="HJ114" s="31">
        <v>11307</v>
      </c>
      <c r="HK114" s="31"/>
      <c r="HL114" s="31"/>
      <c r="HM114" s="31"/>
      <c r="HN114" s="31"/>
      <c r="HO114" s="31"/>
      <c r="HP114" s="31"/>
      <c r="HQ114" s="31"/>
      <c r="HR114" s="31"/>
      <c r="HS114" s="31"/>
      <c r="HT114" s="31"/>
      <c r="HU114" s="31"/>
      <c r="HV114" s="31"/>
      <c r="HW114" s="31"/>
      <c r="HX114" s="31"/>
      <c r="HY114" s="31"/>
      <c r="HZ114" s="31"/>
      <c r="IA114" s="31"/>
      <c r="IB114" s="31"/>
      <c r="IC114" s="31"/>
      <c r="ID114" s="31"/>
      <c r="IE114" s="31"/>
      <c r="IF114" s="31"/>
      <c r="IG114" s="31"/>
      <c r="IH114" s="31"/>
      <c r="II114" s="31"/>
      <c r="IJ114" s="31"/>
      <c r="IK114" s="31"/>
      <c r="IL114" s="31"/>
      <c r="IM114" s="31"/>
      <c r="IN114" s="31"/>
      <c r="IO114" s="31">
        <v>25660</v>
      </c>
      <c r="IP114" s="31"/>
      <c r="IQ114" s="31"/>
      <c r="IR114" s="31"/>
      <c r="IS114" s="31"/>
      <c r="IT114" s="31"/>
      <c r="IU114" s="31"/>
      <c r="IV114" s="31"/>
      <c r="IW114" s="31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  <c r="JH114" s="31"/>
      <c r="JI114" s="31"/>
      <c r="JJ114" s="31"/>
      <c r="JK114" s="31"/>
      <c r="JL114" s="31"/>
      <c r="JM114" s="31"/>
      <c r="JN114" s="31"/>
      <c r="JO114" s="31"/>
      <c r="JP114" s="31"/>
      <c r="JQ114" s="31"/>
      <c r="JR114" s="31"/>
      <c r="JS114" s="31">
        <v>35299</v>
      </c>
      <c r="JT114" s="31"/>
      <c r="JU114" s="31"/>
      <c r="JV114" s="31"/>
      <c r="JW114" s="31"/>
      <c r="JX114" s="31"/>
      <c r="JY114" s="31"/>
      <c r="JZ114" s="31"/>
      <c r="KA114" s="31"/>
      <c r="KB114" s="31"/>
      <c r="KC114" s="31"/>
      <c r="KD114" s="31"/>
      <c r="KE114" s="31"/>
      <c r="KF114" s="31"/>
      <c r="KG114" s="31"/>
      <c r="KH114" s="31"/>
      <c r="KI114" s="31"/>
      <c r="KJ114" s="31"/>
      <c r="KK114" s="31"/>
      <c r="KL114" s="31"/>
      <c r="KM114" s="31"/>
      <c r="KN114" s="31"/>
      <c r="KO114" s="31"/>
      <c r="KP114" s="31"/>
      <c r="KQ114" s="31"/>
      <c r="KR114" s="31"/>
      <c r="KS114" s="31"/>
      <c r="KT114" s="31"/>
      <c r="KU114" s="31"/>
      <c r="KV114" s="31"/>
      <c r="KW114" s="31"/>
      <c r="KX114" s="31">
        <v>8178</v>
      </c>
      <c r="KY114" s="31"/>
      <c r="KZ114" s="31"/>
      <c r="LA114" s="31"/>
      <c r="LB114" s="31"/>
      <c r="LC114" s="31"/>
      <c r="LD114" s="31"/>
      <c r="LE114" s="31"/>
      <c r="LF114" s="31"/>
      <c r="LG114" s="31"/>
      <c r="LH114" s="31"/>
      <c r="LI114" s="31"/>
      <c r="LJ114" s="31"/>
      <c r="LK114" s="31"/>
      <c r="LL114" s="31"/>
      <c r="LM114" s="31"/>
      <c r="LN114" s="31"/>
      <c r="LO114" s="31"/>
      <c r="LP114" s="31"/>
      <c r="LQ114" s="31"/>
      <c r="LR114" s="31"/>
      <c r="LS114" s="31"/>
      <c r="LT114" s="31"/>
      <c r="LU114" s="31"/>
      <c r="LV114" s="31"/>
      <c r="LW114" s="31"/>
      <c r="LX114" s="31"/>
      <c r="LY114" s="31"/>
      <c r="LZ114" s="31"/>
      <c r="MA114" s="31"/>
      <c r="MB114" s="31">
        <v>24926</v>
      </c>
      <c r="MC114" s="31"/>
      <c r="MD114" s="31"/>
      <c r="ME114" s="31"/>
      <c r="MF114" s="31"/>
      <c r="MG114" s="31"/>
      <c r="MH114" s="31"/>
      <c r="MI114" s="31"/>
      <c r="MJ114" s="31"/>
      <c r="MK114" s="31"/>
      <c r="ML114" s="31"/>
      <c r="MM114" s="31"/>
      <c r="MN114" s="31"/>
      <c r="MO114" s="31"/>
      <c r="MP114" s="31"/>
      <c r="MQ114" s="31"/>
      <c r="MR114" s="31"/>
      <c r="MS114" s="31"/>
      <c r="MT114" s="31"/>
      <c r="MU114" s="31"/>
      <c r="MV114" s="31"/>
      <c r="MW114" s="31"/>
      <c r="MX114" s="31"/>
      <c r="MY114" s="31"/>
      <c r="MZ114" s="31"/>
      <c r="NA114" s="31"/>
      <c r="NB114" s="31"/>
      <c r="NC114" s="31"/>
      <c r="ND114" s="31"/>
      <c r="NE114" s="31"/>
      <c r="NF114" s="31"/>
      <c r="NG114" s="31">
        <v>22075</v>
      </c>
      <c r="NH114" s="31"/>
      <c r="NI114" s="31"/>
      <c r="NJ114" s="31"/>
      <c r="NK114" s="31"/>
      <c r="NL114" s="31"/>
      <c r="NM114" s="31"/>
      <c r="NN114" s="31"/>
      <c r="NO114" s="31"/>
      <c r="NP114" s="31"/>
      <c r="NQ114" s="31"/>
      <c r="NR114" s="31"/>
      <c r="NS114" s="31"/>
      <c r="NT114" s="31"/>
      <c r="NU114" s="31"/>
      <c r="NV114" s="31"/>
      <c r="NW114" s="31"/>
      <c r="NX114" s="31"/>
      <c r="NY114" s="31"/>
      <c r="NZ114" s="31"/>
      <c r="OA114" s="31"/>
      <c r="OB114" s="31"/>
      <c r="OC114" s="31"/>
      <c r="OD114" s="31"/>
      <c r="OE114" s="31"/>
      <c r="OF114" s="31"/>
      <c r="OG114" s="31"/>
      <c r="OH114" s="31"/>
      <c r="OI114" s="31"/>
      <c r="OJ114" s="31"/>
      <c r="OK114" s="31"/>
      <c r="OL114" s="31">
        <v>72185</v>
      </c>
      <c r="OM114" s="31"/>
      <c r="ON114" s="31"/>
      <c r="OO114" s="31"/>
      <c r="OP114" s="31"/>
      <c r="OQ114" s="31"/>
      <c r="OR114" s="31"/>
      <c r="OS114" s="31"/>
      <c r="OT114" s="31"/>
      <c r="OU114" s="31"/>
      <c r="OV114" s="31"/>
      <c r="OW114" s="31"/>
      <c r="OX114" s="31"/>
      <c r="OY114" s="31"/>
      <c r="OZ114" s="31"/>
      <c r="PA114" s="31"/>
      <c r="PB114" s="31"/>
      <c r="PC114" s="31"/>
      <c r="PD114" s="31"/>
      <c r="PE114" s="31"/>
      <c r="PF114" s="31"/>
      <c r="PG114" s="31"/>
      <c r="PH114" s="31"/>
      <c r="PI114" s="31"/>
      <c r="PJ114" s="31"/>
      <c r="PK114" s="31"/>
      <c r="PL114" s="31"/>
      <c r="PM114" s="31"/>
      <c r="PN114" s="31">
        <v>23837</v>
      </c>
      <c r="PO114" s="31"/>
      <c r="PP114" s="31"/>
      <c r="PQ114" s="31"/>
      <c r="PR114" s="31"/>
      <c r="PS114" s="31"/>
      <c r="PT114" s="31"/>
      <c r="PU114" s="31"/>
      <c r="PV114" s="31"/>
      <c r="PW114" s="31"/>
      <c r="PX114" s="31"/>
      <c r="PY114" s="31"/>
      <c r="PZ114" s="31"/>
      <c r="QA114" s="31"/>
      <c r="QB114" s="31"/>
      <c r="QC114" s="31"/>
      <c r="QD114" s="31"/>
      <c r="QE114" s="31"/>
      <c r="QF114" s="31"/>
      <c r="QG114" s="31"/>
      <c r="QH114" s="31"/>
      <c r="QI114" s="31"/>
      <c r="QJ114" s="31"/>
      <c r="QK114" s="31"/>
      <c r="QL114" s="31"/>
      <c r="QM114" s="31"/>
      <c r="QN114" s="31"/>
      <c r="QO114" s="31"/>
      <c r="QP114" s="31"/>
      <c r="QQ114" s="31"/>
      <c r="QR114" s="31"/>
      <c r="QS114" s="31">
        <v>52240</v>
      </c>
      <c r="QT114" s="31"/>
      <c r="QU114" s="31"/>
      <c r="QV114" s="31"/>
      <c r="QW114" s="31"/>
      <c r="QX114" s="31"/>
      <c r="QY114" s="31"/>
      <c r="QZ114" s="31"/>
      <c r="RA114" s="31"/>
      <c r="RB114" s="31"/>
      <c r="RC114" s="31"/>
      <c r="RD114" s="31"/>
      <c r="RE114" s="31"/>
      <c r="RF114" s="31"/>
      <c r="RG114" s="31"/>
      <c r="RH114" s="31"/>
      <c r="RI114" s="31"/>
      <c r="RJ114" s="31"/>
      <c r="RK114" s="31"/>
      <c r="RL114" s="31"/>
      <c r="RM114" s="31"/>
      <c r="RN114" s="31"/>
      <c r="RO114" s="31"/>
      <c r="RP114" s="31"/>
      <c r="RQ114" s="31"/>
      <c r="RR114" s="31"/>
      <c r="RS114" s="31"/>
      <c r="RT114" s="31"/>
      <c r="RU114" s="31"/>
      <c r="RV114" s="31"/>
      <c r="RW114" s="31">
        <v>6238</v>
      </c>
      <c r="RX114" s="31"/>
      <c r="RY114" s="31"/>
      <c r="RZ114" s="31"/>
      <c r="SA114" s="31"/>
      <c r="SB114" s="31"/>
      <c r="SC114" s="31"/>
      <c r="SD114" s="31"/>
      <c r="SE114" s="31"/>
      <c r="SF114" s="31"/>
      <c r="SG114" s="31"/>
      <c r="SH114" s="31"/>
      <c r="SI114" s="31"/>
      <c r="SJ114" s="31"/>
      <c r="SK114" s="31"/>
      <c r="SL114" s="31"/>
      <c r="SM114" s="31"/>
      <c r="SN114" s="31"/>
      <c r="SO114" s="31"/>
      <c r="SP114" s="31"/>
      <c r="SQ114" s="31"/>
      <c r="SR114" s="31"/>
      <c r="SS114" s="31"/>
      <c r="ST114" s="23"/>
      <c r="SU114" s="23"/>
      <c r="SV114" s="23"/>
      <c r="SW114" s="23"/>
      <c r="SX114" s="23"/>
      <c r="SY114" s="23"/>
      <c r="SZ114" s="23"/>
      <c r="TA114" s="23"/>
      <c r="TB114" s="23">
        <v>20264</v>
      </c>
      <c r="TC114" s="23"/>
      <c r="TD114" s="23"/>
      <c r="TE114" s="23"/>
      <c r="TF114" s="23"/>
      <c r="TG114" s="23"/>
      <c r="TH114" s="23"/>
      <c r="TI114" s="23"/>
      <c r="TJ114" s="23"/>
      <c r="TK114" s="23"/>
      <c r="TL114" s="23"/>
      <c r="TM114" s="23"/>
      <c r="TN114" s="23"/>
      <c r="TO114" s="23"/>
      <c r="TP114" s="23"/>
      <c r="TQ114" s="23"/>
      <c r="TR114" s="23"/>
      <c r="TS114" s="23"/>
      <c r="TT114" s="23"/>
      <c r="TU114" s="23"/>
      <c r="TV114" s="23"/>
      <c r="TW114" s="23"/>
      <c r="TX114" s="23"/>
      <c r="TY114" s="23"/>
      <c r="TZ114" s="23"/>
      <c r="UA114" s="23"/>
      <c r="UB114" s="23"/>
      <c r="UC114" s="23"/>
      <c r="UD114" s="23"/>
      <c r="UE114" s="23"/>
      <c r="UF114" s="23"/>
      <c r="UG114" s="23"/>
      <c r="UH114" s="23"/>
      <c r="UI114" s="23"/>
      <c r="UJ114" s="23"/>
      <c r="UK114" s="23"/>
      <c r="UL114" s="23"/>
      <c r="UM114" s="23"/>
      <c r="UN114" s="23"/>
      <c r="UO114" s="23"/>
      <c r="UP114" s="23"/>
      <c r="UQ114" s="23"/>
      <c r="UR114" s="23"/>
      <c r="US114" s="23"/>
      <c r="UT114" s="23"/>
    </row>
    <row r="115" spans="4:566">
      <c r="D115" t="s">
        <v>140</v>
      </c>
      <c r="E115" t="s">
        <v>141</v>
      </c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>
        <v>52194</v>
      </c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>
        <v>6528</v>
      </c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>
        <v>38234</v>
      </c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1"/>
      <c r="DL115" s="31"/>
      <c r="DM115" s="31"/>
      <c r="DN115" s="31"/>
      <c r="DO115" s="31"/>
      <c r="DP115" s="31"/>
      <c r="DQ115" s="31"/>
      <c r="DR115" s="31"/>
      <c r="DS115" s="31"/>
      <c r="DT115" s="31"/>
      <c r="DU115" s="31"/>
      <c r="DV115" s="31">
        <v>884</v>
      </c>
      <c r="DW115" s="31"/>
      <c r="DX115" s="31"/>
      <c r="DY115" s="31"/>
      <c r="DZ115" s="31"/>
      <c r="EA115" s="31"/>
      <c r="EB115" s="31"/>
      <c r="EC115" s="31"/>
      <c r="ED115" s="31"/>
      <c r="EE115" s="31"/>
      <c r="EF115" s="31"/>
      <c r="EG115" s="31"/>
      <c r="EH115" s="31"/>
      <c r="EI115" s="31"/>
      <c r="EJ115" s="31"/>
      <c r="EK115" s="31"/>
      <c r="EL115" s="31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1"/>
      <c r="EZ115" s="31"/>
      <c r="FA115" s="31">
        <v>5923</v>
      </c>
      <c r="FB115" s="31"/>
      <c r="FC115" s="31"/>
      <c r="FD115" s="31"/>
      <c r="FE115" s="31"/>
      <c r="FF115" s="31"/>
      <c r="FG115" s="31"/>
      <c r="FH115" s="31"/>
      <c r="FI115" s="31"/>
      <c r="FJ115" s="31"/>
      <c r="FK115" s="31"/>
      <c r="FL115" s="31"/>
      <c r="FM115" s="31"/>
      <c r="FN115" s="31"/>
      <c r="FO115" s="31"/>
      <c r="FP115" s="31"/>
      <c r="FQ115" s="31"/>
      <c r="FR115" s="31"/>
      <c r="FS115" s="31"/>
      <c r="FT115" s="31"/>
      <c r="FU115" s="31"/>
      <c r="FV115" s="31"/>
      <c r="FW115" s="31"/>
      <c r="FX115" s="31"/>
      <c r="FY115" s="31"/>
      <c r="FZ115" s="31"/>
      <c r="GA115" s="31"/>
      <c r="GB115" s="31"/>
      <c r="GC115" s="31"/>
      <c r="GD115" s="31"/>
      <c r="GE115" s="31">
        <v>23600</v>
      </c>
      <c r="GF115" s="31"/>
      <c r="GG115" s="31"/>
      <c r="GH115" s="31"/>
      <c r="GI115" s="31"/>
      <c r="GJ115" s="31"/>
      <c r="GK115" s="31"/>
      <c r="GL115" s="31"/>
      <c r="GM115" s="31"/>
      <c r="GN115" s="31"/>
      <c r="GO115" s="31"/>
      <c r="GP115" s="31"/>
      <c r="GQ115" s="31"/>
      <c r="GR115" s="31"/>
      <c r="GS115" s="31"/>
      <c r="GT115" s="31"/>
      <c r="GU115" s="31"/>
      <c r="GV115" s="31"/>
      <c r="GW115" s="31"/>
      <c r="GX115" s="31"/>
      <c r="GY115" s="31"/>
      <c r="GZ115" s="31"/>
      <c r="HA115" s="31"/>
      <c r="HB115" s="31"/>
      <c r="HC115" s="31"/>
      <c r="HD115" s="31"/>
      <c r="HE115" s="31"/>
      <c r="HF115" s="31"/>
      <c r="HG115" s="31"/>
      <c r="HH115" s="31"/>
      <c r="HI115" s="31"/>
      <c r="HJ115" s="31">
        <v>-4296</v>
      </c>
      <c r="HK115" s="31"/>
      <c r="HL115" s="31"/>
      <c r="HM115" s="31"/>
      <c r="HN115" s="31"/>
      <c r="HO115" s="31"/>
      <c r="HP115" s="31"/>
      <c r="HQ115" s="31"/>
      <c r="HR115" s="31"/>
      <c r="HS115" s="31"/>
      <c r="HT115" s="31"/>
      <c r="HU115" s="31"/>
      <c r="HV115" s="31"/>
      <c r="HW115" s="31"/>
      <c r="HX115" s="31"/>
      <c r="HY115" s="31"/>
      <c r="HZ115" s="31"/>
      <c r="IA115" s="31"/>
      <c r="IB115" s="31"/>
      <c r="IC115" s="31"/>
      <c r="ID115" s="31"/>
      <c r="IE115" s="31"/>
      <c r="IF115" s="31"/>
      <c r="IG115" s="31"/>
      <c r="IH115" s="31"/>
      <c r="II115" s="31"/>
      <c r="IJ115" s="31"/>
      <c r="IK115" s="31"/>
      <c r="IL115" s="31"/>
      <c r="IM115" s="31"/>
      <c r="IN115" s="31"/>
      <c r="IO115" s="31">
        <v>6253</v>
      </c>
      <c r="IP115" s="31"/>
      <c r="IQ115" s="31"/>
      <c r="IR115" s="31"/>
      <c r="IS115" s="31"/>
      <c r="IT115" s="31"/>
      <c r="IU115" s="31"/>
      <c r="IV115" s="31"/>
      <c r="IW115" s="31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  <c r="JH115" s="31"/>
      <c r="JI115" s="31"/>
      <c r="JJ115" s="31"/>
      <c r="JK115" s="31"/>
      <c r="JL115" s="31"/>
      <c r="JM115" s="31"/>
      <c r="JN115" s="31"/>
      <c r="JO115" s="31"/>
      <c r="JP115" s="31"/>
      <c r="JQ115" s="31"/>
      <c r="JR115" s="31"/>
      <c r="JS115" s="31">
        <v>16081</v>
      </c>
      <c r="JT115" s="31"/>
      <c r="JU115" s="31"/>
      <c r="JV115" s="31"/>
      <c r="JW115" s="31"/>
      <c r="JX115" s="31"/>
      <c r="JY115" s="31"/>
      <c r="JZ115" s="31"/>
      <c r="KA115" s="31"/>
      <c r="KB115" s="31"/>
      <c r="KC115" s="31"/>
      <c r="KD115" s="31"/>
      <c r="KE115" s="31"/>
      <c r="KF115" s="31"/>
      <c r="KG115" s="31"/>
      <c r="KH115" s="31"/>
      <c r="KI115" s="31"/>
      <c r="KJ115" s="31"/>
      <c r="KK115" s="31"/>
      <c r="KL115" s="31"/>
      <c r="KM115" s="31"/>
      <c r="KN115" s="31"/>
      <c r="KO115" s="31"/>
      <c r="KP115" s="31"/>
      <c r="KQ115" s="31"/>
      <c r="KR115" s="31"/>
      <c r="KS115" s="31"/>
      <c r="KT115" s="31"/>
      <c r="KU115" s="31"/>
      <c r="KV115" s="31"/>
      <c r="KW115" s="31"/>
      <c r="KX115" s="31">
        <v>-154</v>
      </c>
      <c r="KY115" s="31"/>
      <c r="KZ115" s="31"/>
      <c r="LA115" s="31"/>
      <c r="LB115" s="31"/>
      <c r="LC115" s="31"/>
      <c r="LD115" s="31"/>
      <c r="LE115" s="31"/>
      <c r="LF115" s="31"/>
      <c r="LG115" s="31"/>
      <c r="LH115" s="31"/>
      <c r="LI115" s="31"/>
      <c r="LJ115" s="31"/>
      <c r="LK115" s="31"/>
      <c r="LL115" s="31"/>
      <c r="LM115" s="31"/>
      <c r="LN115" s="31"/>
      <c r="LO115" s="31"/>
      <c r="LP115" s="31"/>
      <c r="LQ115" s="31"/>
      <c r="LR115" s="31"/>
      <c r="LS115" s="31"/>
      <c r="LT115" s="31"/>
      <c r="LU115" s="31"/>
      <c r="LV115" s="31"/>
      <c r="LW115" s="31"/>
      <c r="LX115" s="31"/>
      <c r="LY115" s="31"/>
      <c r="LZ115" s="31"/>
      <c r="MA115" s="31"/>
      <c r="MB115" s="31">
        <v>4096</v>
      </c>
      <c r="MC115" s="31"/>
      <c r="MD115" s="31"/>
      <c r="ME115" s="31"/>
      <c r="MF115" s="31"/>
      <c r="MG115" s="31"/>
      <c r="MH115" s="31"/>
      <c r="MI115" s="31"/>
      <c r="MJ115" s="31"/>
      <c r="MK115" s="31"/>
      <c r="ML115" s="31"/>
      <c r="MM115" s="31"/>
      <c r="MN115" s="31"/>
      <c r="MO115" s="31"/>
      <c r="MP115" s="31"/>
      <c r="MQ115" s="31"/>
      <c r="MR115" s="31"/>
      <c r="MS115" s="31"/>
      <c r="MT115" s="31"/>
      <c r="MU115" s="31"/>
      <c r="MV115" s="31"/>
      <c r="MW115" s="31"/>
      <c r="MX115" s="31"/>
      <c r="MY115" s="31"/>
      <c r="MZ115" s="31"/>
      <c r="NA115" s="31"/>
      <c r="NB115" s="31"/>
      <c r="NC115" s="31"/>
      <c r="ND115" s="31"/>
      <c r="NE115" s="31"/>
      <c r="NF115" s="31"/>
      <c r="NG115" s="31">
        <v>9804</v>
      </c>
      <c r="NH115" s="31"/>
      <c r="NI115" s="31"/>
      <c r="NJ115" s="31"/>
      <c r="NK115" s="31"/>
      <c r="NL115" s="31"/>
      <c r="NM115" s="31"/>
      <c r="NN115" s="31"/>
      <c r="NO115" s="31"/>
      <c r="NP115" s="31"/>
      <c r="NQ115" s="31"/>
      <c r="NR115" s="31"/>
      <c r="NS115" s="31"/>
      <c r="NT115" s="31"/>
      <c r="NU115" s="31"/>
      <c r="NV115" s="31"/>
      <c r="NW115" s="31"/>
      <c r="NX115" s="31"/>
      <c r="NY115" s="31"/>
      <c r="NZ115" s="31"/>
      <c r="OA115" s="31"/>
      <c r="OB115" s="31"/>
      <c r="OC115" s="31"/>
      <c r="OD115" s="31"/>
      <c r="OE115" s="31"/>
      <c r="OF115" s="31"/>
      <c r="OG115" s="31"/>
      <c r="OH115" s="31"/>
      <c r="OI115" s="31"/>
      <c r="OJ115" s="31"/>
      <c r="OK115" s="31"/>
      <c r="OL115" s="31">
        <v>49016</v>
      </c>
      <c r="OM115" s="31"/>
      <c r="ON115" s="31"/>
      <c r="OO115" s="31"/>
      <c r="OP115" s="31"/>
      <c r="OQ115" s="31"/>
      <c r="OR115" s="31"/>
      <c r="OS115" s="31"/>
      <c r="OT115" s="31"/>
      <c r="OU115" s="31"/>
      <c r="OV115" s="31"/>
      <c r="OW115" s="31"/>
      <c r="OX115" s="31"/>
      <c r="OY115" s="31"/>
      <c r="OZ115" s="31"/>
      <c r="PA115" s="31"/>
      <c r="PB115" s="31"/>
      <c r="PC115" s="31"/>
      <c r="PD115" s="31"/>
      <c r="PE115" s="31"/>
      <c r="PF115" s="31"/>
      <c r="PG115" s="31"/>
      <c r="PH115" s="31"/>
      <c r="PI115" s="31"/>
      <c r="PJ115" s="31"/>
      <c r="PK115" s="31"/>
      <c r="PL115" s="31"/>
      <c r="PM115" s="31"/>
      <c r="PN115" s="31">
        <v>8458</v>
      </c>
      <c r="PO115" s="31"/>
      <c r="PP115" s="31"/>
      <c r="PQ115" s="31"/>
      <c r="PR115" s="31"/>
      <c r="PS115" s="31"/>
      <c r="PT115" s="31"/>
      <c r="PU115" s="31"/>
      <c r="PV115" s="31"/>
      <c r="PW115" s="31"/>
      <c r="PX115" s="31"/>
      <c r="PY115" s="31"/>
      <c r="PZ115" s="31"/>
      <c r="QA115" s="31"/>
      <c r="QB115" s="31"/>
      <c r="QC115" s="31"/>
      <c r="QD115" s="31"/>
      <c r="QE115" s="31"/>
      <c r="QF115" s="31"/>
      <c r="QG115" s="31"/>
      <c r="QH115" s="31"/>
      <c r="QI115" s="31"/>
      <c r="QJ115" s="31"/>
      <c r="QK115" s="31"/>
      <c r="QL115" s="31"/>
      <c r="QM115" s="31"/>
      <c r="QN115" s="31"/>
      <c r="QO115" s="31"/>
      <c r="QP115" s="31"/>
      <c r="QQ115" s="31"/>
      <c r="QR115" s="31"/>
      <c r="QS115" s="31">
        <v>31522</v>
      </c>
      <c r="QT115" s="31"/>
      <c r="QU115" s="31"/>
      <c r="QV115" s="31"/>
      <c r="QW115" s="31"/>
      <c r="QX115" s="31"/>
      <c r="QY115" s="31"/>
      <c r="QZ115" s="31"/>
      <c r="RA115" s="31"/>
      <c r="RB115" s="31"/>
      <c r="RC115" s="31"/>
      <c r="RD115" s="31"/>
      <c r="RE115" s="31"/>
      <c r="RF115" s="31"/>
      <c r="RG115" s="31"/>
      <c r="RH115" s="31"/>
      <c r="RI115" s="31"/>
      <c r="RJ115" s="31"/>
      <c r="RK115" s="31"/>
      <c r="RL115" s="31"/>
      <c r="RM115" s="31"/>
      <c r="RN115" s="31"/>
      <c r="RO115" s="31"/>
      <c r="RP115" s="31"/>
      <c r="RQ115" s="31"/>
      <c r="RR115" s="31"/>
      <c r="RS115" s="31"/>
      <c r="RT115" s="31"/>
      <c r="RU115" s="31"/>
      <c r="RV115" s="31"/>
      <c r="RW115" s="31">
        <v>-4006</v>
      </c>
      <c r="RX115" s="31"/>
      <c r="RY115" s="31"/>
      <c r="RZ115" s="31"/>
      <c r="SA115" s="31"/>
      <c r="SB115" s="31"/>
      <c r="SC115" s="31"/>
      <c r="SD115" s="31"/>
      <c r="SE115" s="31"/>
      <c r="SF115" s="31"/>
      <c r="SG115" s="31"/>
      <c r="SH115" s="31"/>
      <c r="SI115" s="31"/>
      <c r="SJ115" s="31"/>
      <c r="SK115" s="31"/>
      <c r="SL115" s="31"/>
      <c r="SM115" s="31"/>
      <c r="SN115" s="31"/>
      <c r="SO115" s="31"/>
      <c r="SP115" s="31"/>
      <c r="SQ115" s="31"/>
      <c r="SR115" s="31"/>
      <c r="SS115" s="31"/>
      <c r="ST115" s="23"/>
      <c r="SU115" s="23"/>
      <c r="SV115" s="23"/>
      <c r="SW115" s="23"/>
      <c r="SX115" s="23"/>
      <c r="SY115" s="23"/>
      <c r="SZ115" s="23"/>
      <c r="TA115" s="23"/>
      <c r="TB115" s="23">
        <v>4965</v>
      </c>
      <c r="TC115" s="23"/>
      <c r="TD115" s="23"/>
      <c r="TE115" s="23"/>
      <c r="TF115" s="23"/>
      <c r="TG115" s="23"/>
      <c r="TH115" s="23"/>
      <c r="TI115" s="23"/>
      <c r="TJ115" s="23"/>
      <c r="TK115" s="23"/>
      <c r="TL115" s="23"/>
      <c r="TM115" s="23"/>
      <c r="TN115" s="23"/>
      <c r="TO115" s="23"/>
      <c r="TP115" s="23"/>
      <c r="TQ115" s="23"/>
      <c r="TR115" s="23"/>
      <c r="TS115" s="23"/>
      <c r="TT115" s="23"/>
      <c r="TU115" s="23"/>
      <c r="TV115" s="23"/>
      <c r="TW115" s="23"/>
      <c r="TX115" s="23"/>
      <c r="TY115" s="23"/>
      <c r="TZ115" s="23"/>
      <c r="UA115" s="23"/>
      <c r="UB115" s="23"/>
      <c r="UC115" s="23"/>
      <c r="UD115" s="23"/>
      <c r="UE115" s="23"/>
      <c r="UF115" s="23"/>
      <c r="UG115" s="23"/>
      <c r="UH115" s="23"/>
      <c r="UI115" s="23"/>
      <c r="UJ115" s="23"/>
      <c r="UK115" s="23"/>
      <c r="UL115" s="23"/>
      <c r="UM115" s="23"/>
      <c r="UN115" s="23"/>
      <c r="UO115" s="23"/>
      <c r="UP115" s="23"/>
      <c r="UQ115" s="23"/>
      <c r="UR115" s="23"/>
      <c r="US115" s="23"/>
      <c r="UT115" s="23"/>
    </row>
    <row r="116" spans="4:566">
      <c r="D116" t="s">
        <v>142</v>
      </c>
      <c r="E116" t="s">
        <v>143</v>
      </c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>
        <v>6933</v>
      </c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>
        <v>16939</v>
      </c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>
        <v>14866</v>
      </c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  <c r="DI116" s="31"/>
      <c r="DJ116" s="31"/>
      <c r="DK116" s="31"/>
      <c r="DL116" s="31"/>
      <c r="DM116" s="31"/>
      <c r="DN116" s="31"/>
      <c r="DO116" s="31"/>
      <c r="DP116" s="31"/>
      <c r="DQ116" s="31"/>
      <c r="DR116" s="31"/>
      <c r="DS116" s="31"/>
      <c r="DT116" s="31"/>
      <c r="DU116" s="31"/>
      <c r="DV116" s="31">
        <v>9729</v>
      </c>
      <c r="DW116" s="31"/>
      <c r="DX116" s="31"/>
      <c r="DY116" s="31"/>
      <c r="DZ116" s="31"/>
      <c r="EA116" s="31"/>
      <c r="EB116" s="31"/>
      <c r="EC116" s="31"/>
      <c r="ED116" s="31"/>
      <c r="EE116" s="31"/>
      <c r="EF116" s="31"/>
      <c r="EG116" s="31"/>
      <c r="EH116" s="31"/>
      <c r="EI116" s="31"/>
      <c r="EJ116" s="31"/>
      <c r="EK116" s="31"/>
      <c r="EL116" s="31"/>
      <c r="EM116" s="31"/>
      <c r="EN116" s="31"/>
      <c r="EO116" s="31"/>
      <c r="EP116" s="31"/>
      <c r="EQ116" s="31"/>
      <c r="ER116" s="31"/>
      <c r="ES116" s="31"/>
      <c r="ET116" s="31"/>
      <c r="EU116" s="31"/>
      <c r="EV116" s="31"/>
      <c r="EW116" s="31"/>
      <c r="EX116" s="31"/>
      <c r="EY116" s="31"/>
      <c r="EZ116" s="31"/>
      <c r="FA116" s="31">
        <v>14585</v>
      </c>
      <c r="FB116" s="31"/>
      <c r="FC116" s="31"/>
      <c r="FD116" s="31"/>
      <c r="FE116" s="31"/>
      <c r="FF116" s="31"/>
      <c r="FG116" s="31"/>
      <c r="FH116" s="31"/>
      <c r="FI116" s="31"/>
      <c r="FJ116" s="31"/>
      <c r="FK116" s="31"/>
      <c r="FL116" s="31"/>
      <c r="FM116" s="31"/>
      <c r="FN116" s="31"/>
      <c r="FO116" s="31"/>
      <c r="FP116" s="31"/>
      <c r="FQ116" s="31"/>
      <c r="FR116" s="31"/>
      <c r="FS116" s="31"/>
      <c r="FT116" s="31"/>
      <c r="FU116" s="31"/>
      <c r="FV116" s="31"/>
      <c r="FW116" s="31"/>
      <c r="FX116" s="31"/>
      <c r="FY116" s="31"/>
      <c r="FZ116" s="31"/>
      <c r="GA116" s="31"/>
      <c r="GB116" s="31"/>
      <c r="GC116" s="31"/>
      <c r="GD116" s="31"/>
      <c r="GE116" s="31">
        <v>13508</v>
      </c>
      <c r="GF116" s="31"/>
      <c r="GG116" s="31"/>
      <c r="GH116" s="31"/>
      <c r="GI116" s="31"/>
      <c r="GJ116" s="31"/>
      <c r="GK116" s="31"/>
      <c r="GL116" s="31"/>
      <c r="GM116" s="31"/>
      <c r="GN116" s="31"/>
      <c r="GO116" s="31"/>
      <c r="GP116" s="31"/>
      <c r="GQ116" s="31"/>
      <c r="GR116" s="31"/>
      <c r="GS116" s="31"/>
      <c r="GT116" s="31"/>
      <c r="GU116" s="31"/>
      <c r="GV116" s="31"/>
      <c r="GW116" s="31"/>
      <c r="GX116" s="31"/>
      <c r="GY116" s="31"/>
      <c r="GZ116" s="31"/>
      <c r="HA116" s="31"/>
      <c r="HB116" s="31"/>
      <c r="HC116" s="31"/>
      <c r="HD116" s="31"/>
      <c r="HE116" s="31"/>
      <c r="HF116" s="31"/>
      <c r="HG116" s="31"/>
      <c r="HH116" s="31"/>
      <c r="HI116" s="31"/>
      <c r="HJ116" s="31">
        <v>12482</v>
      </c>
      <c r="HK116" s="31"/>
      <c r="HL116" s="31"/>
      <c r="HM116" s="31"/>
      <c r="HN116" s="31"/>
      <c r="HO116" s="31"/>
      <c r="HP116" s="31"/>
      <c r="HQ116" s="31"/>
      <c r="HR116" s="31"/>
      <c r="HS116" s="31"/>
      <c r="HT116" s="31"/>
      <c r="HU116" s="31"/>
      <c r="HV116" s="31"/>
      <c r="HW116" s="31"/>
      <c r="HX116" s="31"/>
      <c r="HY116" s="31"/>
      <c r="HZ116" s="31"/>
      <c r="IA116" s="31"/>
      <c r="IB116" s="31"/>
      <c r="IC116" s="31"/>
      <c r="ID116" s="31"/>
      <c r="IE116" s="31"/>
      <c r="IF116" s="31"/>
      <c r="IG116" s="31"/>
      <c r="IH116" s="31"/>
      <c r="II116" s="31"/>
      <c r="IJ116" s="31"/>
      <c r="IK116" s="31"/>
      <c r="IL116" s="31"/>
      <c r="IM116" s="31"/>
      <c r="IN116" s="31"/>
      <c r="IO116" s="31">
        <v>13672</v>
      </c>
      <c r="IP116" s="31"/>
      <c r="IQ116" s="31"/>
      <c r="IR116" s="31"/>
      <c r="IS116" s="31"/>
      <c r="IT116" s="31"/>
      <c r="IU116" s="31"/>
      <c r="IV116" s="31"/>
      <c r="IW116" s="31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  <c r="JH116" s="31"/>
      <c r="JI116" s="31"/>
      <c r="JJ116" s="31"/>
      <c r="JK116" s="31"/>
      <c r="JL116" s="31"/>
      <c r="JM116" s="31"/>
      <c r="JN116" s="31"/>
      <c r="JO116" s="31"/>
      <c r="JP116" s="31"/>
      <c r="JQ116" s="31"/>
      <c r="JR116" s="31"/>
      <c r="JS116" s="31">
        <v>11893</v>
      </c>
      <c r="JT116" s="31"/>
      <c r="JU116" s="31"/>
      <c r="JV116" s="31"/>
      <c r="JW116" s="31"/>
      <c r="JX116" s="31"/>
      <c r="JY116" s="31"/>
      <c r="JZ116" s="31"/>
      <c r="KA116" s="31"/>
      <c r="KB116" s="31"/>
      <c r="KC116" s="31"/>
      <c r="KD116" s="31"/>
      <c r="KE116" s="31"/>
      <c r="KF116" s="31"/>
      <c r="KG116" s="31"/>
      <c r="KH116" s="31"/>
      <c r="KI116" s="31"/>
      <c r="KJ116" s="31"/>
      <c r="KK116" s="31"/>
      <c r="KL116" s="31"/>
      <c r="KM116" s="31"/>
      <c r="KN116" s="31"/>
      <c r="KO116" s="31"/>
      <c r="KP116" s="31"/>
      <c r="KQ116" s="31"/>
      <c r="KR116" s="31"/>
      <c r="KS116" s="31"/>
      <c r="KT116" s="31"/>
      <c r="KU116" s="31"/>
      <c r="KV116" s="31"/>
      <c r="KW116" s="31"/>
      <c r="KX116" s="31">
        <v>4852</v>
      </c>
      <c r="KY116" s="31"/>
      <c r="KZ116" s="31"/>
      <c r="LA116" s="31"/>
      <c r="LB116" s="31"/>
      <c r="LC116" s="31"/>
      <c r="LD116" s="31"/>
      <c r="LE116" s="31"/>
      <c r="LF116" s="31"/>
      <c r="LG116" s="31"/>
      <c r="LH116" s="31"/>
      <c r="LI116" s="31"/>
      <c r="LJ116" s="31"/>
      <c r="LK116" s="31"/>
      <c r="LL116" s="31"/>
      <c r="LM116" s="31"/>
      <c r="LN116" s="31"/>
      <c r="LO116" s="31"/>
      <c r="LP116" s="31"/>
      <c r="LQ116" s="31"/>
      <c r="LR116" s="31"/>
      <c r="LS116" s="31"/>
      <c r="LT116" s="31"/>
      <c r="LU116" s="31"/>
      <c r="LV116" s="31"/>
      <c r="LW116" s="31"/>
      <c r="LX116" s="31"/>
      <c r="LY116" s="31"/>
      <c r="LZ116" s="31"/>
      <c r="MA116" s="31"/>
      <c r="MB116" s="31">
        <v>12077</v>
      </c>
      <c r="MC116" s="31"/>
      <c r="MD116" s="31"/>
      <c r="ME116" s="31"/>
      <c r="MF116" s="31"/>
      <c r="MG116" s="31"/>
      <c r="MH116" s="31"/>
      <c r="MI116" s="31"/>
      <c r="MJ116" s="31"/>
      <c r="MK116" s="31"/>
      <c r="ML116" s="31"/>
      <c r="MM116" s="31"/>
      <c r="MN116" s="31"/>
      <c r="MO116" s="31"/>
      <c r="MP116" s="31"/>
      <c r="MQ116" s="31"/>
      <c r="MR116" s="31"/>
      <c r="MS116" s="31"/>
      <c r="MT116" s="31"/>
      <c r="MU116" s="31"/>
      <c r="MV116" s="31"/>
      <c r="MW116" s="31"/>
      <c r="MX116" s="31"/>
      <c r="MY116" s="31"/>
      <c r="MZ116" s="31"/>
      <c r="NA116" s="31"/>
      <c r="NB116" s="31"/>
      <c r="NC116" s="31"/>
      <c r="ND116" s="31"/>
      <c r="NE116" s="31"/>
      <c r="NF116" s="31"/>
      <c r="NG116" s="31">
        <v>6833</v>
      </c>
      <c r="NH116" s="31"/>
      <c r="NI116" s="31"/>
      <c r="NJ116" s="31"/>
      <c r="NK116" s="31"/>
      <c r="NL116" s="31"/>
      <c r="NM116" s="31"/>
      <c r="NN116" s="31"/>
      <c r="NO116" s="31"/>
      <c r="NP116" s="31"/>
      <c r="NQ116" s="31"/>
      <c r="NR116" s="31"/>
      <c r="NS116" s="31"/>
      <c r="NT116" s="31"/>
      <c r="NU116" s="31"/>
      <c r="NV116" s="31"/>
      <c r="NW116" s="31"/>
      <c r="NX116" s="31"/>
      <c r="NY116" s="31"/>
      <c r="NZ116" s="31"/>
      <c r="OA116" s="31"/>
      <c r="OB116" s="31"/>
      <c r="OC116" s="31"/>
      <c r="OD116" s="31"/>
      <c r="OE116" s="31"/>
      <c r="OF116" s="31"/>
      <c r="OG116" s="31"/>
      <c r="OH116" s="31"/>
      <c r="OI116" s="31"/>
      <c r="OJ116" s="31"/>
      <c r="OK116" s="31"/>
      <c r="OL116" s="31">
        <v>9764</v>
      </c>
      <c r="OM116" s="31"/>
      <c r="ON116" s="31"/>
      <c r="OO116" s="31"/>
      <c r="OP116" s="31"/>
      <c r="OQ116" s="31"/>
      <c r="OR116" s="31"/>
      <c r="OS116" s="31"/>
      <c r="OT116" s="31"/>
      <c r="OU116" s="31"/>
      <c r="OV116" s="31"/>
      <c r="OW116" s="31"/>
      <c r="OX116" s="31"/>
      <c r="OY116" s="31"/>
      <c r="OZ116" s="31"/>
      <c r="PA116" s="31"/>
      <c r="PB116" s="31"/>
      <c r="PC116" s="31"/>
      <c r="PD116" s="31"/>
      <c r="PE116" s="31"/>
      <c r="PF116" s="31"/>
      <c r="PG116" s="31"/>
      <c r="PH116" s="31"/>
      <c r="PI116" s="31"/>
      <c r="PJ116" s="31"/>
      <c r="PK116" s="31"/>
      <c r="PL116" s="31"/>
      <c r="PM116" s="31"/>
      <c r="PN116" s="31">
        <v>14014</v>
      </c>
      <c r="PO116" s="31"/>
      <c r="PP116" s="31"/>
      <c r="PQ116" s="31"/>
      <c r="PR116" s="31"/>
      <c r="PS116" s="31"/>
      <c r="PT116" s="31"/>
      <c r="PU116" s="31"/>
      <c r="PV116" s="31"/>
      <c r="PW116" s="31"/>
      <c r="PX116" s="31"/>
      <c r="PY116" s="31"/>
      <c r="PZ116" s="31"/>
      <c r="QA116" s="31"/>
      <c r="QB116" s="31"/>
      <c r="QC116" s="31"/>
      <c r="QD116" s="31"/>
      <c r="QE116" s="31"/>
      <c r="QF116" s="31"/>
      <c r="QG116" s="31"/>
      <c r="QH116" s="31"/>
      <c r="QI116" s="31"/>
      <c r="QJ116" s="31"/>
      <c r="QK116" s="31"/>
      <c r="QL116" s="31"/>
      <c r="QM116" s="31"/>
      <c r="QN116" s="31"/>
      <c r="QO116" s="31"/>
      <c r="QP116" s="31"/>
      <c r="QQ116" s="31"/>
      <c r="QR116" s="31"/>
      <c r="QS116" s="31">
        <v>11658</v>
      </c>
      <c r="QT116" s="31"/>
      <c r="QU116" s="31"/>
      <c r="QV116" s="31"/>
      <c r="QW116" s="31"/>
      <c r="QX116" s="31"/>
      <c r="QY116" s="31"/>
      <c r="QZ116" s="31"/>
      <c r="RA116" s="31"/>
      <c r="RB116" s="31"/>
      <c r="RC116" s="31"/>
      <c r="RD116" s="31"/>
      <c r="RE116" s="31"/>
      <c r="RF116" s="31"/>
      <c r="RG116" s="31"/>
      <c r="RH116" s="31"/>
      <c r="RI116" s="31"/>
      <c r="RJ116" s="31"/>
      <c r="RK116" s="31"/>
      <c r="RL116" s="31"/>
      <c r="RM116" s="31"/>
      <c r="RN116" s="31"/>
      <c r="RO116" s="31"/>
      <c r="RP116" s="31"/>
      <c r="RQ116" s="31"/>
      <c r="RR116" s="31"/>
      <c r="RS116" s="31"/>
      <c r="RT116" s="31"/>
      <c r="RU116" s="31"/>
      <c r="RV116" s="31"/>
      <c r="RW116" s="31">
        <v>9041</v>
      </c>
      <c r="RX116" s="31"/>
      <c r="RY116" s="31"/>
      <c r="RZ116" s="31"/>
      <c r="SA116" s="31"/>
      <c r="SB116" s="31"/>
      <c r="SC116" s="31"/>
      <c r="SD116" s="31"/>
      <c r="SE116" s="31"/>
      <c r="SF116" s="31"/>
      <c r="SG116" s="31"/>
      <c r="SH116" s="31"/>
      <c r="SI116" s="31"/>
      <c r="SJ116" s="31"/>
      <c r="SK116" s="31"/>
      <c r="SL116" s="31"/>
      <c r="SM116" s="31"/>
      <c r="SN116" s="31"/>
      <c r="SO116" s="31"/>
      <c r="SP116" s="31"/>
      <c r="SQ116" s="31"/>
      <c r="SR116" s="31"/>
      <c r="SS116" s="31"/>
      <c r="ST116" s="23"/>
      <c r="SU116" s="23"/>
      <c r="SV116" s="23"/>
      <c r="SW116" s="23"/>
      <c r="SX116" s="23"/>
      <c r="SY116" s="23"/>
      <c r="SZ116" s="23"/>
      <c r="TA116" s="23"/>
      <c r="TB116" s="23">
        <v>12236</v>
      </c>
      <c r="TC116" s="23"/>
      <c r="TD116" s="23"/>
      <c r="TE116" s="23"/>
      <c r="TF116" s="23"/>
      <c r="TG116" s="23"/>
      <c r="TH116" s="23"/>
      <c r="TI116" s="23"/>
      <c r="TJ116" s="23"/>
      <c r="TK116" s="23"/>
      <c r="TL116" s="23"/>
      <c r="TM116" s="23"/>
      <c r="TN116" s="23"/>
      <c r="TO116" s="23"/>
      <c r="TP116" s="23"/>
      <c r="TQ116" s="23"/>
      <c r="TR116" s="23"/>
      <c r="TS116" s="23"/>
      <c r="TT116" s="23"/>
      <c r="TU116" s="23"/>
      <c r="TV116" s="23"/>
      <c r="TW116" s="23"/>
      <c r="TX116" s="23"/>
      <c r="TY116" s="23"/>
      <c r="TZ116" s="23"/>
      <c r="UA116" s="23"/>
      <c r="UB116" s="23"/>
      <c r="UC116" s="23"/>
      <c r="UD116" s="23"/>
      <c r="UE116" s="23"/>
      <c r="UF116" s="23"/>
      <c r="UG116" s="23"/>
      <c r="UH116" s="23"/>
      <c r="UI116" s="23"/>
      <c r="UJ116" s="23"/>
      <c r="UK116" s="23"/>
      <c r="UL116" s="23"/>
      <c r="UM116" s="23"/>
      <c r="UN116" s="23"/>
      <c r="UO116" s="23"/>
      <c r="UP116" s="23"/>
      <c r="UQ116" s="23"/>
      <c r="UR116" s="23"/>
      <c r="US116" s="23"/>
      <c r="UT116" s="23"/>
    </row>
    <row r="117" spans="4:566">
      <c r="D117" t="s">
        <v>92</v>
      </c>
      <c r="E117" t="s">
        <v>93</v>
      </c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>
        <v>4454</v>
      </c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>
        <v>1702</v>
      </c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>
        <v>-905</v>
      </c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  <c r="DI117" s="31"/>
      <c r="DJ117" s="31"/>
      <c r="DK117" s="31"/>
      <c r="DL117" s="31"/>
      <c r="DM117" s="31"/>
      <c r="DN117" s="31"/>
      <c r="DO117" s="31"/>
      <c r="DP117" s="31"/>
      <c r="DQ117" s="31"/>
      <c r="DR117" s="31"/>
      <c r="DS117" s="31"/>
      <c r="DT117" s="31"/>
      <c r="DU117" s="31"/>
      <c r="DV117" s="31">
        <v>2340</v>
      </c>
      <c r="DW117" s="31"/>
      <c r="DX117" s="31"/>
      <c r="DY117" s="31"/>
      <c r="DZ117" s="31"/>
      <c r="EA117" s="31"/>
      <c r="EB117" s="31"/>
      <c r="EC117" s="31"/>
      <c r="ED117" s="31"/>
      <c r="EE117" s="31"/>
      <c r="EF117" s="31"/>
      <c r="EG117" s="31"/>
      <c r="EH117" s="31"/>
      <c r="EI117" s="31"/>
      <c r="EJ117" s="31"/>
      <c r="EK117" s="31"/>
      <c r="EL117" s="31"/>
      <c r="EM117" s="31"/>
      <c r="EN117" s="31"/>
      <c r="EO117" s="31"/>
      <c r="EP117" s="31"/>
      <c r="EQ117" s="31"/>
      <c r="ER117" s="31"/>
      <c r="ES117" s="31"/>
      <c r="ET117" s="31"/>
      <c r="EU117" s="31"/>
      <c r="EV117" s="31"/>
      <c r="EW117" s="31"/>
      <c r="EX117" s="31"/>
      <c r="EY117" s="31"/>
      <c r="EZ117" s="31"/>
      <c r="FA117" s="31">
        <v>1496</v>
      </c>
      <c r="FB117" s="31"/>
      <c r="FC117" s="31"/>
      <c r="FD117" s="31"/>
      <c r="FE117" s="31"/>
      <c r="FF117" s="31"/>
      <c r="FG117" s="31"/>
      <c r="FH117" s="31"/>
      <c r="FI117" s="31"/>
      <c r="FJ117" s="31"/>
      <c r="FK117" s="31"/>
      <c r="FL117" s="31"/>
      <c r="FM117" s="31"/>
      <c r="FN117" s="31"/>
      <c r="FO117" s="31"/>
      <c r="FP117" s="31"/>
      <c r="FQ117" s="31"/>
      <c r="FR117" s="31"/>
      <c r="FS117" s="31"/>
      <c r="FT117" s="31"/>
      <c r="FU117" s="31"/>
      <c r="FV117" s="31"/>
      <c r="FW117" s="31"/>
      <c r="FX117" s="31"/>
      <c r="FY117" s="31"/>
      <c r="FZ117" s="31"/>
      <c r="GA117" s="31"/>
      <c r="GB117" s="31"/>
      <c r="GC117" s="31"/>
      <c r="GD117" s="31"/>
      <c r="GE117" s="31">
        <v>2422</v>
      </c>
      <c r="GF117" s="31"/>
      <c r="GG117" s="31"/>
      <c r="GH117" s="31"/>
      <c r="GI117" s="31"/>
      <c r="GJ117" s="31"/>
      <c r="GK117" s="31"/>
      <c r="GL117" s="31"/>
      <c r="GM117" s="31"/>
      <c r="GN117" s="31"/>
      <c r="GO117" s="31"/>
      <c r="GP117" s="31"/>
      <c r="GQ117" s="31"/>
      <c r="GR117" s="31"/>
      <c r="GS117" s="31"/>
      <c r="GT117" s="31"/>
      <c r="GU117" s="31"/>
      <c r="GV117" s="31"/>
      <c r="GW117" s="31"/>
      <c r="GX117" s="31"/>
      <c r="GY117" s="31"/>
      <c r="GZ117" s="31"/>
      <c r="HA117" s="31"/>
      <c r="HB117" s="31"/>
      <c r="HC117" s="31"/>
      <c r="HD117" s="31"/>
      <c r="HE117" s="31"/>
      <c r="HF117" s="31"/>
      <c r="HG117" s="31"/>
      <c r="HH117" s="31"/>
      <c r="HI117" s="31"/>
      <c r="HJ117" s="31">
        <v>2748</v>
      </c>
      <c r="HK117" s="31"/>
      <c r="HL117" s="31"/>
      <c r="HM117" s="31"/>
      <c r="HN117" s="31"/>
      <c r="HO117" s="31"/>
      <c r="HP117" s="31"/>
      <c r="HQ117" s="31"/>
      <c r="HR117" s="31"/>
      <c r="HS117" s="31"/>
      <c r="HT117" s="31"/>
      <c r="HU117" s="31"/>
      <c r="HV117" s="31"/>
      <c r="HW117" s="31"/>
      <c r="HX117" s="31"/>
      <c r="HY117" s="31"/>
      <c r="HZ117" s="31"/>
      <c r="IA117" s="31"/>
      <c r="IB117" s="31"/>
      <c r="IC117" s="31"/>
      <c r="ID117" s="31"/>
      <c r="IE117" s="31"/>
      <c r="IF117" s="31"/>
      <c r="IG117" s="31"/>
      <c r="IH117" s="31"/>
      <c r="II117" s="31"/>
      <c r="IJ117" s="31"/>
      <c r="IK117" s="31"/>
      <c r="IL117" s="31"/>
      <c r="IM117" s="31"/>
      <c r="IN117" s="31"/>
      <c r="IO117" s="31">
        <v>1338</v>
      </c>
      <c r="IP117" s="31"/>
      <c r="IQ117" s="31"/>
      <c r="IR117" s="31"/>
      <c r="IS117" s="31"/>
      <c r="IT117" s="31"/>
      <c r="IU117" s="31"/>
      <c r="IV117" s="31"/>
      <c r="IW117" s="31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  <c r="JH117" s="31"/>
      <c r="JI117" s="31"/>
      <c r="JJ117" s="31"/>
      <c r="JK117" s="31"/>
      <c r="JL117" s="31"/>
      <c r="JM117" s="31"/>
      <c r="JN117" s="31"/>
      <c r="JO117" s="31"/>
      <c r="JP117" s="31"/>
      <c r="JQ117" s="31"/>
      <c r="JR117" s="31"/>
      <c r="JS117" s="31">
        <v>136</v>
      </c>
      <c r="JT117" s="31"/>
      <c r="JU117" s="31"/>
      <c r="JV117" s="31"/>
      <c r="JW117" s="31"/>
      <c r="JX117" s="31"/>
      <c r="JY117" s="31"/>
      <c r="JZ117" s="31"/>
      <c r="KA117" s="31"/>
      <c r="KB117" s="31"/>
      <c r="KC117" s="31"/>
      <c r="KD117" s="31"/>
      <c r="KE117" s="31"/>
      <c r="KF117" s="31"/>
      <c r="KG117" s="31"/>
      <c r="KH117" s="31"/>
      <c r="KI117" s="31"/>
      <c r="KJ117" s="31"/>
      <c r="KK117" s="31"/>
      <c r="KL117" s="31"/>
      <c r="KM117" s="31"/>
      <c r="KN117" s="31"/>
      <c r="KO117" s="31"/>
      <c r="KP117" s="31"/>
      <c r="KQ117" s="31"/>
      <c r="KR117" s="31"/>
      <c r="KS117" s="31"/>
      <c r="KT117" s="31"/>
      <c r="KU117" s="31"/>
      <c r="KV117" s="31"/>
      <c r="KW117" s="31"/>
      <c r="KX117" s="31">
        <v>2500</v>
      </c>
      <c r="KY117" s="31"/>
      <c r="KZ117" s="31"/>
      <c r="LA117" s="31"/>
      <c r="LB117" s="31"/>
      <c r="LC117" s="31"/>
      <c r="LD117" s="31"/>
      <c r="LE117" s="31"/>
      <c r="LF117" s="31"/>
      <c r="LG117" s="31"/>
      <c r="LH117" s="31"/>
      <c r="LI117" s="31"/>
      <c r="LJ117" s="31"/>
      <c r="LK117" s="31"/>
      <c r="LL117" s="31"/>
      <c r="LM117" s="31"/>
      <c r="LN117" s="31"/>
      <c r="LO117" s="31"/>
      <c r="LP117" s="31"/>
      <c r="LQ117" s="31"/>
      <c r="LR117" s="31"/>
      <c r="LS117" s="31"/>
      <c r="LT117" s="31"/>
      <c r="LU117" s="31"/>
      <c r="LV117" s="31"/>
      <c r="LW117" s="31"/>
      <c r="LX117" s="31"/>
      <c r="LY117" s="31"/>
      <c r="LZ117" s="31"/>
      <c r="MA117" s="31"/>
      <c r="MB117" s="31">
        <v>4145</v>
      </c>
      <c r="MC117" s="31"/>
      <c r="MD117" s="31"/>
      <c r="ME117" s="31"/>
      <c r="MF117" s="31"/>
      <c r="MG117" s="31"/>
      <c r="MH117" s="31"/>
      <c r="MI117" s="31"/>
      <c r="MJ117" s="31"/>
      <c r="MK117" s="31"/>
      <c r="ML117" s="31"/>
      <c r="MM117" s="31"/>
      <c r="MN117" s="31"/>
      <c r="MO117" s="31"/>
      <c r="MP117" s="31"/>
      <c r="MQ117" s="31"/>
      <c r="MR117" s="31"/>
      <c r="MS117" s="31"/>
      <c r="MT117" s="31"/>
      <c r="MU117" s="31"/>
      <c r="MV117" s="31"/>
      <c r="MW117" s="31"/>
      <c r="MX117" s="31"/>
      <c r="MY117" s="31"/>
      <c r="MZ117" s="31"/>
      <c r="NA117" s="31"/>
      <c r="NB117" s="31"/>
      <c r="NC117" s="31"/>
      <c r="ND117" s="31"/>
      <c r="NE117" s="31"/>
      <c r="NF117" s="31"/>
      <c r="NG117" s="31">
        <v>1541</v>
      </c>
      <c r="NH117" s="31"/>
      <c r="NI117" s="31"/>
      <c r="NJ117" s="31"/>
      <c r="NK117" s="31"/>
      <c r="NL117" s="31"/>
      <c r="NM117" s="31"/>
      <c r="NN117" s="31"/>
      <c r="NO117" s="31"/>
      <c r="NP117" s="31"/>
      <c r="NQ117" s="31"/>
      <c r="NR117" s="31"/>
      <c r="NS117" s="31"/>
      <c r="NT117" s="31"/>
      <c r="NU117" s="31"/>
      <c r="NV117" s="31"/>
      <c r="NW117" s="31"/>
      <c r="NX117" s="31"/>
      <c r="NY117" s="31"/>
      <c r="NZ117" s="31"/>
      <c r="OA117" s="31"/>
      <c r="OB117" s="31"/>
      <c r="OC117" s="31"/>
      <c r="OD117" s="31"/>
      <c r="OE117" s="31"/>
      <c r="OF117" s="31"/>
      <c r="OG117" s="31"/>
      <c r="OH117" s="31"/>
      <c r="OI117" s="31"/>
      <c r="OJ117" s="31"/>
      <c r="OK117" s="31"/>
      <c r="OL117" s="31">
        <v>5033</v>
      </c>
      <c r="OM117" s="31"/>
      <c r="ON117" s="31"/>
      <c r="OO117" s="31"/>
      <c r="OP117" s="31"/>
      <c r="OQ117" s="31"/>
      <c r="OR117" s="31"/>
      <c r="OS117" s="31"/>
      <c r="OT117" s="31"/>
      <c r="OU117" s="31"/>
      <c r="OV117" s="31"/>
      <c r="OW117" s="31"/>
      <c r="OX117" s="31"/>
      <c r="OY117" s="31"/>
      <c r="OZ117" s="31"/>
      <c r="PA117" s="31"/>
      <c r="PB117" s="31"/>
      <c r="PC117" s="31"/>
      <c r="PD117" s="31"/>
      <c r="PE117" s="31"/>
      <c r="PF117" s="31"/>
      <c r="PG117" s="31"/>
      <c r="PH117" s="31"/>
      <c r="PI117" s="31"/>
      <c r="PJ117" s="31"/>
      <c r="PK117" s="31"/>
      <c r="PL117" s="31"/>
      <c r="PM117" s="31"/>
      <c r="PN117" s="31">
        <v>1522</v>
      </c>
      <c r="PO117" s="31"/>
      <c r="PP117" s="31"/>
      <c r="PQ117" s="31"/>
      <c r="PR117" s="31"/>
      <c r="PS117" s="31"/>
      <c r="PT117" s="31"/>
      <c r="PU117" s="31"/>
      <c r="PV117" s="31"/>
      <c r="PW117" s="31"/>
      <c r="PX117" s="31"/>
      <c r="PY117" s="31"/>
      <c r="PZ117" s="31"/>
      <c r="QA117" s="31"/>
      <c r="QB117" s="31"/>
      <c r="QC117" s="31"/>
      <c r="QD117" s="31"/>
      <c r="QE117" s="31"/>
      <c r="QF117" s="31"/>
      <c r="QG117" s="31"/>
      <c r="QH117" s="31"/>
      <c r="QI117" s="31"/>
      <c r="QJ117" s="31"/>
      <c r="QK117" s="31"/>
      <c r="QL117" s="31"/>
      <c r="QM117" s="31"/>
      <c r="QN117" s="31"/>
      <c r="QO117" s="31"/>
      <c r="QP117" s="31"/>
      <c r="QQ117" s="31"/>
      <c r="QR117" s="31"/>
      <c r="QS117" s="31">
        <v>3910</v>
      </c>
      <c r="QT117" s="31"/>
      <c r="QU117" s="31"/>
      <c r="QV117" s="31"/>
      <c r="QW117" s="31"/>
      <c r="QX117" s="31"/>
      <c r="QY117" s="31"/>
      <c r="QZ117" s="31"/>
      <c r="RA117" s="31"/>
      <c r="RB117" s="31"/>
      <c r="RC117" s="31"/>
      <c r="RD117" s="31"/>
      <c r="RE117" s="31"/>
      <c r="RF117" s="31"/>
      <c r="RG117" s="31"/>
      <c r="RH117" s="31"/>
      <c r="RI117" s="31"/>
      <c r="RJ117" s="31"/>
      <c r="RK117" s="31"/>
      <c r="RL117" s="31"/>
      <c r="RM117" s="31"/>
      <c r="RN117" s="31"/>
      <c r="RO117" s="31"/>
      <c r="RP117" s="31"/>
      <c r="RQ117" s="31"/>
      <c r="RR117" s="31"/>
      <c r="RS117" s="31"/>
      <c r="RT117" s="31"/>
      <c r="RU117" s="31"/>
      <c r="RV117" s="31"/>
      <c r="RW117" s="31">
        <v>4520</v>
      </c>
      <c r="RX117" s="31"/>
      <c r="RY117" s="31"/>
      <c r="RZ117" s="31"/>
      <c r="SA117" s="31"/>
      <c r="SB117" s="31"/>
      <c r="SC117" s="31"/>
      <c r="SD117" s="31"/>
      <c r="SE117" s="31"/>
      <c r="SF117" s="31"/>
      <c r="SG117" s="31"/>
      <c r="SH117" s="31"/>
      <c r="SI117" s="31"/>
      <c r="SJ117" s="31"/>
      <c r="SK117" s="31"/>
      <c r="SL117" s="31"/>
      <c r="SM117" s="31"/>
      <c r="SN117" s="31"/>
      <c r="SO117" s="31"/>
      <c r="SP117" s="31"/>
      <c r="SQ117" s="31"/>
      <c r="SR117" s="31"/>
      <c r="SS117" s="31"/>
      <c r="ST117" s="23"/>
      <c r="SU117" s="23"/>
      <c r="SV117" s="23"/>
      <c r="SW117" s="23"/>
      <c r="SX117" s="23"/>
      <c r="SY117" s="23"/>
      <c r="SZ117" s="23"/>
      <c r="TA117" s="23"/>
      <c r="TB117" s="23">
        <v>1680</v>
      </c>
      <c r="TC117" s="23"/>
      <c r="TD117" s="23"/>
      <c r="TE117" s="23"/>
      <c r="TF117" s="23"/>
      <c r="TG117" s="23"/>
      <c r="TH117" s="23"/>
      <c r="TI117" s="23"/>
      <c r="TJ117" s="23"/>
      <c r="TK117" s="23"/>
      <c r="TL117" s="23"/>
      <c r="TM117" s="23"/>
      <c r="TN117" s="23"/>
      <c r="TO117" s="23"/>
      <c r="TP117" s="23"/>
      <c r="TQ117" s="23"/>
      <c r="TR117" s="23"/>
      <c r="TS117" s="23"/>
      <c r="TT117" s="23"/>
      <c r="TU117" s="23"/>
      <c r="TV117" s="23"/>
      <c r="TW117" s="23"/>
      <c r="TX117" s="23"/>
      <c r="TY117" s="23"/>
      <c r="TZ117" s="23"/>
      <c r="UA117" s="23"/>
      <c r="UB117" s="23"/>
      <c r="UC117" s="23"/>
      <c r="UD117" s="23"/>
      <c r="UE117" s="23"/>
      <c r="UF117" s="23"/>
      <c r="UG117" s="23"/>
      <c r="UH117" s="23"/>
      <c r="UI117" s="23"/>
      <c r="UJ117" s="23"/>
      <c r="UK117" s="23"/>
      <c r="UL117" s="23"/>
      <c r="UM117" s="23"/>
      <c r="UN117" s="23"/>
      <c r="UO117" s="23"/>
      <c r="UP117" s="23"/>
      <c r="UQ117" s="23"/>
      <c r="UR117" s="23"/>
      <c r="US117" s="23"/>
      <c r="UT117" s="23"/>
    </row>
    <row r="118" spans="4:566">
      <c r="D118" t="s">
        <v>144</v>
      </c>
      <c r="E118" t="s">
        <v>145</v>
      </c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>
        <v>4654</v>
      </c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>
        <v>-2987</v>
      </c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>
        <v>3632</v>
      </c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  <c r="DI118" s="31"/>
      <c r="DJ118" s="31"/>
      <c r="DK118" s="31"/>
      <c r="DL118" s="31"/>
      <c r="DM118" s="31"/>
      <c r="DN118" s="31"/>
      <c r="DO118" s="31"/>
      <c r="DP118" s="31"/>
      <c r="DQ118" s="31"/>
      <c r="DR118" s="31"/>
      <c r="DS118" s="31"/>
      <c r="DT118" s="31"/>
      <c r="DU118" s="31"/>
      <c r="DV118" s="31">
        <v>-2794</v>
      </c>
      <c r="DW118" s="31"/>
      <c r="DX118" s="31"/>
      <c r="DY118" s="31"/>
      <c r="DZ118" s="31"/>
      <c r="EA118" s="31"/>
      <c r="EB118" s="31"/>
      <c r="EC118" s="31"/>
      <c r="ED118" s="31"/>
      <c r="EE118" s="31"/>
      <c r="EF118" s="31"/>
      <c r="EG118" s="31"/>
      <c r="EH118" s="31"/>
      <c r="EI118" s="31"/>
      <c r="EJ118" s="31"/>
      <c r="EK118" s="31"/>
      <c r="EL118" s="31"/>
      <c r="EM118" s="31"/>
      <c r="EN118" s="31"/>
      <c r="EO118" s="31"/>
      <c r="EP118" s="31"/>
      <c r="EQ118" s="31"/>
      <c r="ER118" s="31"/>
      <c r="ES118" s="31"/>
      <c r="ET118" s="31"/>
      <c r="EU118" s="31"/>
      <c r="EV118" s="31"/>
      <c r="EW118" s="31"/>
      <c r="EX118" s="31"/>
      <c r="EY118" s="31"/>
      <c r="EZ118" s="31"/>
      <c r="FA118" s="31">
        <v>-1164</v>
      </c>
      <c r="FB118" s="31"/>
      <c r="FC118" s="31"/>
      <c r="FD118" s="31"/>
      <c r="FE118" s="31"/>
      <c r="FF118" s="31"/>
      <c r="FG118" s="31"/>
      <c r="FH118" s="31"/>
      <c r="FI118" s="31"/>
      <c r="FJ118" s="31"/>
      <c r="FK118" s="31"/>
      <c r="FL118" s="31"/>
      <c r="FM118" s="31"/>
      <c r="FN118" s="31"/>
      <c r="FO118" s="31"/>
      <c r="FP118" s="31"/>
      <c r="FQ118" s="31"/>
      <c r="FR118" s="31"/>
      <c r="FS118" s="31"/>
      <c r="FT118" s="31"/>
      <c r="FU118" s="31"/>
      <c r="FV118" s="31"/>
      <c r="FW118" s="31"/>
      <c r="FX118" s="31"/>
      <c r="FY118" s="31"/>
      <c r="FZ118" s="31"/>
      <c r="GA118" s="31"/>
      <c r="GB118" s="31"/>
      <c r="GC118" s="31"/>
      <c r="GD118" s="31"/>
      <c r="GE118" s="31">
        <v>-1900</v>
      </c>
      <c r="GF118" s="31"/>
      <c r="GG118" s="31"/>
      <c r="GH118" s="31"/>
      <c r="GI118" s="31"/>
      <c r="GJ118" s="31"/>
      <c r="GK118" s="31"/>
      <c r="GL118" s="31"/>
      <c r="GM118" s="31"/>
      <c r="GN118" s="31"/>
      <c r="GO118" s="31"/>
      <c r="GP118" s="31"/>
      <c r="GQ118" s="31"/>
      <c r="GR118" s="31"/>
      <c r="GS118" s="31"/>
      <c r="GT118" s="31"/>
      <c r="GU118" s="31"/>
      <c r="GV118" s="31"/>
      <c r="GW118" s="31"/>
      <c r="GX118" s="31"/>
      <c r="GY118" s="31"/>
      <c r="GZ118" s="31"/>
      <c r="HA118" s="31"/>
      <c r="HB118" s="31"/>
      <c r="HC118" s="31"/>
      <c r="HD118" s="31"/>
      <c r="HE118" s="31"/>
      <c r="HF118" s="31"/>
      <c r="HG118" s="31"/>
      <c r="HH118" s="31"/>
      <c r="HI118" s="31"/>
      <c r="HJ118" s="31">
        <v>-1638</v>
      </c>
      <c r="HK118" s="31"/>
      <c r="HL118" s="31"/>
      <c r="HM118" s="31"/>
      <c r="HN118" s="31"/>
      <c r="HO118" s="31"/>
      <c r="HP118" s="31"/>
      <c r="HQ118" s="31"/>
      <c r="HR118" s="31"/>
      <c r="HS118" s="31"/>
      <c r="HT118" s="31"/>
      <c r="HU118" s="31"/>
      <c r="HV118" s="31"/>
      <c r="HW118" s="31"/>
      <c r="HX118" s="31"/>
      <c r="HY118" s="31"/>
      <c r="HZ118" s="31"/>
      <c r="IA118" s="31"/>
      <c r="IB118" s="31"/>
      <c r="IC118" s="31"/>
      <c r="ID118" s="31"/>
      <c r="IE118" s="31"/>
      <c r="IF118" s="31"/>
      <c r="IG118" s="31"/>
      <c r="IH118" s="31"/>
      <c r="II118" s="31"/>
      <c r="IJ118" s="31"/>
      <c r="IK118" s="31"/>
      <c r="IL118" s="31"/>
      <c r="IM118" s="31"/>
      <c r="IN118" s="31"/>
      <c r="IO118" s="31">
        <v>1973</v>
      </c>
      <c r="IP118" s="31"/>
      <c r="IQ118" s="31"/>
      <c r="IR118" s="31"/>
      <c r="IS118" s="31"/>
      <c r="IT118" s="31"/>
      <c r="IU118" s="31"/>
      <c r="IV118" s="31"/>
      <c r="IW118" s="31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  <c r="JH118" s="31"/>
      <c r="JI118" s="31"/>
      <c r="JJ118" s="31"/>
      <c r="JK118" s="31"/>
      <c r="JL118" s="31"/>
      <c r="JM118" s="31"/>
      <c r="JN118" s="31"/>
      <c r="JO118" s="31"/>
      <c r="JP118" s="31"/>
      <c r="JQ118" s="31"/>
      <c r="JR118" s="31"/>
      <c r="JS118" s="31">
        <v>3234</v>
      </c>
      <c r="JT118" s="31"/>
      <c r="JU118" s="31"/>
      <c r="JV118" s="31"/>
      <c r="JW118" s="31"/>
      <c r="JX118" s="31"/>
      <c r="JY118" s="31"/>
      <c r="JZ118" s="31"/>
      <c r="KA118" s="31"/>
      <c r="KB118" s="31"/>
      <c r="KC118" s="31"/>
      <c r="KD118" s="31"/>
      <c r="KE118" s="31"/>
      <c r="KF118" s="31"/>
      <c r="KG118" s="31"/>
      <c r="KH118" s="31"/>
      <c r="KI118" s="31"/>
      <c r="KJ118" s="31"/>
      <c r="KK118" s="31"/>
      <c r="KL118" s="31"/>
      <c r="KM118" s="31"/>
      <c r="KN118" s="31"/>
      <c r="KO118" s="31"/>
      <c r="KP118" s="31"/>
      <c r="KQ118" s="31"/>
      <c r="KR118" s="31"/>
      <c r="KS118" s="31"/>
      <c r="KT118" s="31"/>
      <c r="KU118" s="31"/>
      <c r="KV118" s="31"/>
      <c r="KW118" s="31"/>
      <c r="KX118" s="31">
        <v>-2895</v>
      </c>
      <c r="KY118" s="31"/>
      <c r="KZ118" s="31"/>
      <c r="LA118" s="31"/>
      <c r="LB118" s="31"/>
      <c r="LC118" s="31"/>
      <c r="LD118" s="31"/>
      <c r="LE118" s="31"/>
      <c r="LF118" s="31"/>
      <c r="LG118" s="31"/>
      <c r="LH118" s="31"/>
      <c r="LI118" s="31"/>
      <c r="LJ118" s="31"/>
      <c r="LK118" s="31"/>
      <c r="LL118" s="31"/>
      <c r="LM118" s="31"/>
      <c r="LN118" s="31"/>
      <c r="LO118" s="31"/>
      <c r="LP118" s="31"/>
      <c r="LQ118" s="31"/>
      <c r="LR118" s="31"/>
      <c r="LS118" s="31"/>
      <c r="LT118" s="31"/>
      <c r="LU118" s="31"/>
      <c r="LV118" s="31"/>
      <c r="LW118" s="31"/>
      <c r="LX118" s="31"/>
      <c r="LY118" s="31"/>
      <c r="LZ118" s="31"/>
      <c r="MA118" s="31"/>
      <c r="MB118" s="31">
        <v>1488</v>
      </c>
      <c r="MC118" s="31"/>
      <c r="MD118" s="31"/>
      <c r="ME118" s="31"/>
      <c r="MF118" s="31"/>
      <c r="MG118" s="31"/>
      <c r="MH118" s="31"/>
      <c r="MI118" s="31"/>
      <c r="MJ118" s="31"/>
      <c r="MK118" s="31"/>
      <c r="ML118" s="31"/>
      <c r="MM118" s="31"/>
      <c r="MN118" s="31"/>
      <c r="MO118" s="31"/>
      <c r="MP118" s="31"/>
      <c r="MQ118" s="31"/>
      <c r="MR118" s="31"/>
      <c r="MS118" s="31"/>
      <c r="MT118" s="31"/>
      <c r="MU118" s="31"/>
      <c r="MV118" s="31"/>
      <c r="MW118" s="31"/>
      <c r="MX118" s="31"/>
      <c r="MY118" s="31"/>
      <c r="MZ118" s="31"/>
      <c r="NA118" s="31"/>
      <c r="NB118" s="31"/>
      <c r="NC118" s="31"/>
      <c r="ND118" s="31"/>
      <c r="NE118" s="31"/>
      <c r="NF118" s="31"/>
      <c r="NG118" s="31">
        <v>-1492</v>
      </c>
      <c r="NH118" s="31"/>
      <c r="NI118" s="31"/>
      <c r="NJ118" s="31"/>
      <c r="NK118" s="31"/>
      <c r="NL118" s="31"/>
      <c r="NM118" s="31"/>
      <c r="NN118" s="31"/>
      <c r="NO118" s="31"/>
      <c r="NP118" s="31"/>
      <c r="NQ118" s="31"/>
      <c r="NR118" s="31"/>
      <c r="NS118" s="31"/>
      <c r="NT118" s="31"/>
      <c r="NU118" s="31"/>
      <c r="NV118" s="31"/>
      <c r="NW118" s="31"/>
      <c r="NX118" s="31"/>
      <c r="NY118" s="31"/>
      <c r="NZ118" s="31"/>
      <c r="OA118" s="31"/>
      <c r="OB118" s="31"/>
      <c r="OC118" s="31"/>
      <c r="OD118" s="31"/>
      <c r="OE118" s="31"/>
      <c r="OF118" s="31"/>
      <c r="OG118" s="31"/>
      <c r="OH118" s="31"/>
      <c r="OI118" s="31"/>
      <c r="OJ118" s="31"/>
      <c r="OK118" s="31"/>
      <c r="OL118" s="31">
        <v>6293</v>
      </c>
      <c r="OM118" s="31"/>
      <c r="ON118" s="31"/>
      <c r="OO118" s="31"/>
      <c r="OP118" s="31"/>
      <c r="OQ118" s="31"/>
      <c r="OR118" s="31"/>
      <c r="OS118" s="31"/>
      <c r="OT118" s="31"/>
      <c r="OU118" s="31"/>
      <c r="OV118" s="31"/>
      <c r="OW118" s="31"/>
      <c r="OX118" s="31"/>
      <c r="OY118" s="31"/>
      <c r="OZ118" s="31"/>
      <c r="PA118" s="31"/>
      <c r="PB118" s="31"/>
      <c r="PC118" s="31"/>
      <c r="PD118" s="31"/>
      <c r="PE118" s="31"/>
      <c r="PF118" s="31"/>
      <c r="PG118" s="31"/>
      <c r="PH118" s="31"/>
      <c r="PI118" s="31"/>
      <c r="PJ118" s="31"/>
      <c r="PK118" s="31"/>
      <c r="PL118" s="31"/>
      <c r="PM118" s="31"/>
      <c r="PN118" s="31">
        <v>-1755</v>
      </c>
      <c r="PO118" s="31"/>
      <c r="PP118" s="31"/>
      <c r="PQ118" s="31"/>
      <c r="PR118" s="31"/>
      <c r="PS118" s="31"/>
      <c r="PT118" s="31"/>
      <c r="PU118" s="31"/>
      <c r="PV118" s="31"/>
      <c r="PW118" s="31"/>
      <c r="PX118" s="31"/>
      <c r="PY118" s="31"/>
      <c r="PZ118" s="31"/>
      <c r="QA118" s="31"/>
      <c r="QB118" s="31"/>
      <c r="QC118" s="31"/>
      <c r="QD118" s="31"/>
      <c r="QE118" s="31"/>
      <c r="QF118" s="31"/>
      <c r="QG118" s="31"/>
      <c r="QH118" s="31"/>
      <c r="QI118" s="31"/>
      <c r="QJ118" s="31"/>
      <c r="QK118" s="31"/>
      <c r="QL118" s="31"/>
      <c r="QM118" s="31"/>
      <c r="QN118" s="31"/>
      <c r="QO118" s="31"/>
      <c r="QP118" s="31"/>
      <c r="QQ118" s="31"/>
      <c r="QR118" s="31"/>
      <c r="QS118" s="31">
        <v>1258</v>
      </c>
      <c r="QT118" s="31"/>
      <c r="QU118" s="31"/>
      <c r="QV118" s="31"/>
      <c r="QW118" s="31"/>
      <c r="QX118" s="31"/>
      <c r="QY118" s="31"/>
      <c r="QZ118" s="31"/>
      <c r="RA118" s="31"/>
      <c r="RB118" s="31"/>
      <c r="RC118" s="31"/>
      <c r="RD118" s="31"/>
      <c r="RE118" s="31"/>
      <c r="RF118" s="31"/>
      <c r="RG118" s="31"/>
      <c r="RH118" s="31"/>
      <c r="RI118" s="31"/>
      <c r="RJ118" s="31"/>
      <c r="RK118" s="31"/>
      <c r="RL118" s="31"/>
      <c r="RM118" s="31"/>
      <c r="RN118" s="31"/>
      <c r="RO118" s="31"/>
      <c r="RP118" s="31"/>
      <c r="RQ118" s="31"/>
      <c r="RR118" s="31"/>
      <c r="RS118" s="31"/>
      <c r="RT118" s="31"/>
      <c r="RU118" s="31"/>
      <c r="RV118" s="31"/>
      <c r="RW118" s="31">
        <v>-5284</v>
      </c>
      <c r="RX118" s="31"/>
      <c r="RY118" s="31"/>
      <c r="RZ118" s="31"/>
      <c r="SA118" s="31"/>
      <c r="SB118" s="31"/>
      <c r="SC118" s="31"/>
      <c r="SD118" s="31"/>
      <c r="SE118" s="31"/>
      <c r="SF118" s="31"/>
      <c r="SG118" s="31"/>
      <c r="SH118" s="31"/>
      <c r="SI118" s="31"/>
      <c r="SJ118" s="31"/>
      <c r="SK118" s="31"/>
      <c r="SL118" s="31"/>
      <c r="SM118" s="31"/>
      <c r="SN118" s="31"/>
      <c r="SO118" s="31"/>
      <c r="SP118" s="31"/>
      <c r="SQ118" s="31"/>
      <c r="SR118" s="31"/>
      <c r="SS118" s="31"/>
      <c r="ST118" s="23"/>
      <c r="SU118" s="23"/>
      <c r="SV118" s="23"/>
      <c r="SW118" s="23"/>
      <c r="SX118" s="23"/>
      <c r="SY118" s="23"/>
      <c r="SZ118" s="23"/>
      <c r="TA118" s="23"/>
      <c r="TB118" s="23">
        <v>-685</v>
      </c>
      <c r="TC118" s="23"/>
      <c r="TD118" s="23"/>
      <c r="TE118" s="23"/>
      <c r="TF118" s="23"/>
      <c r="TG118" s="23"/>
      <c r="TH118" s="23"/>
      <c r="TI118" s="23"/>
      <c r="TJ118" s="23"/>
      <c r="TK118" s="23"/>
      <c r="TL118" s="23"/>
      <c r="TM118" s="23"/>
      <c r="TN118" s="23"/>
      <c r="TO118" s="23"/>
      <c r="TP118" s="23"/>
      <c r="TQ118" s="23"/>
      <c r="TR118" s="23"/>
      <c r="TS118" s="23"/>
      <c r="TT118" s="23"/>
      <c r="TU118" s="23"/>
      <c r="TV118" s="23"/>
      <c r="TW118" s="23"/>
      <c r="TX118" s="23"/>
      <c r="TY118" s="23"/>
      <c r="TZ118" s="23"/>
      <c r="UA118" s="23"/>
      <c r="UB118" s="23"/>
      <c r="UC118" s="23"/>
      <c r="UD118" s="23"/>
      <c r="UE118" s="23"/>
      <c r="UF118" s="23"/>
      <c r="UG118" s="23"/>
      <c r="UH118" s="23"/>
      <c r="UI118" s="23"/>
      <c r="UJ118" s="23"/>
      <c r="UK118" s="23"/>
      <c r="UL118" s="23"/>
      <c r="UM118" s="23"/>
      <c r="UN118" s="23"/>
      <c r="UO118" s="23"/>
      <c r="UP118" s="23"/>
      <c r="UQ118" s="23"/>
      <c r="UR118" s="23"/>
      <c r="US118" s="23"/>
      <c r="UT118" s="23"/>
    </row>
    <row r="119" spans="4:566">
      <c r="D119" t="s">
        <v>146</v>
      </c>
      <c r="E119" t="s">
        <v>147</v>
      </c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>
        <v>-392</v>
      </c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>
        <v>-281</v>
      </c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>
        <v>-295</v>
      </c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  <c r="DI119" s="31"/>
      <c r="DJ119" s="31"/>
      <c r="DK119" s="31"/>
      <c r="DL119" s="31"/>
      <c r="DM119" s="31"/>
      <c r="DN119" s="31"/>
      <c r="DO119" s="31"/>
      <c r="DP119" s="31"/>
      <c r="DQ119" s="31"/>
      <c r="DR119" s="31"/>
      <c r="DS119" s="31"/>
      <c r="DT119" s="31"/>
      <c r="DU119" s="31"/>
      <c r="DV119" s="31">
        <v>-130</v>
      </c>
      <c r="DW119" s="31"/>
      <c r="DX119" s="31"/>
      <c r="DY119" s="31"/>
      <c r="DZ119" s="31"/>
      <c r="EA119" s="31"/>
      <c r="EB119" s="31"/>
      <c r="EC119" s="31"/>
      <c r="ED119" s="31"/>
      <c r="EE119" s="31"/>
      <c r="EF119" s="31"/>
      <c r="EG119" s="31"/>
      <c r="EH119" s="31"/>
      <c r="EI119" s="31"/>
      <c r="EJ119" s="31"/>
      <c r="EK119" s="31"/>
      <c r="EL119" s="31"/>
      <c r="EM119" s="31"/>
      <c r="EN119" s="31"/>
      <c r="EO119" s="31"/>
      <c r="EP119" s="31"/>
      <c r="EQ119" s="31"/>
      <c r="ER119" s="31"/>
      <c r="ES119" s="31"/>
      <c r="ET119" s="31"/>
      <c r="EU119" s="31"/>
      <c r="EV119" s="31"/>
      <c r="EW119" s="31"/>
      <c r="EX119" s="31"/>
      <c r="EY119" s="31"/>
      <c r="EZ119" s="31"/>
      <c r="FA119" s="31">
        <v>134</v>
      </c>
      <c r="FB119" s="31"/>
      <c r="FC119" s="31"/>
      <c r="FD119" s="31"/>
      <c r="FE119" s="31"/>
      <c r="FF119" s="31"/>
      <c r="FG119" s="31"/>
      <c r="FH119" s="31"/>
      <c r="FI119" s="31"/>
      <c r="FJ119" s="31"/>
      <c r="FK119" s="31"/>
      <c r="FL119" s="31"/>
      <c r="FM119" s="31"/>
      <c r="FN119" s="31"/>
      <c r="FO119" s="31"/>
      <c r="FP119" s="31"/>
      <c r="FQ119" s="31"/>
      <c r="FR119" s="31"/>
      <c r="FS119" s="31"/>
      <c r="FT119" s="31"/>
      <c r="FU119" s="31"/>
      <c r="FV119" s="31"/>
      <c r="FW119" s="31"/>
      <c r="FX119" s="31"/>
      <c r="FY119" s="31"/>
      <c r="FZ119" s="31"/>
      <c r="GA119" s="31"/>
      <c r="GB119" s="31"/>
      <c r="GC119" s="31"/>
      <c r="GD119" s="31"/>
      <c r="GE119" s="31">
        <v>325</v>
      </c>
      <c r="GF119" s="31"/>
      <c r="GG119" s="31"/>
      <c r="GH119" s="31"/>
      <c r="GI119" s="31"/>
      <c r="GJ119" s="31"/>
      <c r="GK119" s="31"/>
      <c r="GL119" s="31"/>
      <c r="GM119" s="31"/>
      <c r="GN119" s="31"/>
      <c r="GO119" s="31"/>
      <c r="GP119" s="31"/>
      <c r="GQ119" s="31"/>
      <c r="GR119" s="31"/>
      <c r="GS119" s="31"/>
      <c r="GT119" s="31"/>
      <c r="GU119" s="31"/>
      <c r="GV119" s="31"/>
      <c r="GW119" s="31"/>
      <c r="GX119" s="31"/>
      <c r="GY119" s="31"/>
      <c r="GZ119" s="31"/>
      <c r="HA119" s="31"/>
      <c r="HB119" s="31"/>
      <c r="HC119" s="31"/>
      <c r="HD119" s="31"/>
      <c r="HE119" s="31"/>
      <c r="HF119" s="31"/>
      <c r="HG119" s="31"/>
      <c r="HH119" s="31"/>
      <c r="HI119" s="31"/>
      <c r="HJ119" s="31">
        <v>-87</v>
      </c>
      <c r="HK119" s="31"/>
      <c r="HL119" s="31"/>
      <c r="HM119" s="31"/>
      <c r="HN119" s="31"/>
      <c r="HO119" s="31"/>
      <c r="HP119" s="31"/>
      <c r="HQ119" s="31"/>
      <c r="HR119" s="31"/>
      <c r="HS119" s="31"/>
      <c r="HT119" s="31"/>
      <c r="HU119" s="31"/>
      <c r="HV119" s="31"/>
      <c r="HW119" s="31"/>
      <c r="HX119" s="31"/>
      <c r="HY119" s="31"/>
      <c r="HZ119" s="31"/>
      <c r="IA119" s="31"/>
      <c r="IB119" s="31"/>
      <c r="IC119" s="31"/>
      <c r="ID119" s="31"/>
      <c r="IE119" s="31"/>
      <c r="IF119" s="31"/>
      <c r="IG119" s="31"/>
      <c r="IH119" s="31"/>
      <c r="II119" s="31"/>
      <c r="IJ119" s="31"/>
      <c r="IK119" s="31"/>
      <c r="IL119" s="31"/>
      <c r="IM119" s="31"/>
      <c r="IN119" s="31"/>
      <c r="IO119" s="31">
        <v>-91</v>
      </c>
      <c r="IP119" s="31"/>
      <c r="IQ119" s="31"/>
      <c r="IR119" s="31"/>
      <c r="IS119" s="31"/>
      <c r="IT119" s="31"/>
      <c r="IU119" s="31"/>
      <c r="IV119" s="31"/>
      <c r="IW119" s="31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  <c r="JH119" s="31"/>
      <c r="JI119" s="31"/>
      <c r="JJ119" s="31"/>
      <c r="JK119" s="31"/>
      <c r="JL119" s="31"/>
      <c r="JM119" s="31"/>
      <c r="JN119" s="31"/>
      <c r="JO119" s="31"/>
      <c r="JP119" s="31"/>
      <c r="JQ119" s="31"/>
      <c r="JR119" s="31"/>
      <c r="JS119" s="31">
        <v>-129</v>
      </c>
      <c r="JT119" s="31"/>
      <c r="JU119" s="31"/>
      <c r="JV119" s="31"/>
      <c r="JW119" s="31"/>
      <c r="JX119" s="31"/>
      <c r="JY119" s="31"/>
      <c r="JZ119" s="31"/>
      <c r="KA119" s="31"/>
      <c r="KB119" s="31"/>
      <c r="KC119" s="31"/>
      <c r="KD119" s="31"/>
      <c r="KE119" s="31"/>
      <c r="KF119" s="31"/>
      <c r="KG119" s="31"/>
      <c r="KH119" s="31"/>
      <c r="KI119" s="31"/>
      <c r="KJ119" s="31"/>
      <c r="KK119" s="31"/>
      <c r="KL119" s="31"/>
      <c r="KM119" s="31"/>
      <c r="KN119" s="31"/>
      <c r="KO119" s="31"/>
      <c r="KP119" s="31"/>
      <c r="KQ119" s="31"/>
      <c r="KR119" s="31"/>
      <c r="KS119" s="31"/>
      <c r="KT119" s="31"/>
      <c r="KU119" s="31"/>
      <c r="KV119" s="31"/>
      <c r="KW119" s="31"/>
      <c r="KX119" s="31">
        <v>-200</v>
      </c>
      <c r="KY119" s="31"/>
      <c r="KZ119" s="31"/>
      <c r="LA119" s="31"/>
      <c r="LB119" s="31"/>
      <c r="LC119" s="31"/>
      <c r="LD119" s="31"/>
      <c r="LE119" s="31"/>
      <c r="LF119" s="31"/>
      <c r="LG119" s="31"/>
      <c r="LH119" s="31"/>
      <c r="LI119" s="31"/>
      <c r="LJ119" s="31"/>
      <c r="LK119" s="31"/>
      <c r="LL119" s="31"/>
      <c r="LM119" s="31"/>
      <c r="LN119" s="31"/>
      <c r="LO119" s="31"/>
      <c r="LP119" s="31"/>
      <c r="LQ119" s="31"/>
      <c r="LR119" s="31"/>
      <c r="LS119" s="31"/>
      <c r="LT119" s="31"/>
      <c r="LU119" s="31"/>
      <c r="LV119" s="31"/>
      <c r="LW119" s="31"/>
      <c r="LX119" s="31"/>
      <c r="LY119" s="31"/>
      <c r="LZ119" s="31"/>
      <c r="MA119" s="31"/>
      <c r="MB119" s="31">
        <v>-222</v>
      </c>
      <c r="MC119" s="31"/>
      <c r="MD119" s="31"/>
      <c r="ME119" s="31"/>
      <c r="MF119" s="31"/>
      <c r="MG119" s="31"/>
      <c r="MH119" s="31"/>
      <c r="MI119" s="31"/>
      <c r="MJ119" s="31"/>
      <c r="MK119" s="31"/>
      <c r="ML119" s="31"/>
      <c r="MM119" s="31"/>
      <c r="MN119" s="31"/>
      <c r="MO119" s="31"/>
      <c r="MP119" s="31"/>
      <c r="MQ119" s="31"/>
      <c r="MR119" s="31"/>
      <c r="MS119" s="31"/>
      <c r="MT119" s="31"/>
      <c r="MU119" s="31"/>
      <c r="MV119" s="31"/>
      <c r="MW119" s="31"/>
      <c r="MX119" s="31"/>
      <c r="MY119" s="31"/>
      <c r="MZ119" s="31"/>
      <c r="NA119" s="31"/>
      <c r="NB119" s="31"/>
      <c r="NC119" s="31"/>
      <c r="ND119" s="31"/>
      <c r="NE119" s="31"/>
      <c r="NF119" s="31"/>
      <c r="NG119" s="31">
        <v>-675</v>
      </c>
      <c r="NH119" s="31"/>
      <c r="NI119" s="31"/>
      <c r="NJ119" s="31"/>
      <c r="NK119" s="31"/>
      <c r="NL119" s="31"/>
      <c r="NM119" s="31"/>
      <c r="NN119" s="31"/>
      <c r="NO119" s="31"/>
      <c r="NP119" s="31"/>
      <c r="NQ119" s="31"/>
      <c r="NR119" s="31"/>
      <c r="NS119" s="31"/>
      <c r="NT119" s="31"/>
      <c r="NU119" s="31"/>
      <c r="NV119" s="31"/>
      <c r="NW119" s="31"/>
      <c r="NX119" s="31"/>
      <c r="NY119" s="31"/>
      <c r="NZ119" s="31"/>
      <c r="OA119" s="31"/>
      <c r="OB119" s="31"/>
      <c r="OC119" s="31"/>
      <c r="OD119" s="31"/>
      <c r="OE119" s="31"/>
      <c r="OF119" s="31"/>
      <c r="OG119" s="31"/>
      <c r="OH119" s="31"/>
      <c r="OI119" s="31"/>
      <c r="OJ119" s="31"/>
      <c r="OK119" s="31"/>
      <c r="OL119" s="31">
        <v>468</v>
      </c>
      <c r="OM119" s="31"/>
      <c r="ON119" s="31"/>
      <c r="OO119" s="31"/>
      <c r="OP119" s="31"/>
      <c r="OQ119" s="31"/>
      <c r="OR119" s="31"/>
      <c r="OS119" s="31"/>
      <c r="OT119" s="31"/>
      <c r="OU119" s="31"/>
      <c r="OV119" s="31"/>
      <c r="OW119" s="31"/>
      <c r="OX119" s="31"/>
      <c r="OY119" s="31"/>
      <c r="OZ119" s="31"/>
      <c r="PA119" s="31"/>
      <c r="PB119" s="31"/>
      <c r="PC119" s="31"/>
      <c r="PD119" s="31"/>
      <c r="PE119" s="31"/>
      <c r="PF119" s="31"/>
      <c r="PG119" s="31"/>
      <c r="PH119" s="31"/>
      <c r="PI119" s="31"/>
      <c r="PJ119" s="31"/>
      <c r="PK119" s="31"/>
      <c r="PL119" s="31"/>
      <c r="PM119" s="31"/>
      <c r="PN119" s="31">
        <v>-36</v>
      </c>
      <c r="PO119" s="31"/>
      <c r="PP119" s="31"/>
      <c r="PQ119" s="31"/>
      <c r="PR119" s="31"/>
      <c r="PS119" s="31"/>
      <c r="PT119" s="31"/>
      <c r="PU119" s="31"/>
      <c r="PV119" s="31"/>
      <c r="PW119" s="31"/>
      <c r="PX119" s="31"/>
      <c r="PY119" s="31"/>
      <c r="PZ119" s="31"/>
      <c r="QA119" s="31"/>
      <c r="QB119" s="31"/>
      <c r="QC119" s="31"/>
      <c r="QD119" s="31"/>
      <c r="QE119" s="31"/>
      <c r="QF119" s="31"/>
      <c r="QG119" s="31"/>
      <c r="QH119" s="31"/>
      <c r="QI119" s="31"/>
      <c r="QJ119" s="31"/>
      <c r="QK119" s="31"/>
      <c r="QL119" s="31"/>
      <c r="QM119" s="31"/>
      <c r="QN119" s="31"/>
      <c r="QO119" s="31"/>
      <c r="QP119" s="31"/>
      <c r="QQ119" s="31"/>
      <c r="QR119" s="31"/>
      <c r="QS119" s="31">
        <v>420</v>
      </c>
      <c r="QT119" s="31"/>
      <c r="QU119" s="31"/>
      <c r="QV119" s="31"/>
      <c r="QW119" s="31"/>
      <c r="QX119" s="31"/>
      <c r="QY119" s="31"/>
      <c r="QZ119" s="31"/>
      <c r="RA119" s="31"/>
      <c r="RB119" s="31"/>
      <c r="RC119" s="31"/>
      <c r="RD119" s="31"/>
      <c r="RE119" s="31"/>
      <c r="RF119" s="31"/>
      <c r="RG119" s="31"/>
      <c r="RH119" s="31"/>
      <c r="RI119" s="31"/>
      <c r="RJ119" s="31"/>
      <c r="RK119" s="31"/>
      <c r="RL119" s="31"/>
      <c r="RM119" s="31"/>
      <c r="RN119" s="31"/>
      <c r="RO119" s="31"/>
      <c r="RP119" s="31"/>
      <c r="RQ119" s="31"/>
      <c r="RR119" s="31"/>
      <c r="RS119" s="31"/>
      <c r="RT119" s="31"/>
      <c r="RU119" s="31"/>
      <c r="RV119" s="31"/>
      <c r="RW119" s="31">
        <v>184</v>
      </c>
      <c r="RX119" s="31"/>
      <c r="RY119" s="31"/>
      <c r="RZ119" s="31"/>
      <c r="SA119" s="31"/>
      <c r="SB119" s="31"/>
      <c r="SC119" s="31"/>
      <c r="SD119" s="31"/>
      <c r="SE119" s="31"/>
      <c r="SF119" s="31"/>
      <c r="SG119" s="31"/>
      <c r="SH119" s="31"/>
      <c r="SI119" s="31"/>
      <c r="SJ119" s="31"/>
      <c r="SK119" s="31"/>
      <c r="SL119" s="31"/>
      <c r="SM119" s="31"/>
      <c r="SN119" s="31"/>
      <c r="SO119" s="31"/>
      <c r="SP119" s="31"/>
      <c r="SQ119" s="31"/>
      <c r="SR119" s="31"/>
      <c r="SS119" s="31"/>
      <c r="ST119" s="23"/>
      <c r="SU119" s="23"/>
      <c r="SV119" s="23"/>
      <c r="SW119" s="23"/>
      <c r="SX119" s="23"/>
      <c r="SY119" s="23"/>
      <c r="SZ119" s="23"/>
      <c r="TA119" s="23"/>
      <c r="TB119" s="23">
        <v>117</v>
      </c>
      <c r="TC119" s="23"/>
      <c r="TD119" s="23"/>
      <c r="TE119" s="23"/>
      <c r="TF119" s="23"/>
      <c r="TG119" s="23"/>
      <c r="TH119" s="23"/>
      <c r="TI119" s="23"/>
      <c r="TJ119" s="23"/>
      <c r="TK119" s="23"/>
      <c r="TL119" s="23"/>
      <c r="TM119" s="23"/>
      <c r="TN119" s="23"/>
      <c r="TO119" s="23"/>
      <c r="TP119" s="23"/>
      <c r="TQ119" s="23"/>
      <c r="TR119" s="23"/>
      <c r="TS119" s="23"/>
      <c r="TT119" s="23"/>
      <c r="TU119" s="23"/>
      <c r="TV119" s="23"/>
      <c r="TW119" s="23"/>
      <c r="TX119" s="23"/>
      <c r="TY119" s="23"/>
      <c r="TZ119" s="23"/>
      <c r="UA119" s="23"/>
      <c r="UB119" s="23"/>
      <c r="UC119" s="23"/>
      <c r="UD119" s="23"/>
      <c r="UE119" s="23"/>
      <c r="UF119" s="23"/>
      <c r="UG119" s="23"/>
      <c r="UH119" s="23"/>
      <c r="UI119" s="23"/>
      <c r="UJ119" s="23"/>
      <c r="UK119" s="23"/>
      <c r="UL119" s="23"/>
      <c r="UM119" s="23"/>
      <c r="UN119" s="23"/>
      <c r="UO119" s="23"/>
      <c r="UP119" s="23"/>
      <c r="UQ119" s="23"/>
      <c r="UR119" s="23"/>
      <c r="US119" s="23"/>
      <c r="UT119" s="23"/>
    </row>
    <row r="120" spans="4:566">
      <c r="D120" t="s">
        <v>148</v>
      </c>
      <c r="E120" t="s">
        <v>149</v>
      </c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>
        <v>3324</v>
      </c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>
        <v>12576</v>
      </c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>
        <v>-7710</v>
      </c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  <c r="DI120" s="31"/>
      <c r="DJ120" s="31"/>
      <c r="DK120" s="31"/>
      <c r="DL120" s="31"/>
      <c r="DM120" s="31"/>
      <c r="DN120" s="31"/>
      <c r="DO120" s="31"/>
      <c r="DP120" s="31"/>
      <c r="DQ120" s="31"/>
      <c r="DR120" s="31"/>
      <c r="DS120" s="31"/>
      <c r="DT120" s="31"/>
      <c r="DU120" s="31"/>
      <c r="DV120" s="31">
        <v>3710</v>
      </c>
      <c r="DW120" s="31"/>
      <c r="DX120" s="31"/>
      <c r="DY120" s="31"/>
      <c r="DZ120" s="31"/>
      <c r="EA120" s="31"/>
      <c r="EB120" s="31"/>
      <c r="EC120" s="31"/>
      <c r="ED120" s="31"/>
      <c r="EE120" s="31"/>
      <c r="EF120" s="31"/>
      <c r="EG120" s="31"/>
      <c r="EH120" s="31"/>
      <c r="EI120" s="31"/>
      <c r="EJ120" s="31"/>
      <c r="EK120" s="31"/>
      <c r="EL120" s="31"/>
      <c r="EM120" s="31"/>
      <c r="EN120" s="31"/>
      <c r="EO120" s="31"/>
      <c r="EP120" s="31"/>
      <c r="EQ120" s="31"/>
      <c r="ER120" s="31"/>
      <c r="ES120" s="31"/>
      <c r="ET120" s="31"/>
      <c r="EU120" s="31"/>
      <c r="EV120" s="31"/>
      <c r="EW120" s="31"/>
      <c r="EX120" s="31"/>
      <c r="EY120" s="31"/>
      <c r="EZ120" s="31"/>
      <c r="FA120" s="31">
        <v>8800</v>
      </c>
      <c r="FB120" s="31"/>
      <c r="FC120" s="31"/>
      <c r="FD120" s="31"/>
      <c r="FE120" s="31"/>
      <c r="FF120" s="31"/>
      <c r="FG120" s="31"/>
      <c r="FH120" s="31"/>
      <c r="FI120" s="31"/>
      <c r="FJ120" s="31"/>
      <c r="FK120" s="31"/>
      <c r="FL120" s="31"/>
      <c r="FM120" s="31"/>
      <c r="FN120" s="31"/>
      <c r="FO120" s="31"/>
      <c r="FP120" s="31"/>
      <c r="FQ120" s="31"/>
      <c r="FR120" s="31"/>
      <c r="FS120" s="31"/>
      <c r="FT120" s="31"/>
      <c r="FU120" s="31"/>
      <c r="FV120" s="31"/>
      <c r="FW120" s="31"/>
      <c r="FX120" s="31"/>
      <c r="FY120" s="31"/>
      <c r="FZ120" s="31"/>
      <c r="GA120" s="31"/>
      <c r="GB120" s="31"/>
      <c r="GC120" s="31"/>
      <c r="GD120" s="31"/>
      <c r="GE120" s="31">
        <v>-8200</v>
      </c>
      <c r="GF120" s="31"/>
      <c r="GG120" s="31"/>
      <c r="GH120" s="31"/>
      <c r="GI120" s="31"/>
      <c r="GJ120" s="31"/>
      <c r="GK120" s="31"/>
      <c r="GL120" s="31"/>
      <c r="GM120" s="31"/>
      <c r="GN120" s="31"/>
      <c r="GO120" s="31"/>
      <c r="GP120" s="31"/>
      <c r="GQ120" s="31"/>
      <c r="GR120" s="31"/>
      <c r="GS120" s="31"/>
      <c r="GT120" s="31"/>
      <c r="GU120" s="31"/>
      <c r="GV120" s="31"/>
      <c r="GW120" s="31"/>
      <c r="GX120" s="31"/>
      <c r="GY120" s="31"/>
      <c r="GZ120" s="31"/>
      <c r="HA120" s="31"/>
      <c r="HB120" s="31"/>
      <c r="HC120" s="31"/>
      <c r="HD120" s="31"/>
      <c r="HE120" s="31"/>
      <c r="HF120" s="31"/>
      <c r="HG120" s="31"/>
      <c r="HH120" s="31"/>
      <c r="HI120" s="31"/>
      <c r="HJ120" s="31">
        <v>7700</v>
      </c>
      <c r="HK120" s="31"/>
      <c r="HL120" s="31"/>
      <c r="HM120" s="31"/>
      <c r="HN120" s="31"/>
      <c r="HO120" s="31"/>
      <c r="HP120" s="31"/>
      <c r="HQ120" s="31"/>
      <c r="HR120" s="31"/>
      <c r="HS120" s="31"/>
      <c r="HT120" s="31"/>
      <c r="HU120" s="31"/>
      <c r="HV120" s="31"/>
      <c r="HW120" s="31"/>
      <c r="HX120" s="31"/>
      <c r="HY120" s="31"/>
      <c r="HZ120" s="31"/>
      <c r="IA120" s="31"/>
      <c r="IB120" s="31"/>
      <c r="IC120" s="31"/>
      <c r="ID120" s="31"/>
      <c r="IE120" s="31"/>
      <c r="IF120" s="31"/>
      <c r="IG120" s="31"/>
      <c r="IH120" s="31"/>
      <c r="II120" s="31"/>
      <c r="IJ120" s="31"/>
      <c r="IK120" s="31"/>
      <c r="IL120" s="31"/>
      <c r="IM120" s="31"/>
      <c r="IN120" s="31"/>
      <c r="IO120" s="31">
        <v>1900</v>
      </c>
      <c r="IP120" s="31"/>
      <c r="IQ120" s="31"/>
      <c r="IR120" s="31"/>
      <c r="IS120" s="31"/>
      <c r="IT120" s="31"/>
      <c r="IU120" s="31"/>
      <c r="IV120" s="31"/>
      <c r="IW120" s="31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  <c r="JN120" s="31"/>
      <c r="JO120" s="31"/>
      <c r="JP120" s="31"/>
      <c r="JQ120" s="31"/>
      <c r="JR120" s="31"/>
      <c r="JS120" s="31">
        <v>-8400</v>
      </c>
      <c r="JT120" s="31"/>
      <c r="JU120" s="31"/>
      <c r="JV120" s="31"/>
      <c r="JW120" s="31"/>
      <c r="JX120" s="31"/>
      <c r="JY120" s="31"/>
      <c r="JZ120" s="31"/>
      <c r="KA120" s="31"/>
      <c r="KB120" s="31"/>
      <c r="KC120" s="31"/>
      <c r="KD120" s="31"/>
      <c r="KE120" s="31"/>
      <c r="KF120" s="31"/>
      <c r="KG120" s="31"/>
      <c r="KH120" s="31"/>
      <c r="KI120" s="31"/>
      <c r="KJ120" s="31"/>
      <c r="KK120" s="31"/>
      <c r="KL120" s="31"/>
      <c r="KM120" s="31"/>
      <c r="KN120" s="31"/>
      <c r="KO120" s="31"/>
      <c r="KP120" s="31"/>
      <c r="KQ120" s="31"/>
      <c r="KR120" s="31"/>
      <c r="KS120" s="31"/>
      <c r="KT120" s="31"/>
      <c r="KU120" s="31"/>
      <c r="KV120" s="31"/>
      <c r="KW120" s="31"/>
      <c r="KX120" s="31">
        <v>7200</v>
      </c>
      <c r="KY120" s="31"/>
      <c r="KZ120" s="31"/>
      <c r="LA120" s="31"/>
      <c r="LB120" s="31"/>
      <c r="LC120" s="31"/>
      <c r="LD120" s="31"/>
      <c r="LE120" s="31"/>
      <c r="LF120" s="31"/>
      <c r="LG120" s="31"/>
      <c r="LH120" s="31"/>
      <c r="LI120" s="31"/>
      <c r="LJ120" s="31"/>
      <c r="LK120" s="31"/>
      <c r="LL120" s="31"/>
      <c r="LM120" s="31"/>
      <c r="LN120" s="31"/>
      <c r="LO120" s="31"/>
      <c r="LP120" s="31"/>
      <c r="LQ120" s="31"/>
      <c r="LR120" s="31"/>
      <c r="LS120" s="31"/>
      <c r="LT120" s="31"/>
      <c r="LU120" s="31"/>
      <c r="LV120" s="31"/>
      <c r="LW120" s="31"/>
      <c r="LX120" s="31"/>
      <c r="LY120" s="31"/>
      <c r="LZ120" s="31"/>
      <c r="MA120" s="31"/>
      <c r="MB120" s="31">
        <v>-500</v>
      </c>
      <c r="MC120" s="31"/>
      <c r="MD120" s="31"/>
      <c r="ME120" s="31"/>
      <c r="MF120" s="31"/>
      <c r="MG120" s="31"/>
      <c r="MH120" s="31"/>
      <c r="MI120" s="31"/>
      <c r="MJ120" s="31"/>
      <c r="MK120" s="31"/>
      <c r="ML120" s="31"/>
      <c r="MM120" s="31"/>
      <c r="MN120" s="31"/>
      <c r="MO120" s="31"/>
      <c r="MP120" s="31"/>
      <c r="MQ120" s="31"/>
      <c r="MR120" s="31"/>
      <c r="MS120" s="31"/>
      <c r="MT120" s="31"/>
      <c r="MU120" s="31"/>
      <c r="MV120" s="31"/>
      <c r="MW120" s="31"/>
      <c r="MX120" s="31"/>
      <c r="MY120" s="31"/>
      <c r="MZ120" s="31"/>
      <c r="NA120" s="31"/>
      <c r="NB120" s="31"/>
      <c r="NC120" s="31"/>
      <c r="ND120" s="31"/>
      <c r="NE120" s="31"/>
      <c r="NF120" s="31"/>
      <c r="NG120" s="31">
        <v>-13821</v>
      </c>
      <c r="NH120" s="31"/>
      <c r="NI120" s="31"/>
      <c r="NJ120" s="31"/>
      <c r="NK120" s="31"/>
      <c r="NL120" s="31"/>
      <c r="NM120" s="31"/>
      <c r="NN120" s="31"/>
      <c r="NO120" s="31"/>
      <c r="NP120" s="31"/>
      <c r="NQ120" s="31"/>
      <c r="NR120" s="31"/>
      <c r="NS120" s="31"/>
      <c r="NT120" s="31"/>
      <c r="NU120" s="31"/>
      <c r="NV120" s="31"/>
      <c r="NW120" s="31"/>
      <c r="NX120" s="31"/>
      <c r="NY120" s="31"/>
      <c r="NZ120" s="31"/>
      <c r="OA120" s="31"/>
      <c r="OB120" s="31"/>
      <c r="OC120" s="31"/>
      <c r="OD120" s="31"/>
      <c r="OE120" s="31"/>
      <c r="OF120" s="31"/>
      <c r="OG120" s="31"/>
      <c r="OH120" s="31"/>
      <c r="OI120" s="31"/>
      <c r="OJ120" s="31"/>
      <c r="OK120" s="31"/>
      <c r="OL120" s="31">
        <v>15500</v>
      </c>
      <c r="OM120" s="31"/>
      <c r="ON120" s="31"/>
      <c r="OO120" s="31"/>
      <c r="OP120" s="31"/>
      <c r="OQ120" s="31"/>
      <c r="OR120" s="31"/>
      <c r="OS120" s="31"/>
      <c r="OT120" s="31"/>
      <c r="OU120" s="31"/>
      <c r="OV120" s="31"/>
      <c r="OW120" s="31"/>
      <c r="OX120" s="31"/>
      <c r="OY120" s="31"/>
      <c r="OZ120" s="31"/>
      <c r="PA120" s="31"/>
      <c r="PB120" s="31"/>
      <c r="PC120" s="31"/>
      <c r="PD120" s="31"/>
      <c r="PE120" s="31"/>
      <c r="PF120" s="31"/>
      <c r="PG120" s="31"/>
      <c r="PH120" s="31"/>
      <c r="PI120" s="31"/>
      <c r="PJ120" s="31"/>
      <c r="PK120" s="31"/>
      <c r="PL120" s="31"/>
      <c r="PM120" s="31"/>
      <c r="PN120" s="31">
        <v>-3500</v>
      </c>
      <c r="PO120" s="31"/>
      <c r="PP120" s="31"/>
      <c r="PQ120" s="31"/>
      <c r="PR120" s="31"/>
      <c r="PS120" s="31"/>
      <c r="PT120" s="31"/>
      <c r="PU120" s="31"/>
      <c r="PV120" s="31"/>
      <c r="PW120" s="31"/>
      <c r="PX120" s="31"/>
      <c r="PY120" s="31"/>
      <c r="PZ120" s="31"/>
      <c r="QA120" s="31"/>
      <c r="QB120" s="31"/>
      <c r="QC120" s="31"/>
      <c r="QD120" s="31"/>
      <c r="QE120" s="31"/>
      <c r="QF120" s="31"/>
      <c r="QG120" s="31"/>
      <c r="QH120" s="31"/>
      <c r="QI120" s="31"/>
      <c r="QJ120" s="31"/>
      <c r="QK120" s="31"/>
      <c r="QL120" s="31"/>
      <c r="QM120" s="31"/>
      <c r="QN120" s="31"/>
      <c r="QO120" s="31"/>
      <c r="QP120" s="31"/>
      <c r="QQ120" s="31"/>
      <c r="QR120" s="31"/>
      <c r="QS120" s="31">
        <v>-7394</v>
      </c>
      <c r="QT120" s="31"/>
      <c r="QU120" s="31"/>
      <c r="QV120" s="31"/>
      <c r="QW120" s="31"/>
      <c r="QX120" s="31"/>
      <c r="QY120" s="31"/>
      <c r="QZ120" s="31"/>
      <c r="RA120" s="31"/>
      <c r="RB120" s="31"/>
      <c r="RC120" s="31"/>
      <c r="RD120" s="31"/>
      <c r="RE120" s="31"/>
      <c r="RF120" s="31"/>
      <c r="RG120" s="31"/>
      <c r="RH120" s="31"/>
      <c r="RI120" s="31"/>
      <c r="RJ120" s="31"/>
      <c r="RK120" s="31"/>
      <c r="RL120" s="31"/>
      <c r="RM120" s="31"/>
      <c r="RN120" s="31"/>
      <c r="RO120" s="31"/>
      <c r="RP120" s="31"/>
      <c r="RQ120" s="31"/>
      <c r="RR120" s="31"/>
      <c r="RS120" s="31"/>
      <c r="RT120" s="31"/>
      <c r="RU120" s="31"/>
      <c r="RV120" s="31"/>
      <c r="RW120" s="31">
        <v>7394</v>
      </c>
      <c r="RX120" s="31"/>
      <c r="RY120" s="31"/>
      <c r="RZ120" s="31"/>
      <c r="SA120" s="31"/>
      <c r="SB120" s="31"/>
      <c r="SC120" s="31"/>
      <c r="SD120" s="31"/>
      <c r="SE120" s="31"/>
      <c r="SF120" s="31"/>
      <c r="SG120" s="31"/>
      <c r="SH120" s="31"/>
      <c r="SI120" s="31"/>
      <c r="SJ120" s="31"/>
      <c r="SK120" s="31"/>
      <c r="SL120" s="31"/>
      <c r="SM120" s="31"/>
      <c r="SN120" s="31"/>
      <c r="SO120" s="31"/>
      <c r="SP120" s="31"/>
      <c r="SQ120" s="31"/>
      <c r="SR120" s="31"/>
      <c r="SS120" s="31"/>
      <c r="ST120" s="23"/>
      <c r="SU120" s="23"/>
      <c r="SV120" s="23"/>
      <c r="SW120" s="23"/>
      <c r="SX120" s="23"/>
      <c r="SY120" s="23"/>
      <c r="SZ120" s="23"/>
      <c r="TA120" s="23"/>
      <c r="TB120" s="23">
        <v>7100</v>
      </c>
      <c r="TC120" s="23"/>
      <c r="TD120" s="23"/>
      <c r="TE120" s="23"/>
      <c r="TF120" s="23"/>
      <c r="TG120" s="23"/>
      <c r="TH120" s="23"/>
      <c r="TI120" s="23"/>
      <c r="TJ120" s="23"/>
      <c r="TK120" s="23"/>
      <c r="TL120" s="23"/>
      <c r="TM120" s="23"/>
      <c r="TN120" s="23"/>
      <c r="TO120" s="23"/>
      <c r="TP120" s="23"/>
      <c r="TQ120" s="23"/>
      <c r="TR120" s="23"/>
      <c r="TS120" s="23"/>
      <c r="TT120" s="23"/>
      <c r="TU120" s="23"/>
      <c r="TV120" s="23"/>
      <c r="TW120" s="23"/>
      <c r="TX120" s="23"/>
      <c r="TY120" s="23"/>
      <c r="TZ120" s="23"/>
      <c r="UA120" s="23"/>
      <c r="UB120" s="23"/>
      <c r="UC120" s="23"/>
      <c r="UD120" s="23"/>
      <c r="UE120" s="23"/>
      <c r="UF120" s="23"/>
      <c r="UG120" s="23"/>
      <c r="UH120" s="23"/>
      <c r="UI120" s="23"/>
      <c r="UJ120" s="23"/>
      <c r="UK120" s="23"/>
      <c r="UL120" s="23"/>
      <c r="UM120" s="23"/>
      <c r="UN120" s="23"/>
      <c r="UO120" s="23"/>
      <c r="UP120" s="23"/>
      <c r="UQ120" s="23"/>
      <c r="UR120" s="23"/>
      <c r="US120" s="23"/>
      <c r="UT120" s="23"/>
    </row>
    <row r="121" spans="4:566">
      <c r="D121" t="s">
        <v>150</v>
      </c>
      <c r="E121" t="s">
        <v>151</v>
      </c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>
        <v>-7.8</v>
      </c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>
        <v>-7.5</v>
      </c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>
        <v>-7.3</v>
      </c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  <c r="DI121" s="31"/>
      <c r="DJ121" s="31"/>
      <c r="DK121" s="31"/>
      <c r="DL121" s="31"/>
      <c r="DM121" s="31"/>
      <c r="DN121" s="31"/>
      <c r="DO121" s="31"/>
      <c r="DP121" s="31"/>
      <c r="DQ121" s="31"/>
      <c r="DR121" s="31"/>
      <c r="DS121" s="31"/>
      <c r="DT121" s="31"/>
      <c r="DU121" s="31"/>
      <c r="DV121" s="31">
        <v>-6.8</v>
      </c>
      <c r="DW121" s="31"/>
      <c r="DX121" s="31"/>
      <c r="DY121" s="31"/>
      <c r="DZ121" s="31"/>
      <c r="EA121" s="31"/>
      <c r="EB121" s="31"/>
      <c r="EC121" s="31"/>
      <c r="ED121" s="31"/>
      <c r="EE121" s="31"/>
      <c r="EF121" s="31"/>
      <c r="EG121" s="31"/>
      <c r="EH121" s="31"/>
      <c r="EI121" s="31"/>
      <c r="EJ121" s="31"/>
      <c r="EK121" s="31"/>
      <c r="EL121" s="31"/>
      <c r="EM121" s="31"/>
      <c r="EN121" s="31"/>
      <c r="EO121" s="31"/>
      <c r="EP121" s="31"/>
      <c r="EQ121" s="31"/>
      <c r="ER121" s="31"/>
      <c r="ES121" s="31"/>
      <c r="ET121" s="31"/>
      <c r="EU121" s="31"/>
      <c r="EV121" s="31"/>
      <c r="EW121" s="31"/>
      <c r="EX121" s="31"/>
      <c r="EY121" s="31"/>
      <c r="EZ121" s="31"/>
      <c r="FA121" s="31">
        <v>-6.3</v>
      </c>
      <c r="FB121" s="31"/>
      <c r="FC121" s="31"/>
      <c r="FD121" s="31"/>
      <c r="FE121" s="31"/>
      <c r="FF121" s="31"/>
      <c r="FG121" s="31"/>
      <c r="FH121" s="31"/>
      <c r="FI121" s="31"/>
      <c r="FJ121" s="31"/>
      <c r="FK121" s="31"/>
      <c r="FL121" s="31"/>
      <c r="FM121" s="31"/>
      <c r="FN121" s="31"/>
      <c r="FO121" s="31"/>
      <c r="FP121" s="31"/>
      <c r="FQ121" s="31"/>
      <c r="FR121" s="31"/>
      <c r="FS121" s="31"/>
      <c r="FT121" s="31"/>
      <c r="FU121" s="31"/>
      <c r="FV121" s="31"/>
      <c r="FW121" s="31"/>
      <c r="FX121" s="31"/>
      <c r="FY121" s="31"/>
      <c r="FZ121" s="31"/>
      <c r="GA121" s="31"/>
      <c r="GB121" s="31"/>
      <c r="GC121" s="31"/>
      <c r="GD121" s="31"/>
      <c r="GE121" s="31">
        <v>-6.1</v>
      </c>
      <c r="GF121" s="31"/>
      <c r="GG121" s="31"/>
      <c r="GH121" s="31"/>
      <c r="GI121" s="31"/>
      <c r="GJ121" s="31"/>
      <c r="GK121" s="31"/>
      <c r="GL121" s="31"/>
      <c r="GM121" s="31"/>
      <c r="GN121" s="31"/>
      <c r="GO121" s="31"/>
      <c r="GP121" s="31"/>
      <c r="GQ121" s="31"/>
      <c r="GR121" s="31"/>
      <c r="GS121" s="31"/>
      <c r="GT121" s="31"/>
      <c r="GU121" s="31"/>
      <c r="GV121" s="31"/>
      <c r="GW121" s="31"/>
      <c r="GX121" s="31"/>
      <c r="GY121" s="31"/>
      <c r="GZ121" s="31"/>
      <c r="HA121" s="31"/>
      <c r="HB121" s="31"/>
      <c r="HC121" s="31"/>
      <c r="HD121" s="31"/>
      <c r="HE121" s="31"/>
      <c r="HF121" s="31"/>
      <c r="HG121" s="31"/>
      <c r="HH121" s="31"/>
      <c r="HI121" s="31"/>
      <c r="HJ121" s="31">
        <v>-5.9</v>
      </c>
      <c r="HK121" s="31"/>
      <c r="HL121" s="31"/>
      <c r="HM121" s="31"/>
      <c r="HN121" s="31"/>
      <c r="HO121" s="31"/>
      <c r="HP121" s="31"/>
      <c r="HQ121" s="31"/>
      <c r="HR121" s="31"/>
      <c r="HS121" s="31"/>
      <c r="HT121" s="31"/>
      <c r="HU121" s="31"/>
      <c r="HV121" s="31"/>
      <c r="HW121" s="31"/>
      <c r="HX121" s="31"/>
      <c r="HY121" s="31"/>
      <c r="HZ121" s="31"/>
      <c r="IA121" s="31"/>
      <c r="IB121" s="31"/>
      <c r="IC121" s="31"/>
      <c r="ID121" s="31"/>
      <c r="IE121" s="31"/>
      <c r="IF121" s="31"/>
      <c r="IG121" s="31"/>
      <c r="IH121" s="31"/>
      <c r="II121" s="31"/>
      <c r="IJ121" s="31"/>
      <c r="IK121" s="31"/>
      <c r="IL121" s="31"/>
      <c r="IM121" s="31"/>
      <c r="IN121" s="31"/>
      <c r="IO121" s="31">
        <v>-5.5</v>
      </c>
      <c r="IP121" s="31"/>
      <c r="IQ121" s="31"/>
      <c r="IR121" s="31"/>
      <c r="IS121" s="31"/>
      <c r="IT121" s="31"/>
      <c r="IU121" s="31"/>
      <c r="IV121" s="31"/>
      <c r="IW121" s="31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  <c r="JH121" s="31"/>
      <c r="JI121" s="31"/>
      <c r="JJ121" s="31"/>
      <c r="JK121" s="31"/>
      <c r="JL121" s="31"/>
      <c r="JM121" s="31"/>
      <c r="JN121" s="31"/>
      <c r="JO121" s="31"/>
      <c r="JP121" s="31"/>
      <c r="JQ121" s="31"/>
      <c r="JR121" s="31"/>
      <c r="JS121" s="31">
        <v>-5.2</v>
      </c>
      <c r="JT121" s="31"/>
      <c r="JU121" s="31"/>
      <c r="JV121" s="31"/>
      <c r="JW121" s="31"/>
      <c r="JX121" s="31"/>
      <c r="JY121" s="31"/>
      <c r="JZ121" s="31"/>
      <c r="KA121" s="31"/>
      <c r="KB121" s="31"/>
      <c r="KC121" s="31"/>
      <c r="KD121" s="31"/>
      <c r="KE121" s="31"/>
      <c r="KF121" s="31"/>
      <c r="KG121" s="31"/>
      <c r="KH121" s="31"/>
      <c r="KI121" s="31"/>
      <c r="KJ121" s="31"/>
      <c r="KK121" s="31"/>
      <c r="KL121" s="31"/>
      <c r="KM121" s="31"/>
      <c r="KN121" s="31"/>
      <c r="KO121" s="31"/>
      <c r="KP121" s="31"/>
      <c r="KQ121" s="31"/>
      <c r="KR121" s="31"/>
      <c r="KS121" s="31"/>
      <c r="KT121" s="31"/>
      <c r="KU121" s="31"/>
      <c r="KV121" s="31"/>
      <c r="KW121" s="31"/>
      <c r="KX121" s="31">
        <v>-5.4</v>
      </c>
      <c r="KY121" s="31"/>
      <c r="KZ121" s="31"/>
      <c r="LA121" s="31"/>
      <c r="LB121" s="31"/>
      <c r="LC121" s="31"/>
      <c r="LD121" s="31"/>
      <c r="LE121" s="31"/>
      <c r="LF121" s="31"/>
      <c r="LG121" s="31"/>
      <c r="LH121" s="31"/>
      <c r="LI121" s="31"/>
      <c r="LJ121" s="31"/>
      <c r="LK121" s="31"/>
      <c r="LL121" s="31"/>
      <c r="LM121" s="31"/>
      <c r="LN121" s="31"/>
      <c r="LO121" s="31"/>
      <c r="LP121" s="31"/>
      <c r="LQ121" s="31"/>
      <c r="LR121" s="31"/>
      <c r="LS121" s="31"/>
      <c r="LT121" s="31"/>
      <c r="LU121" s="31"/>
      <c r="LV121" s="31"/>
      <c r="LW121" s="31"/>
      <c r="LX121" s="31"/>
      <c r="LY121" s="31"/>
      <c r="LZ121" s="31"/>
      <c r="MA121" s="31"/>
      <c r="MB121" s="31">
        <v>-5.7</v>
      </c>
      <c r="MC121" s="31"/>
      <c r="MD121" s="31"/>
      <c r="ME121" s="31"/>
      <c r="MF121" s="31"/>
      <c r="MG121" s="31"/>
      <c r="MH121" s="31"/>
      <c r="MI121" s="31"/>
      <c r="MJ121" s="31"/>
      <c r="MK121" s="31"/>
      <c r="ML121" s="31"/>
      <c r="MM121" s="31"/>
      <c r="MN121" s="31"/>
      <c r="MO121" s="31"/>
      <c r="MP121" s="31"/>
      <c r="MQ121" s="31"/>
      <c r="MR121" s="31"/>
      <c r="MS121" s="31"/>
      <c r="MT121" s="31"/>
      <c r="MU121" s="31"/>
      <c r="MV121" s="31"/>
      <c r="MW121" s="31"/>
      <c r="MX121" s="31"/>
      <c r="MY121" s="31"/>
      <c r="MZ121" s="31"/>
      <c r="NA121" s="31"/>
      <c r="NB121" s="31"/>
      <c r="NC121" s="31"/>
      <c r="ND121" s="31"/>
      <c r="NE121" s="31"/>
      <c r="NF121" s="31"/>
      <c r="NG121" s="31">
        <v>-6.1</v>
      </c>
      <c r="NH121" s="31"/>
      <c r="NI121" s="31"/>
      <c r="NJ121" s="31"/>
      <c r="NK121" s="31"/>
      <c r="NL121" s="31"/>
      <c r="NM121" s="31"/>
      <c r="NN121" s="31"/>
      <c r="NO121" s="31"/>
      <c r="NP121" s="31"/>
      <c r="NQ121" s="31"/>
      <c r="NR121" s="31"/>
      <c r="NS121" s="31"/>
      <c r="NT121" s="31"/>
      <c r="NU121" s="31"/>
      <c r="NV121" s="31"/>
      <c r="NW121" s="31"/>
      <c r="NX121" s="31"/>
      <c r="NY121" s="31"/>
      <c r="NZ121" s="31"/>
      <c r="OA121" s="31"/>
      <c r="OB121" s="31"/>
      <c r="OC121" s="31"/>
      <c r="OD121" s="31"/>
      <c r="OE121" s="31"/>
      <c r="OF121" s="31"/>
      <c r="OG121" s="31"/>
      <c r="OH121" s="31"/>
      <c r="OI121" s="31"/>
      <c r="OJ121" s="31"/>
      <c r="OK121" s="31"/>
      <c r="OL121" s="31">
        <v>-6.2</v>
      </c>
      <c r="OM121" s="31"/>
      <c r="ON121" s="31"/>
      <c r="OO121" s="31"/>
      <c r="OP121" s="31"/>
      <c r="OQ121" s="31"/>
      <c r="OR121" s="31"/>
      <c r="OS121" s="31"/>
      <c r="OT121" s="31"/>
      <c r="OU121" s="31"/>
      <c r="OV121" s="31"/>
      <c r="OW121" s="31"/>
      <c r="OX121" s="31"/>
      <c r="OY121" s="31"/>
      <c r="OZ121" s="31"/>
      <c r="PA121" s="31"/>
      <c r="PB121" s="31"/>
      <c r="PC121" s="31"/>
      <c r="PD121" s="31"/>
      <c r="PE121" s="31"/>
      <c r="PF121" s="31"/>
      <c r="PG121" s="31"/>
      <c r="PH121" s="31"/>
      <c r="PI121" s="31"/>
      <c r="PJ121" s="31"/>
      <c r="PK121" s="31"/>
      <c r="PL121" s="31"/>
      <c r="PM121" s="31"/>
      <c r="PN121" s="31">
        <v>-6.3</v>
      </c>
      <c r="PO121" s="31"/>
      <c r="PP121" s="31"/>
      <c r="PQ121" s="31"/>
      <c r="PR121" s="31"/>
      <c r="PS121" s="31"/>
      <c r="PT121" s="31"/>
      <c r="PU121" s="31"/>
      <c r="PV121" s="31"/>
      <c r="PW121" s="31"/>
      <c r="PX121" s="31"/>
      <c r="PY121" s="31"/>
      <c r="PZ121" s="31"/>
      <c r="QA121" s="31"/>
      <c r="QB121" s="31"/>
      <c r="QC121" s="31"/>
      <c r="QD121" s="31"/>
      <c r="QE121" s="31"/>
      <c r="QF121" s="31"/>
      <c r="QG121" s="31"/>
      <c r="QH121" s="31"/>
      <c r="QI121" s="31"/>
      <c r="QJ121" s="31"/>
      <c r="QK121" s="31"/>
      <c r="QL121" s="31"/>
      <c r="QM121" s="31"/>
      <c r="QN121" s="31"/>
      <c r="QO121" s="31"/>
      <c r="QP121" s="31"/>
      <c r="QQ121" s="31"/>
      <c r="QR121" s="31"/>
      <c r="QS121" s="31">
        <v>-6.3</v>
      </c>
      <c r="QT121" s="31"/>
      <c r="QU121" s="31"/>
      <c r="QV121" s="31"/>
      <c r="QW121" s="31"/>
      <c r="QX121" s="31"/>
      <c r="QY121" s="31"/>
      <c r="QZ121" s="31"/>
      <c r="RA121" s="31"/>
      <c r="RB121" s="31"/>
      <c r="RC121" s="31"/>
      <c r="RD121" s="31"/>
      <c r="RE121" s="31"/>
      <c r="RF121" s="31"/>
      <c r="RG121" s="31"/>
      <c r="RH121" s="31"/>
      <c r="RI121" s="31"/>
      <c r="RJ121" s="31"/>
      <c r="RK121" s="31"/>
      <c r="RL121" s="31"/>
      <c r="RM121" s="31"/>
      <c r="RN121" s="31"/>
      <c r="RO121" s="31"/>
      <c r="RP121" s="31"/>
      <c r="RQ121" s="31"/>
      <c r="RR121" s="31"/>
      <c r="RS121" s="31"/>
      <c r="RT121" s="31"/>
      <c r="RU121" s="31"/>
      <c r="RV121" s="31"/>
      <c r="RW121" s="31">
        <v>-6.2</v>
      </c>
      <c r="RX121" s="31"/>
      <c r="RY121" s="31"/>
      <c r="RZ121" s="31"/>
      <c r="SA121" s="31"/>
      <c r="SB121" s="31"/>
      <c r="SC121" s="31"/>
      <c r="SD121" s="31"/>
      <c r="SE121" s="31"/>
      <c r="SF121" s="31"/>
      <c r="SG121" s="31"/>
      <c r="SH121" s="31"/>
      <c r="SI121" s="31"/>
      <c r="SJ121" s="31"/>
      <c r="SK121" s="31"/>
      <c r="SL121" s="31"/>
      <c r="SM121" s="31"/>
      <c r="SN121" s="31"/>
      <c r="SO121" s="31"/>
      <c r="SP121" s="31"/>
      <c r="SQ121" s="31"/>
      <c r="SR121" s="31"/>
      <c r="SS121" s="31"/>
      <c r="ST121" s="23"/>
      <c r="SU121" s="23"/>
      <c r="SV121" s="23"/>
      <c r="SW121" s="23"/>
      <c r="SX121" s="23"/>
      <c r="SY121" s="23"/>
      <c r="SZ121" s="23"/>
      <c r="TA121" s="23"/>
      <c r="TB121" s="23">
        <v>-5.9</v>
      </c>
      <c r="TC121" s="23"/>
      <c r="TD121" s="23"/>
      <c r="TE121" s="23"/>
      <c r="TF121" s="23"/>
      <c r="TG121" s="23"/>
      <c r="TH121" s="23"/>
      <c r="TI121" s="23"/>
      <c r="TJ121" s="23"/>
      <c r="TK121" s="23"/>
      <c r="TL121" s="23"/>
      <c r="TM121" s="23"/>
      <c r="TN121" s="23"/>
      <c r="TO121" s="23"/>
      <c r="TP121" s="23"/>
      <c r="TQ121" s="23"/>
      <c r="TR121" s="23"/>
      <c r="TS121" s="23"/>
      <c r="TT121" s="23"/>
      <c r="TU121" s="23"/>
      <c r="TV121" s="23"/>
      <c r="TW121" s="23"/>
      <c r="TX121" s="23"/>
      <c r="TY121" s="23"/>
      <c r="TZ121" s="23"/>
      <c r="UA121" s="23"/>
      <c r="UB121" s="23"/>
      <c r="UC121" s="23"/>
      <c r="UD121" s="23"/>
      <c r="UE121" s="23"/>
      <c r="UF121" s="23"/>
      <c r="UG121" s="23"/>
      <c r="UH121" s="23"/>
      <c r="UI121" s="23"/>
      <c r="UJ121" s="23"/>
      <c r="UK121" s="23"/>
      <c r="UL121" s="23"/>
      <c r="UM121" s="23"/>
      <c r="UN121" s="23"/>
      <c r="UO121" s="23"/>
      <c r="UP121" s="23"/>
      <c r="UQ121" s="23"/>
      <c r="UR121" s="23"/>
      <c r="US121" s="23"/>
      <c r="UT121" s="23"/>
    </row>
    <row r="122" spans="4:566">
      <c r="D122" t="s">
        <v>152</v>
      </c>
      <c r="E122" t="s">
        <v>153</v>
      </c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>
        <v>49.2</v>
      </c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>
        <v>51.1</v>
      </c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>
        <v>51.8</v>
      </c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  <c r="DI122" s="31"/>
      <c r="DJ122" s="31"/>
      <c r="DK122" s="31"/>
      <c r="DL122" s="31"/>
      <c r="DM122" s="31"/>
      <c r="DN122" s="31"/>
      <c r="DO122" s="31"/>
      <c r="DP122" s="31"/>
      <c r="DQ122" s="31"/>
      <c r="DR122" s="31"/>
      <c r="DS122" s="31"/>
      <c r="DT122" s="31"/>
      <c r="DU122" s="31"/>
      <c r="DV122" s="31">
        <v>49.2</v>
      </c>
      <c r="DW122" s="31"/>
      <c r="DX122" s="31"/>
      <c r="DY122" s="31"/>
      <c r="DZ122" s="31"/>
      <c r="EA122" s="31"/>
      <c r="EB122" s="31"/>
      <c r="EC122" s="31"/>
      <c r="ED122" s="31"/>
      <c r="EE122" s="31"/>
      <c r="EF122" s="31"/>
      <c r="EG122" s="31"/>
      <c r="EH122" s="31"/>
      <c r="EI122" s="31"/>
      <c r="EJ122" s="31"/>
      <c r="EK122" s="31"/>
      <c r="EL122" s="31"/>
      <c r="EM122" s="31"/>
      <c r="EN122" s="31"/>
      <c r="EO122" s="31"/>
      <c r="EP122" s="31"/>
      <c r="EQ122" s="31"/>
      <c r="ER122" s="31"/>
      <c r="ES122" s="31"/>
      <c r="ET122" s="31"/>
      <c r="EU122" s="31"/>
      <c r="EV122" s="31"/>
      <c r="EW122" s="31"/>
      <c r="EX122" s="31"/>
      <c r="EY122" s="31"/>
      <c r="EZ122" s="31"/>
      <c r="FA122" s="31">
        <v>49.8</v>
      </c>
      <c r="FB122" s="31"/>
      <c r="FC122" s="31"/>
      <c r="FD122" s="31"/>
      <c r="FE122" s="31"/>
      <c r="FF122" s="31"/>
      <c r="FG122" s="31"/>
      <c r="FH122" s="31"/>
      <c r="FI122" s="31"/>
      <c r="FJ122" s="31"/>
      <c r="FK122" s="31"/>
      <c r="FL122" s="31"/>
      <c r="FM122" s="31"/>
      <c r="FN122" s="31"/>
      <c r="FO122" s="31"/>
      <c r="FP122" s="31"/>
      <c r="FQ122" s="31"/>
      <c r="FR122" s="31"/>
      <c r="FS122" s="31"/>
      <c r="FT122" s="31"/>
      <c r="FU122" s="31"/>
      <c r="FV122" s="31"/>
      <c r="FW122" s="31"/>
      <c r="FX122" s="31"/>
      <c r="FY122" s="31"/>
      <c r="FZ122" s="31"/>
      <c r="GA122" s="31"/>
      <c r="GB122" s="31"/>
      <c r="GC122" s="31"/>
      <c r="GD122" s="31"/>
      <c r="GE122" s="31">
        <v>50.2</v>
      </c>
      <c r="GF122" s="31"/>
      <c r="GG122" s="31"/>
      <c r="GH122" s="31"/>
      <c r="GI122" s="31"/>
      <c r="GJ122" s="31"/>
      <c r="GK122" s="31"/>
      <c r="GL122" s="31"/>
      <c r="GM122" s="31"/>
      <c r="GN122" s="31"/>
      <c r="GO122" s="31"/>
      <c r="GP122" s="31"/>
      <c r="GQ122" s="31"/>
      <c r="GR122" s="31"/>
      <c r="GS122" s="31"/>
      <c r="GT122" s="31"/>
      <c r="GU122" s="31"/>
      <c r="GV122" s="31"/>
      <c r="GW122" s="31"/>
      <c r="GX122" s="31"/>
      <c r="GY122" s="31"/>
      <c r="GZ122" s="31"/>
      <c r="HA122" s="31"/>
      <c r="HB122" s="31"/>
      <c r="HC122" s="31"/>
      <c r="HD122" s="31"/>
      <c r="HE122" s="31"/>
      <c r="HF122" s="31"/>
      <c r="HG122" s="31"/>
      <c r="HH122" s="31"/>
      <c r="HI122" s="31"/>
      <c r="HJ122" s="31">
        <v>49.4</v>
      </c>
      <c r="HK122" s="31"/>
      <c r="HL122" s="31"/>
      <c r="HM122" s="31"/>
      <c r="HN122" s="31"/>
      <c r="HO122" s="31"/>
      <c r="HP122" s="31"/>
      <c r="HQ122" s="31"/>
      <c r="HR122" s="31"/>
      <c r="HS122" s="31"/>
      <c r="HT122" s="31"/>
      <c r="HU122" s="31"/>
      <c r="HV122" s="31"/>
      <c r="HW122" s="31"/>
      <c r="HX122" s="31"/>
      <c r="HY122" s="31"/>
      <c r="HZ122" s="31"/>
      <c r="IA122" s="31"/>
      <c r="IB122" s="31"/>
      <c r="IC122" s="31"/>
      <c r="ID122" s="31"/>
      <c r="IE122" s="31"/>
      <c r="IF122" s="31"/>
      <c r="IG122" s="31"/>
      <c r="IH122" s="31"/>
      <c r="II122" s="31"/>
      <c r="IJ122" s="31"/>
      <c r="IK122" s="31"/>
      <c r="IL122" s="31"/>
      <c r="IM122" s="31"/>
      <c r="IN122" s="31"/>
      <c r="IO122" s="31">
        <v>49.5</v>
      </c>
      <c r="IP122" s="31"/>
      <c r="IQ122" s="31"/>
      <c r="IR122" s="31"/>
      <c r="IS122" s="31"/>
      <c r="IT122" s="31"/>
      <c r="IU122" s="31"/>
      <c r="IV122" s="31"/>
      <c r="IW122" s="31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  <c r="JH122" s="31"/>
      <c r="JI122" s="31"/>
      <c r="JJ122" s="31"/>
      <c r="JK122" s="31"/>
      <c r="JL122" s="31"/>
      <c r="JM122" s="31"/>
      <c r="JN122" s="31"/>
      <c r="JO122" s="31"/>
      <c r="JP122" s="31"/>
      <c r="JQ122" s="31"/>
      <c r="JR122" s="31"/>
      <c r="JS122" s="31">
        <v>49.7</v>
      </c>
      <c r="JT122" s="31"/>
      <c r="JU122" s="31"/>
      <c r="JV122" s="31"/>
      <c r="JW122" s="31"/>
      <c r="JX122" s="31"/>
      <c r="JY122" s="31"/>
      <c r="JZ122" s="31"/>
      <c r="KA122" s="31"/>
      <c r="KB122" s="31"/>
      <c r="KC122" s="31"/>
      <c r="KD122" s="31"/>
      <c r="KE122" s="31"/>
      <c r="KF122" s="31"/>
      <c r="KG122" s="31"/>
      <c r="KH122" s="31"/>
      <c r="KI122" s="31"/>
      <c r="KJ122" s="31"/>
      <c r="KK122" s="31"/>
      <c r="KL122" s="31"/>
      <c r="KM122" s="31"/>
      <c r="KN122" s="31"/>
      <c r="KO122" s="31"/>
      <c r="KP122" s="31"/>
      <c r="KQ122" s="31"/>
      <c r="KR122" s="31"/>
      <c r="KS122" s="31"/>
      <c r="KT122" s="31"/>
      <c r="KU122" s="31"/>
      <c r="KV122" s="31"/>
      <c r="KW122" s="31"/>
      <c r="KX122" s="31">
        <v>48.8</v>
      </c>
      <c r="KY122" s="31"/>
      <c r="KZ122" s="31"/>
      <c r="LA122" s="31"/>
      <c r="LB122" s="31"/>
      <c r="LC122" s="31"/>
      <c r="LD122" s="31"/>
      <c r="LE122" s="31"/>
      <c r="LF122" s="31"/>
      <c r="LG122" s="31"/>
      <c r="LH122" s="31"/>
      <c r="LI122" s="31"/>
      <c r="LJ122" s="31"/>
      <c r="LK122" s="31"/>
      <c r="LL122" s="31"/>
      <c r="LM122" s="31"/>
      <c r="LN122" s="31"/>
      <c r="LO122" s="31"/>
      <c r="LP122" s="31"/>
      <c r="LQ122" s="31"/>
      <c r="LR122" s="31"/>
      <c r="LS122" s="31"/>
      <c r="LT122" s="31"/>
      <c r="LU122" s="31"/>
      <c r="LV122" s="31"/>
      <c r="LW122" s="31"/>
      <c r="LX122" s="31"/>
      <c r="LY122" s="31"/>
      <c r="LZ122" s="31"/>
      <c r="MA122" s="31"/>
      <c r="MB122" s="31">
        <v>49.2</v>
      </c>
      <c r="MC122" s="31"/>
      <c r="MD122" s="31"/>
      <c r="ME122" s="31"/>
      <c r="MF122" s="31"/>
      <c r="MG122" s="31"/>
      <c r="MH122" s="31"/>
      <c r="MI122" s="31"/>
      <c r="MJ122" s="31"/>
      <c r="MK122" s="31"/>
      <c r="ML122" s="31"/>
      <c r="MM122" s="31"/>
      <c r="MN122" s="31"/>
      <c r="MO122" s="31"/>
      <c r="MP122" s="31"/>
      <c r="MQ122" s="31"/>
      <c r="MR122" s="31"/>
      <c r="MS122" s="31"/>
      <c r="MT122" s="31"/>
      <c r="MU122" s="31"/>
      <c r="MV122" s="31"/>
      <c r="MW122" s="31"/>
      <c r="MX122" s="31"/>
      <c r="MY122" s="31"/>
      <c r="MZ122" s="31"/>
      <c r="NA122" s="31"/>
      <c r="NB122" s="31"/>
      <c r="NC122" s="31"/>
      <c r="ND122" s="31"/>
      <c r="NE122" s="31"/>
      <c r="NF122" s="31"/>
      <c r="NG122" s="31">
        <v>50.8</v>
      </c>
      <c r="NH122" s="31"/>
      <c r="NI122" s="31"/>
      <c r="NJ122" s="31"/>
      <c r="NK122" s="31"/>
      <c r="NL122" s="31"/>
      <c r="NM122" s="31"/>
      <c r="NN122" s="31"/>
      <c r="NO122" s="31"/>
      <c r="NP122" s="31"/>
      <c r="NQ122" s="31"/>
      <c r="NR122" s="31"/>
      <c r="NS122" s="31"/>
      <c r="NT122" s="31"/>
      <c r="NU122" s="31"/>
      <c r="NV122" s="31"/>
      <c r="NW122" s="31"/>
      <c r="NX122" s="31"/>
      <c r="NY122" s="31"/>
      <c r="NZ122" s="31"/>
      <c r="OA122" s="31"/>
      <c r="OB122" s="31"/>
      <c r="OC122" s="31"/>
      <c r="OD122" s="31"/>
      <c r="OE122" s="31"/>
      <c r="OF122" s="31"/>
      <c r="OG122" s="31"/>
      <c r="OH122" s="31"/>
      <c r="OI122" s="31"/>
      <c r="OJ122" s="31"/>
      <c r="OK122" s="31"/>
      <c r="OL122" s="31">
        <v>49.2</v>
      </c>
      <c r="OM122" s="31"/>
      <c r="ON122" s="31"/>
      <c r="OO122" s="31"/>
      <c r="OP122" s="31"/>
      <c r="OQ122" s="31"/>
      <c r="OR122" s="31"/>
      <c r="OS122" s="31"/>
      <c r="OT122" s="31"/>
      <c r="OU122" s="31"/>
      <c r="OV122" s="31"/>
      <c r="OW122" s="31"/>
      <c r="OX122" s="31"/>
      <c r="OY122" s="31"/>
      <c r="OZ122" s="31"/>
      <c r="PA122" s="31"/>
      <c r="PB122" s="31"/>
      <c r="PC122" s="31"/>
      <c r="PD122" s="31"/>
      <c r="PE122" s="31"/>
      <c r="PF122" s="31"/>
      <c r="PG122" s="31"/>
      <c r="PH122" s="31"/>
      <c r="PI122" s="31"/>
      <c r="PJ122" s="31"/>
      <c r="PK122" s="31"/>
      <c r="PL122" s="31"/>
      <c r="PM122" s="31"/>
      <c r="PN122" s="31">
        <v>48.6</v>
      </c>
      <c r="PO122" s="31"/>
      <c r="PP122" s="31"/>
      <c r="PQ122" s="31"/>
      <c r="PR122" s="31"/>
      <c r="PS122" s="31"/>
      <c r="PT122" s="31"/>
      <c r="PU122" s="31"/>
      <c r="PV122" s="31"/>
      <c r="PW122" s="31"/>
      <c r="PX122" s="31"/>
      <c r="PY122" s="31"/>
      <c r="PZ122" s="31"/>
      <c r="QA122" s="31"/>
      <c r="QB122" s="31"/>
      <c r="QC122" s="31"/>
      <c r="QD122" s="31"/>
      <c r="QE122" s="31"/>
      <c r="QF122" s="31"/>
      <c r="QG122" s="31"/>
      <c r="QH122" s="31"/>
      <c r="QI122" s="31"/>
      <c r="QJ122" s="31"/>
      <c r="QK122" s="31"/>
      <c r="QL122" s="31"/>
      <c r="QM122" s="31"/>
      <c r="QN122" s="31"/>
      <c r="QO122" s="31"/>
      <c r="QP122" s="31"/>
      <c r="QQ122" s="31"/>
      <c r="QR122" s="31"/>
      <c r="QS122" s="31">
        <v>51.6</v>
      </c>
      <c r="QT122" s="31"/>
      <c r="QU122" s="31"/>
      <c r="QV122" s="31"/>
      <c r="QW122" s="31"/>
      <c r="QX122" s="31"/>
      <c r="QY122" s="31"/>
      <c r="QZ122" s="31"/>
      <c r="RA122" s="31"/>
      <c r="RB122" s="31"/>
      <c r="RC122" s="31"/>
      <c r="RD122" s="31"/>
      <c r="RE122" s="31"/>
      <c r="RF122" s="31"/>
      <c r="RG122" s="31"/>
      <c r="RH122" s="31"/>
      <c r="RI122" s="31"/>
      <c r="RJ122" s="31"/>
      <c r="RK122" s="31"/>
      <c r="RL122" s="31"/>
      <c r="RM122" s="31"/>
      <c r="RN122" s="31"/>
      <c r="RO122" s="31"/>
      <c r="RP122" s="31"/>
      <c r="RQ122" s="31"/>
      <c r="RR122" s="31"/>
      <c r="RS122" s="31"/>
      <c r="RT122" s="31"/>
      <c r="RU122" s="31"/>
      <c r="RV122" s="31"/>
      <c r="RW122" s="31">
        <v>50.6</v>
      </c>
      <c r="RX122" s="31"/>
      <c r="RY122" s="31"/>
      <c r="RZ122" s="31"/>
      <c r="SA122" s="31"/>
      <c r="SB122" s="31"/>
      <c r="SC122" s="31"/>
      <c r="SD122" s="31"/>
      <c r="SE122" s="31"/>
      <c r="SF122" s="31"/>
      <c r="SG122" s="31"/>
      <c r="SH122" s="31"/>
      <c r="SI122" s="31"/>
      <c r="SJ122" s="31"/>
      <c r="SK122" s="31"/>
      <c r="SL122" s="31"/>
      <c r="SM122" s="31"/>
      <c r="SN122" s="31"/>
      <c r="SO122" s="31"/>
      <c r="SP122" s="31"/>
      <c r="SQ122" s="31"/>
      <c r="SR122" s="31"/>
      <c r="SS122" s="31"/>
      <c r="ST122" s="23"/>
      <c r="SU122" s="23"/>
      <c r="SV122" s="23"/>
      <c r="SW122" s="23"/>
      <c r="SX122" s="23"/>
      <c r="SY122" s="23"/>
      <c r="SZ122" s="23"/>
      <c r="TA122" s="23"/>
      <c r="TB122" s="23">
        <v>49.9</v>
      </c>
      <c r="TC122" s="23"/>
      <c r="TD122" s="23"/>
      <c r="TE122" s="23"/>
      <c r="TF122" s="23"/>
      <c r="TG122" s="23"/>
      <c r="TH122" s="23"/>
      <c r="TI122" s="23"/>
      <c r="TJ122" s="23"/>
      <c r="TK122" s="23"/>
      <c r="TL122" s="23"/>
      <c r="TM122" s="23"/>
      <c r="TN122" s="23"/>
      <c r="TO122" s="23"/>
      <c r="TP122" s="23"/>
      <c r="TQ122" s="23"/>
      <c r="TR122" s="23"/>
      <c r="TS122" s="23"/>
      <c r="TT122" s="23"/>
      <c r="TU122" s="23"/>
      <c r="TV122" s="23"/>
      <c r="TW122" s="23"/>
      <c r="TX122" s="23"/>
      <c r="TY122" s="23"/>
      <c r="TZ122" s="23"/>
      <c r="UA122" s="23"/>
      <c r="UB122" s="23"/>
      <c r="UC122" s="23"/>
      <c r="UD122" s="23"/>
      <c r="UE122" s="23"/>
      <c r="UF122" s="23">
        <v>51.2</v>
      </c>
      <c r="UG122" s="23"/>
      <c r="UH122" s="23"/>
      <c r="UI122" s="23"/>
      <c r="UJ122" s="23"/>
      <c r="UK122" s="23"/>
      <c r="UL122" s="23"/>
      <c r="UM122" s="23"/>
      <c r="UN122" s="23"/>
      <c r="UO122" s="23"/>
      <c r="UP122" s="23"/>
      <c r="UQ122" s="23"/>
      <c r="UR122" s="23"/>
      <c r="US122" s="23"/>
      <c r="UT122" s="23"/>
    </row>
    <row r="123" spans="4:566">
      <c r="D123" t="s">
        <v>154</v>
      </c>
      <c r="E123" t="s">
        <v>155</v>
      </c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>
        <v>49.8</v>
      </c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>
        <v>52.5</v>
      </c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>
        <v>52.6</v>
      </c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  <c r="DI123" s="31"/>
      <c r="DJ123" s="31"/>
      <c r="DK123" s="31"/>
      <c r="DL123" s="31"/>
      <c r="DM123" s="31"/>
      <c r="DN123" s="31"/>
      <c r="DO123" s="31"/>
      <c r="DP123" s="31"/>
      <c r="DQ123" s="31"/>
      <c r="DR123" s="31"/>
      <c r="DS123" s="31"/>
      <c r="DT123" s="31"/>
      <c r="DU123" s="31"/>
      <c r="DV123" s="31">
        <v>49.8</v>
      </c>
      <c r="DW123" s="31"/>
      <c r="DX123" s="31"/>
      <c r="DY123" s="31"/>
      <c r="DZ123" s="31"/>
      <c r="EA123" s="31"/>
      <c r="EB123" s="31"/>
      <c r="EC123" s="31"/>
      <c r="ED123" s="31"/>
      <c r="EE123" s="31"/>
      <c r="EF123" s="31"/>
      <c r="EG123" s="31"/>
      <c r="EH123" s="31"/>
      <c r="EI123" s="31"/>
      <c r="EJ123" s="31"/>
      <c r="EK123" s="31"/>
      <c r="EL123" s="31"/>
      <c r="EM123" s="31"/>
      <c r="EN123" s="31"/>
      <c r="EO123" s="31"/>
      <c r="EP123" s="31"/>
      <c r="EQ123" s="31"/>
      <c r="ER123" s="31"/>
      <c r="ES123" s="31"/>
      <c r="ET123" s="31"/>
      <c r="EU123" s="31"/>
      <c r="EV123" s="31"/>
      <c r="EW123" s="31"/>
      <c r="EX123" s="31"/>
      <c r="EY123" s="31"/>
      <c r="EZ123" s="31"/>
      <c r="FA123" s="31">
        <v>50.7</v>
      </c>
      <c r="FB123" s="31"/>
      <c r="FC123" s="31"/>
      <c r="FD123" s="31"/>
      <c r="FE123" s="31"/>
      <c r="FF123" s="31"/>
      <c r="FG123" s="31"/>
      <c r="FH123" s="31"/>
      <c r="FI123" s="31"/>
      <c r="FJ123" s="31"/>
      <c r="FK123" s="31"/>
      <c r="FL123" s="31"/>
      <c r="FM123" s="31"/>
      <c r="FN123" s="31"/>
      <c r="FO123" s="31"/>
      <c r="FP123" s="31"/>
      <c r="FQ123" s="31"/>
      <c r="FR123" s="31"/>
      <c r="FS123" s="31"/>
      <c r="FT123" s="31"/>
      <c r="FU123" s="31"/>
      <c r="FV123" s="31"/>
      <c r="FW123" s="31"/>
      <c r="FX123" s="31"/>
      <c r="FY123" s="31"/>
      <c r="FZ123" s="31"/>
      <c r="GA123" s="31"/>
      <c r="GB123" s="31"/>
      <c r="GC123" s="31"/>
      <c r="GD123" s="31"/>
      <c r="GE123" s="31">
        <v>51</v>
      </c>
      <c r="GF123" s="31"/>
      <c r="GG123" s="31"/>
      <c r="GH123" s="31"/>
      <c r="GI123" s="31"/>
      <c r="GJ123" s="31"/>
      <c r="GK123" s="31"/>
      <c r="GL123" s="31"/>
      <c r="GM123" s="31"/>
      <c r="GN123" s="31"/>
      <c r="GO123" s="31"/>
      <c r="GP123" s="31"/>
      <c r="GQ123" s="31"/>
      <c r="GR123" s="31"/>
      <c r="GS123" s="31"/>
      <c r="GT123" s="31"/>
      <c r="GU123" s="31"/>
      <c r="GV123" s="31"/>
      <c r="GW123" s="31"/>
      <c r="GX123" s="31"/>
      <c r="GY123" s="31"/>
      <c r="GZ123" s="31"/>
      <c r="HA123" s="31"/>
      <c r="HB123" s="31"/>
      <c r="HC123" s="31"/>
      <c r="HD123" s="31"/>
      <c r="HE123" s="31"/>
      <c r="HF123" s="31"/>
      <c r="HG123" s="31"/>
      <c r="HH123" s="31"/>
      <c r="HI123" s="31"/>
      <c r="HJ123" s="31">
        <v>50.5</v>
      </c>
      <c r="HK123" s="31"/>
      <c r="HL123" s="31"/>
      <c r="HM123" s="31"/>
      <c r="HN123" s="31"/>
      <c r="HO123" s="31"/>
      <c r="HP123" s="31"/>
      <c r="HQ123" s="31"/>
      <c r="HR123" s="31"/>
      <c r="HS123" s="31"/>
      <c r="HT123" s="31"/>
      <c r="HU123" s="31"/>
      <c r="HV123" s="31"/>
      <c r="HW123" s="31"/>
      <c r="HX123" s="31"/>
      <c r="HY123" s="31"/>
      <c r="HZ123" s="31"/>
      <c r="IA123" s="31"/>
      <c r="IB123" s="31"/>
      <c r="IC123" s="31"/>
      <c r="ID123" s="31"/>
      <c r="IE123" s="31"/>
      <c r="IF123" s="31"/>
      <c r="IG123" s="31"/>
      <c r="IH123" s="31"/>
      <c r="II123" s="31"/>
      <c r="IJ123" s="31"/>
      <c r="IK123" s="31"/>
      <c r="IL123" s="31"/>
      <c r="IM123" s="31"/>
      <c r="IN123" s="31"/>
      <c r="IO123" s="31">
        <v>50.8</v>
      </c>
      <c r="IP123" s="31"/>
      <c r="IQ123" s="31"/>
      <c r="IR123" s="31"/>
      <c r="IS123" s="31"/>
      <c r="IT123" s="31"/>
      <c r="IU123" s="31"/>
      <c r="IV123" s="31"/>
      <c r="IW123" s="31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  <c r="JH123" s="31"/>
      <c r="JI123" s="31"/>
      <c r="JJ123" s="31"/>
      <c r="JK123" s="31"/>
      <c r="JL123" s="31"/>
      <c r="JM123" s="31"/>
      <c r="JN123" s="31"/>
      <c r="JO123" s="31"/>
      <c r="JP123" s="31"/>
      <c r="JQ123" s="31"/>
      <c r="JR123" s="31"/>
      <c r="JS123" s="31">
        <v>51.9</v>
      </c>
      <c r="JT123" s="31"/>
      <c r="JU123" s="31"/>
      <c r="JV123" s="31"/>
      <c r="JW123" s="31"/>
      <c r="JX123" s="31"/>
      <c r="JY123" s="31"/>
      <c r="JZ123" s="31"/>
      <c r="KA123" s="31"/>
      <c r="KB123" s="31"/>
      <c r="KC123" s="31"/>
      <c r="KD123" s="31"/>
      <c r="KE123" s="31"/>
      <c r="KF123" s="31"/>
      <c r="KG123" s="31"/>
      <c r="KH123" s="31"/>
      <c r="KI123" s="31"/>
      <c r="KJ123" s="31"/>
      <c r="KK123" s="31"/>
      <c r="KL123" s="31"/>
      <c r="KM123" s="31"/>
      <c r="KN123" s="31"/>
      <c r="KO123" s="31"/>
      <c r="KP123" s="31"/>
      <c r="KQ123" s="31"/>
      <c r="KR123" s="31"/>
      <c r="KS123" s="31"/>
      <c r="KT123" s="31"/>
      <c r="KU123" s="31"/>
      <c r="KV123" s="31"/>
      <c r="KW123" s="31"/>
      <c r="KX123" s="31">
        <v>49.7</v>
      </c>
      <c r="KY123" s="31"/>
      <c r="KZ123" s="31"/>
      <c r="LA123" s="31"/>
      <c r="LB123" s="31"/>
      <c r="LC123" s="31"/>
      <c r="LD123" s="31"/>
      <c r="LE123" s="31"/>
      <c r="LF123" s="31"/>
      <c r="LG123" s="31"/>
      <c r="LH123" s="31"/>
      <c r="LI123" s="31"/>
      <c r="LJ123" s="31"/>
      <c r="LK123" s="31"/>
      <c r="LL123" s="31"/>
      <c r="LM123" s="31"/>
      <c r="LN123" s="31"/>
      <c r="LO123" s="31"/>
      <c r="LP123" s="31"/>
      <c r="LQ123" s="31"/>
      <c r="LR123" s="31"/>
      <c r="LS123" s="31"/>
      <c r="LT123" s="31"/>
      <c r="LU123" s="31"/>
      <c r="LV123" s="31"/>
      <c r="LW123" s="31"/>
      <c r="LX123" s="31"/>
      <c r="LY123" s="31"/>
      <c r="LZ123" s="31"/>
      <c r="MA123" s="31"/>
      <c r="MB123" s="31">
        <v>50</v>
      </c>
      <c r="MC123" s="31"/>
      <c r="MD123" s="31"/>
      <c r="ME123" s="31"/>
      <c r="MF123" s="31"/>
      <c r="MG123" s="31"/>
      <c r="MH123" s="31"/>
      <c r="MI123" s="31"/>
      <c r="MJ123" s="31"/>
      <c r="MK123" s="31"/>
      <c r="ML123" s="31"/>
      <c r="MM123" s="31"/>
      <c r="MN123" s="31"/>
      <c r="MO123" s="31"/>
      <c r="MP123" s="31"/>
      <c r="MQ123" s="31"/>
      <c r="MR123" s="31"/>
      <c r="MS123" s="31"/>
      <c r="MT123" s="31"/>
      <c r="MU123" s="31"/>
      <c r="MV123" s="31"/>
      <c r="MW123" s="31"/>
      <c r="MX123" s="31"/>
      <c r="MY123" s="31"/>
      <c r="MZ123" s="31"/>
      <c r="NA123" s="31"/>
      <c r="NB123" s="31"/>
      <c r="NC123" s="31"/>
      <c r="ND123" s="31"/>
      <c r="NE123" s="31"/>
      <c r="NF123" s="31"/>
      <c r="NG123" s="31">
        <v>51.7</v>
      </c>
      <c r="NH123" s="31"/>
      <c r="NI123" s="31"/>
      <c r="NJ123" s="31"/>
      <c r="NK123" s="31"/>
      <c r="NL123" s="31"/>
      <c r="NM123" s="31"/>
      <c r="NN123" s="31"/>
      <c r="NO123" s="31"/>
      <c r="NP123" s="31"/>
      <c r="NQ123" s="31"/>
      <c r="NR123" s="31"/>
      <c r="NS123" s="31"/>
      <c r="NT123" s="31"/>
      <c r="NU123" s="31"/>
      <c r="NV123" s="31"/>
      <c r="NW123" s="31"/>
      <c r="NX123" s="31"/>
      <c r="NY123" s="31"/>
      <c r="NZ123" s="31"/>
      <c r="OA123" s="31"/>
      <c r="OB123" s="31"/>
      <c r="OC123" s="31"/>
      <c r="OD123" s="31"/>
      <c r="OE123" s="31"/>
      <c r="OF123" s="31"/>
      <c r="OG123" s="31"/>
      <c r="OH123" s="31"/>
      <c r="OI123" s="31"/>
      <c r="OJ123" s="31"/>
      <c r="OK123" s="31"/>
      <c r="OL123" s="31">
        <v>50.6</v>
      </c>
      <c r="OM123" s="31"/>
      <c r="ON123" s="31"/>
      <c r="OO123" s="31"/>
      <c r="OP123" s="31"/>
      <c r="OQ123" s="31"/>
      <c r="OR123" s="31"/>
      <c r="OS123" s="31"/>
      <c r="OT123" s="31"/>
      <c r="OU123" s="31"/>
      <c r="OV123" s="31"/>
      <c r="OW123" s="31"/>
      <c r="OX123" s="31"/>
      <c r="OY123" s="31"/>
      <c r="OZ123" s="31"/>
      <c r="PA123" s="31"/>
      <c r="PB123" s="31"/>
      <c r="PC123" s="31"/>
      <c r="PD123" s="31"/>
      <c r="PE123" s="31"/>
      <c r="PF123" s="31"/>
      <c r="PG123" s="31"/>
      <c r="PH123" s="31"/>
      <c r="PI123" s="31"/>
      <c r="PJ123" s="31"/>
      <c r="PK123" s="31"/>
      <c r="PL123" s="31"/>
      <c r="PM123" s="31"/>
      <c r="PN123" s="31">
        <v>49.6</v>
      </c>
      <c r="PO123" s="31"/>
      <c r="PP123" s="31"/>
      <c r="PQ123" s="31"/>
      <c r="PR123" s="31"/>
      <c r="PS123" s="31"/>
      <c r="PT123" s="31"/>
      <c r="PU123" s="31"/>
      <c r="PV123" s="31"/>
      <c r="PW123" s="31"/>
      <c r="PX123" s="31"/>
      <c r="PY123" s="31"/>
      <c r="PZ123" s="31"/>
      <c r="QA123" s="31"/>
      <c r="QB123" s="31"/>
      <c r="QC123" s="31"/>
      <c r="QD123" s="31"/>
      <c r="QE123" s="31"/>
      <c r="QF123" s="31"/>
      <c r="QG123" s="31"/>
      <c r="QH123" s="31"/>
      <c r="QI123" s="31"/>
      <c r="QJ123" s="31"/>
      <c r="QK123" s="31"/>
      <c r="QL123" s="31"/>
      <c r="QM123" s="31"/>
      <c r="QN123" s="31"/>
      <c r="QO123" s="31"/>
      <c r="QP123" s="31"/>
      <c r="QQ123" s="31"/>
      <c r="QR123" s="31"/>
      <c r="QS123" s="31">
        <v>51.4</v>
      </c>
      <c r="QT123" s="31"/>
      <c r="QU123" s="31"/>
      <c r="QV123" s="31"/>
      <c r="QW123" s="31"/>
      <c r="QX123" s="31"/>
      <c r="QY123" s="31"/>
      <c r="QZ123" s="31"/>
      <c r="RA123" s="31"/>
      <c r="RB123" s="31"/>
      <c r="RC123" s="31"/>
      <c r="RD123" s="31"/>
      <c r="RE123" s="31"/>
      <c r="RF123" s="31"/>
      <c r="RG123" s="31"/>
      <c r="RH123" s="31"/>
      <c r="RI123" s="31"/>
      <c r="RJ123" s="31"/>
      <c r="RK123" s="31"/>
      <c r="RL123" s="31"/>
      <c r="RM123" s="31"/>
      <c r="RN123" s="31"/>
      <c r="RO123" s="31"/>
      <c r="RP123" s="31"/>
      <c r="RQ123" s="31"/>
      <c r="RR123" s="31"/>
      <c r="RS123" s="31"/>
      <c r="RT123" s="31"/>
      <c r="RU123" s="31"/>
      <c r="RV123" s="31"/>
      <c r="RW123" s="31">
        <v>51.5</v>
      </c>
      <c r="RX123" s="31"/>
      <c r="RY123" s="31"/>
      <c r="RZ123" s="31"/>
      <c r="SA123" s="31"/>
      <c r="SB123" s="31"/>
      <c r="SC123" s="31"/>
      <c r="SD123" s="31"/>
      <c r="SE123" s="31"/>
      <c r="SF123" s="31"/>
      <c r="SG123" s="31"/>
      <c r="SH123" s="31"/>
      <c r="SI123" s="31"/>
      <c r="SJ123" s="31"/>
      <c r="SK123" s="31"/>
      <c r="SL123" s="31"/>
      <c r="SM123" s="31"/>
      <c r="SN123" s="31"/>
      <c r="SO123" s="31"/>
      <c r="SP123" s="31"/>
      <c r="SQ123" s="31"/>
      <c r="SR123" s="31"/>
      <c r="SS123" s="31"/>
      <c r="ST123" s="23"/>
      <c r="SU123" s="23"/>
      <c r="SV123" s="23"/>
      <c r="SW123" s="23"/>
      <c r="SX123" s="23"/>
      <c r="SY123" s="23"/>
      <c r="SZ123" s="23"/>
      <c r="TA123" s="23"/>
      <c r="TB123" s="23">
        <v>51.2</v>
      </c>
      <c r="TC123" s="23"/>
      <c r="TD123" s="23"/>
      <c r="TE123" s="23"/>
      <c r="TF123" s="23"/>
      <c r="TG123" s="23"/>
      <c r="TH123" s="23"/>
      <c r="TI123" s="23"/>
      <c r="TJ123" s="23"/>
      <c r="TK123" s="23"/>
      <c r="TL123" s="23"/>
      <c r="TM123" s="23"/>
      <c r="TN123" s="23"/>
      <c r="TO123" s="23"/>
      <c r="TP123" s="23"/>
      <c r="TQ123" s="23"/>
      <c r="TR123" s="23"/>
      <c r="TS123" s="23"/>
      <c r="TT123" s="23"/>
      <c r="TU123" s="23"/>
      <c r="TV123" s="23"/>
      <c r="TW123" s="23"/>
      <c r="TX123" s="23"/>
      <c r="TY123" s="23"/>
      <c r="TZ123" s="23"/>
      <c r="UA123" s="23"/>
      <c r="UB123" s="23"/>
      <c r="UC123" s="23"/>
      <c r="UD123" s="23"/>
      <c r="UE123" s="23"/>
      <c r="UF123" s="23">
        <v>51.4</v>
      </c>
      <c r="UG123" s="23"/>
      <c r="UH123" s="23"/>
      <c r="UI123" s="23"/>
      <c r="UJ123" s="23"/>
      <c r="UK123" s="23"/>
      <c r="UL123" s="23"/>
      <c r="UM123" s="23"/>
      <c r="UN123" s="23"/>
      <c r="UO123" s="23"/>
      <c r="UP123" s="23"/>
      <c r="UQ123" s="23"/>
      <c r="UR123" s="23"/>
      <c r="US123" s="23"/>
      <c r="UT123" s="23"/>
    </row>
    <row r="124" spans="4:566">
      <c r="D124" t="s">
        <v>156</v>
      </c>
      <c r="E124" t="s">
        <v>157</v>
      </c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>
        <v>4.53</v>
      </c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>
        <v>4.7</v>
      </c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  <c r="DI124" s="31"/>
      <c r="DJ124" s="31"/>
      <c r="DK124" s="31"/>
      <c r="DL124" s="31"/>
      <c r="DM124" s="31"/>
      <c r="DN124" s="31"/>
      <c r="DO124" s="31"/>
      <c r="DP124" s="31"/>
      <c r="DQ124" s="31"/>
      <c r="DR124" s="31"/>
      <c r="DS124" s="31"/>
      <c r="DT124" s="31"/>
      <c r="DU124" s="31"/>
      <c r="DV124" s="31">
        <v>4.87</v>
      </c>
      <c r="DW124" s="31"/>
      <c r="DX124" s="31"/>
      <c r="DY124" s="31"/>
      <c r="DZ124" s="31"/>
      <c r="EA124" s="31"/>
      <c r="EB124" s="31"/>
      <c r="EC124" s="31"/>
      <c r="ED124" s="31"/>
      <c r="EE124" s="31"/>
      <c r="EF124" s="31"/>
      <c r="EG124" s="31"/>
      <c r="EH124" s="31"/>
      <c r="EI124" s="31"/>
      <c r="EJ124" s="31"/>
      <c r="EK124" s="31"/>
      <c r="EL124" s="31"/>
      <c r="EM124" s="31"/>
      <c r="EN124" s="31"/>
      <c r="EO124" s="31"/>
      <c r="EP124" s="31"/>
      <c r="EQ124" s="31"/>
      <c r="ER124" s="31"/>
      <c r="ES124" s="31"/>
      <c r="ET124" s="31"/>
      <c r="EU124" s="31"/>
      <c r="EV124" s="31"/>
      <c r="EW124" s="31"/>
      <c r="EX124" s="31"/>
      <c r="EY124" s="31"/>
      <c r="EZ124" s="31"/>
      <c r="FA124" s="31">
        <v>4.97</v>
      </c>
      <c r="FB124" s="31"/>
      <c r="FC124" s="31"/>
      <c r="FD124" s="31"/>
      <c r="FE124" s="31"/>
      <c r="FF124" s="31"/>
      <c r="FG124" s="31"/>
      <c r="FH124" s="31"/>
      <c r="FI124" s="31"/>
      <c r="FJ124" s="31"/>
      <c r="FK124" s="31"/>
      <c r="FL124" s="31"/>
      <c r="FM124" s="31"/>
      <c r="FN124" s="31"/>
      <c r="FO124" s="31"/>
      <c r="FP124" s="31"/>
      <c r="FQ124" s="31"/>
      <c r="FR124" s="31"/>
      <c r="FS124" s="31"/>
      <c r="FT124" s="31"/>
      <c r="FU124" s="31"/>
      <c r="FV124" s="31"/>
      <c r="FW124" s="31"/>
      <c r="FX124" s="31"/>
      <c r="FY124" s="31"/>
      <c r="FZ124" s="31"/>
      <c r="GA124" s="31"/>
      <c r="GB124" s="31"/>
      <c r="GC124" s="31"/>
      <c r="GD124" s="31"/>
      <c r="GE124" s="31">
        <v>5.15</v>
      </c>
      <c r="GF124" s="31"/>
      <c r="GG124" s="31"/>
      <c r="GH124" s="31"/>
      <c r="GI124" s="31"/>
      <c r="GJ124" s="31"/>
      <c r="GK124" s="31"/>
      <c r="GL124" s="31"/>
      <c r="GM124" s="31"/>
      <c r="GN124" s="31"/>
      <c r="GO124" s="31"/>
      <c r="GP124" s="31"/>
      <c r="GQ124" s="31"/>
      <c r="GR124" s="31"/>
      <c r="GS124" s="31"/>
      <c r="GT124" s="31"/>
      <c r="GU124" s="31"/>
      <c r="GV124" s="31"/>
      <c r="GW124" s="31"/>
      <c r="GX124" s="31"/>
      <c r="GY124" s="31"/>
      <c r="GZ124" s="31"/>
      <c r="HA124" s="31"/>
      <c r="HB124" s="31"/>
      <c r="HC124" s="31"/>
      <c r="HD124" s="31"/>
      <c r="HE124" s="31"/>
      <c r="HF124" s="31"/>
      <c r="HG124" s="31"/>
      <c r="HH124" s="31"/>
      <c r="HI124" s="31"/>
      <c r="HJ124" s="31">
        <v>5.15</v>
      </c>
      <c r="HK124" s="31"/>
      <c r="HL124" s="31"/>
      <c r="HM124" s="31"/>
      <c r="HN124" s="31"/>
      <c r="HO124" s="31"/>
      <c r="HP124" s="31"/>
      <c r="HQ124" s="31"/>
      <c r="HR124" s="31"/>
      <c r="HS124" s="31"/>
      <c r="HT124" s="31"/>
      <c r="HU124" s="31"/>
      <c r="HV124" s="31"/>
      <c r="HW124" s="31"/>
      <c r="HX124" s="31"/>
      <c r="HY124" s="31"/>
      <c r="HZ124" s="31"/>
      <c r="IA124" s="31"/>
      <c r="IB124" s="31"/>
      <c r="IC124" s="31"/>
      <c r="ID124" s="31"/>
      <c r="IE124" s="31"/>
      <c r="IF124" s="31"/>
      <c r="IG124" s="31"/>
      <c r="IH124" s="31"/>
      <c r="II124" s="31"/>
      <c r="IJ124" s="31"/>
      <c r="IK124" s="31"/>
      <c r="IL124" s="31"/>
      <c r="IM124" s="31"/>
      <c r="IN124" s="31"/>
      <c r="IO124" s="31">
        <v>5.24</v>
      </c>
      <c r="IP124" s="31"/>
      <c r="IQ124" s="31"/>
      <c r="IR124" s="31"/>
      <c r="IS124" s="31"/>
      <c r="IT124" s="31"/>
      <c r="IU124" s="31"/>
      <c r="IV124" s="31"/>
      <c r="IW124" s="31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  <c r="JH124" s="31"/>
      <c r="JI124" s="31"/>
      <c r="JJ124" s="31"/>
      <c r="JK124" s="31"/>
      <c r="JL124" s="31"/>
      <c r="JM124" s="31"/>
      <c r="JN124" s="31"/>
      <c r="JO124" s="31"/>
      <c r="JP124" s="31"/>
      <c r="JQ124" s="31"/>
      <c r="JR124" s="31"/>
      <c r="JS124" s="31">
        <v>5.26</v>
      </c>
      <c r="JT124" s="31"/>
      <c r="JU124" s="31"/>
      <c r="JV124" s="31"/>
      <c r="JW124" s="31"/>
      <c r="JX124" s="31"/>
      <c r="JY124" s="31"/>
      <c r="JZ124" s="31"/>
      <c r="KA124" s="31"/>
      <c r="KB124" s="31"/>
      <c r="KC124" s="31"/>
      <c r="KD124" s="31"/>
      <c r="KE124" s="31"/>
      <c r="KF124" s="31"/>
      <c r="KG124" s="31"/>
      <c r="KH124" s="31"/>
      <c r="KI124" s="31"/>
      <c r="KJ124" s="31"/>
      <c r="KK124" s="31"/>
      <c r="KL124" s="31"/>
      <c r="KM124" s="31"/>
      <c r="KN124" s="31"/>
      <c r="KO124" s="31"/>
      <c r="KP124" s="31"/>
      <c r="KQ124" s="31"/>
      <c r="KR124" s="31"/>
      <c r="KS124" s="31"/>
      <c r="KT124" s="31"/>
      <c r="KU124" s="31"/>
      <c r="KV124" s="31"/>
      <c r="KW124" s="31"/>
      <c r="KX124" s="31">
        <v>5.25</v>
      </c>
      <c r="KY124" s="31"/>
      <c r="KZ124" s="31"/>
      <c r="LA124" s="31"/>
      <c r="LB124" s="31"/>
      <c r="LC124" s="31"/>
      <c r="LD124" s="31"/>
      <c r="LE124" s="31"/>
      <c r="LF124" s="31"/>
      <c r="LG124" s="31"/>
      <c r="LH124" s="31"/>
      <c r="LI124" s="31"/>
      <c r="LJ124" s="31"/>
      <c r="LK124" s="31"/>
      <c r="LL124" s="31"/>
      <c r="LM124" s="31"/>
      <c r="LN124" s="31"/>
      <c r="LO124" s="31"/>
      <c r="LP124" s="31"/>
      <c r="LQ124" s="31"/>
      <c r="LR124" s="31"/>
      <c r="LS124" s="31"/>
      <c r="LT124" s="31"/>
      <c r="LU124" s="31"/>
      <c r="LV124" s="31"/>
      <c r="LW124" s="31"/>
      <c r="LX124" s="31"/>
      <c r="LY124" s="31"/>
      <c r="LZ124" s="31"/>
      <c r="MA124" s="31"/>
      <c r="MB124" s="31">
        <v>5.29</v>
      </c>
      <c r="MC124" s="31"/>
      <c r="MD124" s="31"/>
      <c r="ME124" s="31"/>
      <c r="MF124" s="31"/>
      <c r="MG124" s="31"/>
      <c r="MH124" s="31"/>
      <c r="MI124" s="31"/>
      <c r="MJ124" s="31"/>
      <c r="MK124" s="31"/>
      <c r="ML124" s="31"/>
      <c r="MM124" s="31"/>
      <c r="MN124" s="31"/>
      <c r="MO124" s="31"/>
      <c r="MP124" s="31"/>
      <c r="MQ124" s="31"/>
      <c r="MR124" s="31"/>
      <c r="MS124" s="31"/>
      <c r="MT124" s="31"/>
      <c r="MU124" s="31"/>
      <c r="MV124" s="31"/>
      <c r="MW124" s="31"/>
      <c r="MX124" s="31"/>
      <c r="MY124" s="31"/>
      <c r="MZ124" s="31"/>
      <c r="NA124" s="31"/>
      <c r="NB124" s="31"/>
      <c r="NC124" s="31"/>
      <c r="ND124" s="31"/>
      <c r="NE124" s="31"/>
      <c r="NF124" s="31"/>
      <c r="NG124" s="31">
        <v>5.31</v>
      </c>
      <c r="NH124" s="31"/>
      <c r="NI124" s="31"/>
      <c r="NJ124" s="31"/>
      <c r="NK124" s="31"/>
      <c r="NL124" s="31"/>
      <c r="NM124" s="31"/>
      <c r="NN124" s="31"/>
      <c r="NO124" s="31"/>
      <c r="NP124" s="31"/>
      <c r="NQ124" s="31"/>
      <c r="NR124" s="31"/>
      <c r="NS124" s="31"/>
      <c r="NT124" s="31"/>
      <c r="NU124" s="31"/>
      <c r="NV124" s="31"/>
      <c r="NW124" s="31"/>
      <c r="NX124" s="31"/>
      <c r="NY124" s="31"/>
      <c r="NZ124" s="31"/>
      <c r="OA124" s="31"/>
      <c r="OB124" s="31"/>
      <c r="OC124" s="31"/>
      <c r="OD124" s="31"/>
      <c r="OE124" s="31"/>
      <c r="OF124" s="31"/>
      <c r="OG124" s="31"/>
      <c r="OH124" s="31"/>
      <c r="OI124" s="31"/>
      <c r="OJ124" s="31"/>
      <c r="OK124" s="31"/>
      <c r="OL124" s="31"/>
      <c r="OM124" s="31"/>
      <c r="ON124" s="31"/>
      <c r="OO124" s="31"/>
      <c r="OP124" s="31"/>
      <c r="OQ124" s="31"/>
      <c r="OR124" s="31"/>
      <c r="OS124" s="31"/>
      <c r="OT124" s="31"/>
      <c r="OU124" s="31"/>
      <c r="OV124" s="31"/>
      <c r="OW124" s="31"/>
      <c r="OX124" s="31"/>
      <c r="OY124" s="31"/>
      <c r="OZ124" s="31"/>
      <c r="PA124" s="31"/>
      <c r="PB124" s="31"/>
      <c r="PC124" s="31"/>
      <c r="PD124" s="31"/>
      <c r="PE124" s="31"/>
      <c r="PF124" s="31"/>
      <c r="PG124" s="31"/>
      <c r="PH124" s="31"/>
      <c r="PI124" s="31"/>
      <c r="PJ124" s="31"/>
      <c r="PK124" s="31"/>
      <c r="PL124" s="31"/>
      <c r="PM124" s="31"/>
      <c r="PN124" s="31">
        <v>4.92</v>
      </c>
      <c r="PO124" s="31"/>
      <c r="PP124" s="31"/>
      <c r="PQ124" s="31"/>
      <c r="PR124" s="31"/>
      <c r="PS124" s="31"/>
      <c r="PT124" s="31"/>
      <c r="PU124" s="31"/>
      <c r="PV124" s="31"/>
      <c r="PW124" s="31"/>
      <c r="PX124" s="31"/>
      <c r="PY124" s="31"/>
      <c r="PZ124" s="31"/>
      <c r="QA124" s="31"/>
      <c r="QB124" s="31"/>
      <c r="QC124" s="31"/>
      <c r="QD124" s="31"/>
      <c r="QE124" s="31"/>
      <c r="QF124" s="31"/>
      <c r="QG124" s="31"/>
      <c r="QH124" s="31"/>
      <c r="QI124" s="31"/>
      <c r="QJ124" s="31"/>
      <c r="QK124" s="31"/>
      <c r="QL124" s="31"/>
      <c r="QM124" s="31"/>
      <c r="QN124" s="31"/>
      <c r="QO124" s="31"/>
      <c r="QP124" s="31"/>
      <c r="QQ124" s="31"/>
      <c r="QR124" s="31"/>
      <c r="QS124" s="31">
        <v>5.11</v>
      </c>
      <c r="QT124" s="31"/>
      <c r="QU124" s="31"/>
      <c r="QV124" s="31"/>
      <c r="QW124" s="31"/>
      <c r="QX124" s="31"/>
      <c r="QY124" s="31"/>
      <c r="QZ124" s="31"/>
      <c r="RA124" s="31"/>
      <c r="RB124" s="31"/>
      <c r="RC124" s="31"/>
      <c r="RD124" s="31"/>
      <c r="RE124" s="31"/>
      <c r="RF124" s="31"/>
      <c r="RG124" s="31"/>
      <c r="RH124" s="31"/>
      <c r="RI124" s="31"/>
      <c r="RJ124" s="31"/>
      <c r="RK124" s="31"/>
      <c r="RL124" s="31"/>
      <c r="RM124" s="31"/>
      <c r="RN124" s="31"/>
      <c r="RO124" s="31"/>
      <c r="RP124" s="31"/>
      <c r="RQ124" s="31"/>
      <c r="RR124" s="31"/>
      <c r="RS124" s="31"/>
      <c r="RT124" s="31"/>
      <c r="RU124" s="31"/>
      <c r="RV124" s="31"/>
      <c r="RW124" s="31">
        <v>5.43</v>
      </c>
      <c r="RX124" s="31"/>
      <c r="RY124" s="31"/>
      <c r="RZ124" s="31"/>
      <c r="SA124" s="31"/>
      <c r="SB124" s="31"/>
      <c r="SC124" s="31"/>
      <c r="SD124" s="31"/>
      <c r="SE124" s="31"/>
      <c r="SF124" s="31"/>
      <c r="SG124" s="31"/>
      <c r="SH124" s="31"/>
      <c r="SI124" s="31"/>
      <c r="SJ124" s="31"/>
      <c r="SK124" s="31"/>
      <c r="SL124" s="31"/>
      <c r="SM124" s="31"/>
      <c r="SN124" s="31"/>
      <c r="SO124" s="31"/>
      <c r="SP124" s="31"/>
      <c r="SQ124" s="31"/>
      <c r="SR124" s="31"/>
      <c r="SS124" s="31"/>
      <c r="ST124" s="23"/>
      <c r="SU124" s="23"/>
      <c r="SV124" s="23"/>
      <c r="SW124" s="23"/>
      <c r="SX124" s="23"/>
      <c r="SY124" s="23"/>
      <c r="SZ124" s="23"/>
      <c r="TA124" s="23"/>
      <c r="TB124" s="23">
        <v>5.56</v>
      </c>
      <c r="TC124" s="23"/>
      <c r="TD124" s="23"/>
      <c r="TE124" s="23"/>
      <c r="TF124" s="23"/>
      <c r="TG124" s="23"/>
      <c r="TH124" s="23"/>
      <c r="TI124" s="23"/>
      <c r="TJ124" s="23"/>
      <c r="TK124" s="23"/>
      <c r="TL124" s="23"/>
      <c r="TM124" s="23"/>
      <c r="TN124" s="23"/>
      <c r="TO124" s="23"/>
      <c r="TP124" s="23"/>
      <c r="TQ124" s="23"/>
      <c r="TR124" s="23"/>
      <c r="TS124" s="23"/>
      <c r="TT124" s="23"/>
      <c r="TU124" s="23"/>
      <c r="TV124" s="23"/>
      <c r="TW124" s="23"/>
      <c r="TX124" s="23"/>
      <c r="TY124" s="23"/>
      <c r="TZ124" s="23"/>
      <c r="UA124" s="23"/>
      <c r="UB124" s="23"/>
      <c r="UC124" s="23"/>
      <c r="UD124" s="23"/>
      <c r="UE124" s="23"/>
      <c r="UF124" s="23"/>
      <c r="UG124" s="23"/>
      <c r="UH124" s="23"/>
      <c r="UI124" s="23"/>
      <c r="UJ124" s="23"/>
      <c r="UK124" s="23"/>
      <c r="UL124" s="23"/>
      <c r="UM124" s="23"/>
      <c r="UN124" s="23"/>
      <c r="UO124" s="23"/>
      <c r="UP124" s="23"/>
      <c r="UQ124" s="23"/>
      <c r="UR124" s="23"/>
      <c r="US124" s="23"/>
      <c r="UT124" s="23"/>
    </row>
    <row r="125" spans="4:566">
      <c r="D125" t="s">
        <v>158</v>
      </c>
      <c r="E125" t="s">
        <v>159</v>
      </c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>
        <v>-0.3</v>
      </c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>
        <v>0.8</v>
      </c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  <c r="DI125" s="31"/>
      <c r="DJ125" s="31"/>
      <c r="DK125" s="31"/>
      <c r="DL125" s="31"/>
      <c r="DM125" s="31"/>
      <c r="DN125" s="31"/>
      <c r="DO125" s="31"/>
      <c r="DP125" s="31"/>
      <c r="DQ125" s="31"/>
      <c r="DR125" s="31"/>
      <c r="DS125" s="31"/>
      <c r="DT125" s="31"/>
      <c r="DU125" s="31"/>
      <c r="DV125" s="31">
        <v>1.4</v>
      </c>
      <c r="DW125" s="31"/>
      <c r="DX125" s="31"/>
      <c r="DY125" s="31"/>
      <c r="DZ125" s="31"/>
      <c r="EA125" s="31"/>
      <c r="EB125" s="31"/>
      <c r="EC125" s="31"/>
      <c r="ED125" s="31"/>
      <c r="EE125" s="31"/>
      <c r="EF125" s="31"/>
      <c r="EG125" s="31"/>
      <c r="EH125" s="31"/>
      <c r="EI125" s="31"/>
      <c r="EJ125" s="31"/>
      <c r="EK125" s="31"/>
      <c r="EL125" s="31"/>
      <c r="EM125" s="31"/>
      <c r="EN125" s="31"/>
      <c r="EO125" s="31"/>
      <c r="EP125" s="31"/>
      <c r="EQ125" s="31"/>
      <c r="ER125" s="31"/>
      <c r="ES125" s="31"/>
      <c r="ET125" s="31"/>
      <c r="EU125" s="31"/>
      <c r="EV125" s="31"/>
      <c r="EW125" s="31"/>
      <c r="EX125" s="31"/>
      <c r="EY125" s="31"/>
      <c r="EZ125" s="31"/>
      <c r="FA125" s="31">
        <v>-1.1</v>
      </c>
      <c r="FB125" s="31"/>
      <c r="FC125" s="31"/>
      <c r="FD125" s="31"/>
      <c r="FE125" s="31"/>
      <c r="FF125" s="31"/>
      <c r="FG125" s="31"/>
      <c r="FH125" s="31"/>
      <c r="FI125" s="31"/>
      <c r="FJ125" s="31"/>
      <c r="FK125" s="31"/>
      <c r="FL125" s="31"/>
      <c r="FM125" s="31"/>
      <c r="FN125" s="31"/>
      <c r="FO125" s="31"/>
      <c r="FP125" s="31"/>
      <c r="FQ125" s="31"/>
      <c r="FR125" s="31"/>
      <c r="FS125" s="31"/>
      <c r="FT125" s="31"/>
      <c r="FU125" s="31"/>
      <c r="FV125" s="31"/>
      <c r="FW125" s="31"/>
      <c r="FX125" s="31"/>
      <c r="FY125" s="31"/>
      <c r="FZ125" s="31"/>
      <c r="GA125" s="31"/>
      <c r="GB125" s="31"/>
      <c r="GC125" s="31"/>
      <c r="GD125" s="31"/>
      <c r="GE125" s="31">
        <v>-1.8</v>
      </c>
      <c r="GF125" s="31"/>
      <c r="GG125" s="31"/>
      <c r="GH125" s="31"/>
      <c r="GI125" s="31"/>
      <c r="GJ125" s="31"/>
      <c r="GK125" s="31"/>
      <c r="GL125" s="31"/>
      <c r="GM125" s="31"/>
      <c r="GN125" s="31"/>
      <c r="GO125" s="31"/>
      <c r="GP125" s="31"/>
      <c r="GQ125" s="31"/>
      <c r="GR125" s="31"/>
      <c r="GS125" s="31"/>
      <c r="GT125" s="31"/>
      <c r="GU125" s="31"/>
      <c r="GV125" s="31"/>
      <c r="GW125" s="31"/>
      <c r="GX125" s="31"/>
      <c r="GY125" s="31"/>
      <c r="GZ125" s="31"/>
      <c r="HA125" s="31"/>
      <c r="HB125" s="31"/>
      <c r="HC125" s="31"/>
      <c r="HD125" s="31"/>
      <c r="HE125" s="31"/>
      <c r="HF125" s="31"/>
      <c r="HG125" s="31"/>
      <c r="HH125" s="31"/>
      <c r="HI125" s="31"/>
      <c r="HJ125" s="31">
        <v>-1.7</v>
      </c>
      <c r="HK125" s="31"/>
      <c r="HL125" s="31"/>
      <c r="HM125" s="31"/>
      <c r="HN125" s="31"/>
      <c r="HO125" s="31"/>
      <c r="HP125" s="31"/>
      <c r="HQ125" s="31"/>
      <c r="HR125" s="31"/>
      <c r="HS125" s="31"/>
      <c r="HT125" s="31"/>
      <c r="HU125" s="31"/>
      <c r="HV125" s="31"/>
      <c r="HW125" s="31"/>
      <c r="HX125" s="31"/>
      <c r="HY125" s="31"/>
      <c r="HZ125" s="31"/>
      <c r="IA125" s="31"/>
      <c r="IB125" s="31"/>
      <c r="IC125" s="31"/>
      <c r="ID125" s="31"/>
      <c r="IE125" s="31"/>
      <c r="IF125" s="31"/>
      <c r="IG125" s="31"/>
      <c r="IH125" s="31"/>
      <c r="II125" s="31"/>
      <c r="IJ125" s="31"/>
      <c r="IK125" s="31"/>
      <c r="IL125" s="31"/>
      <c r="IM125" s="31"/>
      <c r="IN125" s="31"/>
      <c r="IO125" s="31">
        <v>0.9</v>
      </c>
      <c r="IP125" s="31"/>
      <c r="IQ125" s="31"/>
      <c r="IR125" s="31"/>
      <c r="IS125" s="31"/>
      <c r="IT125" s="31"/>
      <c r="IU125" s="31"/>
      <c r="IV125" s="31"/>
      <c r="IW125" s="31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  <c r="JH125" s="31"/>
      <c r="JI125" s="31"/>
      <c r="JJ125" s="31"/>
      <c r="JK125" s="31"/>
      <c r="JL125" s="31"/>
      <c r="JM125" s="31"/>
      <c r="JN125" s="31"/>
      <c r="JO125" s="31"/>
      <c r="JP125" s="31"/>
      <c r="JQ125" s="31"/>
      <c r="JR125" s="31"/>
      <c r="JS125" s="31">
        <v>3.2</v>
      </c>
      <c r="JT125" s="31"/>
      <c r="JU125" s="31"/>
      <c r="JV125" s="31"/>
      <c r="JW125" s="31"/>
      <c r="JX125" s="31"/>
      <c r="JY125" s="31"/>
      <c r="JZ125" s="31"/>
      <c r="KA125" s="31"/>
      <c r="KB125" s="31"/>
      <c r="KC125" s="31"/>
      <c r="KD125" s="31"/>
      <c r="KE125" s="31"/>
      <c r="KF125" s="31"/>
      <c r="KG125" s="31"/>
      <c r="KH125" s="31"/>
      <c r="KI125" s="31"/>
      <c r="KJ125" s="31"/>
      <c r="KK125" s="31"/>
      <c r="KL125" s="31"/>
      <c r="KM125" s="31"/>
      <c r="KN125" s="31"/>
      <c r="KO125" s="31"/>
      <c r="KP125" s="31"/>
      <c r="KQ125" s="31"/>
      <c r="KR125" s="31"/>
      <c r="KS125" s="31"/>
      <c r="KT125" s="31"/>
      <c r="KU125" s="31"/>
      <c r="KV125" s="31"/>
      <c r="KW125" s="31"/>
      <c r="KX125" s="31">
        <v>1.9</v>
      </c>
      <c r="KY125" s="31"/>
      <c r="KZ125" s="31"/>
      <c r="LA125" s="31"/>
      <c r="LB125" s="31"/>
      <c r="LC125" s="31"/>
      <c r="LD125" s="31"/>
      <c r="LE125" s="31"/>
      <c r="LF125" s="31"/>
      <c r="LG125" s="31"/>
      <c r="LH125" s="31"/>
      <c r="LI125" s="31"/>
      <c r="LJ125" s="31"/>
      <c r="LK125" s="31"/>
      <c r="LL125" s="31"/>
      <c r="LM125" s="31"/>
      <c r="LN125" s="31"/>
      <c r="LO125" s="31"/>
      <c r="LP125" s="31"/>
      <c r="LQ125" s="31"/>
      <c r="LR125" s="31"/>
      <c r="LS125" s="31"/>
      <c r="LT125" s="31"/>
      <c r="LU125" s="31"/>
      <c r="LV125" s="31"/>
      <c r="LW125" s="31"/>
      <c r="LX125" s="31"/>
      <c r="LY125" s="31"/>
      <c r="LZ125" s="31"/>
      <c r="MA125" s="31"/>
      <c r="MB125" s="31">
        <v>0.1</v>
      </c>
      <c r="MC125" s="31"/>
      <c r="MD125" s="31"/>
      <c r="ME125" s="31"/>
      <c r="MF125" s="31"/>
      <c r="MG125" s="31"/>
      <c r="MH125" s="31"/>
      <c r="MI125" s="31"/>
      <c r="MJ125" s="31"/>
      <c r="MK125" s="31"/>
      <c r="ML125" s="31"/>
      <c r="MM125" s="31"/>
      <c r="MN125" s="31"/>
      <c r="MO125" s="31"/>
      <c r="MP125" s="31"/>
      <c r="MQ125" s="31"/>
      <c r="MR125" s="31"/>
      <c r="MS125" s="31"/>
      <c r="MT125" s="31"/>
      <c r="MU125" s="31"/>
      <c r="MV125" s="31"/>
      <c r="MW125" s="31"/>
      <c r="MX125" s="31"/>
      <c r="MY125" s="31"/>
      <c r="MZ125" s="31"/>
      <c r="NA125" s="31"/>
      <c r="NB125" s="31"/>
      <c r="NC125" s="31"/>
      <c r="ND125" s="31"/>
      <c r="NE125" s="31"/>
      <c r="NF125" s="31"/>
      <c r="NG125" s="31">
        <v>0.6</v>
      </c>
      <c r="NH125" s="31"/>
      <c r="NI125" s="31"/>
      <c r="NJ125" s="31"/>
      <c r="NK125" s="31"/>
      <c r="NL125" s="31"/>
      <c r="NM125" s="31"/>
      <c r="NN125" s="31"/>
      <c r="NO125" s="31"/>
      <c r="NP125" s="31"/>
      <c r="NQ125" s="31"/>
      <c r="NR125" s="31"/>
      <c r="NS125" s="31"/>
      <c r="NT125" s="31"/>
      <c r="NU125" s="31"/>
      <c r="NV125" s="31"/>
      <c r="NW125" s="31"/>
      <c r="NX125" s="31"/>
      <c r="NY125" s="31"/>
      <c r="NZ125" s="31"/>
      <c r="OA125" s="31"/>
      <c r="OB125" s="31"/>
      <c r="OC125" s="31"/>
      <c r="OD125" s="31"/>
      <c r="OE125" s="31"/>
      <c r="OF125" s="31"/>
      <c r="OG125" s="31"/>
      <c r="OH125" s="31"/>
      <c r="OI125" s="31"/>
      <c r="OJ125" s="31"/>
      <c r="OK125" s="31"/>
      <c r="OL125" s="31"/>
      <c r="OM125" s="31"/>
      <c r="ON125" s="31"/>
      <c r="OO125" s="31"/>
      <c r="OP125" s="31"/>
      <c r="OQ125" s="31"/>
      <c r="OR125" s="31"/>
      <c r="OS125" s="31"/>
      <c r="OT125" s="31"/>
      <c r="OU125" s="31"/>
      <c r="OV125" s="31"/>
      <c r="OW125" s="31"/>
      <c r="OX125" s="31"/>
      <c r="OY125" s="31"/>
      <c r="OZ125" s="31"/>
      <c r="PA125" s="31"/>
      <c r="PB125" s="31"/>
      <c r="PC125" s="31"/>
      <c r="PD125" s="31"/>
      <c r="PE125" s="31"/>
      <c r="PF125" s="31"/>
      <c r="PG125" s="31"/>
      <c r="PH125" s="31"/>
      <c r="PI125" s="31"/>
      <c r="PJ125" s="31"/>
      <c r="PK125" s="31"/>
      <c r="PL125" s="31"/>
      <c r="PM125" s="31"/>
      <c r="PN125" s="31">
        <v>15.2</v>
      </c>
      <c r="PO125" s="31"/>
      <c r="PP125" s="31"/>
      <c r="PQ125" s="31"/>
      <c r="PR125" s="31"/>
      <c r="PS125" s="31"/>
      <c r="PT125" s="31"/>
      <c r="PU125" s="31"/>
      <c r="PV125" s="31"/>
      <c r="PW125" s="31"/>
      <c r="PX125" s="31"/>
      <c r="PY125" s="31"/>
      <c r="PZ125" s="31"/>
      <c r="QA125" s="31"/>
      <c r="QB125" s="31"/>
      <c r="QC125" s="31"/>
      <c r="QD125" s="31"/>
      <c r="QE125" s="31"/>
      <c r="QF125" s="31"/>
      <c r="QG125" s="31"/>
      <c r="QH125" s="31"/>
      <c r="QI125" s="31"/>
      <c r="QJ125" s="31"/>
      <c r="QK125" s="31"/>
      <c r="QL125" s="31"/>
      <c r="QM125" s="31"/>
      <c r="QN125" s="31"/>
      <c r="QO125" s="31"/>
      <c r="QP125" s="31"/>
      <c r="QQ125" s="31"/>
      <c r="QR125" s="31"/>
      <c r="QS125" s="31">
        <v>15.5</v>
      </c>
      <c r="QT125" s="31"/>
      <c r="QU125" s="31"/>
      <c r="QV125" s="31"/>
      <c r="QW125" s="31"/>
      <c r="QX125" s="31"/>
      <c r="QY125" s="31"/>
      <c r="QZ125" s="31"/>
      <c r="RA125" s="31"/>
      <c r="RB125" s="31"/>
      <c r="RC125" s="31"/>
      <c r="RD125" s="31"/>
      <c r="RE125" s="31"/>
      <c r="RF125" s="31"/>
      <c r="RG125" s="31"/>
      <c r="RH125" s="31"/>
      <c r="RI125" s="31"/>
      <c r="RJ125" s="31"/>
      <c r="RK125" s="31"/>
      <c r="RL125" s="31"/>
      <c r="RM125" s="31"/>
      <c r="RN125" s="31"/>
      <c r="RO125" s="31"/>
      <c r="RP125" s="31"/>
      <c r="RQ125" s="31"/>
      <c r="RR125" s="31"/>
      <c r="RS125" s="31"/>
      <c r="RT125" s="31"/>
      <c r="RU125" s="31"/>
      <c r="RV125" s="31"/>
      <c r="RW125" s="31">
        <v>18.2</v>
      </c>
      <c r="RX125" s="31"/>
      <c r="RY125" s="31"/>
      <c r="RZ125" s="31"/>
      <c r="SA125" s="31"/>
      <c r="SB125" s="31"/>
      <c r="SC125" s="31"/>
      <c r="SD125" s="31"/>
      <c r="SE125" s="31"/>
      <c r="SF125" s="31"/>
      <c r="SG125" s="31"/>
      <c r="SH125" s="31"/>
      <c r="SI125" s="31"/>
      <c r="SJ125" s="31"/>
      <c r="SK125" s="31"/>
      <c r="SL125" s="31"/>
      <c r="SM125" s="31"/>
      <c r="SN125" s="31"/>
      <c r="SO125" s="31"/>
      <c r="SP125" s="31"/>
      <c r="SQ125" s="31"/>
      <c r="SR125" s="31"/>
      <c r="SS125" s="31"/>
      <c r="ST125" s="23"/>
      <c r="SU125" s="23"/>
      <c r="SV125" s="23"/>
      <c r="SW125" s="23"/>
      <c r="SX125" s="23"/>
      <c r="SY125" s="23"/>
      <c r="SZ125" s="23"/>
      <c r="TA125" s="23"/>
      <c r="TB125" s="23">
        <v>18.8</v>
      </c>
      <c r="TC125" s="23"/>
      <c r="TD125" s="23"/>
      <c r="TE125" s="23"/>
      <c r="TF125" s="23"/>
      <c r="TG125" s="23"/>
      <c r="TH125" s="23"/>
      <c r="TI125" s="23"/>
      <c r="TJ125" s="23"/>
      <c r="TK125" s="23"/>
      <c r="TL125" s="23"/>
      <c r="TM125" s="23"/>
      <c r="TN125" s="23"/>
      <c r="TO125" s="23"/>
      <c r="TP125" s="23"/>
      <c r="TQ125" s="23"/>
      <c r="TR125" s="23"/>
      <c r="TS125" s="23"/>
      <c r="TT125" s="23"/>
      <c r="TU125" s="23"/>
      <c r="TV125" s="23"/>
      <c r="TW125" s="23"/>
      <c r="TX125" s="23"/>
      <c r="TY125" s="23"/>
      <c r="TZ125" s="23"/>
      <c r="UA125" s="23"/>
      <c r="UB125" s="23"/>
      <c r="UC125" s="23"/>
      <c r="UD125" s="23"/>
      <c r="UE125" s="23"/>
      <c r="UF125" s="23"/>
      <c r="UG125" s="23"/>
      <c r="UH125" s="23"/>
      <c r="UI125" s="23"/>
      <c r="UJ125" s="23"/>
      <c r="UK125" s="23"/>
      <c r="UL125" s="23"/>
      <c r="UM125" s="23"/>
      <c r="UN125" s="23"/>
      <c r="UO125" s="23"/>
      <c r="UP125" s="23"/>
      <c r="UQ125" s="23"/>
      <c r="UR125" s="23"/>
      <c r="US125" s="23"/>
      <c r="UT125" s="23"/>
    </row>
    <row r="126" spans="4:566">
      <c r="D126" t="s">
        <v>355</v>
      </c>
      <c r="E126" t="s">
        <v>356</v>
      </c>
      <c r="F126" s="31"/>
      <c r="G126" s="31">
        <v>4.4</v>
      </c>
      <c r="H126" s="31">
        <v>4.4</v>
      </c>
      <c r="I126" s="31">
        <v>4.4</v>
      </c>
      <c r="J126" s="31">
        <v>4.4</v>
      </c>
      <c r="K126" s="31">
        <v>4.4</v>
      </c>
      <c r="L126" s="31">
        <v>4.4</v>
      </c>
      <c r="M126" s="31">
        <v>4.4</v>
      </c>
      <c r="N126" s="31">
        <v>4.4</v>
      </c>
      <c r="O126" s="31">
        <v>4.4</v>
      </c>
      <c r="P126" s="31">
        <v>4.4</v>
      </c>
      <c r="Q126" s="31">
        <v>4.4</v>
      </c>
      <c r="R126" s="31">
        <v>4.4</v>
      </c>
      <c r="S126" s="31">
        <v>4.4</v>
      </c>
      <c r="T126" s="31">
        <v>4.4</v>
      </c>
      <c r="U126" s="31">
        <v>4.4</v>
      </c>
      <c r="V126" s="31">
        <v>4.4</v>
      </c>
      <c r="W126" s="31">
        <v>4.4</v>
      </c>
      <c r="X126" s="31">
        <v>4.4</v>
      </c>
      <c r="Y126" s="31">
        <v>4.4</v>
      </c>
      <c r="Z126" s="31">
        <v>4.4</v>
      </c>
      <c r="AA126" s="31">
        <v>4.4</v>
      </c>
      <c r="AB126" s="31">
        <v>4.4</v>
      </c>
      <c r="AC126" s="31">
        <v>4.4</v>
      </c>
      <c r="AD126" s="31">
        <v>4.4</v>
      </c>
      <c r="AE126" s="31">
        <v>4.4</v>
      </c>
      <c r="AF126" s="31">
        <v>4.4</v>
      </c>
      <c r="AG126" s="31">
        <v>4.4</v>
      </c>
      <c r="AH126" s="31">
        <v>4.4</v>
      </c>
      <c r="AI126" s="31">
        <v>4.4</v>
      </c>
      <c r="AJ126" s="31">
        <v>4.4</v>
      </c>
      <c r="AK126" s="31">
        <v>4.4</v>
      </c>
      <c r="AL126" s="31">
        <v>4.4</v>
      </c>
      <c r="AM126" s="31">
        <v>4.4</v>
      </c>
      <c r="AN126" s="31">
        <v>4.4</v>
      </c>
      <c r="AO126" s="31">
        <v>4.4</v>
      </c>
      <c r="AP126" s="31">
        <v>4.4</v>
      </c>
      <c r="AQ126" s="31">
        <v>4.4</v>
      </c>
      <c r="AR126" s="31">
        <v>4.4</v>
      </c>
      <c r="AS126" s="31">
        <v>4.4</v>
      </c>
      <c r="AT126" s="31">
        <v>4.4</v>
      </c>
      <c r="AU126" s="31">
        <v>4.4</v>
      </c>
      <c r="AV126" s="31">
        <v>4.4</v>
      </c>
      <c r="AW126" s="31">
        <v>4.4</v>
      </c>
      <c r="AX126" s="31">
        <v>4.4</v>
      </c>
      <c r="AY126" s="31">
        <v>4.4</v>
      </c>
      <c r="AZ126" s="31">
        <v>4.4</v>
      </c>
      <c r="BA126" s="31">
        <v>4.4</v>
      </c>
      <c r="BB126" s="31">
        <v>4.4</v>
      </c>
      <c r="BC126" s="31">
        <v>4.4</v>
      </c>
      <c r="BD126" s="31">
        <v>4.4</v>
      </c>
      <c r="BE126" s="31">
        <v>4.4</v>
      </c>
      <c r="BF126" s="31">
        <v>4.4</v>
      </c>
      <c r="BG126" s="31">
        <v>4.4</v>
      </c>
      <c r="BH126" s="31">
        <v>4.4</v>
      </c>
      <c r="BI126" s="31">
        <v>4.4</v>
      </c>
      <c r="BJ126" s="31">
        <v>4.4</v>
      </c>
      <c r="BK126" s="31">
        <v>4.4</v>
      </c>
      <c r="BL126" s="31">
        <v>4.4</v>
      </c>
      <c r="BM126" s="31">
        <v>4.4</v>
      </c>
      <c r="BN126" s="31">
        <v>4.4</v>
      </c>
      <c r="BO126" s="31">
        <v>4.4</v>
      </c>
      <c r="BP126" s="31">
        <v>4.4</v>
      </c>
      <c r="BQ126" s="31">
        <v>4.4</v>
      </c>
      <c r="BR126" s="31">
        <v>4.4</v>
      </c>
      <c r="BS126" s="31">
        <v>4.4</v>
      </c>
      <c r="BT126" s="31">
        <v>4.4</v>
      </c>
      <c r="BU126" s="31">
        <v>4.4</v>
      </c>
      <c r="BV126" s="31">
        <v>4.4</v>
      </c>
      <c r="BW126" s="31">
        <v>4.4</v>
      </c>
      <c r="BX126" s="31">
        <v>4.4</v>
      </c>
      <c r="BY126" s="31">
        <v>4.4</v>
      </c>
      <c r="BZ126" s="31">
        <v>4.4</v>
      </c>
      <c r="CA126" s="31">
        <v>4.4</v>
      </c>
      <c r="CB126" s="31">
        <v>4.4</v>
      </c>
      <c r="CC126" s="31">
        <v>4.4</v>
      </c>
      <c r="CD126" s="31">
        <v>4.4</v>
      </c>
      <c r="CE126" s="31">
        <v>4.4</v>
      </c>
      <c r="CF126" s="31">
        <v>4.4</v>
      </c>
      <c r="CG126" s="31">
        <v>4.4</v>
      </c>
      <c r="CH126" s="31">
        <v>4.4</v>
      </c>
      <c r="CI126" s="31">
        <v>4.4</v>
      </c>
      <c r="CJ126" s="31">
        <v>4.4</v>
      </c>
      <c r="CK126" s="31">
        <v>4.4</v>
      </c>
      <c r="CL126" s="31">
        <v>4.4</v>
      </c>
      <c r="CM126" s="31">
        <v>4.4</v>
      </c>
      <c r="CN126" s="31">
        <v>4.4</v>
      </c>
      <c r="CO126" s="31">
        <v>4.4</v>
      </c>
      <c r="CP126" s="31">
        <v>4.4</v>
      </c>
      <c r="CQ126" s="31">
        <v>4.4</v>
      </c>
      <c r="CR126" s="31">
        <v>4.4</v>
      </c>
      <c r="CS126" s="31">
        <v>4.4</v>
      </c>
      <c r="CT126" s="31">
        <v>4.4</v>
      </c>
      <c r="CU126" s="31">
        <v>4.4</v>
      </c>
      <c r="CV126" s="31">
        <v>4.4</v>
      </c>
      <c r="CW126" s="31">
        <v>4.4</v>
      </c>
      <c r="CX126" s="31">
        <v>4.4</v>
      </c>
      <c r="CY126" s="31">
        <v>4.4</v>
      </c>
      <c r="CZ126" s="31">
        <v>4.4</v>
      </c>
      <c r="DA126" s="31">
        <v>4.4</v>
      </c>
      <c r="DB126" s="31">
        <v>4.4</v>
      </c>
      <c r="DC126" s="31">
        <v>4.4</v>
      </c>
      <c r="DD126" s="31">
        <v>4.4</v>
      </c>
      <c r="DE126" s="31">
        <v>4.4</v>
      </c>
      <c r="DF126" s="31">
        <v>4.4</v>
      </c>
      <c r="DG126" s="31">
        <v>4.4</v>
      </c>
      <c r="DH126" s="31">
        <v>4.4</v>
      </c>
      <c r="DI126" s="31">
        <v>4.4</v>
      </c>
      <c r="DJ126" s="31">
        <v>4.4</v>
      </c>
      <c r="DK126" s="31">
        <v>4.4</v>
      </c>
      <c r="DL126" s="31">
        <v>4.4</v>
      </c>
      <c r="DM126" s="31">
        <v>4.4</v>
      </c>
      <c r="DN126" s="31">
        <v>4.4</v>
      </c>
      <c r="DO126" s="31">
        <v>4.4</v>
      </c>
      <c r="DP126" s="31">
        <v>4.4</v>
      </c>
      <c r="DQ126" s="31">
        <v>4.4</v>
      </c>
      <c r="DR126" s="31">
        <v>4.4</v>
      </c>
      <c r="DS126" s="31">
        <v>4.4</v>
      </c>
      <c r="DT126" s="31">
        <v>4.4</v>
      </c>
      <c r="DU126" s="31">
        <v>4.4</v>
      </c>
      <c r="DV126" s="31">
        <v>4.4</v>
      </c>
      <c r="DW126" s="31">
        <v>4.4</v>
      </c>
      <c r="DX126" s="31">
        <v>4.4</v>
      </c>
      <c r="DY126" s="31">
        <v>4.4</v>
      </c>
      <c r="DZ126" s="31">
        <v>4.4</v>
      </c>
      <c r="EA126" s="31">
        <v>4.4</v>
      </c>
      <c r="EB126" s="31">
        <v>4.4</v>
      </c>
      <c r="EC126" s="31">
        <v>4.4</v>
      </c>
      <c r="ED126" s="31">
        <v>4.4</v>
      </c>
      <c r="EE126" s="31">
        <v>4.4</v>
      </c>
      <c r="EF126" s="31">
        <v>4.4</v>
      </c>
      <c r="EG126" s="31">
        <v>4.4</v>
      </c>
      <c r="EH126" s="31">
        <v>4.4</v>
      </c>
      <c r="EI126" s="31">
        <v>4.4</v>
      </c>
      <c r="EJ126" s="31">
        <v>4.4</v>
      </c>
      <c r="EK126" s="31">
        <v>4.4</v>
      </c>
      <c r="EL126" s="31">
        <v>4.4</v>
      </c>
      <c r="EM126" s="31">
        <v>4.4</v>
      </c>
      <c r="EN126" s="31">
        <v>4.4</v>
      </c>
      <c r="EO126" s="31">
        <v>4.4</v>
      </c>
      <c r="EP126" s="31">
        <v>4.4</v>
      </c>
      <c r="EQ126" s="31">
        <v>4.4</v>
      </c>
      <c r="ER126" s="31">
        <v>4.4</v>
      </c>
      <c r="ES126" s="31">
        <v>4.4</v>
      </c>
      <c r="ET126" s="31">
        <v>4.4</v>
      </c>
      <c r="EU126" s="31">
        <v>4.4</v>
      </c>
      <c r="EV126" s="31">
        <v>4.4</v>
      </c>
      <c r="EW126" s="31">
        <v>4.4</v>
      </c>
      <c r="EX126" s="31">
        <v>4.4</v>
      </c>
      <c r="EY126" s="31">
        <v>4.4</v>
      </c>
      <c r="EZ126" s="31">
        <v>4.4</v>
      </c>
      <c r="FA126" s="31">
        <v>4.4</v>
      </c>
      <c r="FB126" s="31"/>
      <c r="FC126" s="31"/>
      <c r="FD126" s="31">
        <v>4.4</v>
      </c>
      <c r="FE126" s="31">
        <v>4.4</v>
      </c>
      <c r="FF126" s="31">
        <v>4.4</v>
      </c>
      <c r="FG126" s="31">
        <v>4.4</v>
      </c>
      <c r="FH126" s="31">
        <v>4.4</v>
      </c>
      <c r="FI126" s="31">
        <v>4.4</v>
      </c>
      <c r="FJ126" s="31">
        <v>4.4</v>
      </c>
      <c r="FK126" s="31">
        <v>4.4</v>
      </c>
      <c r="FL126" s="31">
        <v>4.4</v>
      </c>
      <c r="FM126" s="31">
        <v>4.4</v>
      </c>
      <c r="FN126" s="31">
        <v>4.4</v>
      </c>
      <c r="FO126" s="31">
        <v>4.4</v>
      </c>
      <c r="FP126" s="31">
        <v>4.4</v>
      </c>
      <c r="FQ126" s="31">
        <v>4.4</v>
      </c>
      <c r="FR126" s="31">
        <v>4.4</v>
      </c>
      <c r="FS126" s="31">
        <v>4.4</v>
      </c>
      <c r="FT126" s="31">
        <v>4.4</v>
      </c>
      <c r="FU126" s="31">
        <v>4.4</v>
      </c>
      <c r="FV126" s="31">
        <v>4.4</v>
      </c>
      <c r="FW126" s="31">
        <v>4.4</v>
      </c>
      <c r="FX126" s="31">
        <v>4.4</v>
      </c>
      <c r="FY126" s="31">
        <v>4.4</v>
      </c>
      <c r="FZ126" s="31">
        <v>4.4</v>
      </c>
      <c r="GA126" s="31">
        <v>4.4</v>
      </c>
      <c r="GB126" s="31">
        <v>4.4</v>
      </c>
      <c r="GC126" s="31">
        <v>4.4</v>
      </c>
      <c r="GD126" s="31">
        <v>4.4</v>
      </c>
      <c r="GE126" s="31">
        <v>4.4</v>
      </c>
      <c r="GF126" s="31">
        <v>4.4</v>
      </c>
      <c r="GG126" s="31">
        <v>4.4</v>
      </c>
      <c r="GH126" s="31">
        <v>4.4</v>
      </c>
      <c r="GI126" s="31">
        <v>4.4</v>
      </c>
      <c r="GJ126" s="31">
        <v>4.4</v>
      </c>
      <c r="GK126" s="31">
        <v>4.4</v>
      </c>
      <c r="GL126" s="31">
        <v>4.4</v>
      </c>
      <c r="GM126" s="31">
        <v>4.4</v>
      </c>
      <c r="GN126" s="31">
        <v>4.4</v>
      </c>
      <c r="GO126" s="31">
        <v>4.4</v>
      </c>
      <c r="GP126" s="31">
        <v>4.4</v>
      </c>
      <c r="GQ126" s="31">
        <v>4.4</v>
      </c>
      <c r="GR126" s="31">
        <v>4.4</v>
      </c>
      <c r="GS126" s="31">
        <v>4.4</v>
      </c>
      <c r="GT126" s="31">
        <v>4.4</v>
      </c>
      <c r="GU126" s="31">
        <v>4.4</v>
      </c>
      <c r="GV126" s="31">
        <v>4.4</v>
      </c>
      <c r="GW126" s="31">
        <v>4.4</v>
      </c>
      <c r="GX126" s="31">
        <v>4.4</v>
      </c>
      <c r="GY126" s="31">
        <v>4.4</v>
      </c>
      <c r="GZ126" s="31">
        <v>4.4</v>
      </c>
      <c r="HA126" s="31">
        <v>4.4</v>
      </c>
      <c r="HB126" s="31">
        <v>4.4</v>
      </c>
      <c r="HC126" s="31">
        <v>4.4</v>
      </c>
      <c r="HD126" s="31">
        <v>4.4</v>
      </c>
      <c r="HE126" s="31">
        <v>4.4</v>
      </c>
      <c r="HF126" s="31">
        <v>4.4</v>
      </c>
      <c r="HG126" s="31">
        <v>4.4</v>
      </c>
      <c r="HH126" s="31">
        <v>4.4</v>
      </c>
      <c r="HI126" s="31">
        <v>4.4</v>
      </c>
      <c r="HJ126" s="31">
        <v>4.4</v>
      </c>
      <c r="HK126" s="31">
        <v>4.4</v>
      </c>
      <c r="HL126" s="31">
        <v>4.4</v>
      </c>
      <c r="HM126" s="31">
        <v>4.4</v>
      </c>
      <c r="HN126" s="31">
        <v>4.4</v>
      </c>
      <c r="HO126" s="31">
        <v>4.4</v>
      </c>
      <c r="HP126" s="31">
        <v>4.4</v>
      </c>
      <c r="HQ126" s="31">
        <v>4.4</v>
      </c>
      <c r="HR126" s="31">
        <v>4.4</v>
      </c>
      <c r="HS126" s="31">
        <v>4.4</v>
      </c>
      <c r="HT126" s="31">
        <v>4.4</v>
      </c>
      <c r="HU126" s="31">
        <v>4.4</v>
      </c>
      <c r="HV126" s="31">
        <v>4.4</v>
      </c>
      <c r="HW126" s="31">
        <v>4.4</v>
      </c>
      <c r="HX126" s="31">
        <v>4.4</v>
      </c>
      <c r="HY126" s="31">
        <v>4.4</v>
      </c>
      <c r="HZ126" s="31">
        <v>4.4</v>
      </c>
      <c r="IA126" s="31">
        <v>4.4</v>
      </c>
      <c r="IB126" s="31">
        <v>4.4</v>
      </c>
      <c r="IC126" s="31">
        <v>4.4</v>
      </c>
      <c r="ID126" s="31">
        <v>4.4</v>
      </c>
      <c r="IE126" s="31">
        <v>4.4</v>
      </c>
      <c r="IF126" s="31">
        <v>4.4</v>
      </c>
      <c r="IG126" s="31">
        <v>4.4</v>
      </c>
      <c r="IH126" s="31">
        <v>4.4</v>
      </c>
      <c r="II126" s="31">
        <v>4.4</v>
      </c>
      <c r="IJ126" s="31">
        <v>4.4</v>
      </c>
      <c r="IK126" s="31">
        <v>4.4</v>
      </c>
      <c r="IL126" s="31">
        <v>4.4</v>
      </c>
      <c r="IM126" s="31">
        <v>4.4</v>
      </c>
      <c r="IN126" s="31">
        <v>4.4</v>
      </c>
      <c r="IO126" s="31">
        <v>4.4</v>
      </c>
      <c r="IP126" s="31"/>
      <c r="IQ126" s="31"/>
      <c r="IR126" s="31">
        <v>4.4</v>
      </c>
      <c r="IS126" s="31">
        <v>4.4</v>
      </c>
      <c r="IT126" s="31">
        <v>4.4</v>
      </c>
      <c r="IU126" s="31">
        <v>4.4</v>
      </c>
      <c r="IV126" s="31">
        <v>4.4</v>
      </c>
      <c r="IW126" s="31">
        <v>4.4</v>
      </c>
      <c r="IX126" s="31">
        <v>4.4</v>
      </c>
      <c r="IY126" s="31">
        <v>4.4</v>
      </c>
      <c r="IZ126" s="31">
        <v>4.4</v>
      </c>
      <c r="JA126" s="31">
        <v>4.4</v>
      </c>
      <c r="JB126" s="31">
        <v>4.4</v>
      </c>
      <c r="JC126" s="31">
        <v>4.4</v>
      </c>
      <c r="JD126" s="31">
        <v>4.4</v>
      </c>
      <c r="JE126" s="31">
        <v>4.4</v>
      </c>
      <c r="JF126" s="31">
        <v>4.4</v>
      </c>
      <c r="JG126" s="31">
        <v>4.15</v>
      </c>
      <c r="JH126" s="31">
        <v>4.15</v>
      </c>
      <c r="JI126" s="31">
        <v>4.15</v>
      </c>
      <c r="JJ126" s="31">
        <v>4.15</v>
      </c>
      <c r="JK126" s="31">
        <v>4.15</v>
      </c>
      <c r="JL126" s="31">
        <v>4.15</v>
      </c>
      <c r="JM126" s="31">
        <v>4.15</v>
      </c>
      <c r="JN126" s="31">
        <v>4.15</v>
      </c>
      <c r="JO126" s="31">
        <v>4.15</v>
      </c>
      <c r="JP126" s="31">
        <v>4.15</v>
      </c>
      <c r="JQ126" s="31">
        <v>4.15</v>
      </c>
      <c r="JR126" s="31">
        <v>4.15</v>
      </c>
      <c r="JS126" s="31">
        <v>4.15</v>
      </c>
      <c r="JT126" s="31">
        <v>4.15</v>
      </c>
      <c r="JU126" s="31">
        <v>4.15</v>
      </c>
      <c r="JV126" s="31">
        <v>4.15</v>
      </c>
      <c r="JW126" s="31">
        <v>4.15</v>
      </c>
      <c r="JX126" s="31">
        <v>4.15</v>
      </c>
      <c r="JY126" s="31">
        <v>4.15</v>
      </c>
      <c r="JZ126" s="31">
        <v>4.15</v>
      </c>
      <c r="KA126" s="31">
        <v>4.15</v>
      </c>
      <c r="KB126" s="31">
        <v>4.15</v>
      </c>
      <c r="KC126" s="31">
        <v>4.15</v>
      </c>
      <c r="KD126" s="31">
        <v>4.15</v>
      </c>
      <c r="KE126" s="31">
        <v>4.15</v>
      </c>
      <c r="KF126" s="31">
        <v>4.15</v>
      </c>
      <c r="KG126" s="31">
        <v>4.15</v>
      </c>
      <c r="KH126" s="31">
        <v>4.15</v>
      </c>
      <c r="KI126" s="31">
        <v>4.15</v>
      </c>
      <c r="KJ126" s="31">
        <v>4.15</v>
      </c>
      <c r="KK126" s="31">
        <v>4.15</v>
      </c>
      <c r="KL126" s="31">
        <v>4.15</v>
      </c>
      <c r="KM126" s="31">
        <v>4.15</v>
      </c>
      <c r="KN126" s="31">
        <v>4.15</v>
      </c>
      <c r="KO126" s="31">
        <v>4.15</v>
      </c>
      <c r="KP126" s="31">
        <v>4.15</v>
      </c>
      <c r="KQ126" s="31">
        <v>4.15</v>
      </c>
      <c r="KR126" s="31">
        <v>4.15</v>
      </c>
      <c r="KS126" s="31">
        <v>4.15</v>
      </c>
      <c r="KT126" s="31">
        <v>4.15</v>
      </c>
      <c r="KU126" s="31">
        <v>4.15</v>
      </c>
      <c r="KV126" s="31">
        <v>4.15</v>
      </c>
      <c r="KW126" s="31">
        <v>3.9</v>
      </c>
      <c r="KX126" s="31">
        <v>3.9</v>
      </c>
      <c r="KY126" s="31">
        <v>3.9</v>
      </c>
      <c r="KZ126" s="31">
        <v>3.9</v>
      </c>
      <c r="LA126" s="31">
        <v>3.9</v>
      </c>
      <c r="LB126" s="31">
        <v>3.9</v>
      </c>
      <c r="LC126" s="31">
        <v>3.9</v>
      </c>
      <c r="LD126" s="31">
        <v>3.9</v>
      </c>
      <c r="LE126" s="31">
        <v>3.9</v>
      </c>
      <c r="LF126" s="31">
        <v>3.9</v>
      </c>
      <c r="LG126" s="31">
        <v>3.9</v>
      </c>
      <c r="LH126" s="31">
        <v>3.9</v>
      </c>
      <c r="LI126" s="31">
        <v>3.9</v>
      </c>
      <c r="LJ126" s="31">
        <v>3.9</v>
      </c>
      <c r="LK126" s="31">
        <v>3.9</v>
      </c>
      <c r="LL126" s="31">
        <v>3.9</v>
      </c>
      <c r="LM126" s="31">
        <v>3.9</v>
      </c>
      <c r="LN126" s="31">
        <v>3.9</v>
      </c>
      <c r="LO126" s="31">
        <v>3.9</v>
      </c>
      <c r="LP126" s="31">
        <v>3.9</v>
      </c>
      <c r="LQ126" s="31">
        <v>3.9</v>
      </c>
      <c r="LR126" s="31">
        <v>3.9</v>
      </c>
      <c r="LS126" s="31">
        <v>3.9</v>
      </c>
      <c r="LT126" s="31">
        <v>3.9</v>
      </c>
      <c r="LU126" s="31">
        <v>3.9</v>
      </c>
      <c r="LV126" s="31">
        <v>3.9</v>
      </c>
      <c r="LW126" s="31">
        <v>3.9</v>
      </c>
      <c r="LX126" s="31">
        <v>3.9</v>
      </c>
      <c r="LY126" s="31">
        <v>3.9</v>
      </c>
      <c r="LZ126" s="31">
        <v>3.9</v>
      </c>
      <c r="MA126" s="31">
        <v>3.9</v>
      </c>
      <c r="MB126" s="31">
        <v>3.9</v>
      </c>
      <c r="MC126" s="31"/>
      <c r="MD126" s="31">
        <v>3.9</v>
      </c>
      <c r="ME126" s="31">
        <v>3.9</v>
      </c>
      <c r="MF126" s="31">
        <v>3.9</v>
      </c>
      <c r="MG126" s="31">
        <v>3.9</v>
      </c>
      <c r="MH126" s="31">
        <v>3.9</v>
      </c>
      <c r="MI126" s="31">
        <v>3.9</v>
      </c>
      <c r="MJ126" s="31">
        <v>3.9</v>
      </c>
      <c r="MK126" s="31">
        <v>3.9</v>
      </c>
      <c r="ML126" s="31">
        <v>3.9</v>
      </c>
      <c r="MM126" s="31">
        <v>3.65</v>
      </c>
      <c r="MN126" s="31">
        <v>3.65</v>
      </c>
      <c r="MO126" s="31">
        <v>3.65</v>
      </c>
      <c r="MP126" s="31">
        <v>3.65</v>
      </c>
      <c r="MQ126" s="31">
        <v>3.65</v>
      </c>
      <c r="MR126" s="31">
        <v>3.65</v>
      </c>
      <c r="MS126" s="31">
        <v>3.65</v>
      </c>
      <c r="MT126" s="31">
        <v>3.65</v>
      </c>
      <c r="MU126" s="31">
        <v>3.65</v>
      </c>
      <c r="MV126" s="31">
        <v>3.65</v>
      </c>
      <c r="MW126" s="31">
        <v>3.65</v>
      </c>
      <c r="MX126" s="31">
        <v>3.65</v>
      </c>
      <c r="MY126" s="31">
        <v>3.65</v>
      </c>
      <c r="MZ126" s="31">
        <v>3.65</v>
      </c>
      <c r="NA126" s="31">
        <v>3.65</v>
      </c>
      <c r="NB126" s="31">
        <v>3.65</v>
      </c>
      <c r="NC126" s="31">
        <v>3.65</v>
      </c>
      <c r="ND126" s="31">
        <v>3.65</v>
      </c>
      <c r="NE126" s="31">
        <v>3.65</v>
      </c>
      <c r="NF126" s="31">
        <v>3.65</v>
      </c>
      <c r="NG126" s="31">
        <v>3.65</v>
      </c>
      <c r="NH126" s="31">
        <v>3.65</v>
      </c>
      <c r="NI126" s="31">
        <v>3.65</v>
      </c>
      <c r="NJ126" s="31">
        <v>3.65</v>
      </c>
      <c r="NK126" s="31">
        <v>3.65</v>
      </c>
      <c r="NL126" s="31">
        <v>3.65</v>
      </c>
      <c r="NM126" s="31">
        <v>3.65</v>
      </c>
      <c r="NN126" s="31">
        <v>3.65</v>
      </c>
      <c r="NO126" s="31">
        <v>3.65</v>
      </c>
      <c r="NP126" s="31">
        <v>3.65</v>
      </c>
      <c r="NQ126" s="31">
        <v>3.65</v>
      </c>
      <c r="NR126" s="31">
        <v>3.65</v>
      </c>
      <c r="NS126" s="31">
        <v>3.65</v>
      </c>
      <c r="NT126" s="31">
        <v>3.65</v>
      </c>
      <c r="NU126" s="31">
        <v>3.65</v>
      </c>
      <c r="NV126" s="31">
        <v>3.65</v>
      </c>
      <c r="NW126" s="31">
        <v>3.65</v>
      </c>
      <c r="NX126" s="31">
        <v>3.65</v>
      </c>
      <c r="NY126" s="31">
        <v>3.65</v>
      </c>
      <c r="NZ126" s="31">
        <v>3.65</v>
      </c>
      <c r="OA126" s="31">
        <v>3.65</v>
      </c>
      <c r="OB126" s="31">
        <v>3.65</v>
      </c>
      <c r="OC126" s="31">
        <v>3.65</v>
      </c>
      <c r="OD126" s="31">
        <v>3.65</v>
      </c>
      <c r="OE126" s="31">
        <v>3.65</v>
      </c>
      <c r="OF126" s="31">
        <v>3.65</v>
      </c>
      <c r="OG126" s="31">
        <v>3.65</v>
      </c>
      <c r="OH126" s="31">
        <v>3.65</v>
      </c>
      <c r="OI126" s="31">
        <v>3.65</v>
      </c>
      <c r="OJ126" s="31">
        <v>3.65</v>
      </c>
      <c r="OK126" s="31">
        <v>3.65</v>
      </c>
      <c r="OL126" s="31">
        <v>3.65</v>
      </c>
      <c r="OM126" s="31"/>
      <c r="ON126" s="31"/>
      <c r="OO126" s="31">
        <v>3.65</v>
      </c>
      <c r="OP126" s="31">
        <v>3.65</v>
      </c>
      <c r="OQ126" s="31">
        <v>3.65</v>
      </c>
      <c r="OR126" s="31">
        <v>3.65</v>
      </c>
      <c r="OS126" s="31">
        <v>3.65</v>
      </c>
      <c r="OT126" s="31">
        <v>3.65</v>
      </c>
      <c r="OU126" s="31">
        <v>3.65</v>
      </c>
      <c r="OV126" s="31">
        <v>3.65</v>
      </c>
      <c r="OW126" s="31">
        <v>3.65</v>
      </c>
      <c r="OX126" s="31">
        <v>3.65</v>
      </c>
      <c r="OY126" s="31">
        <v>3.65</v>
      </c>
      <c r="OZ126" s="31">
        <v>3.65</v>
      </c>
      <c r="PA126" s="31">
        <v>3.65</v>
      </c>
      <c r="PB126" s="31">
        <v>3.65</v>
      </c>
      <c r="PC126" s="31">
        <v>3.65</v>
      </c>
      <c r="PD126" s="31">
        <v>3.65</v>
      </c>
      <c r="PE126" s="31">
        <v>3.65</v>
      </c>
      <c r="PF126" s="31">
        <v>3.65</v>
      </c>
      <c r="PG126" s="31">
        <v>3.65</v>
      </c>
      <c r="PH126" s="31">
        <v>3.65</v>
      </c>
      <c r="PI126" s="31">
        <v>3.65</v>
      </c>
      <c r="PJ126" s="31">
        <v>3.65</v>
      </c>
      <c r="PK126" s="31">
        <v>3.65</v>
      </c>
      <c r="PL126" s="31">
        <v>3.65</v>
      </c>
      <c r="PM126" s="31">
        <v>3.65</v>
      </c>
      <c r="PN126" s="31">
        <v>3.65</v>
      </c>
      <c r="PO126" s="31"/>
      <c r="PP126" s="31"/>
      <c r="PQ126" s="31">
        <v>3.65</v>
      </c>
      <c r="PR126" s="31">
        <v>3.65</v>
      </c>
      <c r="PS126" s="31">
        <v>3.65</v>
      </c>
      <c r="PT126" s="31">
        <v>3.65</v>
      </c>
      <c r="PU126" s="31">
        <v>3.65</v>
      </c>
      <c r="PV126" s="31">
        <v>3.65</v>
      </c>
      <c r="PW126" s="31">
        <v>3.65</v>
      </c>
      <c r="PX126" s="31">
        <v>3.65</v>
      </c>
      <c r="PY126" s="31">
        <v>3.65</v>
      </c>
      <c r="PZ126" s="31">
        <v>3.65</v>
      </c>
      <c r="QA126" s="31">
        <v>3.65</v>
      </c>
      <c r="QB126" s="31">
        <v>3.65</v>
      </c>
      <c r="QC126" s="31">
        <v>3.65</v>
      </c>
      <c r="QD126" s="31">
        <v>3.65</v>
      </c>
      <c r="QE126" s="31">
        <v>3.65</v>
      </c>
      <c r="QF126" s="31">
        <v>3.65</v>
      </c>
      <c r="QG126" s="31">
        <v>3.65</v>
      </c>
      <c r="QH126" s="31">
        <v>3.65</v>
      </c>
      <c r="QI126" s="31">
        <v>3.65</v>
      </c>
      <c r="QJ126" s="31">
        <v>3.65</v>
      </c>
      <c r="QK126" s="31">
        <v>3.65</v>
      </c>
      <c r="QL126" s="31">
        <v>3.65</v>
      </c>
      <c r="QM126" s="31">
        <v>3.65</v>
      </c>
      <c r="QN126" s="31">
        <v>3.65</v>
      </c>
      <c r="QO126" s="31">
        <v>3.65</v>
      </c>
      <c r="QP126" s="31">
        <v>3.65</v>
      </c>
      <c r="QQ126" s="31">
        <v>3.65</v>
      </c>
      <c r="QR126" s="31">
        <v>3.65</v>
      </c>
      <c r="QS126" s="31">
        <v>3.65</v>
      </c>
      <c r="QT126" s="31">
        <v>3.65</v>
      </c>
      <c r="QU126" s="31">
        <v>3.65</v>
      </c>
      <c r="QV126" s="31">
        <v>3.65</v>
      </c>
      <c r="QW126" s="31">
        <v>3.65</v>
      </c>
      <c r="QX126" s="31">
        <v>3.65</v>
      </c>
      <c r="QY126" s="31">
        <v>3.65</v>
      </c>
      <c r="QZ126" s="31">
        <v>3.65</v>
      </c>
      <c r="RA126" s="31">
        <v>3.65</v>
      </c>
      <c r="RB126" s="31">
        <v>3.65</v>
      </c>
      <c r="RC126" s="31">
        <v>3.65</v>
      </c>
      <c r="RD126" s="31">
        <v>3.65</v>
      </c>
      <c r="RE126" s="31">
        <v>3.65</v>
      </c>
      <c r="RF126" s="31">
        <v>3.65</v>
      </c>
      <c r="RG126" s="31">
        <v>3.65</v>
      </c>
      <c r="RH126" s="31">
        <v>3.65</v>
      </c>
      <c r="RI126" s="31">
        <v>3.65</v>
      </c>
      <c r="RJ126" s="31">
        <v>3.65</v>
      </c>
      <c r="RK126" s="31">
        <v>3.65</v>
      </c>
      <c r="RL126" s="31">
        <v>3.65</v>
      </c>
      <c r="RM126" s="31">
        <v>3.65</v>
      </c>
      <c r="RN126" s="31">
        <v>3.65</v>
      </c>
      <c r="RO126" s="31">
        <v>3.65</v>
      </c>
      <c r="RP126" s="31">
        <v>3.65</v>
      </c>
      <c r="RQ126" s="31">
        <v>3.65</v>
      </c>
      <c r="RR126" s="31">
        <v>3.65</v>
      </c>
      <c r="RS126" s="31">
        <v>3.65</v>
      </c>
      <c r="RT126" s="31">
        <v>3.65</v>
      </c>
      <c r="RU126" s="31">
        <v>3.65</v>
      </c>
      <c r="RV126" s="31">
        <v>3.65</v>
      </c>
      <c r="RW126" s="31">
        <v>3.65</v>
      </c>
      <c r="RX126" s="31">
        <v>3.65</v>
      </c>
      <c r="RY126" s="31">
        <v>3.65</v>
      </c>
      <c r="RZ126" s="31">
        <v>3.65</v>
      </c>
      <c r="SA126" s="31">
        <v>3.65</v>
      </c>
      <c r="SB126" s="31">
        <v>3.65</v>
      </c>
      <c r="SC126" s="31">
        <v>3.65</v>
      </c>
      <c r="SD126" s="31">
        <v>3.65</v>
      </c>
      <c r="SE126" s="31">
        <v>3.65</v>
      </c>
      <c r="SF126" s="31">
        <v>3.65</v>
      </c>
      <c r="SG126" s="31">
        <v>3.65</v>
      </c>
      <c r="SH126" s="31">
        <v>3.65</v>
      </c>
      <c r="SI126" s="31">
        <v>3.65</v>
      </c>
      <c r="SJ126" s="31">
        <v>3.65</v>
      </c>
      <c r="SK126" s="31">
        <v>3.65</v>
      </c>
      <c r="SL126" s="31">
        <v>3.65</v>
      </c>
      <c r="SM126" s="31">
        <v>3.65</v>
      </c>
      <c r="SN126" s="31">
        <v>3.65</v>
      </c>
      <c r="SO126" s="31">
        <v>3.65</v>
      </c>
      <c r="SP126" s="31">
        <v>3.65</v>
      </c>
      <c r="SQ126" s="31">
        <v>3.65</v>
      </c>
      <c r="SR126" s="31">
        <v>3.65</v>
      </c>
      <c r="SS126" s="31">
        <v>3.65</v>
      </c>
      <c r="ST126" s="23">
        <v>3.65</v>
      </c>
      <c r="SU126" s="23">
        <v>3.65</v>
      </c>
      <c r="SV126" s="23">
        <v>3.65</v>
      </c>
      <c r="SW126" s="23">
        <v>3.65</v>
      </c>
      <c r="SX126" s="23">
        <v>3.65</v>
      </c>
      <c r="SY126" s="23">
        <v>3.65</v>
      </c>
      <c r="SZ126" s="23">
        <v>3.65</v>
      </c>
      <c r="TA126" s="23">
        <v>3.65</v>
      </c>
      <c r="TB126" s="23">
        <v>3.65</v>
      </c>
      <c r="TC126" s="23"/>
      <c r="TD126" s="23">
        <v>3.65</v>
      </c>
      <c r="TE126" s="23">
        <v>3.65</v>
      </c>
      <c r="TF126" s="23">
        <v>3.65</v>
      </c>
      <c r="TG126" s="23">
        <v>3.65</v>
      </c>
      <c r="TH126" s="23">
        <v>3.65</v>
      </c>
      <c r="TI126" s="23">
        <v>3.65</v>
      </c>
      <c r="TJ126" s="23">
        <v>3.65</v>
      </c>
      <c r="TK126" s="23">
        <v>3.65</v>
      </c>
      <c r="TL126" s="23">
        <v>3.65</v>
      </c>
      <c r="TM126" s="23">
        <v>3.65</v>
      </c>
      <c r="TN126" s="23">
        <v>3.65</v>
      </c>
      <c r="TO126" s="23">
        <v>3.65</v>
      </c>
      <c r="TP126" s="23">
        <v>3.65</v>
      </c>
      <c r="TQ126" s="23">
        <v>3.65</v>
      </c>
      <c r="TR126" s="23">
        <v>3.65</v>
      </c>
      <c r="TS126" s="23">
        <v>3.65</v>
      </c>
      <c r="TT126" s="23">
        <v>3.65</v>
      </c>
      <c r="TU126" s="23">
        <v>3.65</v>
      </c>
      <c r="TV126" s="23">
        <v>3.65</v>
      </c>
      <c r="TW126" s="23">
        <v>3.65</v>
      </c>
      <c r="TX126" s="23">
        <v>3.65</v>
      </c>
      <c r="TY126" s="23">
        <v>3.65</v>
      </c>
      <c r="TZ126" s="23">
        <v>3.65</v>
      </c>
      <c r="UA126" s="23">
        <v>3.65</v>
      </c>
      <c r="UB126" s="23">
        <v>3.65</v>
      </c>
      <c r="UC126" s="23">
        <v>3.65</v>
      </c>
      <c r="UD126" s="23">
        <v>3.65</v>
      </c>
      <c r="UE126" s="23">
        <v>3.65</v>
      </c>
      <c r="UF126" s="23">
        <v>3.65</v>
      </c>
      <c r="UG126" s="23">
        <v>3.65</v>
      </c>
      <c r="UH126" s="23">
        <v>3.65</v>
      </c>
      <c r="UI126" s="23">
        <v>3.65</v>
      </c>
      <c r="UJ126" s="23">
        <v>3.65</v>
      </c>
      <c r="UK126" s="23">
        <v>3.65</v>
      </c>
      <c r="UL126" s="23">
        <v>3.65</v>
      </c>
      <c r="UM126" s="23"/>
      <c r="UN126" s="23"/>
      <c r="UO126" s="23"/>
      <c r="UP126" s="23"/>
      <c r="UQ126" s="23"/>
      <c r="UR126" s="23"/>
      <c r="US126" s="23"/>
      <c r="UT126" s="23"/>
    </row>
    <row r="127" spans="4:566">
      <c r="D127" t="s">
        <v>357</v>
      </c>
      <c r="E127" t="s">
        <v>358</v>
      </c>
      <c r="F127" s="31"/>
      <c r="G127" s="31"/>
      <c r="H127" s="31">
        <v>0</v>
      </c>
      <c r="I127" s="31">
        <v>-0.09</v>
      </c>
      <c r="J127" s="31"/>
      <c r="K127" s="31"/>
      <c r="L127" s="31">
        <v>-0.13</v>
      </c>
      <c r="M127" s="31">
        <v>-0.13</v>
      </c>
      <c r="N127" s="31">
        <v>-0.11</v>
      </c>
      <c r="O127" s="31">
        <v>-0.1</v>
      </c>
      <c r="P127" s="31">
        <v>-0.1</v>
      </c>
      <c r="Q127" s="31"/>
      <c r="R127" s="31"/>
      <c r="S127" s="31">
        <v>-0.11</v>
      </c>
      <c r="T127" s="31">
        <v>-0.12</v>
      </c>
      <c r="U127" s="31">
        <v>-0.12</v>
      </c>
      <c r="V127" s="31">
        <v>-0.11</v>
      </c>
      <c r="W127" s="31">
        <v>-0.11</v>
      </c>
      <c r="X127" s="31"/>
      <c r="Y127" s="31"/>
      <c r="Z127" s="31"/>
      <c r="AA127" s="31">
        <v>-0.11</v>
      </c>
      <c r="AB127" s="31">
        <v>-0.1</v>
      </c>
      <c r="AC127" s="31">
        <v>-0.05</v>
      </c>
      <c r="AD127" s="31">
        <v>-0.06</v>
      </c>
      <c r="AE127" s="31"/>
      <c r="AF127" s="31"/>
      <c r="AG127" s="31">
        <v>-0.06</v>
      </c>
      <c r="AH127" s="31">
        <v>-0.05</v>
      </c>
      <c r="AI127" s="31">
        <v>-0.05</v>
      </c>
      <c r="AJ127" s="31">
        <v>-0.04</v>
      </c>
      <c r="AK127" s="31">
        <v>-0.02</v>
      </c>
      <c r="AL127" s="31"/>
      <c r="AM127" s="31"/>
      <c r="AN127" s="31">
        <v>-0.05</v>
      </c>
      <c r="AO127" s="31">
        <v>-0.07</v>
      </c>
      <c r="AP127" s="31">
        <v>-0.07</v>
      </c>
      <c r="AQ127" s="31">
        <v>-0.04</v>
      </c>
      <c r="AR127" s="31">
        <v>-0.05</v>
      </c>
      <c r="AS127" s="31"/>
      <c r="AT127" s="31"/>
      <c r="AU127" s="31">
        <v>-0.05</v>
      </c>
      <c r="AV127" s="31">
        <v>-0.06</v>
      </c>
      <c r="AW127" s="31">
        <v>-0.08</v>
      </c>
      <c r="AX127" s="31">
        <v>-0.07</v>
      </c>
      <c r="AY127" s="31">
        <v>-0.07</v>
      </c>
      <c r="AZ127" s="31"/>
      <c r="BA127" s="31"/>
      <c r="BB127" s="31"/>
      <c r="BC127" s="31">
        <v>-0.03</v>
      </c>
      <c r="BD127" s="31">
        <v>-0.05</v>
      </c>
      <c r="BE127" s="31">
        <v>-0.07</v>
      </c>
      <c r="BF127" s="31">
        <v>-0.06</v>
      </c>
      <c r="BG127" s="31"/>
      <c r="BH127" s="31"/>
      <c r="BI127" s="31">
        <v>-0.06</v>
      </c>
      <c r="BJ127" s="31">
        <v>-0.07</v>
      </c>
      <c r="BK127" s="31">
        <v>-0.07</v>
      </c>
      <c r="BL127" s="31">
        <v>-0.04</v>
      </c>
      <c r="BM127" s="31">
        <v>-0.01</v>
      </c>
      <c r="BN127" s="31"/>
      <c r="BO127" s="31"/>
      <c r="BP127" s="31">
        <v>-0.07</v>
      </c>
      <c r="BQ127" s="31">
        <v>-0.07</v>
      </c>
      <c r="BR127" s="31">
        <v>-0.06</v>
      </c>
      <c r="BS127" s="31">
        <v>-0.05</v>
      </c>
      <c r="BT127" s="31">
        <v>-0.06</v>
      </c>
      <c r="BU127" s="31"/>
      <c r="BV127" s="31"/>
      <c r="BW127" s="31">
        <v>-0.07</v>
      </c>
      <c r="BX127" s="31">
        <v>-0.08</v>
      </c>
      <c r="BY127" s="31">
        <v>-0.09</v>
      </c>
      <c r="BZ127" s="31">
        <v>-0.1</v>
      </c>
      <c r="CA127" s="31">
        <v>-0.1</v>
      </c>
      <c r="CB127" s="31"/>
      <c r="CC127" s="31"/>
      <c r="CD127" s="31">
        <v>-0.08</v>
      </c>
      <c r="CE127" s="31">
        <v>-0.09</v>
      </c>
      <c r="CF127" s="31">
        <v>-0.11</v>
      </c>
      <c r="CG127" s="31">
        <v>-0.11</v>
      </c>
      <c r="CH127" s="31">
        <v>-0.1</v>
      </c>
      <c r="CI127" s="31"/>
      <c r="CJ127" s="31"/>
      <c r="CK127" s="31">
        <v>-0.09</v>
      </c>
      <c r="CL127" s="31">
        <v>-0.07</v>
      </c>
      <c r="CM127" s="31">
        <v>-0.05</v>
      </c>
      <c r="CN127" s="31">
        <v>-0.04</v>
      </c>
      <c r="CO127" s="31">
        <v>-0.06</v>
      </c>
      <c r="CP127" s="31"/>
      <c r="CQ127" s="31"/>
      <c r="CR127" s="31">
        <v>0.01</v>
      </c>
      <c r="CS127" s="31">
        <v>-0.01</v>
      </c>
      <c r="CT127" s="31">
        <v>-0.03</v>
      </c>
      <c r="CU127" s="31">
        <v>-0.01</v>
      </c>
      <c r="CV127" s="31">
        <v>-0.05</v>
      </c>
      <c r="CW127" s="31"/>
      <c r="CX127" s="31"/>
      <c r="CY127" s="31">
        <v>-0.07</v>
      </c>
      <c r="CZ127" s="31">
        <v>0</v>
      </c>
      <c r="DA127" s="31">
        <v>0.02</v>
      </c>
      <c r="DB127" s="31">
        <v>-0.03</v>
      </c>
      <c r="DC127" s="31">
        <v>-0.07</v>
      </c>
      <c r="DD127" s="31"/>
      <c r="DE127" s="31"/>
      <c r="DF127" s="31">
        <v>-0.07</v>
      </c>
      <c r="DG127" s="31">
        <v>-0.04</v>
      </c>
      <c r="DH127" s="31">
        <v>-0.09</v>
      </c>
      <c r="DI127" s="31">
        <v>-0.08</v>
      </c>
      <c r="DJ127" s="31"/>
      <c r="DK127" s="31"/>
      <c r="DL127" s="31"/>
      <c r="DM127" s="31">
        <v>-0.08</v>
      </c>
      <c r="DN127" s="31">
        <v>-0.1</v>
      </c>
      <c r="DO127" s="31">
        <v>-0.12</v>
      </c>
      <c r="DP127" s="31">
        <v>-0.11</v>
      </c>
      <c r="DQ127" s="31">
        <v>-0.07</v>
      </c>
      <c r="DR127" s="31"/>
      <c r="DS127" s="31"/>
      <c r="DT127" s="31">
        <v>-0.04</v>
      </c>
      <c r="DU127" s="31">
        <v>-0.04</v>
      </c>
      <c r="DV127" s="31">
        <v>0.01</v>
      </c>
      <c r="DW127" s="31">
        <v>-0.01</v>
      </c>
      <c r="DX127" s="31">
        <v>-0.04</v>
      </c>
      <c r="DY127" s="31"/>
      <c r="DZ127" s="31"/>
      <c r="EA127" s="31">
        <v>-0.07</v>
      </c>
      <c r="EB127" s="31">
        <v>-0.08</v>
      </c>
      <c r="EC127" s="31">
        <v>-0.1</v>
      </c>
      <c r="ED127" s="31">
        <v>-0.11</v>
      </c>
      <c r="EE127" s="31">
        <v>-0.12</v>
      </c>
      <c r="EF127" s="31"/>
      <c r="EG127" s="31"/>
      <c r="EH127" s="31">
        <v>-0.12</v>
      </c>
      <c r="EI127" s="31">
        <v>-0.1</v>
      </c>
      <c r="EJ127" s="31">
        <v>-0.11</v>
      </c>
      <c r="EK127" s="31">
        <v>-0.09</v>
      </c>
      <c r="EL127" s="31">
        <v>-0.1</v>
      </c>
      <c r="EM127" s="31"/>
      <c r="EN127" s="31"/>
      <c r="EO127" s="31">
        <v>-0.11</v>
      </c>
      <c r="EP127" s="31">
        <v>-0.13</v>
      </c>
      <c r="EQ127" s="31">
        <v>-0.14</v>
      </c>
      <c r="ER127" s="31">
        <v>-0.14</v>
      </c>
      <c r="ES127" s="31">
        <v>-0.14</v>
      </c>
      <c r="ET127" s="31"/>
      <c r="EU127" s="31"/>
      <c r="EV127" s="31"/>
      <c r="EW127" s="31">
        <v>-0.09</v>
      </c>
      <c r="EX127" s="31">
        <v>-0.07</v>
      </c>
      <c r="EY127" s="31">
        <v>-0.07</v>
      </c>
      <c r="EZ127" s="31">
        <v>-0.05</v>
      </c>
      <c r="FA127" s="31"/>
      <c r="FB127" s="31"/>
      <c r="FC127" s="31"/>
      <c r="FD127" s="31">
        <v>-0.08</v>
      </c>
      <c r="FE127" s="31">
        <v>-0.12</v>
      </c>
      <c r="FF127" s="31">
        <v>-0.11</v>
      </c>
      <c r="FG127" s="31">
        <v>-0.11</v>
      </c>
      <c r="FH127" s="31"/>
      <c r="FI127" s="31"/>
      <c r="FJ127" s="31">
        <v>-0.11</v>
      </c>
      <c r="FK127" s="31">
        <v>-0.12</v>
      </c>
      <c r="FL127" s="31">
        <v>-0.12</v>
      </c>
      <c r="FM127" s="31">
        <v>-0.12</v>
      </c>
      <c r="FN127" s="31">
        <v>-0.12</v>
      </c>
      <c r="FO127" s="31"/>
      <c r="FP127" s="31"/>
      <c r="FQ127" s="31">
        <v>-0.08</v>
      </c>
      <c r="FR127" s="31">
        <v>-0.09</v>
      </c>
      <c r="FS127" s="31">
        <v>-0.12</v>
      </c>
      <c r="FT127" s="31"/>
      <c r="FU127" s="31">
        <v>-0.11</v>
      </c>
      <c r="FV127" s="31"/>
      <c r="FW127" s="31"/>
      <c r="FX127" s="31">
        <v>-0.11</v>
      </c>
      <c r="FY127" s="31">
        <v>-0.1</v>
      </c>
      <c r="FZ127" s="31">
        <v>-0.04</v>
      </c>
      <c r="GA127" s="31">
        <v>0</v>
      </c>
      <c r="GB127" s="31">
        <v>-0.01</v>
      </c>
      <c r="GC127" s="31"/>
      <c r="GD127" s="31"/>
      <c r="GE127" s="31">
        <v>0.05</v>
      </c>
      <c r="GF127" s="31">
        <v>0.04</v>
      </c>
      <c r="GG127" s="31">
        <v>0</v>
      </c>
      <c r="GH127" s="31">
        <v>-0.05</v>
      </c>
      <c r="GI127" s="31"/>
      <c r="GJ127" s="31"/>
      <c r="GK127" s="31"/>
      <c r="GL127" s="31">
        <v>-0.07</v>
      </c>
      <c r="GM127" s="31">
        <v>-0.06</v>
      </c>
      <c r="GN127" s="31">
        <v>-0.08</v>
      </c>
      <c r="GO127" s="31">
        <v>-0.09</v>
      </c>
      <c r="GP127" s="31">
        <v>-0.09</v>
      </c>
      <c r="GQ127" s="31"/>
      <c r="GR127" s="31"/>
      <c r="GS127" s="31">
        <v>-0.07</v>
      </c>
      <c r="GT127" s="31">
        <v>-0.03</v>
      </c>
      <c r="GU127" s="31">
        <v>-0.06</v>
      </c>
      <c r="GV127" s="31">
        <v>-0.06</v>
      </c>
      <c r="GW127" s="31">
        <v>-0.1</v>
      </c>
      <c r="GX127" s="31"/>
      <c r="GY127" s="31"/>
      <c r="GZ127" s="31">
        <v>-0.12</v>
      </c>
      <c r="HA127" s="31">
        <v>-0.12</v>
      </c>
      <c r="HB127" s="31">
        <v>-0.12</v>
      </c>
      <c r="HC127" s="31">
        <v>-0.1</v>
      </c>
      <c r="HD127" s="31">
        <v>-0.04</v>
      </c>
      <c r="HE127" s="31"/>
      <c r="HF127" s="31"/>
      <c r="HG127" s="31">
        <v>-0.04</v>
      </c>
      <c r="HH127" s="31">
        <v>-0.04</v>
      </c>
      <c r="HI127" s="31">
        <v>-0.08</v>
      </c>
      <c r="HJ127" s="31">
        <v>-0.01</v>
      </c>
      <c r="HK127" s="31">
        <v>-0.06</v>
      </c>
      <c r="HL127" s="31"/>
      <c r="HM127" s="31"/>
      <c r="HN127" s="31">
        <v>-0.07</v>
      </c>
      <c r="HO127" s="31">
        <v>-0.06</v>
      </c>
      <c r="HP127" s="31">
        <v>-0.06</v>
      </c>
      <c r="HQ127" s="31">
        <v>-0.05</v>
      </c>
      <c r="HR127" s="31">
        <v>-0.05</v>
      </c>
      <c r="HS127" s="31"/>
      <c r="HT127" s="31"/>
      <c r="HU127" s="31">
        <v>-0.06</v>
      </c>
      <c r="HV127" s="31">
        <v>-0.04</v>
      </c>
      <c r="HW127" s="31">
        <v>-0.07</v>
      </c>
      <c r="HX127" s="31">
        <v>-0.06</v>
      </c>
      <c r="HY127" s="31">
        <v>-0.04</v>
      </c>
      <c r="HZ127" s="31"/>
      <c r="IA127" s="31"/>
      <c r="IB127" s="31">
        <v>-0.06</v>
      </c>
      <c r="IC127" s="31">
        <v>-0.07</v>
      </c>
      <c r="ID127" s="31">
        <v>-0.09</v>
      </c>
      <c r="IE127" s="31">
        <v>-0.08</v>
      </c>
      <c r="IF127" s="31">
        <v>-0.04</v>
      </c>
      <c r="IG127" s="31"/>
      <c r="IH127" s="31"/>
      <c r="II127" s="31">
        <v>-0.03</v>
      </c>
      <c r="IJ127" s="31">
        <v>-0.02</v>
      </c>
      <c r="IK127" s="31">
        <v>-0.04</v>
      </c>
      <c r="IL127" s="31">
        <v>-0.06</v>
      </c>
      <c r="IM127" s="31">
        <v>-0.06</v>
      </c>
      <c r="IN127" s="31"/>
      <c r="IO127" s="31"/>
      <c r="IP127" s="31"/>
      <c r="IQ127" s="31"/>
      <c r="IR127" s="31">
        <v>-0.01</v>
      </c>
      <c r="IS127" s="31">
        <v>0.01</v>
      </c>
      <c r="IT127" s="31">
        <v>0.02</v>
      </c>
      <c r="IU127" s="31"/>
      <c r="IV127" s="31"/>
      <c r="IW127" s="31">
        <v>0</v>
      </c>
      <c r="IX127" s="31">
        <v>0</v>
      </c>
      <c r="IY127" s="31">
        <v>-0.01</v>
      </c>
      <c r="IZ127" s="31">
        <v>0.01</v>
      </c>
      <c r="JA127" s="31">
        <v>0.02</v>
      </c>
      <c r="JB127" s="31"/>
      <c r="JC127" s="31"/>
      <c r="JD127" s="31">
        <v>0.11</v>
      </c>
      <c r="JE127" s="31">
        <v>-0.01</v>
      </c>
      <c r="JF127" s="31">
        <v>-0.02</v>
      </c>
      <c r="JG127" s="31">
        <v>-0.01</v>
      </c>
      <c r="JH127" s="31">
        <v>-0.01</v>
      </c>
      <c r="JI127" s="31"/>
      <c r="JJ127" s="31"/>
      <c r="JK127" s="31">
        <v>-0.01</v>
      </c>
      <c r="JL127" s="31">
        <v>-0.03</v>
      </c>
      <c r="JM127" s="31">
        <v>-0.02</v>
      </c>
      <c r="JN127" s="31">
        <v>0.03</v>
      </c>
      <c r="JO127" s="31">
        <v>0.01</v>
      </c>
      <c r="JP127" s="31"/>
      <c r="JQ127" s="31"/>
      <c r="JR127" s="31">
        <v>-0.02</v>
      </c>
      <c r="JS127" s="31">
        <v>0.09</v>
      </c>
      <c r="JT127" s="31">
        <v>0.05</v>
      </c>
      <c r="JU127" s="31">
        <v>0.05</v>
      </c>
      <c r="JV127" s="31">
        <v>0.03</v>
      </c>
      <c r="JW127" s="31"/>
      <c r="JX127" s="31"/>
      <c r="JY127" s="31">
        <v>0</v>
      </c>
      <c r="JZ127" s="31">
        <v>-0.01</v>
      </c>
      <c r="KA127" s="31">
        <v>-0.03</v>
      </c>
      <c r="KB127" s="31">
        <v>-0.02</v>
      </c>
      <c r="KC127" s="31">
        <v>0</v>
      </c>
      <c r="KD127" s="31"/>
      <c r="KE127" s="31"/>
      <c r="KF127" s="31"/>
      <c r="KG127" s="31">
        <v>0.04</v>
      </c>
      <c r="KH127" s="31">
        <v>0.14</v>
      </c>
      <c r="KI127" s="31">
        <v>0.15</v>
      </c>
      <c r="KJ127" s="31">
        <v>0.03</v>
      </c>
      <c r="KK127" s="31"/>
      <c r="KL127" s="31"/>
      <c r="KM127" s="31">
        <v>0.01</v>
      </c>
      <c r="KN127" s="31">
        <v>0.08</v>
      </c>
      <c r="KO127" s="31">
        <v>0.06</v>
      </c>
      <c r="KP127" s="31">
        <v>0.09</v>
      </c>
      <c r="KQ127" s="31">
        <v>0.09</v>
      </c>
      <c r="KR127" s="31"/>
      <c r="KS127" s="31"/>
      <c r="KT127" s="31">
        <v>0.12</v>
      </c>
      <c r="KU127" s="31">
        <v>0.16</v>
      </c>
      <c r="KV127" s="31">
        <v>0.12</v>
      </c>
      <c r="KW127" s="31">
        <v>0.14</v>
      </c>
      <c r="KX127" s="31">
        <v>0.32</v>
      </c>
      <c r="KY127" s="31"/>
      <c r="KZ127" s="31"/>
      <c r="LA127" s="31">
        <v>0.23</v>
      </c>
      <c r="LB127" s="31">
        <v>0.1</v>
      </c>
      <c r="LC127" s="31">
        <v>0.01</v>
      </c>
      <c r="LD127" s="31">
        <v>0.02</v>
      </c>
      <c r="LE127" s="31">
        <v>0.03</v>
      </c>
      <c r="LF127" s="31"/>
      <c r="LG127" s="31"/>
      <c r="LH127" s="31">
        <v>0.05</v>
      </c>
      <c r="LI127" s="31"/>
      <c r="LJ127" s="31">
        <v>0.08</v>
      </c>
      <c r="LK127" s="31">
        <v>0.1</v>
      </c>
      <c r="LL127" s="31">
        <v>0.05</v>
      </c>
      <c r="LM127" s="31"/>
      <c r="LN127" s="31"/>
      <c r="LO127" s="31">
        <v>0.1</v>
      </c>
      <c r="LP127" s="31">
        <v>0.04</v>
      </c>
      <c r="LQ127" s="31">
        <v>0.01</v>
      </c>
      <c r="LR127" s="31">
        <v>0.01</v>
      </c>
      <c r="LS127" s="31">
        <v>0.03</v>
      </c>
      <c r="LT127" s="31"/>
      <c r="LU127" s="31"/>
      <c r="LV127" s="31">
        <v>0.06</v>
      </c>
      <c r="LW127" s="31">
        <v>0.11</v>
      </c>
      <c r="LX127" s="31">
        <v>0.15</v>
      </c>
      <c r="LY127" s="31"/>
      <c r="LZ127" s="31">
        <v>0.22</v>
      </c>
      <c r="MA127" s="31"/>
      <c r="MB127" s="31"/>
      <c r="MC127" s="31"/>
      <c r="MD127" s="31">
        <v>0.11</v>
      </c>
      <c r="ME127" s="31">
        <v>0.05</v>
      </c>
      <c r="MF127" s="31">
        <v>0.02</v>
      </c>
      <c r="MG127" s="31">
        <v>0.03</v>
      </c>
      <c r="MH127" s="31"/>
      <c r="MI127" s="31"/>
      <c r="MJ127" s="31">
        <v>0.05</v>
      </c>
      <c r="MK127" s="31">
        <v>0.03</v>
      </c>
      <c r="ML127" s="31">
        <v>0</v>
      </c>
      <c r="MM127" s="31">
        <v>0.01</v>
      </c>
      <c r="MN127" s="31">
        <v>0.02</v>
      </c>
      <c r="MO127" s="31"/>
      <c r="MP127" s="31"/>
      <c r="MQ127" s="31">
        <v>0.1</v>
      </c>
      <c r="MR127" s="31">
        <v>0.04</v>
      </c>
      <c r="MS127" s="31">
        <v>0.04</v>
      </c>
      <c r="MT127" s="31">
        <v>0.01</v>
      </c>
      <c r="MU127" s="31">
        <v>0.01</v>
      </c>
      <c r="MV127" s="31"/>
      <c r="MW127" s="31"/>
      <c r="MX127" s="31">
        <v>0.03</v>
      </c>
      <c r="MY127" s="31">
        <v>0.01</v>
      </c>
      <c r="MZ127" s="31">
        <v>0.01</v>
      </c>
      <c r="NA127" s="31"/>
      <c r="NB127" s="31">
        <v>0.11</v>
      </c>
      <c r="NC127" s="31"/>
      <c r="ND127" s="31"/>
      <c r="NE127" s="31">
        <v>0.12</v>
      </c>
      <c r="NF127" s="31">
        <v>0.06</v>
      </c>
      <c r="NG127" s="31">
        <v>0.22</v>
      </c>
      <c r="NH127" s="31"/>
      <c r="NI127" s="31">
        <v>0.1</v>
      </c>
      <c r="NJ127" s="31"/>
      <c r="NK127" s="31"/>
      <c r="NL127" s="31">
        <v>0.05</v>
      </c>
      <c r="NM127" s="31">
        <v>0.01</v>
      </c>
      <c r="NN127" s="31">
        <v>0</v>
      </c>
      <c r="NO127" s="31">
        <v>-0.01</v>
      </c>
      <c r="NP127" s="31">
        <v>-0.01</v>
      </c>
      <c r="NQ127" s="31"/>
      <c r="NR127" s="31"/>
      <c r="NS127" s="31">
        <v>-0.01</v>
      </c>
      <c r="NT127" s="31">
        <v>0</v>
      </c>
      <c r="NU127" s="31">
        <v>-0.01</v>
      </c>
      <c r="NV127" s="31">
        <v>0.01</v>
      </c>
      <c r="NW127" s="31">
        <v>0</v>
      </c>
      <c r="NX127" s="31"/>
      <c r="NY127" s="31"/>
      <c r="NZ127" s="31"/>
      <c r="OA127" s="31">
        <v>-0.01</v>
      </c>
      <c r="OB127" s="31">
        <v>-0.02</v>
      </c>
      <c r="OC127" s="31">
        <v>-0.01</v>
      </c>
      <c r="OD127" s="31">
        <v>0</v>
      </c>
      <c r="OE127" s="31"/>
      <c r="OF127" s="31"/>
      <c r="OG127" s="31">
        <v>0.01</v>
      </c>
      <c r="OH127" s="31">
        <v>0.01</v>
      </c>
      <c r="OI127" s="31">
        <v>-0.01</v>
      </c>
      <c r="OJ127" s="31">
        <v>0</v>
      </c>
      <c r="OK127" s="31">
        <v>0.03</v>
      </c>
      <c r="OL127" s="31"/>
      <c r="OM127" s="31"/>
      <c r="ON127" s="31"/>
      <c r="OO127" s="31">
        <v>0.04</v>
      </c>
      <c r="OP127" s="31">
        <v>0</v>
      </c>
      <c r="OQ127" s="31">
        <v>0</v>
      </c>
      <c r="OR127" s="31">
        <v>-0.01</v>
      </c>
      <c r="OS127" s="31"/>
      <c r="OT127" s="31"/>
      <c r="OU127" s="31">
        <v>-0.02</v>
      </c>
      <c r="OV127" s="31">
        <v>0</v>
      </c>
      <c r="OW127" s="31">
        <v>0</v>
      </c>
      <c r="OX127" s="31">
        <v>0</v>
      </c>
      <c r="OY127" s="31">
        <v>0.01</v>
      </c>
      <c r="OZ127" s="31"/>
      <c r="PA127" s="31"/>
      <c r="PB127" s="31"/>
      <c r="PC127" s="31">
        <v>0.06</v>
      </c>
      <c r="PD127" s="31">
        <v>0.08</v>
      </c>
      <c r="PE127" s="31">
        <v>0.02</v>
      </c>
      <c r="PF127" s="31">
        <v>0.01</v>
      </c>
      <c r="PG127" s="31"/>
      <c r="PH127" s="31"/>
      <c r="PI127" s="31">
        <v>0.01</v>
      </c>
      <c r="PJ127" s="31">
        <v>0.02</v>
      </c>
      <c r="PK127" s="31">
        <v>0.02</v>
      </c>
      <c r="PL127" s="31">
        <v>0.02</v>
      </c>
      <c r="PM127" s="31">
        <v>0.03</v>
      </c>
      <c r="PN127" s="31"/>
      <c r="PO127" s="31"/>
      <c r="PP127" s="31"/>
      <c r="PQ127" s="31">
        <v>0.05</v>
      </c>
      <c r="PR127" s="31">
        <v>0.02</v>
      </c>
      <c r="PS127" s="31">
        <v>0.01</v>
      </c>
      <c r="PT127" s="31">
        <v>0</v>
      </c>
      <c r="PU127" s="31"/>
      <c r="PV127" s="31"/>
      <c r="PW127" s="31">
        <v>0</v>
      </c>
      <c r="PX127" s="31">
        <v>-0.01</v>
      </c>
      <c r="PY127" s="31">
        <v>-0.01</v>
      </c>
      <c r="PZ127" s="31">
        <v>0</v>
      </c>
      <c r="QA127" s="31">
        <v>0</v>
      </c>
      <c r="QB127" s="31"/>
      <c r="QC127" s="31"/>
      <c r="QD127" s="31">
        <v>0.05</v>
      </c>
      <c r="QE127" s="31">
        <v>0</v>
      </c>
      <c r="QF127" s="31">
        <v>-0.03</v>
      </c>
      <c r="QG127" s="31">
        <v>-0.03</v>
      </c>
      <c r="QH127" s="31">
        <v>-0.03</v>
      </c>
      <c r="QI127" s="31"/>
      <c r="QJ127" s="31"/>
      <c r="QK127" s="31">
        <v>-0.03</v>
      </c>
      <c r="QL127" s="31">
        <v>-0.02</v>
      </c>
      <c r="QM127" s="31">
        <v>-0.01</v>
      </c>
      <c r="QN127" s="31">
        <v>0</v>
      </c>
      <c r="QO127" s="31">
        <v>-0.02</v>
      </c>
      <c r="QP127" s="31"/>
      <c r="QQ127" s="31"/>
      <c r="QR127" s="31">
        <v>-0.02</v>
      </c>
      <c r="QS127" s="31">
        <v>0.03</v>
      </c>
      <c r="QT127" s="31">
        <v>0</v>
      </c>
      <c r="QU127" s="31">
        <v>0.01</v>
      </c>
      <c r="QV127" s="31"/>
      <c r="QW127" s="31"/>
      <c r="QX127" s="31"/>
      <c r="QY127" s="31">
        <v>0</v>
      </c>
      <c r="QZ127" s="31">
        <v>-0.03</v>
      </c>
      <c r="RA127" s="31">
        <v>-0.06</v>
      </c>
      <c r="RB127" s="31">
        <v>-0.08</v>
      </c>
      <c r="RC127" s="31">
        <v>-0.04</v>
      </c>
      <c r="RD127" s="31"/>
      <c r="RE127" s="31"/>
      <c r="RF127" s="31">
        <v>-0.02</v>
      </c>
      <c r="RG127" s="31">
        <v>0.01</v>
      </c>
      <c r="RH127" s="31">
        <v>0.07</v>
      </c>
      <c r="RI127" s="31">
        <v>0.02</v>
      </c>
      <c r="RJ127" s="31">
        <v>0</v>
      </c>
      <c r="RK127" s="31"/>
      <c r="RL127" s="31"/>
      <c r="RM127" s="31">
        <v>-0.02</v>
      </c>
      <c r="RN127" s="31">
        <v>-0.02</v>
      </c>
      <c r="RO127" s="31">
        <v>-0.01</v>
      </c>
      <c r="RP127" s="31">
        <v>0</v>
      </c>
      <c r="RQ127" s="31">
        <v>0.01</v>
      </c>
      <c r="RR127" s="31"/>
      <c r="RS127" s="31"/>
      <c r="RT127" s="31">
        <v>0.01</v>
      </c>
      <c r="RU127" s="31">
        <v>-0.01</v>
      </c>
      <c r="RV127" s="31">
        <v>-0.02</v>
      </c>
      <c r="RW127" s="31">
        <v>0.01</v>
      </c>
      <c r="RX127" s="31">
        <v>-0.01</v>
      </c>
      <c r="RY127" s="31"/>
      <c r="RZ127" s="31"/>
      <c r="SA127" s="31">
        <v>-0.02</v>
      </c>
      <c r="SB127" s="31">
        <v>-0.03</v>
      </c>
      <c r="SC127" s="31">
        <v>-0.04</v>
      </c>
      <c r="SD127" s="31">
        <v>-0.05</v>
      </c>
      <c r="SE127" s="31">
        <v>-0.05</v>
      </c>
      <c r="SF127" s="31"/>
      <c r="SG127" s="31"/>
      <c r="SH127" s="31">
        <v>-0.05</v>
      </c>
      <c r="SI127" s="31">
        <v>-0.05</v>
      </c>
      <c r="SJ127" s="31">
        <v>-0.06</v>
      </c>
      <c r="SK127" s="31">
        <v>-0.09</v>
      </c>
      <c r="SL127" s="31">
        <v>-0.1</v>
      </c>
      <c r="SM127" s="31"/>
      <c r="SN127" s="31"/>
      <c r="SO127" s="31">
        <v>-0.12</v>
      </c>
      <c r="SP127" s="31">
        <v>-0.14</v>
      </c>
      <c r="SQ127" s="31">
        <v>-0.15</v>
      </c>
      <c r="SR127" s="31">
        <v>-0.14</v>
      </c>
      <c r="SS127" s="31">
        <v>-0.1</v>
      </c>
      <c r="ST127" s="23"/>
      <c r="SU127" s="23"/>
      <c r="SV127" s="23"/>
      <c r="SW127" s="23">
        <v>-0.02</v>
      </c>
      <c r="SX127" s="23">
        <v>-0.02</v>
      </c>
      <c r="SY127" s="23">
        <v>-0.03</v>
      </c>
      <c r="SZ127" s="23">
        <v>-0.02</v>
      </c>
      <c r="TA127" s="23"/>
      <c r="TB127" s="23"/>
      <c r="TC127" s="23"/>
      <c r="TD127" s="23">
        <v>-0.02</v>
      </c>
      <c r="TE127" s="23">
        <v>-0.04</v>
      </c>
      <c r="TF127" s="23">
        <v>-0.03</v>
      </c>
      <c r="TG127" s="23">
        <v>-0.02</v>
      </c>
      <c r="TH127" s="23"/>
      <c r="TI127" s="23"/>
      <c r="TJ127" s="23">
        <v>-0.02</v>
      </c>
      <c r="TK127" s="23">
        <v>-0.05</v>
      </c>
      <c r="TL127" s="23">
        <v>-0.06</v>
      </c>
      <c r="TM127" s="23">
        <v>-0.05</v>
      </c>
      <c r="TN127" s="23">
        <v>0</v>
      </c>
      <c r="TO127" s="23"/>
      <c r="TP127" s="23"/>
      <c r="TQ127" s="23">
        <v>0.04</v>
      </c>
      <c r="TR127" s="23">
        <v>-0.02</v>
      </c>
      <c r="TS127" s="23">
        <v>-0.02</v>
      </c>
      <c r="TT127" s="23">
        <v>-0.03</v>
      </c>
      <c r="TU127" s="23"/>
      <c r="TV127" s="23"/>
      <c r="TW127" s="23"/>
      <c r="TX127" s="23">
        <v>-0.04</v>
      </c>
      <c r="TY127" s="23">
        <v>-0.03</v>
      </c>
      <c r="TZ127" s="23">
        <v>-0.03</v>
      </c>
      <c r="UA127" s="23">
        <v>-0.01</v>
      </c>
      <c r="UB127" s="23">
        <v>-0.03</v>
      </c>
      <c r="UC127" s="23"/>
      <c r="UD127" s="23"/>
      <c r="UE127" s="23">
        <v>-0.03</v>
      </c>
      <c r="UF127" s="23">
        <v>0.03</v>
      </c>
      <c r="UG127" s="23">
        <v>0.01</v>
      </c>
      <c r="UH127" s="23"/>
      <c r="UI127" s="23"/>
      <c r="UJ127" s="23"/>
      <c r="UK127" s="23"/>
      <c r="UL127" s="23"/>
      <c r="UM127" s="23"/>
      <c r="UN127" s="23"/>
      <c r="UO127" s="23"/>
      <c r="UP127" s="23"/>
      <c r="UQ127" s="23"/>
      <c r="UR127" s="23"/>
      <c r="US127" s="23"/>
      <c r="UT127" s="23"/>
    </row>
    <row r="128" spans="4:566">
      <c r="D128" t="s">
        <v>359</v>
      </c>
      <c r="E128" t="s">
        <v>360</v>
      </c>
      <c r="F128" s="31"/>
      <c r="G128" s="31"/>
      <c r="H128" s="31">
        <v>2501</v>
      </c>
      <c r="I128" s="31">
        <v>2398</v>
      </c>
      <c r="J128" s="31"/>
      <c r="K128" s="31"/>
      <c r="L128" s="31">
        <v>2349</v>
      </c>
      <c r="M128" s="31">
        <v>2322</v>
      </c>
      <c r="N128" s="31">
        <v>2213</v>
      </c>
      <c r="O128" s="31">
        <v>2211</v>
      </c>
      <c r="P128" s="31">
        <v>2204</v>
      </c>
      <c r="Q128" s="31"/>
      <c r="R128" s="31"/>
      <c r="S128" s="31">
        <v>2211</v>
      </c>
      <c r="T128" s="31">
        <v>2179</v>
      </c>
      <c r="U128" s="31">
        <v>2280</v>
      </c>
      <c r="V128" s="31">
        <v>2318</v>
      </c>
      <c r="W128" s="31">
        <v>2326</v>
      </c>
      <c r="X128" s="31"/>
      <c r="Y128" s="31"/>
      <c r="Z128" s="31"/>
      <c r="AA128" s="31">
        <v>2361</v>
      </c>
      <c r="AB128" s="31">
        <v>2269</v>
      </c>
      <c r="AC128" s="31">
        <v>2269</v>
      </c>
      <c r="AD128" s="31">
        <v>2289</v>
      </c>
      <c r="AE128" s="31"/>
      <c r="AF128" s="31"/>
      <c r="AG128" s="31">
        <v>2338</v>
      </c>
      <c r="AH128" s="31">
        <v>2283</v>
      </c>
      <c r="AI128" s="31">
        <v>2323</v>
      </c>
      <c r="AJ128" s="31">
        <v>2369</v>
      </c>
      <c r="AK128" s="31">
        <v>2533</v>
      </c>
      <c r="AL128" s="31"/>
      <c r="AM128" s="31"/>
      <c r="AN128" s="31">
        <v>2413</v>
      </c>
      <c r="AO128" s="31">
        <v>2344</v>
      </c>
      <c r="AP128" s="31">
        <v>2343</v>
      </c>
      <c r="AQ128" s="31">
        <v>2365</v>
      </c>
      <c r="AR128" s="31">
        <v>2336</v>
      </c>
      <c r="AS128" s="31"/>
      <c r="AT128" s="31"/>
      <c r="AU128" s="31">
        <v>2316</v>
      </c>
      <c r="AV128" s="31">
        <v>2321</v>
      </c>
      <c r="AW128" s="31">
        <v>2313</v>
      </c>
      <c r="AX128" s="31">
        <v>2329</v>
      </c>
      <c r="AY128" s="31">
        <v>2319</v>
      </c>
      <c r="AZ128" s="31"/>
      <c r="BA128" s="31"/>
      <c r="BB128" s="31"/>
      <c r="BC128" s="31">
        <v>2452</v>
      </c>
      <c r="BD128" s="31">
        <v>2394</v>
      </c>
      <c r="BE128" s="31">
        <v>2403</v>
      </c>
      <c r="BF128" s="31">
        <v>2400</v>
      </c>
      <c r="BG128" s="31"/>
      <c r="BH128" s="31"/>
      <c r="BI128" s="31">
        <v>2425</v>
      </c>
      <c r="BJ128" s="31">
        <v>2467</v>
      </c>
      <c r="BK128" s="31">
        <v>2487</v>
      </c>
      <c r="BL128" s="31">
        <v>2557</v>
      </c>
      <c r="BM128" s="31">
        <v>2684</v>
      </c>
      <c r="BN128" s="31"/>
      <c r="BO128" s="31"/>
      <c r="BP128" s="31">
        <v>2636</v>
      </c>
      <c r="BQ128" s="31">
        <v>2562</v>
      </c>
      <c r="BR128" s="31">
        <v>2525</v>
      </c>
      <c r="BS128" s="31">
        <v>2558</v>
      </c>
      <c r="BT128" s="31">
        <v>2477</v>
      </c>
      <c r="BU128" s="31"/>
      <c r="BV128" s="31"/>
      <c r="BW128" s="31">
        <v>2505</v>
      </c>
      <c r="BX128" s="31">
        <v>2502</v>
      </c>
      <c r="BY128" s="31">
        <v>2489</v>
      </c>
      <c r="BZ128" s="31">
        <v>2462</v>
      </c>
      <c r="CA128" s="31">
        <v>2441</v>
      </c>
      <c r="CB128" s="31"/>
      <c r="CC128" s="31"/>
      <c r="CD128" s="31">
        <v>2473</v>
      </c>
      <c r="CE128" s="31">
        <v>2465</v>
      </c>
      <c r="CF128" s="31">
        <v>2376</v>
      </c>
      <c r="CG128" s="31">
        <v>2438</v>
      </c>
      <c r="CH128" s="31">
        <v>2444</v>
      </c>
      <c r="CI128" s="31"/>
      <c r="CJ128" s="31"/>
      <c r="CK128" s="31">
        <v>2457</v>
      </c>
      <c r="CL128" s="31">
        <v>2460</v>
      </c>
      <c r="CM128" s="31">
        <v>2472</v>
      </c>
      <c r="CN128" s="31">
        <v>2468</v>
      </c>
      <c r="CO128" s="31">
        <v>2440</v>
      </c>
      <c r="CP128" s="31"/>
      <c r="CQ128" s="31"/>
      <c r="CR128" s="31">
        <v>2636</v>
      </c>
      <c r="CS128" s="31">
        <v>2589</v>
      </c>
      <c r="CT128" s="31">
        <v>2555</v>
      </c>
      <c r="CU128" s="31">
        <v>2577</v>
      </c>
      <c r="CV128" s="31">
        <v>2587</v>
      </c>
      <c r="CW128" s="31"/>
      <c r="CX128" s="31"/>
      <c r="CY128" s="31">
        <v>2630</v>
      </c>
      <c r="CZ128" s="31">
        <v>2658</v>
      </c>
      <c r="DA128" s="31">
        <v>2663</v>
      </c>
      <c r="DB128" s="31">
        <v>2657</v>
      </c>
      <c r="DC128" s="31">
        <v>2584</v>
      </c>
      <c r="DD128" s="31"/>
      <c r="DE128" s="31"/>
      <c r="DF128" s="31">
        <v>2561</v>
      </c>
      <c r="DG128" s="31">
        <v>2526</v>
      </c>
      <c r="DH128" s="31">
        <v>2513</v>
      </c>
      <c r="DI128" s="31">
        <v>2505</v>
      </c>
      <c r="DJ128" s="31"/>
      <c r="DK128" s="31"/>
      <c r="DL128" s="31"/>
      <c r="DM128" s="31">
        <v>2469</v>
      </c>
      <c r="DN128" s="31">
        <v>2527</v>
      </c>
      <c r="DO128" s="31">
        <v>2475</v>
      </c>
      <c r="DP128" s="31">
        <v>2542</v>
      </c>
      <c r="DQ128" s="31">
        <v>2565</v>
      </c>
      <c r="DR128" s="31"/>
      <c r="DS128" s="31"/>
      <c r="DT128" s="31">
        <v>2567</v>
      </c>
      <c r="DU128" s="31">
        <v>2623</v>
      </c>
      <c r="DV128" s="31">
        <v>2830</v>
      </c>
      <c r="DW128" s="31">
        <v>2789</v>
      </c>
      <c r="DX128" s="31">
        <v>2694</v>
      </c>
      <c r="DY128" s="31"/>
      <c r="DZ128" s="31"/>
      <c r="EA128" s="31">
        <v>2632</v>
      </c>
      <c r="EB128" s="31">
        <v>2620</v>
      </c>
      <c r="EC128" s="31">
        <v>2535</v>
      </c>
      <c r="ED128" s="31">
        <v>2545</v>
      </c>
      <c r="EE128" s="31">
        <v>2479</v>
      </c>
      <c r="EF128" s="31"/>
      <c r="EG128" s="31"/>
      <c r="EH128" s="31">
        <v>2535</v>
      </c>
      <c r="EI128" s="31">
        <v>2565</v>
      </c>
      <c r="EJ128" s="31">
        <v>2543</v>
      </c>
      <c r="EK128" s="31">
        <v>2686</v>
      </c>
      <c r="EL128" s="31">
        <v>2617</v>
      </c>
      <c r="EM128" s="31"/>
      <c r="EN128" s="31"/>
      <c r="EO128" s="31">
        <v>2570</v>
      </c>
      <c r="EP128" s="31">
        <v>2554</v>
      </c>
      <c r="EQ128" s="31">
        <v>2517</v>
      </c>
      <c r="ER128" s="31">
        <v>2540</v>
      </c>
      <c r="ES128" s="31">
        <v>2542</v>
      </c>
      <c r="ET128" s="31"/>
      <c r="EU128" s="31"/>
      <c r="EV128" s="31"/>
      <c r="EW128" s="31">
        <v>2655</v>
      </c>
      <c r="EX128" s="31">
        <v>2605</v>
      </c>
      <c r="EY128" s="31">
        <v>2652</v>
      </c>
      <c r="EZ128" s="31">
        <v>2641</v>
      </c>
      <c r="FA128" s="31"/>
      <c r="FB128" s="31"/>
      <c r="FC128" s="31">
        <v>2771</v>
      </c>
      <c r="FD128" s="31">
        <v>2711</v>
      </c>
      <c r="FE128" s="31">
        <v>2625</v>
      </c>
      <c r="FF128" s="31">
        <v>2685</v>
      </c>
      <c r="FG128" s="31">
        <v>2667</v>
      </c>
      <c r="FH128" s="31"/>
      <c r="FI128" s="31"/>
      <c r="FJ128" s="31">
        <v>2643</v>
      </c>
      <c r="FK128" s="31">
        <v>2634</v>
      </c>
      <c r="FL128" s="31">
        <v>2600</v>
      </c>
      <c r="FM128" s="31">
        <v>2663</v>
      </c>
      <c r="FN128" s="31">
        <v>2644</v>
      </c>
      <c r="FO128" s="31"/>
      <c r="FP128" s="31"/>
      <c r="FQ128" s="31">
        <v>2697</v>
      </c>
      <c r="FR128" s="31">
        <v>2692</v>
      </c>
      <c r="FS128" s="31">
        <v>2639</v>
      </c>
      <c r="FT128" s="31"/>
      <c r="FU128" s="31">
        <v>2700</v>
      </c>
      <c r="FV128" s="31"/>
      <c r="FW128" s="31"/>
      <c r="FX128" s="31">
        <v>2740</v>
      </c>
      <c r="FY128" s="31">
        <v>2733</v>
      </c>
      <c r="FZ128" s="31">
        <v>2772</v>
      </c>
      <c r="GA128" s="31">
        <v>2802</v>
      </c>
      <c r="GB128" s="31">
        <v>2775</v>
      </c>
      <c r="GC128" s="31"/>
      <c r="GD128" s="31"/>
      <c r="GE128" s="31">
        <v>2946</v>
      </c>
      <c r="GF128" s="31">
        <v>2920</v>
      </c>
      <c r="GG128" s="31">
        <v>2882</v>
      </c>
      <c r="GH128" s="31">
        <v>2846</v>
      </c>
      <c r="GI128" s="31"/>
      <c r="GJ128" s="31"/>
      <c r="GK128" s="31"/>
      <c r="GL128" s="31">
        <v>2814</v>
      </c>
      <c r="GM128" s="31">
        <v>2765</v>
      </c>
      <c r="GN128" s="31">
        <v>2752</v>
      </c>
      <c r="GO128" s="31">
        <v>2735</v>
      </c>
      <c r="GP128" s="31">
        <v>2754</v>
      </c>
      <c r="GQ128" s="31"/>
      <c r="GR128" s="31"/>
      <c r="GS128" s="31">
        <v>2759</v>
      </c>
      <c r="GT128" s="31">
        <v>2784</v>
      </c>
      <c r="GU128" s="31">
        <v>2771</v>
      </c>
      <c r="GV128" s="31">
        <v>2743</v>
      </c>
      <c r="GW128" s="31">
        <v>2775</v>
      </c>
      <c r="GX128" s="31"/>
      <c r="GY128" s="31"/>
      <c r="GZ128" s="31">
        <v>2688</v>
      </c>
      <c r="HA128" s="31">
        <v>2692</v>
      </c>
      <c r="HB128" s="31">
        <v>2659</v>
      </c>
      <c r="HC128" s="31">
        <v>2725</v>
      </c>
      <c r="HD128" s="31">
        <v>2766</v>
      </c>
      <c r="HE128" s="31"/>
      <c r="HF128" s="31"/>
      <c r="HG128" s="31">
        <v>2783</v>
      </c>
      <c r="HH128" s="31">
        <v>2754</v>
      </c>
      <c r="HI128" s="31">
        <v>2727</v>
      </c>
      <c r="HJ128" s="31">
        <v>2933</v>
      </c>
      <c r="HK128" s="31">
        <v>2885</v>
      </c>
      <c r="HL128" s="31"/>
      <c r="HM128" s="31"/>
      <c r="HN128" s="31">
        <v>2828</v>
      </c>
      <c r="HO128" s="31">
        <v>2863</v>
      </c>
      <c r="HP128" s="31">
        <v>2866</v>
      </c>
      <c r="HQ128" s="31">
        <v>2855</v>
      </c>
      <c r="HR128" s="31">
        <v>2817</v>
      </c>
      <c r="HS128" s="31"/>
      <c r="HT128" s="31"/>
      <c r="HU128" s="31">
        <v>2796</v>
      </c>
      <c r="HV128" s="31">
        <v>2804</v>
      </c>
      <c r="HW128" s="31">
        <v>2796</v>
      </c>
      <c r="HX128" s="31">
        <v>2767</v>
      </c>
      <c r="HY128" s="31">
        <v>2821</v>
      </c>
      <c r="HZ128" s="31"/>
      <c r="IA128" s="31"/>
      <c r="IB128" s="31">
        <v>2810</v>
      </c>
      <c r="IC128" s="31">
        <v>2760</v>
      </c>
      <c r="ID128" s="31">
        <v>2704</v>
      </c>
      <c r="IE128" s="31">
        <v>2702</v>
      </c>
      <c r="IF128" s="31">
        <v>2738</v>
      </c>
      <c r="IG128" s="31"/>
      <c r="IH128" s="31"/>
      <c r="II128" s="31">
        <v>2825</v>
      </c>
      <c r="IJ128" s="31">
        <v>2820</v>
      </c>
      <c r="IK128" s="31">
        <v>2889</v>
      </c>
      <c r="IL128" s="31">
        <v>2870</v>
      </c>
      <c r="IM128" s="31">
        <v>2880</v>
      </c>
      <c r="IN128" s="31"/>
      <c r="IO128" s="31"/>
      <c r="IP128" s="31"/>
      <c r="IQ128" s="31">
        <v>2947</v>
      </c>
      <c r="IR128" s="31">
        <v>2880</v>
      </c>
      <c r="IS128" s="31">
        <v>2834</v>
      </c>
      <c r="IT128" s="31">
        <v>2847</v>
      </c>
      <c r="IU128" s="31"/>
      <c r="IV128" s="31"/>
      <c r="IW128" s="31">
        <v>2872</v>
      </c>
      <c r="IX128" s="31">
        <v>2863</v>
      </c>
      <c r="IY128" s="31">
        <v>2800</v>
      </c>
      <c r="IZ128" s="31">
        <v>2828</v>
      </c>
      <c r="JA128" s="31">
        <v>2830</v>
      </c>
      <c r="JB128" s="31"/>
      <c r="JC128" s="31"/>
      <c r="JD128" s="31">
        <v>2877</v>
      </c>
      <c r="JE128" s="31">
        <v>2857</v>
      </c>
      <c r="JF128" s="31">
        <v>2853</v>
      </c>
      <c r="JG128" s="31">
        <v>2894</v>
      </c>
      <c r="JH128" s="31">
        <v>2881</v>
      </c>
      <c r="JI128" s="31"/>
      <c r="JJ128" s="31"/>
      <c r="JK128" s="31">
        <v>2906</v>
      </c>
      <c r="JL128" s="31">
        <v>2877</v>
      </c>
      <c r="JM128" s="31">
        <v>2852</v>
      </c>
      <c r="JN128" s="31">
        <v>2965</v>
      </c>
      <c r="JO128" s="31">
        <v>2917</v>
      </c>
      <c r="JP128" s="31"/>
      <c r="JQ128" s="31"/>
      <c r="JR128" s="31">
        <v>2893</v>
      </c>
      <c r="JS128" s="31">
        <v>3148</v>
      </c>
      <c r="JT128" s="31">
        <v>3075</v>
      </c>
      <c r="JU128" s="31">
        <v>3022</v>
      </c>
      <c r="JV128" s="31">
        <v>3018</v>
      </c>
      <c r="JW128" s="31"/>
      <c r="JX128" s="31"/>
      <c r="JY128" s="31">
        <v>2981</v>
      </c>
      <c r="JZ128" s="31">
        <v>2946</v>
      </c>
      <c r="KA128" s="31">
        <v>2924</v>
      </c>
      <c r="KB128" s="31">
        <v>2923</v>
      </c>
      <c r="KC128" s="31">
        <v>2895</v>
      </c>
      <c r="KD128" s="31"/>
      <c r="KE128" s="31"/>
      <c r="KF128" s="31"/>
      <c r="KG128" s="31">
        <v>2932</v>
      </c>
      <c r="KH128" s="31">
        <v>3059</v>
      </c>
      <c r="KI128" s="31">
        <v>3045</v>
      </c>
      <c r="KJ128" s="31">
        <v>3022</v>
      </c>
      <c r="KK128" s="31"/>
      <c r="KL128" s="31"/>
      <c r="KM128" s="31">
        <v>2945</v>
      </c>
      <c r="KN128" s="31">
        <v>2957</v>
      </c>
      <c r="KO128" s="31">
        <v>2956</v>
      </c>
      <c r="KP128" s="31">
        <v>3002</v>
      </c>
      <c r="KQ128" s="31">
        <v>3000</v>
      </c>
      <c r="KR128" s="31"/>
      <c r="KS128" s="31"/>
      <c r="KT128" s="31">
        <v>3019</v>
      </c>
      <c r="KU128" s="31">
        <v>3067</v>
      </c>
      <c r="KV128" s="31">
        <v>3061</v>
      </c>
      <c r="KW128" s="31">
        <v>3098</v>
      </c>
      <c r="KX128" s="31">
        <v>3211</v>
      </c>
      <c r="KY128" s="31"/>
      <c r="KZ128" s="31"/>
      <c r="LA128" s="31">
        <v>3237</v>
      </c>
      <c r="LB128" s="31">
        <v>3147</v>
      </c>
      <c r="LC128" s="31">
        <v>3145</v>
      </c>
      <c r="LD128" s="31">
        <v>3156</v>
      </c>
      <c r="LE128" s="31">
        <v>3069</v>
      </c>
      <c r="LF128" s="31"/>
      <c r="LG128" s="31"/>
      <c r="LH128" s="31">
        <v>3135</v>
      </c>
      <c r="LI128" s="31"/>
      <c r="LJ128" s="31">
        <v>3209</v>
      </c>
      <c r="LK128" s="31">
        <v>3197</v>
      </c>
      <c r="LL128" s="31">
        <v>3195</v>
      </c>
      <c r="LM128" s="31"/>
      <c r="LN128" s="31"/>
      <c r="LO128" s="31">
        <v>3278</v>
      </c>
      <c r="LP128" s="31">
        <v>3220</v>
      </c>
      <c r="LQ128" s="31">
        <v>3179</v>
      </c>
      <c r="LR128" s="31">
        <v>3170</v>
      </c>
      <c r="LS128" s="31">
        <v>3203</v>
      </c>
      <c r="LT128" s="31"/>
      <c r="LU128" s="31"/>
      <c r="LV128" s="31">
        <v>3232</v>
      </c>
      <c r="LW128" s="31">
        <v>3317</v>
      </c>
      <c r="LX128" s="31">
        <v>3297</v>
      </c>
      <c r="LY128" s="31"/>
      <c r="LZ128" s="31">
        <v>3361</v>
      </c>
      <c r="MA128" s="31"/>
      <c r="MB128" s="31"/>
      <c r="MC128" s="31">
        <v>3454</v>
      </c>
      <c r="MD128" s="31">
        <v>3407</v>
      </c>
      <c r="ME128" s="31">
        <v>3360</v>
      </c>
      <c r="MF128" s="31">
        <v>3300</v>
      </c>
      <c r="MG128" s="31">
        <v>3221</v>
      </c>
      <c r="MH128" s="31"/>
      <c r="MI128" s="31"/>
      <c r="MJ128" s="31">
        <v>3209</v>
      </c>
      <c r="MK128" s="31">
        <v>3244</v>
      </c>
      <c r="ML128" s="31">
        <v>3222</v>
      </c>
      <c r="MM128" s="31">
        <v>3299</v>
      </c>
      <c r="MN128" s="31">
        <v>3261</v>
      </c>
      <c r="MO128" s="31"/>
      <c r="MP128" s="31"/>
      <c r="MQ128" s="31">
        <v>3270</v>
      </c>
      <c r="MR128" s="31">
        <v>3319</v>
      </c>
      <c r="MS128" s="31">
        <v>3289</v>
      </c>
      <c r="MT128" s="31">
        <v>3273</v>
      </c>
      <c r="MU128" s="31">
        <v>3238</v>
      </c>
      <c r="MV128" s="31"/>
      <c r="MW128" s="31"/>
      <c r="MX128" s="31">
        <v>3253</v>
      </c>
      <c r="MY128" s="31">
        <v>3255</v>
      </c>
      <c r="MZ128" s="31">
        <v>3194</v>
      </c>
      <c r="NA128" s="31"/>
      <c r="NB128" s="31">
        <v>3227</v>
      </c>
      <c r="NC128" s="31"/>
      <c r="ND128" s="31"/>
      <c r="NE128" s="31">
        <v>3346</v>
      </c>
      <c r="NF128" s="31">
        <v>3321</v>
      </c>
      <c r="NG128" s="31">
        <v>3485</v>
      </c>
      <c r="NH128" s="31"/>
      <c r="NI128" s="31">
        <v>3508</v>
      </c>
      <c r="NJ128" s="31"/>
      <c r="NK128" s="31"/>
      <c r="NL128" s="31">
        <v>3441</v>
      </c>
      <c r="NM128" s="31">
        <v>3390</v>
      </c>
      <c r="NN128" s="31">
        <v>3267</v>
      </c>
      <c r="NO128" s="31">
        <v>3249</v>
      </c>
      <c r="NP128" s="31">
        <v>3166</v>
      </c>
      <c r="NQ128" s="31"/>
      <c r="NR128" s="31"/>
      <c r="NS128" s="31">
        <v>3128</v>
      </c>
      <c r="NT128" s="31">
        <v>3177</v>
      </c>
      <c r="NU128" s="31">
        <v>3148</v>
      </c>
      <c r="NV128" s="31">
        <v>3201</v>
      </c>
      <c r="NW128" s="31">
        <v>3163</v>
      </c>
      <c r="NX128" s="31"/>
      <c r="NY128" s="31"/>
      <c r="NZ128" s="31"/>
      <c r="OA128" s="31">
        <v>3162</v>
      </c>
      <c r="OB128" s="31">
        <v>3087</v>
      </c>
      <c r="OC128" s="31">
        <v>3121</v>
      </c>
      <c r="OD128" s="31">
        <v>3137</v>
      </c>
      <c r="OE128" s="31"/>
      <c r="OF128" s="31"/>
      <c r="OG128" s="31">
        <v>3143</v>
      </c>
      <c r="OH128" s="31">
        <v>3145</v>
      </c>
      <c r="OI128" s="31">
        <v>3146</v>
      </c>
      <c r="OJ128" s="31">
        <v>3166</v>
      </c>
      <c r="OK128" s="31">
        <v>3275</v>
      </c>
      <c r="OL128" s="31"/>
      <c r="OM128" s="31"/>
      <c r="ON128" s="31">
        <v>3307</v>
      </c>
      <c r="OO128" s="31">
        <v>3268</v>
      </c>
      <c r="OP128" s="31">
        <v>3310</v>
      </c>
      <c r="OQ128" s="31">
        <v>3228</v>
      </c>
      <c r="OR128" s="31">
        <v>3195</v>
      </c>
      <c r="OS128" s="31"/>
      <c r="OT128" s="31"/>
      <c r="OU128" s="31">
        <v>3132</v>
      </c>
      <c r="OV128" s="31">
        <v>3194</v>
      </c>
      <c r="OW128" s="31">
        <v>3167</v>
      </c>
      <c r="OX128" s="31">
        <v>3205</v>
      </c>
      <c r="OY128" s="31">
        <v>3169</v>
      </c>
      <c r="OZ128" s="31"/>
      <c r="PA128" s="31"/>
      <c r="PB128" s="31"/>
      <c r="PC128" s="31">
        <v>3254</v>
      </c>
      <c r="PD128" s="31">
        <v>3258</v>
      </c>
      <c r="PE128" s="31">
        <v>3238</v>
      </c>
      <c r="PF128" s="31">
        <v>3224</v>
      </c>
      <c r="PG128" s="31"/>
      <c r="PH128" s="31"/>
      <c r="PI128" s="31">
        <v>3197</v>
      </c>
      <c r="PJ128" s="31">
        <v>3239</v>
      </c>
      <c r="PK128" s="31">
        <v>3232</v>
      </c>
      <c r="PL128" s="31">
        <v>3262</v>
      </c>
      <c r="PM128" s="31">
        <v>3252</v>
      </c>
      <c r="PN128" s="31"/>
      <c r="PO128" s="31"/>
      <c r="PP128" s="31">
        <v>3404</v>
      </c>
      <c r="PQ128" s="31">
        <v>3310</v>
      </c>
      <c r="PR128" s="31">
        <v>3292</v>
      </c>
      <c r="PS128" s="31">
        <v>3294</v>
      </c>
      <c r="PT128" s="31">
        <v>3198</v>
      </c>
      <c r="PU128" s="31"/>
      <c r="PV128" s="31"/>
      <c r="PW128" s="31">
        <v>3173</v>
      </c>
      <c r="PX128" s="31">
        <v>3200</v>
      </c>
      <c r="PY128" s="31">
        <v>3175</v>
      </c>
      <c r="PZ128" s="31">
        <v>3112</v>
      </c>
      <c r="QA128" s="31">
        <v>3164</v>
      </c>
      <c r="QB128" s="31"/>
      <c r="QC128" s="31"/>
      <c r="QD128" s="31">
        <v>3178</v>
      </c>
      <c r="QE128" s="31">
        <v>3146</v>
      </c>
      <c r="QF128" s="31">
        <v>3092</v>
      </c>
      <c r="QG128" s="31">
        <v>3121</v>
      </c>
      <c r="QH128" s="31">
        <v>3102</v>
      </c>
      <c r="QI128" s="31"/>
      <c r="QJ128" s="31"/>
      <c r="QK128" s="31">
        <v>3013</v>
      </c>
      <c r="QL128" s="31">
        <v>3014</v>
      </c>
      <c r="QM128" s="31">
        <v>3063</v>
      </c>
      <c r="QN128" s="31">
        <v>3113</v>
      </c>
      <c r="QO128" s="31">
        <v>3037</v>
      </c>
      <c r="QP128" s="31"/>
      <c r="QQ128" s="31"/>
      <c r="QR128" s="31">
        <v>3082</v>
      </c>
      <c r="QS128" s="31">
        <v>3280</v>
      </c>
      <c r="QT128" s="31">
        <v>3265</v>
      </c>
      <c r="QU128" s="31">
        <v>3251</v>
      </c>
      <c r="QV128" s="31"/>
      <c r="QW128" s="31"/>
      <c r="QX128" s="31"/>
      <c r="QY128" s="31">
        <v>3217</v>
      </c>
      <c r="QZ128" s="31">
        <v>3260</v>
      </c>
      <c r="RA128" s="31">
        <v>3169</v>
      </c>
      <c r="RB128" s="31">
        <v>3147</v>
      </c>
      <c r="RC128" s="31">
        <v>3063</v>
      </c>
      <c r="RD128" s="31"/>
      <c r="RE128" s="31"/>
      <c r="RF128" s="31">
        <v>3135</v>
      </c>
      <c r="RG128" s="31">
        <v>3116</v>
      </c>
      <c r="RH128" s="31">
        <v>3117</v>
      </c>
      <c r="RI128" s="31">
        <v>3107</v>
      </c>
      <c r="RJ128" s="31">
        <v>3042</v>
      </c>
      <c r="RK128" s="31"/>
      <c r="RL128" s="31"/>
      <c r="RM128" s="31">
        <v>3010</v>
      </c>
      <c r="RN128" s="31">
        <v>3021</v>
      </c>
      <c r="RO128" s="31">
        <v>2960</v>
      </c>
      <c r="RP128" s="31">
        <v>3011</v>
      </c>
      <c r="RQ128" s="31">
        <v>3047</v>
      </c>
      <c r="RR128" s="31"/>
      <c r="RS128" s="31"/>
      <c r="RT128" s="31">
        <v>3058</v>
      </c>
      <c r="RU128" s="31">
        <v>3021</v>
      </c>
      <c r="RV128" s="31">
        <v>2964</v>
      </c>
      <c r="RW128" s="31">
        <v>3275</v>
      </c>
      <c r="RX128" s="31">
        <v>3150</v>
      </c>
      <c r="RY128" s="31"/>
      <c r="RZ128" s="31"/>
      <c r="SA128" s="31">
        <v>3113</v>
      </c>
      <c r="SB128" s="31">
        <v>3148</v>
      </c>
      <c r="SC128" s="31">
        <v>3129</v>
      </c>
      <c r="SD128" s="31">
        <v>3106</v>
      </c>
      <c r="SE128" s="31">
        <v>3087</v>
      </c>
      <c r="SF128" s="31"/>
      <c r="SG128" s="31"/>
      <c r="SH128" s="31">
        <v>3090</v>
      </c>
      <c r="SI128" s="31">
        <v>3097</v>
      </c>
      <c r="SJ128" s="31">
        <v>3119</v>
      </c>
      <c r="SK128" s="31">
        <v>3115</v>
      </c>
      <c r="SL128" s="31">
        <v>3157</v>
      </c>
      <c r="SM128" s="31"/>
      <c r="SN128" s="31"/>
      <c r="SO128" s="31">
        <v>3159</v>
      </c>
      <c r="SP128" s="31">
        <v>3111</v>
      </c>
      <c r="SQ128" s="31">
        <v>3082</v>
      </c>
      <c r="SR128" s="31">
        <v>3077</v>
      </c>
      <c r="SS128" s="31">
        <v>3078</v>
      </c>
      <c r="ST128" s="23"/>
      <c r="SU128" s="23"/>
      <c r="SV128" s="23"/>
      <c r="SW128" s="23">
        <v>3127</v>
      </c>
      <c r="SX128" s="23">
        <v>3176</v>
      </c>
      <c r="SY128" s="23">
        <v>3139</v>
      </c>
      <c r="SZ128" s="23">
        <v>3201</v>
      </c>
      <c r="TA128" s="23"/>
      <c r="TB128" s="23"/>
      <c r="TC128" s="23">
        <v>3224</v>
      </c>
      <c r="TD128" s="23">
        <v>3148</v>
      </c>
      <c r="TE128" s="23">
        <v>3098</v>
      </c>
      <c r="TF128" s="23">
        <v>3147</v>
      </c>
      <c r="TG128" s="23">
        <v>3131</v>
      </c>
      <c r="TH128" s="23"/>
      <c r="TI128" s="23"/>
      <c r="TJ128" s="23">
        <v>3115</v>
      </c>
      <c r="TK128" s="23">
        <v>3063</v>
      </c>
      <c r="TL128" s="23">
        <v>3023</v>
      </c>
      <c r="TM128" s="23">
        <v>3061</v>
      </c>
      <c r="TN128" s="23">
        <v>3059</v>
      </c>
      <c r="TO128" s="23"/>
      <c r="TP128" s="23"/>
      <c r="TQ128" s="23">
        <v>3147</v>
      </c>
      <c r="TR128" s="23">
        <v>3137</v>
      </c>
      <c r="TS128" s="23">
        <v>3114</v>
      </c>
      <c r="TT128" s="23">
        <v>3148</v>
      </c>
      <c r="TU128" s="23"/>
      <c r="TV128" s="23"/>
      <c r="TW128" s="23"/>
      <c r="TX128" s="23">
        <v>3073</v>
      </c>
      <c r="TY128" s="23">
        <v>3105</v>
      </c>
      <c r="TZ128" s="23">
        <v>3116</v>
      </c>
      <c r="UA128" s="23">
        <v>3145</v>
      </c>
      <c r="UB128" s="23">
        <v>3171</v>
      </c>
      <c r="UC128" s="23"/>
      <c r="UD128" s="23"/>
      <c r="UE128" s="23">
        <v>3126</v>
      </c>
      <c r="UF128" s="23">
        <v>3418</v>
      </c>
      <c r="UG128" s="23">
        <v>3321</v>
      </c>
      <c r="UH128" s="23"/>
      <c r="UI128" s="23"/>
      <c r="UJ128" s="23"/>
      <c r="UK128" s="23"/>
      <c r="UL128" s="23"/>
      <c r="UM128" s="23"/>
      <c r="UN128" s="23"/>
      <c r="UO128" s="23"/>
      <c r="UP128" s="23"/>
      <c r="UQ128" s="23"/>
      <c r="UR128" s="23"/>
      <c r="US128" s="23"/>
      <c r="UT128" s="23"/>
    </row>
    <row r="129" spans="4:566">
      <c r="D129" t="s">
        <v>361</v>
      </c>
      <c r="E129" t="s">
        <v>362</v>
      </c>
      <c r="F129" s="31"/>
      <c r="G129" s="31"/>
      <c r="H129" s="31">
        <v>5.41</v>
      </c>
      <c r="I129" s="31">
        <v>5.44</v>
      </c>
      <c r="J129" s="31"/>
      <c r="K129" s="31"/>
      <c r="L129" s="31">
        <v>5.46</v>
      </c>
      <c r="M129" s="31">
        <v>5.54</v>
      </c>
      <c r="N129" s="31">
        <v>5.54</v>
      </c>
      <c r="O129" s="31">
        <v>5.53</v>
      </c>
      <c r="P129" s="31">
        <v>5.58</v>
      </c>
      <c r="Q129" s="31"/>
      <c r="R129" s="31"/>
      <c r="S129" s="31">
        <v>5.61</v>
      </c>
      <c r="T129" s="31">
        <v>5.61</v>
      </c>
      <c r="U129" s="31">
        <v>5.48</v>
      </c>
      <c r="V129" s="31">
        <v>5.46</v>
      </c>
      <c r="W129" s="31">
        <v>5.45</v>
      </c>
      <c r="X129" s="31"/>
      <c r="Y129" s="31"/>
      <c r="Z129" s="31"/>
      <c r="AA129" s="31">
        <v>5.4</v>
      </c>
      <c r="AB129" s="31">
        <v>5.41</v>
      </c>
      <c r="AC129" s="31">
        <v>5.46</v>
      </c>
      <c r="AD129" s="31">
        <v>5.44</v>
      </c>
      <c r="AE129" s="31"/>
      <c r="AF129" s="31"/>
      <c r="AG129" s="31">
        <v>5.36</v>
      </c>
      <c r="AH129" s="31">
        <v>5.38</v>
      </c>
      <c r="AI129" s="31">
        <v>5.38</v>
      </c>
      <c r="AJ129" s="31">
        <v>5.35</v>
      </c>
      <c r="AK129" s="31">
        <v>5.43</v>
      </c>
      <c r="AL129" s="31"/>
      <c r="AM129" s="31"/>
      <c r="AN129" s="31">
        <v>5.4</v>
      </c>
      <c r="AO129" s="31">
        <v>5.37</v>
      </c>
      <c r="AP129" s="31">
        <v>5.27</v>
      </c>
      <c r="AQ129" s="31">
        <v>5.28</v>
      </c>
      <c r="AR129" s="31">
        <v>5.33</v>
      </c>
      <c r="AS129" s="31"/>
      <c r="AT129" s="31"/>
      <c r="AU129" s="31">
        <v>5.35</v>
      </c>
      <c r="AV129" s="31">
        <v>5.4</v>
      </c>
      <c r="AW129" s="31">
        <v>5.47</v>
      </c>
      <c r="AX129" s="31">
        <v>5.36</v>
      </c>
      <c r="AY129" s="31">
        <v>5.32</v>
      </c>
      <c r="AZ129" s="31"/>
      <c r="BA129" s="31"/>
      <c r="BB129" s="31"/>
      <c r="BC129" s="31">
        <v>5.38</v>
      </c>
      <c r="BD129" s="31">
        <v>5.38</v>
      </c>
      <c r="BE129" s="31">
        <v>5.37</v>
      </c>
      <c r="BF129" s="31">
        <v>5.31</v>
      </c>
      <c r="BG129" s="31"/>
      <c r="BH129" s="31"/>
      <c r="BI129" s="31">
        <v>5.29</v>
      </c>
      <c r="BJ129" s="31">
        <v>5.21</v>
      </c>
      <c r="BK129" s="31">
        <v>5.17</v>
      </c>
      <c r="BL129" s="31">
        <v>5.21</v>
      </c>
      <c r="BM129" s="31">
        <v>5.21</v>
      </c>
      <c r="BN129" s="31"/>
      <c r="BO129" s="31"/>
      <c r="BP129" s="31">
        <v>5.16</v>
      </c>
      <c r="BQ129" s="31">
        <v>5.22</v>
      </c>
      <c r="BR129" s="31">
        <v>5.23</v>
      </c>
      <c r="BS129" s="31">
        <v>5.26</v>
      </c>
      <c r="BT129" s="31">
        <v>5.3</v>
      </c>
      <c r="BU129" s="31"/>
      <c r="BV129" s="31"/>
      <c r="BW129" s="31">
        <v>5.23</v>
      </c>
      <c r="BX129" s="31">
        <v>5.32</v>
      </c>
      <c r="BY129" s="31">
        <v>5.35</v>
      </c>
      <c r="BZ129" s="31">
        <v>5.32</v>
      </c>
      <c r="CA129" s="31">
        <v>5.3</v>
      </c>
      <c r="CB129" s="31"/>
      <c r="CC129" s="31"/>
      <c r="CD129" s="31">
        <v>5.29</v>
      </c>
      <c r="CE129" s="31">
        <v>5.27</v>
      </c>
      <c r="CF129" s="31">
        <v>5.25</v>
      </c>
      <c r="CG129" s="31">
        <v>5.24</v>
      </c>
      <c r="CH129" s="31">
        <v>5.28</v>
      </c>
      <c r="CI129" s="31"/>
      <c r="CJ129" s="31"/>
      <c r="CK129" s="31">
        <v>5.32</v>
      </c>
      <c r="CL129" s="31">
        <v>5.32</v>
      </c>
      <c r="CM129" s="31">
        <v>5.36</v>
      </c>
      <c r="CN129" s="31">
        <v>5.4</v>
      </c>
      <c r="CO129" s="31">
        <v>5.32</v>
      </c>
      <c r="CP129" s="31"/>
      <c r="CQ129" s="31"/>
      <c r="CR129" s="31">
        <v>5.31</v>
      </c>
      <c r="CS129" s="31">
        <v>5.23</v>
      </c>
      <c r="CT129" s="31">
        <v>5.25</v>
      </c>
      <c r="CU129" s="31">
        <v>5.28</v>
      </c>
      <c r="CV129" s="31">
        <v>5.25</v>
      </c>
      <c r="CW129" s="31"/>
      <c r="CX129" s="31"/>
      <c r="CY129" s="31">
        <v>5.45</v>
      </c>
      <c r="CZ129" s="31">
        <v>5.55</v>
      </c>
      <c r="DA129" s="31">
        <v>5.6</v>
      </c>
      <c r="DB129" s="31">
        <v>5.66</v>
      </c>
      <c r="DC129" s="31">
        <v>5.67</v>
      </c>
      <c r="DD129" s="31"/>
      <c r="DE129" s="31"/>
      <c r="DF129" s="31">
        <v>5.53</v>
      </c>
      <c r="DG129" s="31">
        <v>5.51</v>
      </c>
      <c r="DH129" s="31">
        <v>5.48</v>
      </c>
      <c r="DI129" s="31">
        <v>5.51</v>
      </c>
      <c r="DJ129" s="31"/>
      <c r="DK129" s="31"/>
      <c r="DL129" s="31"/>
      <c r="DM129" s="31">
        <v>5.61</v>
      </c>
      <c r="DN129" s="31">
        <v>5.57</v>
      </c>
      <c r="DO129" s="31">
        <v>5.51</v>
      </c>
      <c r="DP129" s="31">
        <v>5.42</v>
      </c>
      <c r="DQ129" s="31">
        <v>5.38</v>
      </c>
      <c r="DR129" s="31"/>
      <c r="DS129" s="31"/>
      <c r="DT129" s="31">
        <v>5.34</v>
      </c>
      <c r="DU129" s="31">
        <v>5.33</v>
      </c>
      <c r="DV129" s="31">
        <v>5.38</v>
      </c>
      <c r="DW129" s="31">
        <v>5.45</v>
      </c>
      <c r="DX129" s="31">
        <v>5.49</v>
      </c>
      <c r="DY129" s="31"/>
      <c r="DZ129" s="31"/>
      <c r="EA129" s="31">
        <v>5.52</v>
      </c>
      <c r="EB129" s="31">
        <v>5.51</v>
      </c>
      <c r="EC129" s="31">
        <v>5.47</v>
      </c>
      <c r="ED129" s="31">
        <v>5.52</v>
      </c>
      <c r="EE129" s="31">
        <v>5.5</v>
      </c>
      <c r="EF129" s="31"/>
      <c r="EG129" s="31"/>
      <c r="EH129" s="31">
        <v>5.52</v>
      </c>
      <c r="EI129" s="31">
        <v>5.57</v>
      </c>
      <c r="EJ129" s="31">
        <v>5.6</v>
      </c>
      <c r="EK129" s="31">
        <v>5.54</v>
      </c>
      <c r="EL129" s="31">
        <v>5.52</v>
      </c>
      <c r="EM129" s="31"/>
      <c r="EN129" s="31"/>
      <c r="EO129" s="31">
        <v>5.55</v>
      </c>
      <c r="EP129" s="31">
        <v>5.57</v>
      </c>
      <c r="EQ129" s="31">
        <v>5.71</v>
      </c>
      <c r="ER129" s="31">
        <v>5.67</v>
      </c>
      <c r="ES129" s="31">
        <v>5.64</v>
      </c>
      <c r="ET129" s="31"/>
      <c r="EU129" s="31"/>
      <c r="EV129" s="31"/>
      <c r="EW129" s="31">
        <v>5.5</v>
      </c>
      <c r="EX129" s="31">
        <v>5.56</v>
      </c>
      <c r="EY129" s="31">
        <v>5.49</v>
      </c>
      <c r="EZ129" s="31">
        <v>5.51</v>
      </c>
      <c r="FA129" s="31"/>
      <c r="FB129" s="31"/>
      <c r="FC129" s="31">
        <v>5.56</v>
      </c>
      <c r="FD129" s="31">
        <v>5.53</v>
      </c>
      <c r="FE129" s="31">
        <v>5.45</v>
      </c>
      <c r="FF129" s="31">
        <v>5.46</v>
      </c>
      <c r="FG129" s="31">
        <v>5.54</v>
      </c>
      <c r="FH129" s="31"/>
      <c r="FI129" s="31"/>
      <c r="FJ129" s="31">
        <v>5.51</v>
      </c>
      <c r="FK129" s="31">
        <v>5.5</v>
      </c>
      <c r="FL129" s="31">
        <v>5.45</v>
      </c>
      <c r="FM129" s="31">
        <v>5.41</v>
      </c>
      <c r="FN129" s="31">
        <v>5.47</v>
      </c>
      <c r="FO129" s="31"/>
      <c r="FP129" s="31"/>
      <c r="FQ129" s="31">
        <v>5.5</v>
      </c>
      <c r="FR129" s="31">
        <v>5.45</v>
      </c>
      <c r="FS129" s="31">
        <v>5.46</v>
      </c>
      <c r="FT129" s="31"/>
      <c r="FU129" s="31">
        <v>5.46</v>
      </c>
      <c r="FV129" s="31"/>
      <c r="FW129" s="31"/>
      <c r="FX129" s="31">
        <v>5.43</v>
      </c>
      <c r="FY129" s="31">
        <v>5.4</v>
      </c>
      <c r="FZ129" s="31">
        <v>5.43</v>
      </c>
      <c r="GA129" s="31">
        <v>5.42</v>
      </c>
      <c r="GB129" s="31">
        <v>5.44</v>
      </c>
      <c r="GC129" s="31"/>
      <c r="GD129" s="31"/>
      <c r="GE129" s="31">
        <v>5.34</v>
      </c>
      <c r="GF129" s="31">
        <v>5.32</v>
      </c>
      <c r="GG129" s="31">
        <v>5.35</v>
      </c>
      <c r="GH129" s="31">
        <v>5.37</v>
      </c>
      <c r="GI129" s="31"/>
      <c r="GJ129" s="31"/>
      <c r="GK129" s="31"/>
      <c r="GL129" s="31">
        <v>5.46</v>
      </c>
      <c r="GM129" s="31">
        <v>5.47</v>
      </c>
      <c r="GN129" s="31">
        <v>5.42</v>
      </c>
      <c r="GO129" s="31">
        <v>5.4</v>
      </c>
      <c r="GP129" s="31">
        <v>5.5</v>
      </c>
      <c r="GQ129" s="31"/>
      <c r="GR129" s="31"/>
      <c r="GS129" s="31">
        <v>5.5</v>
      </c>
      <c r="GT129" s="31">
        <v>5.54</v>
      </c>
      <c r="GU129" s="31">
        <v>5.55</v>
      </c>
      <c r="GV129" s="31">
        <v>5.53</v>
      </c>
      <c r="GW129" s="31">
        <v>5.52</v>
      </c>
      <c r="GX129" s="31"/>
      <c r="GY129" s="31"/>
      <c r="GZ129" s="31">
        <v>5.46</v>
      </c>
      <c r="HA129" s="31">
        <v>5.43</v>
      </c>
      <c r="HB129" s="31">
        <v>5.47</v>
      </c>
      <c r="HC129" s="31">
        <v>5.47</v>
      </c>
      <c r="HD129" s="31">
        <v>5.44</v>
      </c>
      <c r="HE129" s="31"/>
      <c r="HF129" s="31"/>
      <c r="HG129" s="31">
        <v>5.48</v>
      </c>
      <c r="HH129" s="31">
        <v>5.4</v>
      </c>
      <c r="HI129" s="31">
        <v>5.43</v>
      </c>
      <c r="HJ129" s="31">
        <v>5.41</v>
      </c>
      <c r="HK129" s="31">
        <v>5.33</v>
      </c>
      <c r="HL129" s="31"/>
      <c r="HM129" s="31"/>
      <c r="HN129" s="31">
        <v>5.31</v>
      </c>
      <c r="HO129" s="31">
        <v>5.3</v>
      </c>
      <c r="HP129" s="31">
        <v>5.33</v>
      </c>
      <c r="HQ129" s="31">
        <v>5.32</v>
      </c>
      <c r="HR129" s="31">
        <v>5.36</v>
      </c>
      <c r="HS129" s="31"/>
      <c r="HT129" s="31"/>
      <c r="HU129" s="31">
        <v>5.34</v>
      </c>
      <c r="HV129" s="31">
        <v>5.36</v>
      </c>
      <c r="HW129" s="31">
        <v>5.29</v>
      </c>
      <c r="HX129" s="31">
        <v>5.35</v>
      </c>
      <c r="HY129" s="31">
        <v>5.37</v>
      </c>
      <c r="HZ129" s="31"/>
      <c r="IA129" s="31"/>
      <c r="IB129" s="31">
        <v>5.39</v>
      </c>
      <c r="IC129" s="31">
        <v>5.36</v>
      </c>
      <c r="ID129" s="31">
        <v>5.37</v>
      </c>
      <c r="IE129" s="31">
        <v>5.4</v>
      </c>
      <c r="IF129" s="31">
        <v>5.34</v>
      </c>
      <c r="IG129" s="31"/>
      <c r="IH129" s="31"/>
      <c r="II129" s="31">
        <v>5.35</v>
      </c>
      <c r="IJ129" s="31">
        <v>5.37</v>
      </c>
      <c r="IK129" s="31">
        <v>5.38</v>
      </c>
      <c r="IL129" s="31">
        <v>5.35</v>
      </c>
      <c r="IM129" s="31">
        <v>5.42</v>
      </c>
      <c r="IN129" s="31"/>
      <c r="IO129" s="31"/>
      <c r="IP129" s="31"/>
      <c r="IQ129" s="31">
        <v>5.47</v>
      </c>
      <c r="IR129" s="31">
        <v>5.38</v>
      </c>
      <c r="IS129" s="31">
        <v>5.34</v>
      </c>
      <c r="IT129" s="31">
        <v>5.24</v>
      </c>
      <c r="IU129" s="31"/>
      <c r="IV129" s="31"/>
      <c r="IW129" s="31">
        <v>5.16</v>
      </c>
      <c r="IX129" s="31">
        <v>5.19</v>
      </c>
      <c r="IY129" s="31">
        <v>5.13</v>
      </c>
      <c r="IZ129" s="31">
        <v>5.11</v>
      </c>
      <c r="JA129" s="31">
        <v>5.13</v>
      </c>
      <c r="JB129" s="31"/>
      <c r="JC129" s="31"/>
      <c r="JD129" s="31">
        <v>5.1</v>
      </c>
      <c r="JE129" s="31">
        <v>5.1</v>
      </c>
      <c r="JF129" s="31">
        <v>5.15</v>
      </c>
      <c r="JG129" s="31">
        <v>5.18</v>
      </c>
      <c r="JH129" s="31">
        <v>5.21</v>
      </c>
      <c r="JI129" s="31"/>
      <c r="JJ129" s="31"/>
      <c r="JK129" s="31">
        <v>5.22</v>
      </c>
      <c r="JL129" s="31">
        <v>5.2</v>
      </c>
      <c r="JM129" s="31">
        <v>5.23</v>
      </c>
      <c r="JN129" s="31">
        <v>5.24</v>
      </c>
      <c r="JO129" s="31">
        <v>5.25</v>
      </c>
      <c r="JP129" s="31"/>
      <c r="JQ129" s="31"/>
      <c r="JR129" s="31">
        <v>5.19</v>
      </c>
      <c r="JS129" s="31">
        <v>5.22</v>
      </c>
      <c r="JT129" s="31">
        <v>5.19</v>
      </c>
      <c r="JU129" s="31">
        <v>5.16</v>
      </c>
      <c r="JV129" s="31">
        <v>5.18</v>
      </c>
      <c r="JW129" s="31"/>
      <c r="JX129" s="31"/>
      <c r="JY129" s="31">
        <v>5.22</v>
      </c>
      <c r="JZ129" s="31">
        <v>5.18</v>
      </c>
      <c r="KA129" s="31">
        <v>5.17</v>
      </c>
      <c r="KB129" s="31">
        <v>5.21</v>
      </c>
      <c r="KC129" s="31">
        <v>5.14</v>
      </c>
      <c r="KD129" s="31"/>
      <c r="KE129" s="31"/>
      <c r="KF129" s="31"/>
      <c r="KG129" s="31">
        <v>5.13</v>
      </c>
      <c r="KH129" s="31">
        <v>5.13</v>
      </c>
      <c r="KI129" s="31">
        <v>5.1</v>
      </c>
      <c r="KJ129" s="31">
        <v>5.11</v>
      </c>
      <c r="KK129" s="31"/>
      <c r="KL129" s="31"/>
      <c r="KM129" s="31">
        <v>5.08</v>
      </c>
      <c r="KN129" s="31">
        <v>5.06</v>
      </c>
      <c r="KO129" s="31">
        <v>5.06</v>
      </c>
      <c r="KP129" s="31">
        <v>5.06</v>
      </c>
      <c r="KQ129" s="31">
        <v>5.06</v>
      </c>
      <c r="KR129" s="31"/>
      <c r="KS129" s="31"/>
      <c r="KT129" s="31">
        <v>5.04</v>
      </c>
      <c r="KU129" s="31">
        <v>5.04</v>
      </c>
      <c r="KV129" s="31">
        <v>5.09</v>
      </c>
      <c r="KW129" s="31">
        <v>5.16</v>
      </c>
      <c r="KX129" s="31">
        <v>5.22</v>
      </c>
      <c r="KY129" s="31"/>
      <c r="KZ129" s="31"/>
      <c r="LA129" s="31">
        <v>5.29</v>
      </c>
      <c r="LB129" s="31">
        <v>5.27</v>
      </c>
      <c r="LC129" s="31">
        <v>5.29</v>
      </c>
      <c r="LD129" s="31">
        <v>5.26</v>
      </c>
      <c r="LE129" s="31">
        <v>5.27</v>
      </c>
      <c r="LF129" s="31"/>
      <c r="LG129" s="31"/>
      <c r="LH129" s="31">
        <v>5.25</v>
      </c>
      <c r="LI129" s="31"/>
      <c r="LJ129" s="31">
        <v>5.23</v>
      </c>
      <c r="LK129" s="31">
        <v>5.26</v>
      </c>
      <c r="LL129" s="31">
        <v>5.3</v>
      </c>
      <c r="LM129" s="31"/>
      <c r="LN129" s="31"/>
      <c r="LO129" s="31">
        <v>5.3</v>
      </c>
      <c r="LP129" s="31">
        <v>5.31</v>
      </c>
      <c r="LQ129" s="31">
        <v>5.31</v>
      </c>
      <c r="LR129" s="31">
        <v>5.29</v>
      </c>
      <c r="LS129" s="31">
        <v>5.29</v>
      </c>
      <c r="LT129" s="31"/>
      <c r="LU129" s="31"/>
      <c r="LV129" s="31">
        <v>5.23</v>
      </c>
      <c r="LW129" s="31">
        <v>5.2</v>
      </c>
      <c r="LX129" s="31">
        <v>5.17</v>
      </c>
      <c r="LY129" s="31"/>
      <c r="LZ129" s="31">
        <v>5.18</v>
      </c>
      <c r="MA129" s="31"/>
      <c r="MB129" s="31"/>
      <c r="MC129" s="31">
        <v>5.26</v>
      </c>
      <c r="MD129" s="31">
        <v>5.24</v>
      </c>
      <c r="ME129" s="31">
        <v>5.23</v>
      </c>
      <c r="MF129" s="31">
        <v>5.26</v>
      </c>
      <c r="MG129" s="31">
        <v>5.28</v>
      </c>
      <c r="MH129" s="31"/>
      <c r="MI129" s="31"/>
      <c r="MJ129" s="31">
        <v>5.31</v>
      </c>
      <c r="MK129" s="31">
        <v>5.32</v>
      </c>
      <c r="ML129" s="31">
        <v>5.29</v>
      </c>
      <c r="MM129" s="31">
        <v>5.28</v>
      </c>
      <c r="MN129" s="31">
        <v>5.37</v>
      </c>
      <c r="MO129" s="31"/>
      <c r="MP129" s="31"/>
      <c r="MQ129" s="31">
        <v>5.36</v>
      </c>
      <c r="MR129" s="31">
        <v>5.34</v>
      </c>
      <c r="MS129" s="31">
        <v>5.35</v>
      </c>
      <c r="MT129" s="31">
        <v>5.32</v>
      </c>
      <c r="MU129" s="31">
        <v>5.34</v>
      </c>
      <c r="MV129" s="31"/>
      <c r="MW129" s="31"/>
      <c r="MX129" s="31">
        <v>5.34</v>
      </c>
      <c r="MY129" s="31">
        <v>5.33</v>
      </c>
      <c r="MZ129" s="31">
        <v>5.3</v>
      </c>
      <c r="NA129" s="31"/>
      <c r="NB129" s="31">
        <v>5.32</v>
      </c>
      <c r="NC129" s="31"/>
      <c r="ND129" s="31"/>
      <c r="NE129" s="31">
        <v>5.31</v>
      </c>
      <c r="NF129" s="31">
        <v>5.33</v>
      </c>
      <c r="NG129" s="31">
        <v>5.35</v>
      </c>
      <c r="NH129" s="31"/>
      <c r="NI129" s="31">
        <v>5.38</v>
      </c>
      <c r="NJ129" s="31"/>
      <c r="NK129" s="31"/>
      <c r="NL129" s="31">
        <v>5.36</v>
      </c>
      <c r="NM129" s="31">
        <v>5.37</v>
      </c>
      <c r="NN129" s="31">
        <v>5.32</v>
      </c>
      <c r="NO129" s="31">
        <v>5.36</v>
      </c>
      <c r="NP129" s="31">
        <v>5.32</v>
      </c>
      <c r="NQ129" s="31"/>
      <c r="NR129" s="31"/>
      <c r="NS129" s="31">
        <v>5.34</v>
      </c>
      <c r="NT129" s="31">
        <v>5.32</v>
      </c>
      <c r="NU129" s="31">
        <v>5.29</v>
      </c>
      <c r="NV129" s="31">
        <v>5.28</v>
      </c>
      <c r="NW129" s="31">
        <v>5.33</v>
      </c>
      <c r="NX129" s="31"/>
      <c r="NY129" s="31"/>
      <c r="NZ129" s="31"/>
      <c r="OA129" s="31">
        <v>5.42</v>
      </c>
      <c r="OB129" s="31">
        <v>5.36</v>
      </c>
      <c r="OC129" s="31">
        <v>5.32</v>
      </c>
      <c r="OD129" s="31">
        <v>5.32</v>
      </c>
      <c r="OE129" s="31"/>
      <c r="OF129" s="31"/>
      <c r="OG129" s="31">
        <v>5.31</v>
      </c>
      <c r="OH129" s="31">
        <v>5.34</v>
      </c>
      <c r="OI129" s="31">
        <v>5.36</v>
      </c>
      <c r="OJ129" s="31">
        <v>5.37</v>
      </c>
      <c r="OK129" s="31">
        <v>5.38</v>
      </c>
      <c r="OL129" s="31"/>
      <c r="OM129" s="31"/>
      <c r="ON129" s="31">
        <v>5.4</v>
      </c>
      <c r="OO129" s="31">
        <v>5.41</v>
      </c>
      <c r="OP129" s="31">
        <v>5.43</v>
      </c>
      <c r="OQ129" s="31">
        <v>5.37</v>
      </c>
      <c r="OR129" s="31">
        <v>5.37</v>
      </c>
      <c r="OS129" s="31"/>
      <c r="OT129" s="31"/>
      <c r="OU129" s="31">
        <v>5.36</v>
      </c>
      <c r="OV129" s="31">
        <v>5.32</v>
      </c>
      <c r="OW129" s="31">
        <v>5.34</v>
      </c>
      <c r="OX129" s="31">
        <v>5.27</v>
      </c>
      <c r="OY129" s="31">
        <v>5.25</v>
      </c>
      <c r="OZ129" s="31"/>
      <c r="PA129" s="31"/>
      <c r="PB129" s="31"/>
      <c r="PC129" s="31">
        <v>5.25</v>
      </c>
      <c r="PD129" s="31">
        <v>5.25</v>
      </c>
      <c r="PE129" s="31">
        <v>5.26</v>
      </c>
      <c r="PF129" s="31">
        <v>5.26</v>
      </c>
      <c r="PG129" s="31"/>
      <c r="PH129" s="31"/>
      <c r="PI129" s="31">
        <v>5.24</v>
      </c>
      <c r="PJ129" s="31">
        <v>5.25</v>
      </c>
      <c r="PK129" s="31">
        <v>5.25</v>
      </c>
      <c r="PL129" s="31">
        <v>5.25</v>
      </c>
      <c r="PM129" s="31">
        <v>5.24</v>
      </c>
      <c r="PN129" s="31"/>
      <c r="PO129" s="31"/>
      <c r="PP129" s="31">
        <v>5.29</v>
      </c>
      <c r="PQ129" s="31">
        <v>5.29</v>
      </c>
      <c r="PR129" s="31">
        <v>5.28</v>
      </c>
      <c r="PS129" s="31">
        <v>5.36</v>
      </c>
      <c r="PT129" s="31">
        <v>5.37</v>
      </c>
      <c r="PU129" s="31"/>
      <c r="PV129" s="31"/>
      <c r="PW129" s="31">
        <v>5.37</v>
      </c>
      <c r="PX129" s="31">
        <v>5.38</v>
      </c>
      <c r="PY129" s="31">
        <v>5.51</v>
      </c>
      <c r="PZ129" s="31">
        <v>5.56</v>
      </c>
      <c r="QA129" s="31">
        <v>5.6</v>
      </c>
      <c r="QB129" s="31"/>
      <c r="QC129" s="31"/>
      <c r="QD129" s="31">
        <v>5.54</v>
      </c>
      <c r="QE129" s="31">
        <v>5.5</v>
      </c>
      <c r="QF129" s="31">
        <v>5.5</v>
      </c>
      <c r="QG129" s="31">
        <v>5.52</v>
      </c>
      <c r="QH129" s="31">
        <v>5.61</v>
      </c>
      <c r="QI129" s="31"/>
      <c r="QJ129" s="31"/>
      <c r="QK129" s="31">
        <v>5.54</v>
      </c>
      <c r="QL129" s="31">
        <v>5.57</v>
      </c>
      <c r="QM129" s="31">
        <v>5.51</v>
      </c>
      <c r="QN129" s="31">
        <v>5.6</v>
      </c>
      <c r="QO129" s="31">
        <v>5.66</v>
      </c>
      <c r="QP129" s="31"/>
      <c r="QQ129" s="31"/>
      <c r="QR129" s="31">
        <v>5.56</v>
      </c>
      <c r="QS129" s="31">
        <v>5.53</v>
      </c>
      <c r="QT129" s="31">
        <v>5.48</v>
      </c>
      <c r="QU129" s="31">
        <v>5.44</v>
      </c>
      <c r="QV129" s="31"/>
      <c r="QW129" s="31"/>
      <c r="QX129" s="31"/>
      <c r="QY129" s="31">
        <v>5.42</v>
      </c>
      <c r="QZ129" s="31">
        <v>5.48</v>
      </c>
      <c r="RA129" s="31">
        <v>5.4</v>
      </c>
      <c r="RB129" s="31">
        <v>5.39</v>
      </c>
      <c r="RC129" s="31">
        <v>5.42</v>
      </c>
      <c r="RD129" s="31"/>
      <c r="RE129" s="31"/>
      <c r="RF129" s="31">
        <v>5.39</v>
      </c>
      <c r="RG129" s="31">
        <v>5.35</v>
      </c>
      <c r="RH129" s="31">
        <v>5.37</v>
      </c>
      <c r="RI129" s="31">
        <v>5.42</v>
      </c>
      <c r="RJ129" s="31">
        <v>5.36</v>
      </c>
      <c r="RK129" s="31"/>
      <c r="RL129" s="31"/>
      <c r="RM129" s="31">
        <v>5.36</v>
      </c>
      <c r="RN129" s="31">
        <v>5.4</v>
      </c>
      <c r="RO129" s="31">
        <v>5.38</v>
      </c>
      <c r="RP129" s="31">
        <v>5.42</v>
      </c>
      <c r="RQ129" s="31">
        <v>5.41</v>
      </c>
      <c r="RR129" s="31"/>
      <c r="RS129" s="31"/>
      <c r="RT129" s="31">
        <v>5.46</v>
      </c>
      <c r="RU129" s="31">
        <v>5.47</v>
      </c>
      <c r="RV129" s="31">
        <v>5.53</v>
      </c>
      <c r="RW129" s="31">
        <v>5.52</v>
      </c>
      <c r="RX129" s="31">
        <v>5.49</v>
      </c>
      <c r="RY129" s="31"/>
      <c r="RZ129" s="31"/>
      <c r="SA129" s="31">
        <v>5.56</v>
      </c>
      <c r="SB129" s="31">
        <v>5.5</v>
      </c>
      <c r="SC129" s="31">
        <v>5.45</v>
      </c>
      <c r="SD129" s="31">
        <v>5.5</v>
      </c>
      <c r="SE129" s="31">
        <v>5.47</v>
      </c>
      <c r="SF129" s="31"/>
      <c r="SG129" s="31"/>
      <c r="SH129" s="31">
        <v>5.51</v>
      </c>
      <c r="SI129" s="31">
        <v>5.56</v>
      </c>
      <c r="SJ129" s="31">
        <v>5.56</v>
      </c>
      <c r="SK129" s="31">
        <v>5.52</v>
      </c>
      <c r="SL129" s="31">
        <v>5.65</v>
      </c>
      <c r="SM129" s="31"/>
      <c r="SN129" s="31"/>
      <c r="SO129" s="31">
        <v>5.65</v>
      </c>
      <c r="SP129" s="31">
        <v>5.72</v>
      </c>
      <c r="SQ129" s="31">
        <v>5.64</v>
      </c>
      <c r="SR129" s="31">
        <v>5.64</v>
      </c>
      <c r="SS129" s="31">
        <v>5.61</v>
      </c>
      <c r="ST129" s="23"/>
      <c r="SU129" s="23"/>
      <c r="SV129" s="23"/>
      <c r="SW129" s="23">
        <v>5.55</v>
      </c>
      <c r="SX129" s="23">
        <v>5.53</v>
      </c>
      <c r="SY129" s="23">
        <v>5.5</v>
      </c>
      <c r="SZ129" s="23">
        <v>5.5</v>
      </c>
      <c r="TA129" s="23"/>
      <c r="TB129" s="23"/>
      <c r="TC129" s="23">
        <v>5.49</v>
      </c>
      <c r="TD129" s="23">
        <v>5.48</v>
      </c>
      <c r="TE129" s="23">
        <v>5.51</v>
      </c>
      <c r="TF129" s="23">
        <v>5.49</v>
      </c>
      <c r="TG129" s="23">
        <v>5.53</v>
      </c>
      <c r="TH129" s="23"/>
      <c r="TI129" s="23"/>
      <c r="TJ129" s="23">
        <v>5.56</v>
      </c>
      <c r="TK129" s="23">
        <v>5.55</v>
      </c>
      <c r="TL129" s="23">
        <v>5.58</v>
      </c>
      <c r="TM129" s="23">
        <v>5.51</v>
      </c>
      <c r="TN129" s="23">
        <v>5.52</v>
      </c>
      <c r="TO129" s="23"/>
      <c r="TP129" s="23"/>
      <c r="TQ129" s="23">
        <v>5.52</v>
      </c>
      <c r="TR129" s="23">
        <v>5.5</v>
      </c>
      <c r="TS129" s="23">
        <v>5.52</v>
      </c>
      <c r="TT129" s="23">
        <v>5.5</v>
      </c>
      <c r="TU129" s="23"/>
      <c r="TV129" s="23"/>
      <c r="TW129" s="23"/>
      <c r="TX129" s="23">
        <v>5.56</v>
      </c>
      <c r="TY129" s="23">
        <v>5.54</v>
      </c>
      <c r="TZ129" s="23">
        <v>5.48</v>
      </c>
      <c r="UA129" s="23">
        <v>5.49</v>
      </c>
      <c r="UB129" s="23">
        <v>5.5</v>
      </c>
      <c r="UC129" s="23"/>
      <c r="UD129" s="23"/>
      <c r="UE129" s="23">
        <v>5.49</v>
      </c>
      <c r="UF129" s="23">
        <v>5.55</v>
      </c>
      <c r="UG129" s="23">
        <v>5.6</v>
      </c>
      <c r="UH129" s="23"/>
      <c r="UI129" s="23"/>
      <c r="UJ129" s="23"/>
      <c r="UK129" s="23"/>
      <c r="UL129" s="23"/>
      <c r="UM129" s="23"/>
      <c r="UN129" s="23"/>
      <c r="UO129" s="23"/>
      <c r="UP129" s="23"/>
      <c r="UQ129" s="23"/>
      <c r="UR129" s="23"/>
      <c r="US129" s="23"/>
      <c r="UT129" s="23"/>
    </row>
    <row r="130" spans="4:566">
      <c r="D130" t="s">
        <v>363</v>
      </c>
      <c r="E130" t="s">
        <v>364</v>
      </c>
      <c r="F130" s="31"/>
      <c r="G130" s="31">
        <v>9629</v>
      </c>
      <c r="H130" s="31"/>
      <c r="I130" s="31"/>
      <c r="J130" s="31"/>
      <c r="K130" s="31"/>
      <c r="L130" s="31"/>
      <c r="M130" s="31"/>
      <c r="N130" s="31">
        <v>7713</v>
      </c>
      <c r="O130" s="31"/>
      <c r="P130" s="31"/>
      <c r="Q130" s="31"/>
      <c r="R130" s="31"/>
      <c r="S130" s="31"/>
      <c r="T130" s="31"/>
      <c r="U130" s="31">
        <v>5948</v>
      </c>
      <c r="V130" s="31"/>
      <c r="W130" s="31"/>
      <c r="X130" s="31"/>
      <c r="Y130" s="31"/>
      <c r="Z130" s="31"/>
      <c r="AA130" s="31"/>
      <c r="AB130" s="31">
        <v>5279</v>
      </c>
      <c r="AC130" s="31"/>
      <c r="AD130" s="31"/>
      <c r="AE130" s="31"/>
      <c r="AF130" s="31"/>
      <c r="AG130" s="31"/>
      <c r="AH130" s="31"/>
      <c r="AI130" s="31">
        <v>5339</v>
      </c>
      <c r="AJ130" s="31"/>
      <c r="AK130" s="31"/>
      <c r="AL130" s="31"/>
      <c r="AM130" s="31"/>
      <c r="AN130" s="31"/>
      <c r="AO130" s="31"/>
      <c r="AP130" s="31">
        <v>5212</v>
      </c>
      <c r="AQ130" s="31"/>
      <c r="AR130" s="31"/>
      <c r="AS130" s="31"/>
      <c r="AT130" s="31"/>
      <c r="AU130" s="31"/>
      <c r="AV130" s="31"/>
      <c r="AW130" s="31">
        <v>5142</v>
      </c>
      <c r="AX130" s="31"/>
      <c r="AY130" s="31"/>
      <c r="AZ130" s="31"/>
      <c r="BA130" s="31"/>
      <c r="BB130" s="31"/>
      <c r="BC130" s="31"/>
      <c r="BD130" s="31">
        <v>5330</v>
      </c>
      <c r="BE130" s="31"/>
      <c r="BF130" s="31"/>
      <c r="BG130" s="31"/>
      <c r="BH130" s="31"/>
      <c r="BI130" s="31"/>
      <c r="BJ130" s="31"/>
      <c r="BK130" s="31">
        <v>5341</v>
      </c>
      <c r="BL130" s="31"/>
      <c r="BM130" s="31"/>
      <c r="BN130" s="31"/>
      <c r="BO130" s="31"/>
      <c r="BP130" s="31"/>
      <c r="BQ130" s="31"/>
      <c r="BR130" s="31">
        <v>5059</v>
      </c>
      <c r="BS130" s="31"/>
      <c r="BT130" s="31"/>
      <c r="BU130" s="31"/>
      <c r="BV130" s="31"/>
      <c r="BW130" s="31"/>
      <c r="BX130" s="31"/>
      <c r="BY130" s="31">
        <v>4298</v>
      </c>
      <c r="BZ130" s="31"/>
      <c r="CA130" s="31"/>
      <c r="CB130" s="31"/>
      <c r="CC130" s="31"/>
      <c r="CD130" s="31"/>
      <c r="CE130" s="31"/>
      <c r="CF130" s="31">
        <v>3998</v>
      </c>
      <c r="CG130" s="31"/>
      <c r="CH130" s="31"/>
      <c r="CI130" s="31"/>
      <c r="CJ130" s="31"/>
      <c r="CK130" s="31"/>
      <c r="CL130" s="31"/>
      <c r="CM130" s="31">
        <v>4089</v>
      </c>
      <c r="CN130" s="31"/>
      <c r="CO130" s="31"/>
      <c r="CP130" s="31"/>
      <c r="CQ130" s="31"/>
      <c r="CR130" s="31"/>
      <c r="CS130" s="31"/>
      <c r="CT130" s="31">
        <v>4001</v>
      </c>
      <c r="CU130" s="31"/>
      <c r="CV130" s="31"/>
      <c r="CW130" s="31"/>
      <c r="CX130" s="31"/>
      <c r="CY130" s="31"/>
      <c r="CZ130" s="31"/>
      <c r="DA130" s="31">
        <v>4566</v>
      </c>
      <c r="DB130" s="31"/>
      <c r="DC130" s="31"/>
      <c r="DD130" s="31"/>
      <c r="DE130" s="31"/>
      <c r="DF130" s="31"/>
      <c r="DG130" s="31"/>
      <c r="DH130" s="31">
        <v>4544</v>
      </c>
      <c r="DI130" s="31"/>
      <c r="DJ130" s="31"/>
      <c r="DK130" s="31"/>
      <c r="DL130" s="31"/>
      <c r="DM130" s="31"/>
      <c r="DN130" s="31"/>
      <c r="DO130" s="31">
        <v>4931</v>
      </c>
      <c r="DP130" s="31"/>
      <c r="DQ130" s="31"/>
      <c r="DR130" s="31"/>
      <c r="DS130" s="31"/>
      <c r="DT130" s="31"/>
      <c r="DU130" s="31"/>
      <c r="DV130" s="31">
        <v>5303</v>
      </c>
      <c r="DW130" s="31"/>
      <c r="DX130" s="31"/>
      <c r="DY130" s="31"/>
      <c r="DZ130" s="31"/>
      <c r="EA130" s="31"/>
      <c r="EB130" s="31"/>
      <c r="EC130" s="31">
        <v>4269</v>
      </c>
      <c r="ED130" s="31"/>
      <c r="EE130" s="31"/>
      <c r="EF130" s="31"/>
      <c r="EG130" s="31"/>
      <c r="EH130" s="31"/>
      <c r="EI130" s="31"/>
      <c r="EJ130" s="31">
        <v>3999</v>
      </c>
      <c r="EK130" s="31"/>
      <c r="EL130" s="31"/>
      <c r="EM130" s="31"/>
      <c r="EN130" s="31"/>
      <c r="EO130" s="31"/>
      <c r="EP130" s="31"/>
      <c r="EQ130" s="31">
        <v>3653</v>
      </c>
      <c r="ER130" s="31"/>
      <c r="ES130" s="31"/>
      <c r="ET130" s="31"/>
      <c r="EU130" s="31"/>
      <c r="EV130" s="31"/>
      <c r="EW130" s="31"/>
      <c r="EX130" s="31">
        <v>3811</v>
      </c>
      <c r="EY130" s="31"/>
      <c r="EZ130" s="31"/>
      <c r="FA130" s="31"/>
      <c r="FB130" s="31"/>
      <c r="FC130" s="31"/>
      <c r="FD130" s="31"/>
      <c r="FE130" s="31">
        <v>4668</v>
      </c>
      <c r="FF130" s="31"/>
      <c r="FG130" s="31"/>
      <c r="FH130" s="31"/>
      <c r="FI130" s="31"/>
      <c r="FJ130" s="31"/>
      <c r="FK130" s="31"/>
      <c r="FL130" s="31">
        <v>5763</v>
      </c>
      <c r="FM130" s="31"/>
      <c r="FN130" s="31"/>
      <c r="FO130" s="31"/>
      <c r="FP130" s="31"/>
      <c r="FQ130" s="31"/>
      <c r="FR130" s="31"/>
      <c r="FS130" s="31">
        <v>7143</v>
      </c>
      <c r="FT130" s="31"/>
      <c r="FU130" s="31"/>
      <c r="FV130" s="31"/>
      <c r="FW130" s="31"/>
      <c r="FX130" s="31"/>
      <c r="FY130" s="31"/>
      <c r="FZ130" s="31">
        <v>8009</v>
      </c>
      <c r="GA130" s="31"/>
      <c r="GB130" s="31"/>
      <c r="GC130" s="31"/>
      <c r="GD130" s="31"/>
      <c r="GE130" s="31"/>
      <c r="GF130" s="31"/>
      <c r="GG130" s="31">
        <v>7836</v>
      </c>
      <c r="GH130" s="31"/>
      <c r="GI130" s="31"/>
      <c r="GJ130" s="31"/>
      <c r="GK130" s="31"/>
      <c r="GL130" s="31"/>
      <c r="GM130" s="31"/>
      <c r="GN130" s="31">
        <v>7604</v>
      </c>
      <c r="GO130" s="31"/>
      <c r="GP130" s="31"/>
      <c r="GQ130" s="31"/>
      <c r="GR130" s="31"/>
      <c r="GS130" s="31"/>
      <c r="GT130" s="31"/>
      <c r="GU130" s="31">
        <v>6705</v>
      </c>
      <c r="GV130" s="31"/>
      <c r="GW130" s="31"/>
      <c r="GX130" s="31"/>
      <c r="GY130" s="31"/>
      <c r="GZ130" s="31"/>
      <c r="HA130" s="31"/>
      <c r="HB130" s="31">
        <v>6694</v>
      </c>
      <c r="HC130" s="31"/>
      <c r="HD130" s="31"/>
      <c r="HE130" s="31"/>
      <c r="HF130" s="31"/>
      <c r="HG130" s="31"/>
      <c r="HH130" s="31"/>
      <c r="HI130" s="31">
        <v>7050</v>
      </c>
      <c r="HJ130" s="31"/>
      <c r="HK130" s="31"/>
      <c r="HL130" s="31"/>
      <c r="HM130" s="31"/>
      <c r="HN130" s="31"/>
      <c r="HO130" s="31"/>
      <c r="HP130" s="31">
        <v>6316</v>
      </c>
      <c r="HQ130" s="31"/>
      <c r="HR130" s="31"/>
      <c r="HS130" s="31"/>
      <c r="HT130" s="31"/>
      <c r="HU130" s="31"/>
      <c r="HV130" s="31"/>
      <c r="HW130" s="31">
        <v>6090</v>
      </c>
      <c r="HX130" s="31"/>
      <c r="HY130" s="31"/>
      <c r="HZ130" s="31"/>
      <c r="IA130" s="31"/>
      <c r="IB130" s="31"/>
      <c r="IC130" s="31"/>
      <c r="ID130" s="31">
        <v>5882</v>
      </c>
      <c r="IE130" s="31"/>
      <c r="IF130" s="31"/>
      <c r="IG130" s="31"/>
      <c r="IH130" s="31"/>
      <c r="II130" s="31"/>
      <c r="IJ130" s="31"/>
      <c r="IK130" s="31">
        <v>5660</v>
      </c>
      <c r="IL130" s="31"/>
      <c r="IM130" s="31"/>
      <c r="IN130" s="31"/>
      <c r="IO130" s="31"/>
      <c r="IP130" s="31"/>
      <c r="IQ130" s="31"/>
      <c r="IR130" s="31">
        <v>5836</v>
      </c>
      <c r="IS130" s="31"/>
      <c r="IT130" s="31"/>
      <c r="IU130" s="31"/>
      <c r="IV130" s="31"/>
      <c r="IW130" s="31"/>
      <c r="IX130" s="31"/>
      <c r="IY130" s="31">
        <v>6782</v>
      </c>
      <c r="IZ130" s="31"/>
      <c r="JA130" s="31"/>
      <c r="JB130" s="31"/>
      <c r="JC130" s="31"/>
      <c r="JD130" s="31"/>
      <c r="JE130" s="31"/>
      <c r="JF130" s="31">
        <v>6550</v>
      </c>
      <c r="JG130" s="31"/>
      <c r="JH130" s="31"/>
      <c r="JI130" s="31"/>
      <c r="JJ130" s="31"/>
      <c r="JK130" s="31"/>
      <c r="JL130" s="31"/>
      <c r="JM130" s="31">
        <v>8505</v>
      </c>
      <c r="JN130" s="31"/>
      <c r="JO130" s="31"/>
      <c r="JP130" s="31"/>
      <c r="JQ130" s="31"/>
      <c r="JR130" s="31"/>
      <c r="JS130" s="31"/>
      <c r="JT130" s="31">
        <v>7283</v>
      </c>
      <c r="JU130" s="31"/>
      <c r="JV130" s="31"/>
      <c r="JW130" s="31"/>
      <c r="JX130" s="31"/>
      <c r="JY130" s="31"/>
      <c r="JZ130" s="31"/>
      <c r="KA130" s="31">
        <v>6363</v>
      </c>
      <c r="KB130" s="31"/>
      <c r="KC130" s="31"/>
      <c r="KD130" s="31"/>
      <c r="KE130" s="31"/>
      <c r="KF130" s="31"/>
      <c r="KG130" s="31"/>
      <c r="KH130" s="31">
        <v>6142</v>
      </c>
      <c r="KI130" s="31"/>
      <c r="KJ130" s="31"/>
      <c r="KK130" s="31"/>
      <c r="KL130" s="31"/>
      <c r="KM130" s="31"/>
      <c r="KN130" s="31"/>
      <c r="KO130" s="31">
        <v>7468</v>
      </c>
      <c r="KP130" s="31"/>
      <c r="KQ130" s="31"/>
      <c r="KR130" s="31"/>
      <c r="KS130" s="31"/>
      <c r="KT130" s="31"/>
      <c r="KU130" s="31"/>
      <c r="KV130" s="31">
        <v>8007</v>
      </c>
      <c r="KW130" s="31"/>
      <c r="KX130" s="31"/>
      <c r="KY130" s="31"/>
      <c r="KZ130" s="31"/>
      <c r="LA130" s="31"/>
      <c r="LB130" s="31"/>
      <c r="LC130" s="31">
        <v>7230</v>
      </c>
      <c r="LD130" s="31"/>
      <c r="LE130" s="31"/>
      <c r="LF130" s="31"/>
      <c r="LG130" s="31"/>
      <c r="LH130" s="31"/>
      <c r="LI130" s="31"/>
      <c r="LJ130" s="31">
        <v>5904</v>
      </c>
      <c r="LK130" s="31"/>
      <c r="LL130" s="31"/>
      <c r="LM130" s="31"/>
      <c r="LN130" s="31"/>
      <c r="LO130" s="31"/>
      <c r="LP130" s="31"/>
      <c r="LQ130" s="31">
        <v>6172</v>
      </c>
      <c r="LR130" s="31"/>
      <c r="LS130" s="31"/>
      <c r="LT130" s="31"/>
      <c r="LU130" s="31"/>
      <c r="LV130" s="31"/>
      <c r="LW130" s="31"/>
      <c r="LX130" s="31">
        <v>7876</v>
      </c>
      <c r="LY130" s="31"/>
      <c r="LZ130" s="31"/>
      <c r="MA130" s="31"/>
      <c r="MB130" s="31"/>
      <c r="MC130" s="31"/>
      <c r="MD130" s="31"/>
      <c r="ME130" s="31">
        <v>7915</v>
      </c>
      <c r="MF130" s="31"/>
      <c r="MG130" s="31"/>
      <c r="MH130" s="31"/>
      <c r="MI130" s="31"/>
      <c r="MJ130" s="31"/>
      <c r="MK130" s="31"/>
      <c r="ML130" s="31">
        <v>8416</v>
      </c>
      <c r="MM130" s="31"/>
      <c r="MN130" s="31"/>
      <c r="MO130" s="31"/>
      <c r="MP130" s="31"/>
      <c r="MQ130" s="31"/>
      <c r="MR130" s="31"/>
      <c r="MS130" s="31">
        <v>8938</v>
      </c>
      <c r="MT130" s="31"/>
      <c r="MU130" s="31"/>
      <c r="MV130" s="31"/>
      <c r="MW130" s="31"/>
      <c r="MX130" s="31"/>
      <c r="MY130" s="31"/>
      <c r="MZ130" s="31">
        <v>9945</v>
      </c>
      <c r="NA130" s="31"/>
      <c r="NB130" s="31"/>
      <c r="NC130" s="31"/>
      <c r="ND130" s="31"/>
      <c r="NE130" s="31"/>
      <c r="NF130" s="31"/>
      <c r="NG130" s="31">
        <v>9740</v>
      </c>
      <c r="NH130" s="31"/>
      <c r="NI130" s="31"/>
      <c r="NJ130" s="31"/>
      <c r="NK130" s="31"/>
      <c r="NL130" s="31"/>
      <c r="NM130" s="31"/>
      <c r="NN130" s="31">
        <v>7287</v>
      </c>
      <c r="NO130" s="31"/>
      <c r="NP130" s="31"/>
      <c r="NQ130" s="31"/>
      <c r="NR130" s="31"/>
      <c r="NS130" s="31"/>
      <c r="NT130" s="31"/>
      <c r="NU130" s="31">
        <v>5431</v>
      </c>
      <c r="NV130" s="31"/>
      <c r="NW130" s="31"/>
      <c r="NX130" s="31"/>
      <c r="NY130" s="31"/>
      <c r="NZ130" s="31"/>
      <c r="OA130" s="31"/>
      <c r="OB130" s="31">
        <v>3558</v>
      </c>
      <c r="OC130" s="31"/>
      <c r="OD130" s="31"/>
      <c r="OE130" s="31"/>
      <c r="OF130" s="31"/>
      <c r="OG130" s="31"/>
      <c r="OH130" s="31"/>
      <c r="OI130" s="31">
        <v>4575</v>
      </c>
      <c r="OJ130" s="31"/>
      <c r="OK130" s="31"/>
      <c r="OL130" s="31"/>
      <c r="OM130" s="31"/>
      <c r="ON130" s="31"/>
      <c r="OO130" s="31"/>
      <c r="OP130" s="31">
        <v>4573</v>
      </c>
      <c r="OQ130" s="31"/>
      <c r="OR130" s="31"/>
      <c r="OS130" s="31"/>
      <c r="OT130" s="31"/>
      <c r="OU130" s="31"/>
      <c r="OV130" s="31"/>
      <c r="OW130" s="31">
        <v>4474</v>
      </c>
      <c r="OX130" s="31"/>
      <c r="OY130" s="31"/>
      <c r="OZ130" s="31"/>
      <c r="PA130" s="31"/>
      <c r="PB130" s="31"/>
      <c r="PC130" s="31"/>
      <c r="PD130" s="31">
        <v>4828</v>
      </c>
      <c r="PE130" s="31"/>
      <c r="PF130" s="31"/>
      <c r="PG130" s="31"/>
      <c r="PH130" s="31"/>
      <c r="PI130" s="31"/>
      <c r="PJ130" s="31"/>
      <c r="PK130" s="31">
        <v>4537</v>
      </c>
      <c r="PL130" s="31"/>
      <c r="PM130" s="31"/>
      <c r="PN130" s="31"/>
      <c r="PO130" s="31"/>
      <c r="PP130" s="31"/>
      <c r="PQ130" s="31"/>
      <c r="PR130" s="31">
        <v>4762</v>
      </c>
      <c r="PS130" s="31"/>
      <c r="PT130" s="31"/>
      <c r="PU130" s="31"/>
      <c r="PV130" s="31"/>
      <c r="PW130" s="31"/>
      <c r="PX130" s="31"/>
      <c r="PY130" s="31">
        <v>4714</v>
      </c>
      <c r="PZ130" s="31"/>
      <c r="QA130" s="31"/>
      <c r="QB130" s="31"/>
      <c r="QC130" s="31"/>
      <c r="QD130" s="31"/>
      <c r="QE130" s="31"/>
      <c r="QF130" s="31">
        <v>4937</v>
      </c>
      <c r="QG130" s="31"/>
      <c r="QH130" s="31"/>
      <c r="QI130" s="31"/>
      <c r="QJ130" s="31"/>
      <c r="QK130" s="31"/>
      <c r="QL130" s="31"/>
      <c r="QM130" s="31">
        <v>5271</v>
      </c>
      <c r="QN130" s="31"/>
      <c r="QO130" s="31"/>
      <c r="QP130" s="31"/>
      <c r="QQ130" s="31"/>
      <c r="QR130" s="31"/>
      <c r="QS130" s="31"/>
      <c r="QT130" s="31">
        <v>6064</v>
      </c>
      <c r="QU130" s="31"/>
      <c r="QV130" s="31"/>
      <c r="QW130" s="31"/>
      <c r="QX130" s="31"/>
      <c r="QY130" s="31"/>
      <c r="QZ130" s="31"/>
      <c r="RA130" s="31">
        <v>5923</v>
      </c>
      <c r="RB130" s="31"/>
      <c r="RC130" s="31"/>
      <c r="RD130" s="31"/>
      <c r="RE130" s="31"/>
      <c r="RF130" s="31"/>
      <c r="RG130" s="31"/>
      <c r="RH130" s="31">
        <v>5358</v>
      </c>
      <c r="RI130" s="31"/>
      <c r="RJ130" s="31"/>
      <c r="RK130" s="31"/>
      <c r="RL130" s="31"/>
      <c r="RM130" s="31"/>
      <c r="RN130" s="31"/>
      <c r="RO130" s="31">
        <v>6073</v>
      </c>
      <c r="RP130" s="31"/>
      <c r="RQ130" s="31"/>
      <c r="RR130" s="31"/>
      <c r="RS130" s="31"/>
      <c r="RT130" s="31"/>
      <c r="RU130" s="31"/>
      <c r="RV130" s="31">
        <v>6145</v>
      </c>
      <c r="RW130" s="31"/>
      <c r="RX130" s="31"/>
      <c r="RY130" s="31"/>
      <c r="RZ130" s="31"/>
      <c r="SA130" s="31"/>
      <c r="SB130" s="31"/>
      <c r="SC130" s="31">
        <v>5772</v>
      </c>
      <c r="SD130" s="31"/>
      <c r="SE130" s="31"/>
      <c r="SF130" s="31"/>
      <c r="SG130" s="31"/>
      <c r="SH130" s="31"/>
      <c r="SI130" s="31"/>
      <c r="SJ130" s="31">
        <v>6042</v>
      </c>
      <c r="SK130" s="31"/>
      <c r="SL130" s="31"/>
      <c r="SM130" s="31"/>
      <c r="SN130" s="31"/>
      <c r="SO130" s="31"/>
      <c r="SP130" s="31"/>
      <c r="SQ130" s="31">
        <v>5637</v>
      </c>
      <c r="SR130" s="31"/>
      <c r="SS130" s="31"/>
      <c r="ST130" s="23"/>
      <c r="SU130" s="23"/>
      <c r="SV130" s="23"/>
      <c r="SW130" s="23"/>
      <c r="SX130" s="23">
        <v>6400</v>
      </c>
      <c r="SY130" s="23"/>
      <c r="SZ130" s="23"/>
      <c r="TA130" s="23"/>
      <c r="TB130" s="23"/>
      <c r="TC130" s="23"/>
      <c r="TD130" s="23"/>
      <c r="TE130" s="23">
        <v>6120</v>
      </c>
      <c r="TF130" s="23"/>
      <c r="TG130" s="23"/>
      <c r="TH130" s="23"/>
      <c r="TI130" s="23"/>
      <c r="TJ130" s="23"/>
      <c r="TK130" s="23"/>
      <c r="TL130" s="23">
        <v>6658</v>
      </c>
      <c r="TM130" s="23"/>
      <c r="TN130" s="23"/>
      <c r="TO130" s="23"/>
      <c r="TP130" s="23"/>
      <c r="TQ130" s="23"/>
      <c r="TR130" s="23"/>
      <c r="TS130" s="23">
        <v>7642</v>
      </c>
      <c r="TT130" s="23"/>
      <c r="TU130" s="23"/>
      <c r="TV130" s="23"/>
      <c r="TW130" s="23"/>
      <c r="TX130" s="23"/>
      <c r="TY130" s="23"/>
      <c r="TZ130" s="23">
        <v>7946</v>
      </c>
      <c r="UA130" s="23"/>
      <c r="UB130" s="23"/>
      <c r="UC130" s="23"/>
      <c r="UD130" s="23"/>
      <c r="UE130" s="23"/>
      <c r="UF130" s="23"/>
      <c r="UG130" s="23">
        <v>7832</v>
      </c>
      <c r="UH130" s="23"/>
      <c r="UI130" s="23"/>
      <c r="UJ130" s="23"/>
      <c r="UK130" s="23"/>
      <c r="UL130" s="23"/>
      <c r="UM130" s="23"/>
      <c r="UN130" s="23"/>
      <c r="UO130" s="23"/>
      <c r="UP130" s="23"/>
      <c r="UQ130" s="23"/>
      <c r="UR130" s="23"/>
      <c r="US130" s="23"/>
      <c r="UT130" s="23"/>
    </row>
    <row r="131" spans="4:566">
      <c r="D131" t="s">
        <v>365</v>
      </c>
      <c r="E131" t="s">
        <v>366</v>
      </c>
      <c r="F131" s="31"/>
      <c r="G131" s="31">
        <v>6806114</v>
      </c>
      <c r="H131" s="31"/>
      <c r="I131" s="31"/>
      <c r="J131" s="31"/>
      <c r="K131" s="31"/>
      <c r="L131" s="31"/>
      <c r="M131" s="31"/>
      <c r="N131" s="31">
        <v>6807894</v>
      </c>
      <c r="O131" s="31"/>
      <c r="P131" s="31"/>
      <c r="Q131" s="31"/>
      <c r="R131" s="31"/>
      <c r="S131" s="31"/>
      <c r="T131" s="31"/>
      <c r="U131" s="31">
        <v>6788498</v>
      </c>
      <c r="V131" s="31"/>
      <c r="W131" s="31"/>
      <c r="X131" s="31"/>
      <c r="Y131" s="31"/>
      <c r="Z131" s="31"/>
      <c r="AA131" s="31"/>
      <c r="AB131" s="31">
        <v>6785912</v>
      </c>
      <c r="AC131" s="31"/>
      <c r="AD131" s="31"/>
      <c r="AE131" s="31"/>
      <c r="AF131" s="31"/>
      <c r="AG131" s="31"/>
      <c r="AH131" s="31"/>
      <c r="AI131" s="31">
        <v>6771656</v>
      </c>
      <c r="AJ131" s="31"/>
      <c r="AK131" s="31"/>
      <c r="AL131" s="31"/>
      <c r="AM131" s="31"/>
      <c r="AN131" s="31"/>
      <c r="AO131" s="31"/>
      <c r="AP131" s="31">
        <v>6764976</v>
      </c>
      <c r="AQ131" s="31"/>
      <c r="AR131" s="31"/>
      <c r="AS131" s="31"/>
      <c r="AT131" s="31"/>
      <c r="AU131" s="31"/>
      <c r="AV131" s="31"/>
      <c r="AW131" s="31">
        <v>6767671</v>
      </c>
      <c r="AX131" s="31"/>
      <c r="AY131" s="31"/>
      <c r="AZ131" s="31"/>
      <c r="BA131" s="31"/>
      <c r="BB131" s="31"/>
      <c r="BC131" s="31"/>
      <c r="BD131" s="31">
        <v>6736175</v>
      </c>
      <c r="BE131" s="31"/>
      <c r="BF131" s="31"/>
      <c r="BG131" s="31"/>
      <c r="BH131" s="31"/>
      <c r="BI131" s="31"/>
      <c r="BJ131" s="31"/>
      <c r="BK131" s="31">
        <v>6719230</v>
      </c>
      <c r="BL131" s="31"/>
      <c r="BM131" s="31"/>
      <c r="BN131" s="31"/>
      <c r="BO131" s="31"/>
      <c r="BP131" s="31"/>
      <c r="BQ131" s="31"/>
      <c r="BR131" s="31">
        <v>6709646</v>
      </c>
      <c r="BS131" s="31"/>
      <c r="BT131" s="31"/>
      <c r="BU131" s="31"/>
      <c r="BV131" s="31"/>
      <c r="BW131" s="31"/>
      <c r="BX131" s="31"/>
      <c r="BY131" s="31">
        <v>6712769</v>
      </c>
      <c r="BZ131" s="31"/>
      <c r="CA131" s="31"/>
      <c r="CB131" s="31"/>
      <c r="CC131" s="31"/>
      <c r="CD131" s="31"/>
      <c r="CE131" s="31"/>
      <c r="CF131" s="31">
        <v>6709415</v>
      </c>
      <c r="CG131" s="31"/>
      <c r="CH131" s="31"/>
      <c r="CI131" s="31"/>
      <c r="CJ131" s="31"/>
      <c r="CK131" s="31"/>
      <c r="CL131" s="31"/>
      <c r="CM131" s="31">
        <v>6693726</v>
      </c>
      <c r="CN131" s="31"/>
      <c r="CO131" s="31"/>
      <c r="CP131" s="31"/>
      <c r="CQ131" s="31"/>
      <c r="CR131" s="31"/>
      <c r="CS131" s="31"/>
      <c r="CT131" s="31">
        <v>6676534</v>
      </c>
      <c r="CU131" s="31"/>
      <c r="CV131" s="31"/>
      <c r="CW131" s="31"/>
      <c r="CX131" s="31"/>
      <c r="CY131" s="31"/>
      <c r="CZ131" s="31"/>
      <c r="DA131" s="31">
        <v>6680364</v>
      </c>
      <c r="DB131" s="31"/>
      <c r="DC131" s="31"/>
      <c r="DD131" s="31"/>
      <c r="DE131" s="31"/>
      <c r="DF131" s="31"/>
      <c r="DG131" s="31"/>
      <c r="DH131" s="31">
        <v>6679539</v>
      </c>
      <c r="DI131" s="31"/>
      <c r="DJ131" s="31"/>
      <c r="DK131" s="31"/>
      <c r="DL131" s="31"/>
      <c r="DM131" s="31"/>
      <c r="DN131" s="31"/>
      <c r="DO131" s="31">
        <v>6679449</v>
      </c>
      <c r="DP131" s="31"/>
      <c r="DQ131" s="31"/>
      <c r="DR131" s="31"/>
      <c r="DS131" s="31"/>
      <c r="DT131" s="31"/>
      <c r="DU131" s="31"/>
      <c r="DV131" s="31">
        <v>6661145</v>
      </c>
      <c r="DW131" s="31"/>
      <c r="DX131" s="31"/>
      <c r="DY131" s="31"/>
      <c r="DZ131" s="31"/>
      <c r="EA131" s="31"/>
      <c r="EB131" s="31"/>
      <c r="EC131" s="31">
        <v>6663493</v>
      </c>
      <c r="ED131" s="31"/>
      <c r="EE131" s="31"/>
      <c r="EF131" s="31"/>
      <c r="EG131" s="31"/>
      <c r="EH131" s="31"/>
      <c r="EI131" s="31"/>
      <c r="EJ131" s="31">
        <v>6666114</v>
      </c>
      <c r="EK131" s="31"/>
      <c r="EL131" s="31"/>
      <c r="EM131" s="31"/>
      <c r="EN131" s="31"/>
      <c r="EO131" s="31"/>
      <c r="EP131" s="31"/>
      <c r="EQ131" s="31">
        <v>6641404</v>
      </c>
      <c r="ER131" s="31"/>
      <c r="ES131" s="31"/>
      <c r="ET131" s="31"/>
      <c r="EU131" s="31"/>
      <c r="EV131" s="31"/>
      <c r="EW131" s="31"/>
      <c r="EX131" s="31">
        <v>6625647</v>
      </c>
      <c r="EY131" s="31"/>
      <c r="EZ131" s="31"/>
      <c r="FA131" s="31"/>
      <c r="FB131" s="31"/>
      <c r="FC131" s="31"/>
      <c r="FD131" s="31"/>
      <c r="FE131" s="31">
        <v>6624863</v>
      </c>
      <c r="FF131" s="31"/>
      <c r="FG131" s="31"/>
      <c r="FH131" s="31"/>
      <c r="FI131" s="31"/>
      <c r="FJ131" s="31"/>
      <c r="FK131" s="31"/>
      <c r="FL131" s="31">
        <v>6629595</v>
      </c>
      <c r="FM131" s="31"/>
      <c r="FN131" s="31"/>
      <c r="FO131" s="31"/>
      <c r="FP131" s="31"/>
      <c r="FQ131" s="31"/>
      <c r="FR131" s="31"/>
      <c r="FS131" s="31">
        <v>6633458</v>
      </c>
      <c r="FT131" s="31"/>
      <c r="FU131" s="31"/>
      <c r="FV131" s="31"/>
      <c r="FW131" s="31"/>
      <c r="FX131" s="31"/>
      <c r="FY131" s="31"/>
      <c r="FZ131" s="31">
        <v>6614530</v>
      </c>
      <c r="GA131" s="31"/>
      <c r="GB131" s="31"/>
      <c r="GC131" s="31"/>
      <c r="GD131" s="31"/>
      <c r="GE131" s="31"/>
      <c r="GF131" s="31"/>
      <c r="GG131" s="31">
        <v>6611008</v>
      </c>
      <c r="GH131" s="31"/>
      <c r="GI131" s="31"/>
      <c r="GJ131" s="31"/>
      <c r="GK131" s="31"/>
      <c r="GL131" s="31"/>
      <c r="GM131" s="31"/>
      <c r="GN131" s="31">
        <v>6614212</v>
      </c>
      <c r="GO131" s="31"/>
      <c r="GP131" s="31"/>
      <c r="GQ131" s="31"/>
      <c r="GR131" s="31"/>
      <c r="GS131" s="31"/>
      <c r="GT131" s="31"/>
      <c r="GU131" s="31">
        <v>6611780</v>
      </c>
      <c r="GV131" s="31"/>
      <c r="GW131" s="31"/>
      <c r="GX131" s="31"/>
      <c r="GY131" s="31"/>
      <c r="GZ131" s="31"/>
      <c r="HA131" s="31"/>
      <c r="HB131" s="31">
        <v>6609887</v>
      </c>
      <c r="HC131" s="31"/>
      <c r="HD131" s="31"/>
      <c r="HE131" s="31"/>
      <c r="HF131" s="31"/>
      <c r="HG131" s="31"/>
      <c r="HH131" s="31"/>
      <c r="HI131" s="31">
        <v>6594281</v>
      </c>
      <c r="HJ131" s="31"/>
      <c r="HK131" s="31"/>
      <c r="HL131" s="31"/>
      <c r="HM131" s="31"/>
      <c r="HN131" s="31"/>
      <c r="HO131" s="31"/>
      <c r="HP131" s="31">
        <v>6593222</v>
      </c>
      <c r="HQ131" s="31"/>
      <c r="HR131" s="31"/>
      <c r="HS131" s="31"/>
      <c r="HT131" s="31"/>
      <c r="HU131" s="31"/>
      <c r="HV131" s="31"/>
      <c r="HW131" s="31">
        <v>6595894</v>
      </c>
      <c r="HX131" s="31"/>
      <c r="HY131" s="31"/>
      <c r="HZ131" s="31"/>
      <c r="IA131" s="31"/>
      <c r="IB131" s="31"/>
      <c r="IC131" s="31"/>
      <c r="ID131" s="31">
        <v>6570797</v>
      </c>
      <c r="IE131" s="31"/>
      <c r="IF131" s="31"/>
      <c r="IG131" s="31"/>
      <c r="IH131" s="31"/>
      <c r="II131" s="31"/>
      <c r="IJ131" s="31"/>
      <c r="IK131" s="31">
        <v>6555606</v>
      </c>
      <c r="IL131" s="31"/>
      <c r="IM131" s="31"/>
      <c r="IN131" s="31"/>
      <c r="IO131" s="31"/>
      <c r="IP131" s="31"/>
      <c r="IQ131" s="31"/>
      <c r="IR131" s="31">
        <v>6554204</v>
      </c>
      <c r="IS131" s="31"/>
      <c r="IT131" s="31"/>
      <c r="IU131" s="31"/>
      <c r="IV131" s="31"/>
      <c r="IW131" s="31"/>
      <c r="IX131" s="31"/>
      <c r="IY131" s="31">
        <v>6558277</v>
      </c>
      <c r="IZ131" s="31"/>
      <c r="JA131" s="31"/>
      <c r="JB131" s="31"/>
      <c r="JC131" s="31"/>
      <c r="JD131" s="31"/>
      <c r="JE131" s="31"/>
      <c r="JF131" s="31">
        <v>6560657</v>
      </c>
      <c r="JG131" s="31"/>
      <c r="JH131" s="31"/>
      <c r="JI131" s="31"/>
      <c r="JJ131" s="31"/>
      <c r="JK131" s="31"/>
      <c r="JL131" s="31"/>
      <c r="JM131" s="31">
        <v>6560682</v>
      </c>
      <c r="JN131" s="31"/>
      <c r="JO131" s="31"/>
      <c r="JP131" s="31"/>
      <c r="JQ131" s="31"/>
      <c r="JR131" s="31"/>
      <c r="JS131" s="31"/>
      <c r="JT131" s="31">
        <v>6538825</v>
      </c>
      <c r="JU131" s="31"/>
      <c r="JV131" s="31"/>
      <c r="JW131" s="31"/>
      <c r="JX131" s="31"/>
      <c r="JY131" s="31"/>
      <c r="JZ131" s="31"/>
      <c r="KA131" s="31">
        <v>6543440</v>
      </c>
      <c r="KB131" s="31"/>
      <c r="KC131" s="31"/>
      <c r="KD131" s="31"/>
      <c r="KE131" s="31"/>
      <c r="KF131" s="31"/>
      <c r="KG131" s="31"/>
      <c r="KH131" s="31">
        <v>6548902</v>
      </c>
      <c r="KI131" s="31"/>
      <c r="KJ131" s="31"/>
      <c r="KK131" s="31"/>
      <c r="KL131" s="31"/>
      <c r="KM131" s="31"/>
      <c r="KN131" s="31"/>
      <c r="KO131" s="31">
        <v>6542100</v>
      </c>
      <c r="KP131" s="31"/>
      <c r="KQ131" s="31"/>
      <c r="KR131" s="31"/>
      <c r="KS131" s="31"/>
      <c r="KT131" s="31"/>
      <c r="KU131" s="31"/>
      <c r="KV131" s="31">
        <v>6538793</v>
      </c>
      <c r="KW131" s="31"/>
      <c r="KX131" s="31"/>
      <c r="KY131" s="31"/>
      <c r="KZ131" s="31"/>
      <c r="LA131" s="31"/>
      <c r="LB131" s="31"/>
      <c r="LC131" s="31">
        <v>6525528</v>
      </c>
      <c r="LD131" s="31"/>
      <c r="LE131" s="31"/>
      <c r="LF131" s="31"/>
      <c r="LG131" s="31"/>
      <c r="LH131" s="31"/>
      <c r="LI131" s="31"/>
      <c r="LJ131" s="31">
        <v>6532862</v>
      </c>
      <c r="LK131" s="31"/>
      <c r="LL131" s="31"/>
      <c r="LM131" s="31"/>
      <c r="LN131" s="31"/>
      <c r="LO131" s="31"/>
      <c r="LP131" s="31"/>
      <c r="LQ131" s="31">
        <v>6508061</v>
      </c>
      <c r="LR131" s="31"/>
      <c r="LS131" s="31"/>
      <c r="LT131" s="31"/>
      <c r="LU131" s="31"/>
      <c r="LV131" s="31"/>
      <c r="LW131" s="31"/>
      <c r="LX131" s="31">
        <v>6504391</v>
      </c>
      <c r="LY131" s="31"/>
      <c r="LZ131" s="31"/>
      <c r="MA131" s="31"/>
      <c r="MB131" s="31"/>
      <c r="MC131" s="31"/>
      <c r="MD131" s="31"/>
      <c r="ME131" s="31">
        <v>6487834</v>
      </c>
      <c r="MF131" s="31"/>
      <c r="MG131" s="31"/>
      <c r="MH131" s="31"/>
      <c r="MI131" s="31"/>
      <c r="MJ131" s="31"/>
      <c r="MK131" s="31"/>
      <c r="ML131" s="31">
        <v>6492006</v>
      </c>
      <c r="MM131" s="31"/>
      <c r="MN131" s="31"/>
      <c r="MO131" s="31"/>
      <c r="MP131" s="31"/>
      <c r="MQ131" s="31"/>
      <c r="MR131" s="31"/>
      <c r="MS131" s="31">
        <v>6509256</v>
      </c>
      <c r="MT131" s="31"/>
      <c r="MU131" s="31"/>
      <c r="MV131" s="31"/>
      <c r="MW131" s="31"/>
      <c r="MX131" s="31"/>
      <c r="MY131" s="31"/>
      <c r="MZ131" s="31">
        <v>6533633</v>
      </c>
      <c r="NA131" s="31"/>
      <c r="NB131" s="31"/>
      <c r="NC131" s="31"/>
      <c r="ND131" s="31"/>
      <c r="NE131" s="31"/>
      <c r="NF131" s="31"/>
      <c r="NG131" s="31">
        <v>6592234</v>
      </c>
      <c r="NH131" s="31"/>
      <c r="NI131" s="31"/>
      <c r="NJ131" s="31"/>
      <c r="NK131" s="31"/>
      <c r="NL131" s="31"/>
      <c r="NM131" s="31"/>
      <c r="NN131" s="31">
        <v>6526135</v>
      </c>
      <c r="NO131" s="31"/>
      <c r="NP131" s="31"/>
      <c r="NQ131" s="31"/>
      <c r="NR131" s="31"/>
      <c r="NS131" s="31"/>
      <c r="NT131" s="31"/>
      <c r="NU131" s="31">
        <v>6534371</v>
      </c>
      <c r="NV131" s="31"/>
      <c r="NW131" s="31"/>
      <c r="NX131" s="31"/>
      <c r="NY131" s="31"/>
      <c r="NZ131" s="31"/>
      <c r="OA131" s="31"/>
      <c r="OB131" s="31">
        <v>6537019</v>
      </c>
      <c r="OC131" s="31"/>
      <c r="OD131" s="31"/>
      <c r="OE131" s="31"/>
      <c r="OF131" s="31"/>
      <c r="OG131" s="31"/>
      <c r="OH131" s="31"/>
      <c r="OI131" s="31">
        <v>6539201</v>
      </c>
      <c r="OJ131" s="31"/>
      <c r="OK131" s="31"/>
      <c r="OL131" s="31"/>
      <c r="OM131" s="31"/>
      <c r="ON131" s="31"/>
      <c r="OO131" s="31"/>
      <c r="OP131" s="31">
        <v>6558311</v>
      </c>
      <c r="OQ131" s="31"/>
      <c r="OR131" s="31"/>
      <c r="OS131" s="31"/>
      <c r="OT131" s="31"/>
      <c r="OU131" s="31"/>
      <c r="OV131" s="31"/>
      <c r="OW131" s="31">
        <v>6574516</v>
      </c>
      <c r="OX131" s="31"/>
      <c r="OY131" s="31"/>
      <c r="OZ131" s="31"/>
      <c r="PA131" s="31"/>
      <c r="PB131" s="31"/>
      <c r="PC131" s="31"/>
      <c r="PD131" s="31">
        <v>6565604</v>
      </c>
      <c r="PE131" s="31"/>
      <c r="PF131" s="31"/>
      <c r="PG131" s="31"/>
      <c r="PH131" s="31"/>
      <c r="PI131" s="31"/>
      <c r="PJ131" s="31"/>
      <c r="PK131" s="31">
        <v>6565880</v>
      </c>
      <c r="PL131" s="31"/>
      <c r="PM131" s="31"/>
      <c r="PN131" s="31"/>
      <c r="PO131" s="31"/>
      <c r="PP131" s="31"/>
      <c r="PQ131" s="31"/>
      <c r="PR131" s="31">
        <v>6580913</v>
      </c>
      <c r="PS131" s="31"/>
      <c r="PT131" s="31"/>
      <c r="PU131" s="31"/>
      <c r="PV131" s="31"/>
      <c r="PW131" s="31"/>
      <c r="PX131" s="31"/>
      <c r="PY131" s="31">
        <v>6599127</v>
      </c>
      <c r="PZ131" s="31"/>
      <c r="QA131" s="31"/>
      <c r="QB131" s="31"/>
      <c r="QC131" s="31"/>
      <c r="QD131" s="31"/>
      <c r="QE131" s="31"/>
      <c r="QF131" s="31">
        <v>6608790</v>
      </c>
      <c r="QG131" s="31"/>
      <c r="QH131" s="31"/>
      <c r="QI131" s="31"/>
      <c r="QJ131" s="31"/>
      <c r="QK131" s="31"/>
      <c r="QL131" s="31"/>
      <c r="QM131" s="31">
        <v>6609950</v>
      </c>
      <c r="QN131" s="31"/>
      <c r="QO131" s="31"/>
      <c r="QP131" s="31"/>
      <c r="QQ131" s="31"/>
      <c r="QR131" s="31"/>
      <c r="QS131" s="31"/>
      <c r="QT131" s="31">
        <v>6627512</v>
      </c>
      <c r="QU131" s="31"/>
      <c r="QV131" s="31"/>
      <c r="QW131" s="31"/>
      <c r="QX131" s="31"/>
      <c r="QY131" s="31"/>
      <c r="QZ131" s="31"/>
      <c r="RA131" s="31">
        <v>6646523</v>
      </c>
      <c r="RB131" s="31"/>
      <c r="RC131" s="31"/>
      <c r="RD131" s="31"/>
      <c r="RE131" s="31"/>
      <c r="RF131" s="31"/>
      <c r="RG131" s="31"/>
      <c r="RH131" s="31">
        <v>6658179</v>
      </c>
      <c r="RI131" s="31"/>
      <c r="RJ131" s="31"/>
      <c r="RK131" s="31"/>
      <c r="RL131" s="31"/>
      <c r="RM131" s="31"/>
      <c r="RN131" s="31"/>
      <c r="RO131" s="31">
        <v>6660097</v>
      </c>
      <c r="RP131" s="31"/>
      <c r="RQ131" s="31"/>
      <c r="RR131" s="31"/>
      <c r="RS131" s="31"/>
      <c r="RT131" s="31"/>
      <c r="RU131" s="31"/>
      <c r="RV131" s="31">
        <v>6651591</v>
      </c>
      <c r="RW131" s="31"/>
      <c r="RX131" s="31"/>
      <c r="RY131" s="31"/>
      <c r="RZ131" s="31"/>
      <c r="SA131" s="31"/>
      <c r="SB131" s="31"/>
      <c r="SC131" s="31">
        <v>6662000</v>
      </c>
      <c r="SD131" s="31"/>
      <c r="SE131" s="31"/>
      <c r="SF131" s="31"/>
      <c r="SG131" s="31"/>
      <c r="SH131" s="31"/>
      <c r="SI131" s="31"/>
      <c r="SJ131" s="31">
        <v>6681090</v>
      </c>
      <c r="SK131" s="31"/>
      <c r="SL131" s="31"/>
      <c r="SM131" s="31"/>
      <c r="SN131" s="31"/>
      <c r="SO131" s="31"/>
      <c r="SP131" s="31"/>
      <c r="SQ131" s="31">
        <v>6666441</v>
      </c>
      <c r="SR131" s="31"/>
      <c r="SS131" s="31"/>
      <c r="ST131" s="23"/>
      <c r="SU131" s="23"/>
      <c r="SV131" s="23"/>
      <c r="SW131" s="23"/>
      <c r="SX131" s="23">
        <v>6657093</v>
      </c>
      <c r="SY131" s="23"/>
      <c r="SZ131" s="23"/>
      <c r="TA131" s="23"/>
      <c r="TB131" s="23"/>
      <c r="TC131" s="23"/>
      <c r="TD131" s="23"/>
      <c r="TE131" s="23">
        <v>6664361</v>
      </c>
      <c r="TF131" s="23"/>
      <c r="TG131" s="23"/>
      <c r="TH131" s="23"/>
      <c r="TI131" s="23"/>
      <c r="TJ131" s="23"/>
      <c r="TK131" s="23"/>
      <c r="TL131" s="23">
        <v>6678252</v>
      </c>
      <c r="TM131" s="23"/>
      <c r="TN131" s="23"/>
      <c r="TO131" s="23"/>
      <c r="TP131" s="23"/>
      <c r="TQ131" s="23"/>
      <c r="TR131" s="23"/>
      <c r="TS131" s="23">
        <v>6688812</v>
      </c>
      <c r="TT131" s="23"/>
      <c r="TU131" s="23"/>
      <c r="TV131" s="23"/>
      <c r="TW131" s="23"/>
      <c r="TX131" s="23"/>
      <c r="TY131" s="23"/>
      <c r="TZ131" s="23">
        <v>6688795</v>
      </c>
      <c r="UA131" s="23"/>
      <c r="UB131" s="23"/>
      <c r="UC131" s="23"/>
      <c r="UD131" s="23"/>
      <c r="UE131" s="23"/>
      <c r="UF131" s="23"/>
      <c r="UG131" s="23">
        <v>6677116</v>
      </c>
      <c r="UH131" s="23"/>
      <c r="UI131" s="23"/>
      <c r="UJ131" s="23"/>
      <c r="UK131" s="23"/>
      <c r="UL131" s="23"/>
      <c r="UM131" s="23"/>
      <c r="UN131" s="23"/>
      <c r="UO131" s="23"/>
      <c r="UP131" s="23"/>
      <c r="UQ131" s="23"/>
      <c r="UR131" s="23"/>
      <c r="US131" s="23"/>
      <c r="UT131" s="23"/>
    </row>
    <row r="132" spans="4:566">
      <c r="D132" t="s">
        <v>367</v>
      </c>
      <c r="E132" t="s">
        <v>368</v>
      </c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>
        <v>2.9</v>
      </c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  <c r="DI132" s="31"/>
      <c r="DJ132" s="31"/>
      <c r="DK132" s="31"/>
      <c r="DL132" s="31"/>
      <c r="DM132" s="31"/>
      <c r="DN132" s="31"/>
      <c r="DO132" s="31"/>
      <c r="DP132" s="31"/>
      <c r="DQ132" s="31"/>
      <c r="DR132" s="31"/>
      <c r="DS132" s="31"/>
      <c r="DT132" s="31"/>
      <c r="DU132" s="31"/>
      <c r="DV132" s="31"/>
      <c r="DW132" s="31"/>
      <c r="DX132" s="31"/>
      <c r="DY132" s="31"/>
      <c r="DZ132" s="31"/>
      <c r="EA132" s="31"/>
      <c r="EB132" s="31"/>
      <c r="EC132" s="31"/>
      <c r="ED132" s="31"/>
      <c r="EE132" s="31"/>
      <c r="EF132" s="31"/>
      <c r="EG132" s="31"/>
      <c r="EH132" s="31"/>
      <c r="EI132" s="31"/>
      <c r="EJ132" s="31"/>
      <c r="EK132" s="31"/>
      <c r="EL132" s="31"/>
      <c r="EM132" s="31"/>
      <c r="EN132" s="31"/>
      <c r="EO132" s="31"/>
      <c r="EP132" s="31"/>
      <c r="EQ132" s="31"/>
      <c r="ER132" s="31"/>
      <c r="ES132" s="31"/>
      <c r="ET132" s="31"/>
      <c r="EU132" s="31"/>
      <c r="EV132" s="31"/>
      <c r="EW132" s="31"/>
      <c r="EX132" s="31"/>
      <c r="EY132" s="31"/>
      <c r="EZ132" s="31"/>
      <c r="FA132" s="31"/>
      <c r="FB132" s="31"/>
      <c r="FC132" s="31"/>
      <c r="FD132" s="31"/>
      <c r="FE132" s="31"/>
      <c r="FF132" s="31"/>
      <c r="FG132" s="31"/>
      <c r="FH132" s="31"/>
      <c r="FI132" s="31"/>
      <c r="FJ132" s="31"/>
      <c r="FK132" s="31"/>
      <c r="FL132" s="31"/>
      <c r="FM132" s="31"/>
      <c r="FN132" s="31"/>
      <c r="FO132" s="31"/>
      <c r="FP132" s="31"/>
      <c r="FQ132" s="31"/>
      <c r="FR132" s="31"/>
      <c r="FS132" s="31"/>
      <c r="FT132" s="31"/>
      <c r="FU132" s="31"/>
      <c r="FV132" s="31"/>
      <c r="FW132" s="31"/>
      <c r="FX132" s="31"/>
      <c r="FY132" s="31"/>
      <c r="FZ132" s="31"/>
      <c r="GA132" s="31"/>
      <c r="GB132" s="31"/>
      <c r="GC132" s="31"/>
      <c r="GD132" s="31"/>
      <c r="GE132" s="31">
        <v>6.9</v>
      </c>
      <c r="GF132" s="31"/>
      <c r="GG132" s="31"/>
      <c r="GH132" s="31"/>
      <c r="GI132" s="31"/>
      <c r="GJ132" s="31"/>
      <c r="GK132" s="31"/>
      <c r="GL132" s="31"/>
      <c r="GM132" s="31"/>
      <c r="GN132" s="31"/>
      <c r="GO132" s="31"/>
      <c r="GP132" s="31"/>
      <c r="GQ132" s="31"/>
      <c r="GR132" s="31"/>
      <c r="GS132" s="31"/>
      <c r="GT132" s="31"/>
      <c r="GU132" s="31"/>
      <c r="GV132" s="31"/>
      <c r="GW132" s="31"/>
      <c r="GX132" s="31"/>
      <c r="GY132" s="31"/>
      <c r="GZ132" s="31"/>
      <c r="HA132" s="31"/>
      <c r="HB132" s="31"/>
      <c r="HC132" s="31"/>
      <c r="HD132" s="31"/>
      <c r="HE132" s="31"/>
      <c r="HF132" s="31"/>
      <c r="HG132" s="31"/>
      <c r="HH132" s="31"/>
      <c r="HI132" s="31"/>
      <c r="HJ132" s="31"/>
      <c r="HK132" s="31"/>
      <c r="HL132" s="31"/>
      <c r="HM132" s="31"/>
      <c r="HN132" s="31"/>
      <c r="HO132" s="31"/>
      <c r="HP132" s="31"/>
      <c r="HQ132" s="31"/>
      <c r="HR132" s="31"/>
      <c r="HS132" s="31"/>
      <c r="HT132" s="31"/>
      <c r="HU132" s="31"/>
      <c r="HV132" s="31"/>
      <c r="HW132" s="31"/>
      <c r="HX132" s="31"/>
      <c r="HY132" s="31"/>
      <c r="HZ132" s="31"/>
      <c r="IA132" s="31"/>
      <c r="IB132" s="31"/>
      <c r="IC132" s="31"/>
      <c r="ID132" s="31"/>
      <c r="IE132" s="31"/>
      <c r="IF132" s="31"/>
      <c r="IG132" s="31"/>
      <c r="IH132" s="31"/>
      <c r="II132" s="31"/>
      <c r="IJ132" s="31"/>
      <c r="IK132" s="31"/>
      <c r="IL132" s="31"/>
      <c r="IM132" s="31"/>
      <c r="IN132" s="31"/>
      <c r="IO132" s="31"/>
      <c r="IP132" s="31"/>
      <c r="IQ132" s="31"/>
      <c r="IR132" s="31"/>
      <c r="IS132" s="31"/>
      <c r="IT132" s="31"/>
      <c r="IU132" s="31"/>
      <c r="IV132" s="31"/>
      <c r="IW132" s="31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  <c r="JN132" s="31"/>
      <c r="JO132" s="31"/>
      <c r="JP132" s="31"/>
      <c r="JQ132" s="31"/>
      <c r="JR132" s="31"/>
      <c r="JS132" s="31">
        <v>6</v>
      </c>
      <c r="JT132" s="31"/>
      <c r="JU132" s="31"/>
      <c r="JV132" s="31"/>
      <c r="JW132" s="31"/>
      <c r="JX132" s="31"/>
      <c r="JY132" s="31"/>
      <c r="JZ132" s="31"/>
      <c r="KA132" s="31"/>
      <c r="KB132" s="31"/>
      <c r="KC132" s="31"/>
      <c r="KD132" s="31"/>
      <c r="KE132" s="31"/>
      <c r="KF132" s="31"/>
      <c r="KG132" s="31"/>
      <c r="KH132" s="31"/>
      <c r="KI132" s="31"/>
      <c r="KJ132" s="31"/>
      <c r="KK132" s="31"/>
      <c r="KL132" s="31"/>
      <c r="KM132" s="31"/>
      <c r="KN132" s="31"/>
      <c r="KO132" s="31"/>
      <c r="KP132" s="31"/>
      <c r="KQ132" s="31"/>
      <c r="KR132" s="31"/>
      <c r="KS132" s="31"/>
      <c r="KT132" s="31"/>
      <c r="KU132" s="31"/>
      <c r="KV132" s="31"/>
      <c r="KW132" s="31"/>
      <c r="KX132" s="31"/>
      <c r="KY132" s="31"/>
      <c r="KZ132" s="31"/>
      <c r="LA132" s="31"/>
      <c r="LB132" s="31"/>
      <c r="LC132" s="31"/>
      <c r="LD132" s="31"/>
      <c r="LE132" s="31"/>
      <c r="LF132" s="31"/>
      <c r="LG132" s="31"/>
      <c r="LH132" s="31"/>
      <c r="LI132" s="31"/>
      <c r="LJ132" s="31"/>
      <c r="LK132" s="31"/>
      <c r="LL132" s="31"/>
      <c r="LM132" s="31"/>
      <c r="LN132" s="31"/>
      <c r="LO132" s="31"/>
      <c r="LP132" s="31"/>
      <c r="LQ132" s="31"/>
      <c r="LR132" s="31"/>
      <c r="LS132" s="31"/>
      <c r="LT132" s="31"/>
      <c r="LU132" s="31"/>
      <c r="LV132" s="31"/>
      <c r="LW132" s="31"/>
      <c r="LX132" s="31"/>
      <c r="LY132" s="31"/>
      <c r="LZ132" s="31"/>
      <c r="MA132" s="31"/>
      <c r="MB132" s="31"/>
      <c r="MC132" s="31"/>
      <c r="MD132" s="31"/>
      <c r="ME132" s="31"/>
      <c r="MF132" s="31"/>
      <c r="MG132" s="31"/>
      <c r="MH132" s="31"/>
      <c r="MI132" s="31"/>
      <c r="MJ132" s="31"/>
      <c r="MK132" s="31"/>
      <c r="ML132" s="31"/>
      <c r="MM132" s="31"/>
      <c r="MN132" s="31"/>
      <c r="MO132" s="31"/>
      <c r="MP132" s="31"/>
      <c r="MQ132" s="31"/>
      <c r="MR132" s="31"/>
      <c r="MS132" s="31"/>
      <c r="MT132" s="31"/>
      <c r="MU132" s="31"/>
      <c r="MV132" s="31"/>
      <c r="MW132" s="31"/>
      <c r="MX132" s="31"/>
      <c r="MY132" s="31"/>
      <c r="MZ132" s="31"/>
      <c r="NA132" s="31"/>
      <c r="NB132" s="31"/>
      <c r="NC132" s="31"/>
      <c r="ND132" s="31"/>
      <c r="NE132" s="31"/>
      <c r="NF132" s="31"/>
      <c r="NG132" s="31">
        <v>5</v>
      </c>
      <c r="NH132" s="31"/>
      <c r="NI132" s="31"/>
      <c r="NJ132" s="31"/>
      <c r="NK132" s="31"/>
      <c r="NL132" s="31"/>
      <c r="NM132" s="31"/>
      <c r="NN132" s="31"/>
      <c r="NO132" s="31"/>
      <c r="NP132" s="31"/>
      <c r="NQ132" s="31"/>
      <c r="NR132" s="31"/>
      <c r="NS132" s="31"/>
      <c r="NT132" s="31"/>
      <c r="NU132" s="31"/>
      <c r="NV132" s="31"/>
      <c r="NW132" s="31"/>
      <c r="NX132" s="31"/>
      <c r="NY132" s="31"/>
      <c r="NZ132" s="31"/>
      <c r="OA132" s="31"/>
      <c r="OB132" s="31"/>
      <c r="OC132" s="31"/>
      <c r="OD132" s="31"/>
      <c r="OE132" s="31"/>
      <c r="OF132" s="31"/>
      <c r="OG132" s="31"/>
      <c r="OH132" s="31"/>
      <c r="OI132" s="31"/>
      <c r="OJ132" s="31"/>
      <c r="OK132" s="31"/>
      <c r="OL132" s="31"/>
      <c r="OM132" s="31"/>
      <c r="ON132" s="31"/>
      <c r="OO132" s="31"/>
      <c r="OP132" s="31"/>
      <c r="OQ132" s="31"/>
      <c r="OR132" s="31"/>
      <c r="OS132" s="31"/>
      <c r="OT132" s="31"/>
      <c r="OU132" s="31"/>
      <c r="OV132" s="31"/>
      <c r="OW132" s="31"/>
      <c r="OX132" s="31"/>
      <c r="OY132" s="31"/>
      <c r="OZ132" s="31"/>
      <c r="PA132" s="31"/>
      <c r="PB132" s="31"/>
      <c r="PC132" s="31"/>
      <c r="PD132" s="31"/>
      <c r="PE132" s="31"/>
      <c r="PF132" s="31"/>
      <c r="PG132" s="31"/>
      <c r="PH132" s="31"/>
      <c r="PI132" s="31"/>
      <c r="PJ132" s="31"/>
      <c r="PK132" s="31"/>
      <c r="PL132" s="31"/>
      <c r="PM132" s="31"/>
      <c r="PN132" s="31"/>
      <c r="PO132" s="31"/>
      <c r="PP132" s="31"/>
      <c r="PQ132" s="31"/>
      <c r="PR132" s="31"/>
      <c r="PS132" s="31"/>
      <c r="PT132" s="31"/>
      <c r="PU132" s="31"/>
      <c r="PV132" s="31"/>
      <c r="PW132" s="31"/>
      <c r="PX132" s="31"/>
      <c r="PY132" s="31"/>
      <c r="PZ132" s="31"/>
      <c r="QA132" s="31"/>
      <c r="QB132" s="31"/>
      <c r="QC132" s="31"/>
      <c r="QD132" s="31"/>
      <c r="QE132" s="31"/>
      <c r="QF132" s="31"/>
      <c r="QG132" s="31"/>
      <c r="QH132" s="31"/>
      <c r="QI132" s="31"/>
      <c r="QJ132" s="31"/>
      <c r="QK132" s="31"/>
      <c r="QL132" s="31"/>
      <c r="QM132" s="31"/>
      <c r="QN132" s="31"/>
      <c r="QO132" s="31"/>
      <c r="QP132" s="31"/>
      <c r="QQ132" s="31"/>
      <c r="QR132" s="31"/>
      <c r="QS132" s="31">
        <v>7.1</v>
      </c>
      <c r="QT132" s="31"/>
      <c r="QU132" s="31"/>
      <c r="QV132" s="31"/>
      <c r="QW132" s="31"/>
      <c r="QX132" s="31"/>
      <c r="QY132" s="31"/>
      <c r="QZ132" s="31"/>
      <c r="RA132" s="31"/>
      <c r="RB132" s="31"/>
      <c r="RC132" s="31"/>
      <c r="RD132" s="31"/>
      <c r="RE132" s="31"/>
      <c r="RF132" s="31"/>
      <c r="RG132" s="31"/>
      <c r="RH132" s="31"/>
      <c r="RI132" s="31"/>
      <c r="RJ132" s="31"/>
      <c r="RK132" s="31"/>
      <c r="RL132" s="31"/>
      <c r="RM132" s="31"/>
      <c r="RN132" s="31"/>
      <c r="RO132" s="31"/>
      <c r="RP132" s="31"/>
      <c r="RQ132" s="31"/>
      <c r="RR132" s="31"/>
      <c r="RS132" s="31"/>
      <c r="RT132" s="31"/>
      <c r="RU132" s="31"/>
      <c r="RV132" s="31"/>
      <c r="RW132" s="31"/>
      <c r="RX132" s="31"/>
      <c r="RY132" s="31"/>
      <c r="RZ132" s="31"/>
      <c r="SA132" s="31"/>
      <c r="SB132" s="31"/>
      <c r="SC132" s="31"/>
      <c r="SD132" s="31"/>
      <c r="SE132" s="31"/>
      <c r="SF132" s="31"/>
      <c r="SG132" s="31"/>
      <c r="SH132" s="31"/>
      <c r="SI132" s="31"/>
      <c r="SJ132" s="31"/>
      <c r="SK132" s="31"/>
      <c r="SL132" s="31"/>
      <c r="SM132" s="31"/>
      <c r="SN132" s="31"/>
      <c r="SO132" s="31"/>
      <c r="SP132" s="31"/>
      <c r="SQ132" s="31"/>
      <c r="SR132" s="31"/>
      <c r="SS132" s="31"/>
      <c r="ST132" s="23"/>
      <c r="SU132" s="23"/>
      <c r="SV132" s="23"/>
      <c r="SW132" s="23"/>
      <c r="SX132" s="23"/>
      <c r="SY132" s="23"/>
      <c r="SZ132" s="23"/>
      <c r="TA132" s="23"/>
      <c r="TB132" s="23"/>
      <c r="TC132" s="23"/>
      <c r="TD132" s="23"/>
      <c r="TE132" s="23"/>
      <c r="TF132" s="23"/>
      <c r="TG132" s="23"/>
      <c r="TH132" s="23"/>
      <c r="TI132" s="23"/>
      <c r="TJ132" s="23"/>
      <c r="TK132" s="23"/>
      <c r="TL132" s="23"/>
      <c r="TM132" s="23"/>
      <c r="TN132" s="23"/>
      <c r="TO132" s="23"/>
      <c r="TP132" s="23"/>
      <c r="TQ132" s="23"/>
      <c r="TR132" s="23"/>
      <c r="TS132" s="23"/>
      <c r="TT132" s="23"/>
      <c r="TU132" s="23"/>
      <c r="TV132" s="23"/>
      <c r="TW132" s="23"/>
      <c r="TX132" s="23"/>
      <c r="TY132" s="23"/>
      <c r="TZ132" s="23"/>
      <c r="UA132" s="23"/>
      <c r="UB132" s="23"/>
      <c r="UC132" s="23"/>
      <c r="UD132" s="23"/>
      <c r="UE132" s="23"/>
      <c r="UF132" s="23"/>
      <c r="UG132" s="23"/>
      <c r="UH132" s="23"/>
      <c r="UI132" s="23"/>
      <c r="UJ132" s="23"/>
      <c r="UK132" s="23"/>
      <c r="UL132" s="23"/>
      <c r="UM132" s="23"/>
      <c r="UN132" s="23"/>
      <c r="UO132" s="23"/>
      <c r="UP132" s="23"/>
      <c r="UQ132" s="23"/>
      <c r="UR132" s="23"/>
      <c r="US132" s="23"/>
      <c r="UT132" s="23"/>
    </row>
    <row r="133" spans="4:566">
      <c r="D133" t="s">
        <v>369</v>
      </c>
      <c r="E133" t="s">
        <v>370</v>
      </c>
      <c r="F133" s="31"/>
      <c r="G133" s="31">
        <v>18058587</v>
      </c>
      <c r="H133" s="31"/>
      <c r="I133" s="31"/>
      <c r="J133" s="31"/>
      <c r="K133" s="31"/>
      <c r="L133" s="31"/>
      <c r="M133" s="31"/>
      <c r="N133" s="31">
        <v>18002621</v>
      </c>
      <c r="O133" s="31"/>
      <c r="P133" s="31"/>
      <c r="Q133" s="31"/>
      <c r="R133" s="31"/>
      <c r="S133" s="31"/>
      <c r="T133" s="31"/>
      <c r="U133" s="31">
        <v>17980235</v>
      </c>
      <c r="V133" s="31"/>
      <c r="W133" s="31"/>
      <c r="X133" s="31"/>
      <c r="Y133" s="31"/>
      <c r="Z133" s="31"/>
      <c r="AA133" s="31"/>
      <c r="AB133" s="31">
        <v>18000194</v>
      </c>
      <c r="AC133" s="31"/>
      <c r="AD133" s="31"/>
      <c r="AE133" s="31"/>
      <c r="AF133" s="31"/>
      <c r="AG133" s="31"/>
      <c r="AH133" s="31"/>
      <c r="AI133" s="31">
        <v>18002994</v>
      </c>
      <c r="AJ133" s="31"/>
      <c r="AK133" s="31"/>
      <c r="AL133" s="31"/>
      <c r="AM133" s="31"/>
      <c r="AN133" s="31"/>
      <c r="AO133" s="31"/>
      <c r="AP133" s="31">
        <v>18012767</v>
      </c>
      <c r="AQ133" s="31"/>
      <c r="AR133" s="31"/>
      <c r="AS133" s="31"/>
      <c r="AT133" s="31"/>
      <c r="AU133" s="31"/>
      <c r="AV133" s="31"/>
      <c r="AW133" s="31">
        <v>17996689</v>
      </c>
      <c r="AX133" s="31"/>
      <c r="AY133" s="31"/>
      <c r="AZ133" s="31"/>
      <c r="BA133" s="31"/>
      <c r="BB133" s="31"/>
      <c r="BC133" s="31"/>
      <c r="BD133" s="31">
        <v>18029158</v>
      </c>
      <c r="BE133" s="31"/>
      <c r="BF133" s="31"/>
      <c r="BG133" s="31"/>
      <c r="BH133" s="31"/>
      <c r="BI133" s="31"/>
      <c r="BJ133" s="31"/>
      <c r="BK133" s="31">
        <v>18063559</v>
      </c>
      <c r="BL133" s="31"/>
      <c r="BM133" s="31"/>
      <c r="BN133" s="31"/>
      <c r="BO133" s="31"/>
      <c r="BP133" s="31"/>
      <c r="BQ133" s="31"/>
      <c r="BR133" s="31">
        <v>18087146</v>
      </c>
      <c r="BS133" s="31"/>
      <c r="BT133" s="31"/>
      <c r="BU133" s="31"/>
      <c r="BV133" s="31"/>
      <c r="BW133" s="31"/>
      <c r="BX133" s="31"/>
      <c r="BY133" s="31">
        <v>18081912</v>
      </c>
      <c r="BZ133" s="31"/>
      <c r="CA133" s="31"/>
      <c r="CB133" s="31"/>
      <c r="CC133" s="31"/>
      <c r="CD133" s="31"/>
      <c r="CE133" s="31"/>
      <c r="CF133" s="31">
        <v>18119279</v>
      </c>
      <c r="CG133" s="31"/>
      <c r="CH133" s="31"/>
      <c r="CI133" s="31"/>
      <c r="CJ133" s="31"/>
      <c r="CK133" s="31"/>
      <c r="CL133" s="31"/>
      <c r="CM133" s="31">
        <v>18165698</v>
      </c>
      <c r="CN133" s="31"/>
      <c r="CO133" s="31"/>
      <c r="CP133" s="31"/>
      <c r="CQ133" s="31"/>
      <c r="CR133" s="31"/>
      <c r="CS133" s="31"/>
      <c r="CT133" s="31">
        <v>18199051</v>
      </c>
      <c r="CU133" s="31"/>
      <c r="CV133" s="31"/>
      <c r="CW133" s="31"/>
      <c r="CX133" s="31"/>
      <c r="CY133" s="31"/>
      <c r="CZ133" s="31"/>
      <c r="DA133" s="31">
        <v>18207839</v>
      </c>
      <c r="DB133" s="31"/>
      <c r="DC133" s="31"/>
      <c r="DD133" s="31"/>
      <c r="DE133" s="31"/>
      <c r="DF133" s="31"/>
      <c r="DG133" s="31"/>
      <c r="DH133" s="31">
        <v>18310802</v>
      </c>
      <c r="DI133" s="31"/>
      <c r="DJ133" s="31"/>
      <c r="DK133" s="31"/>
      <c r="DL133" s="31"/>
      <c r="DM133" s="31"/>
      <c r="DN133" s="31"/>
      <c r="DO133" s="31">
        <v>18309842</v>
      </c>
      <c r="DP133" s="31"/>
      <c r="DQ133" s="31"/>
      <c r="DR133" s="31"/>
      <c r="DS133" s="31"/>
      <c r="DT133" s="31"/>
      <c r="DU133" s="31"/>
      <c r="DV133" s="31">
        <v>18390269</v>
      </c>
      <c r="DW133" s="31"/>
      <c r="DX133" s="31"/>
      <c r="DY133" s="31"/>
      <c r="DZ133" s="31"/>
      <c r="EA133" s="31"/>
      <c r="EB133" s="31"/>
      <c r="EC133" s="31">
        <v>18351967</v>
      </c>
      <c r="ED133" s="31"/>
      <c r="EE133" s="31"/>
      <c r="EF133" s="31"/>
      <c r="EG133" s="31"/>
      <c r="EH133" s="31"/>
      <c r="EI133" s="31"/>
      <c r="EJ133" s="31">
        <v>18349268</v>
      </c>
      <c r="EK133" s="31"/>
      <c r="EL133" s="31"/>
      <c r="EM133" s="31"/>
      <c r="EN133" s="31"/>
      <c r="EO133" s="31"/>
      <c r="EP133" s="31"/>
      <c r="EQ133" s="31">
        <v>18353588</v>
      </c>
      <c r="ER133" s="31"/>
      <c r="ES133" s="31"/>
      <c r="ET133" s="31"/>
      <c r="EU133" s="31"/>
      <c r="EV133" s="31"/>
      <c r="EW133" s="31"/>
      <c r="EX133" s="31">
        <v>18392448</v>
      </c>
      <c r="EY133" s="31"/>
      <c r="EZ133" s="31"/>
      <c r="FA133" s="31"/>
      <c r="FB133" s="31"/>
      <c r="FC133" s="31"/>
      <c r="FD133" s="31"/>
      <c r="FE133" s="31">
        <v>18412868</v>
      </c>
      <c r="FF133" s="31"/>
      <c r="FG133" s="31"/>
      <c r="FH133" s="31"/>
      <c r="FI133" s="31"/>
      <c r="FJ133" s="31"/>
      <c r="FK133" s="31"/>
      <c r="FL133" s="31">
        <v>18417411</v>
      </c>
      <c r="FM133" s="31"/>
      <c r="FN133" s="31"/>
      <c r="FO133" s="31"/>
      <c r="FP133" s="31"/>
      <c r="FQ133" s="31"/>
      <c r="FR133" s="31"/>
      <c r="FS133" s="31">
        <v>18462887</v>
      </c>
      <c r="FT133" s="31"/>
      <c r="FU133" s="31"/>
      <c r="FV133" s="31"/>
      <c r="FW133" s="31"/>
      <c r="FX133" s="31"/>
      <c r="FY133" s="31"/>
      <c r="FZ133" s="31">
        <v>18489631</v>
      </c>
      <c r="GA133" s="31"/>
      <c r="GB133" s="31"/>
      <c r="GC133" s="31"/>
      <c r="GD133" s="31"/>
      <c r="GE133" s="31"/>
      <c r="GF133" s="31"/>
      <c r="GG133" s="31">
        <v>18566087</v>
      </c>
      <c r="GH133" s="31"/>
      <c r="GI133" s="31"/>
      <c r="GJ133" s="31"/>
      <c r="GK133" s="31"/>
      <c r="GL133" s="31"/>
      <c r="GM133" s="31"/>
      <c r="GN133" s="31">
        <v>18531098</v>
      </c>
      <c r="GO133" s="31"/>
      <c r="GP133" s="31"/>
      <c r="GQ133" s="31"/>
      <c r="GR133" s="31"/>
      <c r="GS133" s="31"/>
      <c r="GT133" s="31"/>
      <c r="GU133" s="31">
        <v>18529563</v>
      </c>
      <c r="GV133" s="31"/>
      <c r="GW133" s="31"/>
      <c r="GX133" s="31"/>
      <c r="GY133" s="31"/>
      <c r="GZ133" s="31"/>
      <c r="HA133" s="31"/>
      <c r="HB133" s="31">
        <v>18554428</v>
      </c>
      <c r="HC133" s="31"/>
      <c r="HD133" s="31"/>
      <c r="HE133" s="31"/>
      <c r="HF133" s="31"/>
      <c r="HG133" s="31"/>
      <c r="HH133" s="31"/>
      <c r="HI133" s="31">
        <v>18608865</v>
      </c>
      <c r="HJ133" s="31"/>
      <c r="HK133" s="31"/>
      <c r="HL133" s="31"/>
      <c r="HM133" s="31"/>
      <c r="HN133" s="31"/>
      <c r="HO133" s="31"/>
      <c r="HP133" s="31">
        <v>18624226</v>
      </c>
      <c r="HQ133" s="31"/>
      <c r="HR133" s="31"/>
      <c r="HS133" s="31"/>
      <c r="HT133" s="31"/>
      <c r="HU133" s="31"/>
      <c r="HV133" s="31"/>
      <c r="HW133" s="31">
        <v>18646900</v>
      </c>
      <c r="HX133" s="31"/>
      <c r="HY133" s="31"/>
      <c r="HZ133" s="31"/>
      <c r="IA133" s="31"/>
      <c r="IB133" s="31"/>
      <c r="IC133" s="31"/>
      <c r="ID133" s="31">
        <v>18622703</v>
      </c>
      <c r="IE133" s="31"/>
      <c r="IF133" s="31"/>
      <c r="IG133" s="31"/>
      <c r="IH133" s="31"/>
      <c r="II133" s="31"/>
      <c r="IJ133" s="31"/>
      <c r="IK133" s="31">
        <v>18728572</v>
      </c>
      <c r="IL133" s="31"/>
      <c r="IM133" s="31"/>
      <c r="IN133" s="31"/>
      <c r="IO133" s="31"/>
      <c r="IP133" s="31"/>
      <c r="IQ133" s="31"/>
      <c r="IR133" s="31">
        <v>18718982</v>
      </c>
      <c r="IS133" s="31"/>
      <c r="IT133" s="31"/>
      <c r="IU133" s="31"/>
      <c r="IV133" s="31"/>
      <c r="IW133" s="31"/>
      <c r="IX133" s="31"/>
      <c r="IY133" s="31">
        <v>18710468</v>
      </c>
      <c r="IZ133" s="31"/>
      <c r="JA133" s="31"/>
      <c r="JB133" s="31"/>
      <c r="JC133" s="31"/>
      <c r="JD133" s="31"/>
      <c r="JE133" s="31"/>
      <c r="JF133" s="31">
        <v>18715082</v>
      </c>
      <c r="JG133" s="31"/>
      <c r="JH133" s="31"/>
      <c r="JI133" s="31"/>
      <c r="JJ133" s="31"/>
      <c r="JK133" s="31"/>
      <c r="JL133" s="31"/>
      <c r="JM133" s="31">
        <v>18756706</v>
      </c>
      <c r="JN133" s="31"/>
      <c r="JO133" s="31"/>
      <c r="JP133" s="31"/>
      <c r="JQ133" s="31"/>
      <c r="JR133" s="31"/>
      <c r="JS133" s="31"/>
      <c r="JT133" s="31">
        <v>18798777</v>
      </c>
      <c r="JU133" s="31"/>
      <c r="JV133" s="31"/>
      <c r="JW133" s="31"/>
      <c r="JX133" s="31"/>
      <c r="JY133" s="31"/>
      <c r="JZ133" s="31"/>
      <c r="KA133" s="31">
        <v>18769983</v>
      </c>
      <c r="KB133" s="31"/>
      <c r="KC133" s="31"/>
      <c r="KD133" s="31"/>
      <c r="KE133" s="31"/>
      <c r="KF133" s="31"/>
      <c r="KG133" s="31"/>
      <c r="KH133" s="31">
        <v>18807473</v>
      </c>
      <c r="KI133" s="31"/>
      <c r="KJ133" s="31"/>
      <c r="KK133" s="31"/>
      <c r="KL133" s="31"/>
      <c r="KM133" s="31"/>
      <c r="KN133" s="31"/>
      <c r="KO133" s="31">
        <v>18812944</v>
      </c>
      <c r="KP133" s="31"/>
      <c r="KQ133" s="31"/>
      <c r="KR133" s="31"/>
      <c r="KS133" s="31"/>
      <c r="KT133" s="31"/>
      <c r="KU133" s="31"/>
      <c r="KV133" s="31">
        <v>18841324</v>
      </c>
      <c r="KW133" s="31"/>
      <c r="KX133" s="31"/>
      <c r="KY133" s="31"/>
      <c r="KZ133" s="31"/>
      <c r="LA133" s="31"/>
      <c r="LB133" s="31"/>
      <c r="LC133" s="31">
        <v>18872104</v>
      </c>
      <c r="LD133" s="31"/>
      <c r="LE133" s="31"/>
      <c r="LF133" s="31"/>
      <c r="LG133" s="31"/>
      <c r="LH133" s="31"/>
      <c r="LI133" s="31"/>
      <c r="LJ133" s="31">
        <v>18891361</v>
      </c>
      <c r="LK133" s="31"/>
      <c r="LL133" s="31"/>
      <c r="LM133" s="31"/>
      <c r="LN133" s="31"/>
      <c r="LO133" s="31"/>
      <c r="LP133" s="31"/>
      <c r="LQ133" s="31">
        <v>18927652</v>
      </c>
      <c r="LR133" s="31"/>
      <c r="LS133" s="31"/>
      <c r="LT133" s="31"/>
      <c r="LU133" s="31"/>
      <c r="LV133" s="31"/>
      <c r="LW133" s="31"/>
      <c r="LX133" s="31">
        <v>18980741</v>
      </c>
      <c r="LY133" s="31"/>
      <c r="LZ133" s="31"/>
      <c r="MA133" s="31"/>
      <c r="MB133" s="31"/>
      <c r="MC133" s="31"/>
      <c r="MD133" s="31"/>
      <c r="ME133" s="31">
        <v>18961771</v>
      </c>
      <c r="MF133" s="31"/>
      <c r="MG133" s="31"/>
      <c r="MH133" s="31"/>
      <c r="MI133" s="31"/>
      <c r="MJ133" s="31"/>
      <c r="MK133" s="31"/>
      <c r="ML133" s="31">
        <v>18962451</v>
      </c>
      <c r="MM133" s="31"/>
      <c r="MN133" s="31"/>
      <c r="MO133" s="31"/>
      <c r="MP133" s="31"/>
      <c r="MQ133" s="31"/>
      <c r="MR133" s="31"/>
      <c r="MS133" s="31">
        <v>19030879</v>
      </c>
      <c r="MT133" s="31"/>
      <c r="MU133" s="31"/>
      <c r="MV133" s="31"/>
      <c r="MW133" s="31"/>
      <c r="MX133" s="31"/>
      <c r="MY133" s="31"/>
      <c r="MZ133" s="31">
        <v>19088958</v>
      </c>
      <c r="NA133" s="31"/>
      <c r="NB133" s="31"/>
      <c r="NC133" s="31"/>
      <c r="ND133" s="31"/>
      <c r="NE133" s="31"/>
      <c r="NF133" s="31"/>
      <c r="NG133" s="31">
        <v>19062057</v>
      </c>
      <c r="NH133" s="31"/>
      <c r="NI133" s="31"/>
      <c r="NJ133" s="31"/>
      <c r="NK133" s="31"/>
      <c r="NL133" s="31"/>
      <c r="NM133" s="31"/>
      <c r="NN133" s="31">
        <v>19041992</v>
      </c>
      <c r="NO133" s="31"/>
      <c r="NP133" s="31"/>
      <c r="NQ133" s="31"/>
      <c r="NR133" s="31"/>
      <c r="NS133" s="31"/>
      <c r="NT133" s="31"/>
      <c r="NU133" s="31">
        <v>19063433</v>
      </c>
      <c r="NV133" s="31"/>
      <c r="NW133" s="31"/>
      <c r="NX133" s="31"/>
      <c r="NY133" s="31"/>
      <c r="NZ133" s="31"/>
      <c r="OA133" s="31"/>
      <c r="OB133" s="31">
        <v>19107393</v>
      </c>
      <c r="OC133" s="31"/>
      <c r="OD133" s="31"/>
      <c r="OE133" s="31"/>
      <c r="OF133" s="31"/>
      <c r="OG133" s="31"/>
      <c r="OH133" s="31"/>
      <c r="OI133" s="31">
        <v>19135726</v>
      </c>
      <c r="OJ133" s="31"/>
      <c r="OK133" s="31"/>
      <c r="OL133" s="31"/>
      <c r="OM133" s="31"/>
      <c r="ON133" s="31"/>
      <c r="OO133" s="31"/>
      <c r="OP133" s="31">
        <v>19174897</v>
      </c>
      <c r="OQ133" s="31"/>
      <c r="OR133" s="31"/>
      <c r="OS133" s="31"/>
      <c r="OT133" s="31"/>
      <c r="OU133" s="31"/>
      <c r="OV133" s="31"/>
      <c r="OW133" s="31">
        <v>19203249</v>
      </c>
      <c r="OX133" s="31"/>
      <c r="OY133" s="31"/>
      <c r="OZ133" s="31"/>
      <c r="PA133" s="31"/>
      <c r="PB133" s="31"/>
      <c r="PC133" s="31"/>
      <c r="PD133" s="31">
        <v>19222413</v>
      </c>
      <c r="PE133" s="31"/>
      <c r="PF133" s="31"/>
      <c r="PG133" s="31"/>
      <c r="PH133" s="31"/>
      <c r="PI133" s="31"/>
      <c r="PJ133" s="31"/>
      <c r="PK133" s="31">
        <v>19230116</v>
      </c>
      <c r="PL133" s="31"/>
      <c r="PM133" s="31"/>
      <c r="PN133" s="31"/>
      <c r="PO133" s="31"/>
      <c r="PP133" s="31"/>
      <c r="PQ133" s="31"/>
      <c r="PR133" s="31">
        <v>19277086</v>
      </c>
      <c r="PS133" s="31"/>
      <c r="PT133" s="31"/>
      <c r="PU133" s="31"/>
      <c r="PV133" s="31"/>
      <c r="PW133" s="31"/>
      <c r="PX133" s="31"/>
      <c r="PY133" s="31">
        <v>19296617</v>
      </c>
      <c r="PZ133" s="31"/>
      <c r="QA133" s="31"/>
      <c r="QB133" s="31"/>
      <c r="QC133" s="31"/>
      <c r="QD133" s="31"/>
      <c r="QE133" s="31"/>
      <c r="QF133" s="31">
        <v>19308411</v>
      </c>
      <c r="QG133" s="31"/>
      <c r="QH133" s="31"/>
      <c r="QI133" s="31"/>
      <c r="QJ133" s="31"/>
      <c r="QK133" s="31"/>
      <c r="QL133" s="31"/>
      <c r="QM133" s="31">
        <v>19357959</v>
      </c>
      <c r="QN133" s="31"/>
      <c r="QO133" s="31"/>
      <c r="QP133" s="31"/>
      <c r="QQ133" s="31"/>
      <c r="QR133" s="31"/>
      <c r="QS133" s="31"/>
      <c r="QT133" s="31">
        <v>19432641</v>
      </c>
      <c r="QU133" s="31"/>
      <c r="QV133" s="31"/>
      <c r="QW133" s="31"/>
      <c r="QX133" s="31"/>
      <c r="QY133" s="31"/>
      <c r="QZ133" s="31"/>
      <c r="RA133" s="31">
        <v>19419348</v>
      </c>
      <c r="RB133" s="31"/>
      <c r="RC133" s="31"/>
      <c r="RD133" s="31"/>
      <c r="RE133" s="31"/>
      <c r="RF133" s="31"/>
      <c r="RG133" s="31"/>
      <c r="RH133" s="31">
        <v>19473458</v>
      </c>
      <c r="RI133" s="31"/>
      <c r="RJ133" s="31"/>
      <c r="RK133" s="31"/>
      <c r="RL133" s="31"/>
      <c r="RM133" s="31"/>
      <c r="RN133" s="31"/>
      <c r="RO133" s="31">
        <v>19451080</v>
      </c>
      <c r="RP133" s="31"/>
      <c r="RQ133" s="31"/>
      <c r="RR133" s="31"/>
      <c r="RS133" s="31"/>
      <c r="RT133" s="31"/>
      <c r="RU133" s="31"/>
      <c r="RV133" s="31">
        <v>19489167</v>
      </c>
      <c r="RW133" s="31"/>
      <c r="RX133" s="31"/>
      <c r="RY133" s="31"/>
      <c r="RZ133" s="31"/>
      <c r="SA133" s="31"/>
      <c r="SB133" s="31"/>
      <c r="SC133" s="31">
        <v>19504188</v>
      </c>
      <c r="SD133" s="31"/>
      <c r="SE133" s="31"/>
      <c r="SF133" s="31"/>
      <c r="SG133" s="31"/>
      <c r="SH133" s="31"/>
      <c r="SI133" s="31"/>
      <c r="SJ133" s="31">
        <v>19513386</v>
      </c>
      <c r="SK133" s="31"/>
      <c r="SL133" s="31"/>
      <c r="SM133" s="31"/>
      <c r="SN133" s="31"/>
      <c r="SO133" s="31"/>
      <c r="SP133" s="31"/>
      <c r="SQ133" s="31">
        <v>19541691</v>
      </c>
      <c r="SR133" s="31"/>
      <c r="SS133" s="31"/>
      <c r="ST133" s="23"/>
      <c r="SU133" s="23"/>
      <c r="SV133" s="23"/>
      <c r="SW133" s="23"/>
      <c r="SX133" s="23">
        <v>19566544</v>
      </c>
      <c r="SY133" s="23"/>
      <c r="SZ133" s="23"/>
      <c r="TA133" s="23"/>
      <c r="TB133" s="23"/>
      <c r="TC133" s="23"/>
      <c r="TD133" s="23"/>
      <c r="TE133" s="23">
        <v>19584613</v>
      </c>
      <c r="TF133" s="23"/>
      <c r="TG133" s="23"/>
      <c r="TH133" s="23"/>
      <c r="TI133" s="23"/>
      <c r="TJ133" s="23"/>
      <c r="TK133" s="23"/>
      <c r="TL133" s="23">
        <v>19591951</v>
      </c>
      <c r="TM133" s="23"/>
      <c r="TN133" s="23"/>
      <c r="TO133" s="23"/>
      <c r="TP133" s="23"/>
      <c r="TQ133" s="23"/>
      <c r="TR133" s="23"/>
      <c r="TS133" s="23">
        <v>19618703</v>
      </c>
      <c r="TT133" s="23"/>
      <c r="TU133" s="23"/>
      <c r="TV133" s="23"/>
      <c r="TW133" s="23"/>
      <c r="TX133" s="23"/>
      <c r="TY133" s="23"/>
      <c r="TZ133" s="23">
        <v>19652818</v>
      </c>
      <c r="UA133" s="23"/>
      <c r="UB133" s="23"/>
      <c r="UC133" s="23"/>
      <c r="UD133" s="23"/>
      <c r="UE133" s="23"/>
      <c r="UF133" s="23"/>
      <c r="UG133" s="23"/>
      <c r="UH133" s="23"/>
      <c r="UI133" s="23"/>
      <c r="UJ133" s="23"/>
      <c r="UK133" s="23"/>
      <c r="UL133" s="23"/>
      <c r="UM133" s="23"/>
      <c r="UN133" s="23"/>
      <c r="UO133" s="23"/>
      <c r="UP133" s="23"/>
      <c r="UQ133" s="23"/>
      <c r="UR133" s="23"/>
      <c r="US133" s="23"/>
      <c r="UT133" s="23"/>
    </row>
    <row r="134" spans="4:566">
      <c r="D134" t="s">
        <v>371</v>
      </c>
      <c r="E134" t="s">
        <v>372</v>
      </c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>
        <v>18462</v>
      </c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>
        <v>18511.4</v>
      </c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>
        <v>18555.6</v>
      </c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  <c r="DI134" s="31"/>
      <c r="DJ134" s="31"/>
      <c r="DK134" s="31"/>
      <c r="DL134" s="31"/>
      <c r="DM134" s="31"/>
      <c r="DN134" s="31"/>
      <c r="DO134" s="31"/>
      <c r="DP134" s="31"/>
      <c r="DQ134" s="31"/>
      <c r="DR134" s="31"/>
      <c r="DS134" s="31"/>
      <c r="DT134" s="31"/>
      <c r="DU134" s="31"/>
      <c r="DV134" s="31">
        <v>18621.9</v>
      </c>
      <c r="DW134" s="31"/>
      <c r="DX134" s="31"/>
      <c r="DY134" s="31"/>
      <c r="DZ134" s="31"/>
      <c r="EA134" s="31"/>
      <c r="EB134" s="31"/>
      <c r="EC134" s="31"/>
      <c r="ED134" s="31"/>
      <c r="EE134" s="31"/>
      <c r="EF134" s="31"/>
      <c r="EG134" s="31"/>
      <c r="EH134" s="31"/>
      <c r="EI134" s="31"/>
      <c r="EJ134" s="31"/>
      <c r="EK134" s="31"/>
      <c r="EL134" s="31"/>
      <c r="EM134" s="31"/>
      <c r="EN134" s="31"/>
      <c r="EO134" s="31"/>
      <c r="EP134" s="31"/>
      <c r="EQ134" s="31"/>
      <c r="ER134" s="31"/>
      <c r="ES134" s="31"/>
      <c r="ET134" s="31"/>
      <c r="EU134" s="31"/>
      <c r="EV134" s="31"/>
      <c r="EW134" s="31"/>
      <c r="EX134" s="31"/>
      <c r="EY134" s="31"/>
      <c r="EZ134" s="31"/>
      <c r="FA134" s="31">
        <v>18662.7</v>
      </c>
      <c r="FB134" s="31"/>
      <c r="FC134" s="31"/>
      <c r="FD134" s="31"/>
      <c r="FE134" s="31"/>
      <c r="FF134" s="31"/>
      <c r="FG134" s="31"/>
      <c r="FH134" s="31"/>
      <c r="FI134" s="31"/>
      <c r="FJ134" s="31"/>
      <c r="FK134" s="31"/>
      <c r="FL134" s="31"/>
      <c r="FM134" s="31"/>
      <c r="FN134" s="31"/>
      <c r="FO134" s="31"/>
      <c r="FP134" s="31"/>
      <c r="FQ134" s="31"/>
      <c r="FR134" s="31"/>
      <c r="FS134" s="31"/>
      <c r="FT134" s="31"/>
      <c r="FU134" s="31"/>
      <c r="FV134" s="31"/>
      <c r="FW134" s="31"/>
      <c r="FX134" s="31"/>
      <c r="FY134" s="31"/>
      <c r="FZ134" s="31"/>
      <c r="GA134" s="31"/>
      <c r="GB134" s="31"/>
      <c r="GC134" s="31"/>
      <c r="GD134" s="31"/>
      <c r="GE134" s="31">
        <v>18746.7</v>
      </c>
      <c r="GF134" s="31"/>
      <c r="GG134" s="31"/>
      <c r="GH134" s="31"/>
      <c r="GI134" s="31"/>
      <c r="GJ134" s="31"/>
      <c r="GK134" s="31"/>
      <c r="GL134" s="31"/>
      <c r="GM134" s="31"/>
      <c r="GN134" s="31"/>
      <c r="GO134" s="31"/>
      <c r="GP134" s="31"/>
      <c r="GQ134" s="31"/>
      <c r="GR134" s="31"/>
      <c r="GS134" s="31"/>
      <c r="GT134" s="31"/>
      <c r="GU134" s="31"/>
      <c r="GV134" s="31"/>
      <c r="GW134" s="31"/>
      <c r="GX134" s="31"/>
      <c r="GY134" s="31"/>
      <c r="GZ134" s="31"/>
      <c r="HA134" s="31"/>
      <c r="HB134" s="31"/>
      <c r="HC134" s="31"/>
      <c r="HD134" s="31"/>
      <c r="HE134" s="31"/>
      <c r="HF134" s="31"/>
      <c r="HG134" s="31"/>
      <c r="HH134" s="31"/>
      <c r="HI134" s="31"/>
      <c r="HJ134" s="31">
        <v>18804.2</v>
      </c>
      <c r="HK134" s="31"/>
      <c r="HL134" s="31"/>
      <c r="HM134" s="31"/>
      <c r="HN134" s="31"/>
      <c r="HO134" s="31"/>
      <c r="HP134" s="31"/>
      <c r="HQ134" s="31"/>
      <c r="HR134" s="31"/>
      <c r="HS134" s="31"/>
      <c r="HT134" s="31"/>
      <c r="HU134" s="31"/>
      <c r="HV134" s="31"/>
      <c r="HW134" s="31"/>
      <c r="HX134" s="31"/>
      <c r="HY134" s="31"/>
      <c r="HZ134" s="31"/>
      <c r="IA134" s="31"/>
      <c r="IB134" s="31"/>
      <c r="IC134" s="31"/>
      <c r="ID134" s="31"/>
      <c r="IE134" s="31"/>
      <c r="IF134" s="31"/>
      <c r="IG134" s="31"/>
      <c r="IH134" s="31"/>
      <c r="II134" s="31"/>
      <c r="IJ134" s="31"/>
      <c r="IK134" s="31"/>
      <c r="IL134" s="31"/>
      <c r="IM134" s="31"/>
      <c r="IN134" s="31"/>
      <c r="IO134" s="31">
        <v>18840.9</v>
      </c>
      <c r="IP134" s="31"/>
      <c r="IQ134" s="31"/>
      <c r="IR134" s="31"/>
      <c r="IS134" s="31"/>
      <c r="IT134" s="31"/>
      <c r="IU134" s="31"/>
      <c r="IV134" s="31"/>
      <c r="IW134" s="31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  <c r="JN134" s="31"/>
      <c r="JO134" s="31"/>
      <c r="JP134" s="31"/>
      <c r="JQ134" s="31"/>
      <c r="JR134" s="31"/>
      <c r="JS134" s="31">
        <v>18904.7</v>
      </c>
      <c r="JT134" s="31"/>
      <c r="JU134" s="31"/>
      <c r="JV134" s="31"/>
      <c r="JW134" s="31"/>
      <c r="JX134" s="31"/>
      <c r="JY134" s="31"/>
      <c r="JZ134" s="31"/>
      <c r="KA134" s="31"/>
      <c r="KB134" s="31"/>
      <c r="KC134" s="31"/>
      <c r="KD134" s="31"/>
      <c r="KE134" s="31"/>
      <c r="KF134" s="31"/>
      <c r="KG134" s="31"/>
      <c r="KH134" s="31"/>
      <c r="KI134" s="31"/>
      <c r="KJ134" s="31"/>
      <c r="KK134" s="31"/>
      <c r="KL134" s="31"/>
      <c r="KM134" s="31"/>
      <c r="KN134" s="31"/>
      <c r="KO134" s="31"/>
      <c r="KP134" s="31"/>
      <c r="KQ134" s="31"/>
      <c r="KR134" s="31"/>
      <c r="KS134" s="31"/>
      <c r="KT134" s="31"/>
      <c r="KU134" s="31"/>
      <c r="KV134" s="31"/>
      <c r="KW134" s="31"/>
      <c r="KX134" s="31">
        <v>18985.1</v>
      </c>
      <c r="KY134" s="31"/>
      <c r="KZ134" s="31"/>
      <c r="LA134" s="31"/>
      <c r="LB134" s="31"/>
      <c r="LC134" s="31"/>
      <c r="LD134" s="31"/>
      <c r="LE134" s="31"/>
      <c r="LF134" s="31"/>
      <c r="LG134" s="31"/>
      <c r="LH134" s="31"/>
      <c r="LI134" s="31"/>
      <c r="LJ134" s="31"/>
      <c r="LK134" s="31"/>
      <c r="LL134" s="31"/>
      <c r="LM134" s="31"/>
      <c r="LN134" s="31"/>
      <c r="LO134" s="31"/>
      <c r="LP134" s="31"/>
      <c r="LQ134" s="31"/>
      <c r="LR134" s="31"/>
      <c r="LS134" s="31"/>
      <c r="LT134" s="31"/>
      <c r="LU134" s="31"/>
      <c r="LV134" s="31"/>
      <c r="LW134" s="31"/>
      <c r="LX134" s="31"/>
      <c r="LY134" s="31"/>
      <c r="LZ134" s="31"/>
      <c r="MA134" s="31"/>
      <c r="MB134" s="31">
        <v>19018.1</v>
      </c>
      <c r="MC134" s="31"/>
      <c r="MD134" s="31"/>
      <c r="ME134" s="31"/>
      <c r="MF134" s="31"/>
      <c r="MG134" s="31"/>
      <c r="MH134" s="31"/>
      <c r="MI134" s="31"/>
      <c r="MJ134" s="31"/>
      <c r="MK134" s="31"/>
      <c r="ML134" s="31"/>
      <c r="MM134" s="31"/>
      <c r="MN134" s="31"/>
      <c r="MO134" s="31"/>
      <c r="MP134" s="31"/>
      <c r="MQ134" s="31"/>
      <c r="MR134" s="31"/>
      <c r="MS134" s="31"/>
      <c r="MT134" s="31"/>
      <c r="MU134" s="31"/>
      <c r="MV134" s="31"/>
      <c r="MW134" s="31"/>
      <c r="MX134" s="31"/>
      <c r="MY134" s="31"/>
      <c r="MZ134" s="31"/>
      <c r="NA134" s="31"/>
      <c r="NB134" s="31"/>
      <c r="NC134" s="31"/>
      <c r="ND134" s="31"/>
      <c r="NE134" s="31"/>
      <c r="NF134" s="31"/>
      <c r="NG134" s="31">
        <v>19092.4</v>
      </c>
      <c r="NH134" s="31"/>
      <c r="NI134" s="31"/>
      <c r="NJ134" s="31"/>
      <c r="NK134" s="31"/>
      <c r="NL134" s="31"/>
      <c r="NM134" s="31"/>
      <c r="NN134" s="31"/>
      <c r="NO134" s="31"/>
      <c r="NP134" s="31"/>
      <c r="NQ134" s="31"/>
      <c r="NR134" s="31"/>
      <c r="NS134" s="31"/>
      <c r="NT134" s="31"/>
      <c r="NU134" s="31"/>
      <c r="NV134" s="31"/>
      <c r="NW134" s="31"/>
      <c r="NX134" s="31"/>
      <c r="NY134" s="31"/>
      <c r="NZ134" s="31"/>
      <c r="OA134" s="31"/>
      <c r="OB134" s="31"/>
      <c r="OC134" s="31"/>
      <c r="OD134" s="31"/>
      <c r="OE134" s="31"/>
      <c r="OF134" s="31"/>
      <c r="OG134" s="31"/>
      <c r="OH134" s="31"/>
      <c r="OI134" s="31"/>
      <c r="OJ134" s="31"/>
      <c r="OK134" s="31"/>
      <c r="OL134" s="31">
        <v>19191.8</v>
      </c>
      <c r="OM134" s="31"/>
      <c r="ON134" s="31"/>
      <c r="OO134" s="31"/>
      <c r="OP134" s="31"/>
      <c r="OQ134" s="31"/>
      <c r="OR134" s="31"/>
      <c r="OS134" s="31"/>
      <c r="OT134" s="31"/>
      <c r="OU134" s="31"/>
      <c r="OV134" s="31"/>
      <c r="OW134" s="31"/>
      <c r="OX134" s="31"/>
      <c r="OY134" s="31"/>
      <c r="OZ134" s="31"/>
      <c r="PA134" s="31"/>
      <c r="PB134" s="31"/>
      <c r="PC134" s="31"/>
      <c r="PD134" s="31"/>
      <c r="PE134" s="31"/>
      <c r="PF134" s="31"/>
      <c r="PG134" s="31"/>
      <c r="PH134" s="31"/>
      <c r="PI134" s="31"/>
      <c r="PJ134" s="31"/>
      <c r="PK134" s="31"/>
      <c r="PL134" s="31"/>
      <c r="PM134" s="31"/>
      <c r="PN134" s="31">
        <v>19386.9</v>
      </c>
      <c r="PO134" s="31"/>
      <c r="PP134" s="31"/>
      <c r="PQ134" s="31"/>
      <c r="PR134" s="31"/>
      <c r="PS134" s="31"/>
      <c r="PT134" s="31"/>
      <c r="PU134" s="31"/>
      <c r="PV134" s="31"/>
      <c r="PW134" s="31"/>
      <c r="PX134" s="31"/>
      <c r="PY134" s="31"/>
      <c r="PZ134" s="31"/>
      <c r="QA134" s="31"/>
      <c r="QB134" s="31"/>
      <c r="QC134" s="31"/>
      <c r="QD134" s="31"/>
      <c r="QE134" s="31"/>
      <c r="QF134" s="31"/>
      <c r="QG134" s="31"/>
      <c r="QH134" s="31"/>
      <c r="QI134" s="31"/>
      <c r="QJ134" s="31"/>
      <c r="QK134" s="31"/>
      <c r="QL134" s="31"/>
      <c r="QM134" s="31"/>
      <c r="QN134" s="31"/>
      <c r="QO134" s="31"/>
      <c r="QP134" s="31"/>
      <c r="QQ134" s="31"/>
      <c r="QR134" s="31"/>
      <c r="QS134" s="31">
        <v>19436.1</v>
      </c>
      <c r="QT134" s="31"/>
      <c r="QU134" s="31"/>
      <c r="QV134" s="31"/>
      <c r="QW134" s="31"/>
      <c r="QX134" s="31"/>
      <c r="QY134" s="31"/>
      <c r="QZ134" s="31"/>
      <c r="RA134" s="31"/>
      <c r="RB134" s="31"/>
      <c r="RC134" s="31"/>
      <c r="RD134" s="31"/>
      <c r="RE134" s="31"/>
      <c r="RF134" s="31"/>
      <c r="RG134" s="31"/>
      <c r="RH134" s="31"/>
      <c r="RI134" s="31"/>
      <c r="RJ134" s="31"/>
      <c r="RK134" s="31"/>
      <c r="RL134" s="31"/>
      <c r="RM134" s="31"/>
      <c r="RN134" s="31"/>
      <c r="RO134" s="31"/>
      <c r="RP134" s="31"/>
      <c r="RQ134" s="31"/>
      <c r="RR134" s="31"/>
      <c r="RS134" s="31"/>
      <c r="RT134" s="31"/>
      <c r="RU134" s="31"/>
      <c r="RV134" s="31"/>
      <c r="RW134" s="31">
        <v>19531.7</v>
      </c>
      <c r="RX134" s="31"/>
      <c r="RY134" s="31"/>
      <c r="RZ134" s="31"/>
      <c r="SA134" s="31"/>
      <c r="SB134" s="31"/>
      <c r="SC134" s="31"/>
      <c r="SD134" s="31"/>
      <c r="SE134" s="31"/>
      <c r="SF134" s="31"/>
      <c r="SG134" s="31"/>
      <c r="SH134" s="31"/>
      <c r="SI134" s="31"/>
      <c r="SJ134" s="31"/>
      <c r="SK134" s="31"/>
      <c r="SL134" s="31"/>
      <c r="SM134" s="31"/>
      <c r="SN134" s="31"/>
      <c r="SO134" s="31"/>
      <c r="SP134" s="31"/>
      <c r="SQ134" s="31"/>
      <c r="SR134" s="31"/>
      <c r="SS134" s="31"/>
      <c r="ST134" s="23"/>
      <c r="SU134" s="23"/>
      <c r="SV134" s="23"/>
      <c r="SW134" s="23"/>
      <c r="SX134" s="23"/>
      <c r="SY134" s="23"/>
      <c r="SZ134" s="23"/>
      <c r="TA134" s="23"/>
      <c r="TB134" s="23">
        <v>19750.9</v>
      </c>
      <c r="TC134" s="23"/>
      <c r="TD134" s="23"/>
      <c r="TE134" s="23"/>
      <c r="TF134" s="23"/>
      <c r="TG134" s="23"/>
      <c r="TH134" s="23"/>
      <c r="TI134" s="23"/>
      <c r="TJ134" s="23"/>
      <c r="TK134" s="23"/>
      <c r="TL134" s="23"/>
      <c r="TM134" s="23"/>
      <c r="TN134" s="23"/>
      <c r="TO134" s="23"/>
      <c r="TP134" s="23"/>
      <c r="TQ134" s="23"/>
      <c r="TR134" s="23"/>
      <c r="TS134" s="23"/>
      <c r="TT134" s="23"/>
      <c r="TU134" s="23"/>
      <c r="TV134" s="23"/>
      <c r="TW134" s="23"/>
      <c r="TX134" s="23"/>
      <c r="TY134" s="23"/>
      <c r="TZ134" s="23"/>
      <c r="UA134" s="23"/>
      <c r="UB134" s="23"/>
      <c r="UC134" s="23"/>
      <c r="UD134" s="23"/>
      <c r="UE134" s="23"/>
      <c r="UF134" s="23"/>
      <c r="UG134" s="23"/>
      <c r="UH134" s="23"/>
      <c r="UI134" s="23"/>
      <c r="UJ134" s="23"/>
      <c r="UK134" s="23"/>
      <c r="UL134" s="23"/>
      <c r="UM134" s="23"/>
      <c r="UN134" s="23"/>
      <c r="UO134" s="23"/>
      <c r="UP134" s="23"/>
      <c r="UQ134" s="23"/>
      <c r="UR134" s="23"/>
      <c r="US134" s="23"/>
      <c r="UT134" s="23"/>
    </row>
    <row r="135" spans="4:566">
      <c r="D135" t="s">
        <v>373</v>
      </c>
      <c r="E135" t="s">
        <v>374</v>
      </c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>
        <v>21548.1</v>
      </c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>
        <v>21613.4</v>
      </c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>
        <v>21693.6</v>
      </c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  <c r="DI135" s="31"/>
      <c r="DJ135" s="31"/>
      <c r="DK135" s="31"/>
      <c r="DL135" s="31"/>
      <c r="DM135" s="31"/>
      <c r="DN135" s="31"/>
      <c r="DO135" s="31"/>
      <c r="DP135" s="31"/>
      <c r="DQ135" s="31"/>
      <c r="DR135" s="31"/>
      <c r="DS135" s="31"/>
      <c r="DT135" s="31"/>
      <c r="DU135" s="31"/>
      <c r="DV135" s="31">
        <v>21775.8</v>
      </c>
      <c r="DW135" s="31"/>
      <c r="DX135" s="31"/>
      <c r="DY135" s="31"/>
      <c r="DZ135" s="31"/>
      <c r="EA135" s="31"/>
      <c r="EB135" s="31"/>
      <c r="EC135" s="31"/>
      <c r="ED135" s="31"/>
      <c r="EE135" s="31"/>
      <c r="EF135" s="31"/>
      <c r="EG135" s="31"/>
      <c r="EH135" s="31"/>
      <c r="EI135" s="31"/>
      <c r="EJ135" s="31"/>
      <c r="EK135" s="31"/>
      <c r="EL135" s="31"/>
      <c r="EM135" s="31"/>
      <c r="EN135" s="31"/>
      <c r="EO135" s="31"/>
      <c r="EP135" s="31"/>
      <c r="EQ135" s="31"/>
      <c r="ER135" s="31"/>
      <c r="ES135" s="31"/>
      <c r="ET135" s="31"/>
      <c r="EU135" s="31"/>
      <c r="EV135" s="31"/>
      <c r="EW135" s="31"/>
      <c r="EX135" s="31"/>
      <c r="EY135" s="31"/>
      <c r="EZ135" s="31"/>
      <c r="FA135" s="31">
        <v>21833.9</v>
      </c>
      <c r="FB135" s="31"/>
      <c r="FC135" s="31"/>
      <c r="FD135" s="31"/>
      <c r="FE135" s="31"/>
      <c r="FF135" s="31"/>
      <c r="FG135" s="31"/>
      <c r="FH135" s="31"/>
      <c r="FI135" s="31"/>
      <c r="FJ135" s="31"/>
      <c r="FK135" s="31"/>
      <c r="FL135" s="31"/>
      <c r="FM135" s="31"/>
      <c r="FN135" s="31"/>
      <c r="FO135" s="31"/>
      <c r="FP135" s="31"/>
      <c r="FQ135" s="31"/>
      <c r="FR135" s="31"/>
      <c r="FS135" s="31"/>
      <c r="FT135" s="31"/>
      <c r="FU135" s="31"/>
      <c r="FV135" s="31"/>
      <c r="FW135" s="31"/>
      <c r="FX135" s="31"/>
      <c r="FY135" s="31"/>
      <c r="FZ135" s="31"/>
      <c r="GA135" s="31"/>
      <c r="GB135" s="31"/>
      <c r="GC135" s="31"/>
      <c r="GD135" s="31"/>
      <c r="GE135" s="31">
        <v>21938.7</v>
      </c>
      <c r="GF135" s="31"/>
      <c r="GG135" s="31"/>
      <c r="GH135" s="31"/>
      <c r="GI135" s="31"/>
      <c r="GJ135" s="31"/>
      <c r="GK135" s="31"/>
      <c r="GL135" s="31"/>
      <c r="GM135" s="31"/>
      <c r="GN135" s="31"/>
      <c r="GO135" s="31"/>
      <c r="GP135" s="31"/>
      <c r="GQ135" s="31"/>
      <c r="GR135" s="31"/>
      <c r="GS135" s="31"/>
      <c r="GT135" s="31"/>
      <c r="GU135" s="31"/>
      <c r="GV135" s="31"/>
      <c r="GW135" s="31"/>
      <c r="GX135" s="31"/>
      <c r="GY135" s="31"/>
      <c r="GZ135" s="31"/>
      <c r="HA135" s="31"/>
      <c r="HB135" s="31"/>
      <c r="HC135" s="31"/>
      <c r="HD135" s="31"/>
      <c r="HE135" s="31"/>
      <c r="HF135" s="31"/>
      <c r="HG135" s="31"/>
      <c r="HH135" s="31"/>
      <c r="HI135" s="31"/>
      <c r="HJ135" s="31">
        <v>22020.4</v>
      </c>
      <c r="HK135" s="31"/>
      <c r="HL135" s="31"/>
      <c r="HM135" s="31"/>
      <c r="HN135" s="31"/>
      <c r="HO135" s="31"/>
      <c r="HP135" s="31"/>
      <c r="HQ135" s="31"/>
      <c r="HR135" s="31"/>
      <c r="HS135" s="31"/>
      <c r="HT135" s="31"/>
      <c r="HU135" s="31"/>
      <c r="HV135" s="31"/>
      <c r="HW135" s="31"/>
      <c r="HX135" s="31"/>
      <c r="HY135" s="31"/>
      <c r="HZ135" s="31"/>
      <c r="IA135" s="31"/>
      <c r="IB135" s="31"/>
      <c r="IC135" s="31"/>
      <c r="ID135" s="31"/>
      <c r="IE135" s="31"/>
      <c r="IF135" s="31"/>
      <c r="IG135" s="31"/>
      <c r="IH135" s="31"/>
      <c r="II135" s="31"/>
      <c r="IJ135" s="31"/>
      <c r="IK135" s="31"/>
      <c r="IL135" s="31"/>
      <c r="IM135" s="31"/>
      <c r="IN135" s="31"/>
      <c r="IO135" s="31">
        <v>22087.1</v>
      </c>
      <c r="IP135" s="31"/>
      <c r="IQ135" s="31"/>
      <c r="IR135" s="31"/>
      <c r="IS135" s="31"/>
      <c r="IT135" s="31"/>
      <c r="IU135" s="31"/>
      <c r="IV135" s="31"/>
      <c r="IW135" s="31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  <c r="JH135" s="31"/>
      <c r="JI135" s="31"/>
      <c r="JJ135" s="31"/>
      <c r="JK135" s="31"/>
      <c r="JL135" s="31"/>
      <c r="JM135" s="31"/>
      <c r="JN135" s="31"/>
      <c r="JO135" s="31"/>
      <c r="JP135" s="31"/>
      <c r="JQ135" s="31"/>
      <c r="JR135" s="31"/>
      <c r="JS135" s="31">
        <v>22170.4</v>
      </c>
      <c r="JT135" s="31"/>
      <c r="JU135" s="31"/>
      <c r="JV135" s="31"/>
      <c r="JW135" s="31"/>
      <c r="JX135" s="31"/>
      <c r="JY135" s="31"/>
      <c r="JZ135" s="31"/>
      <c r="KA135" s="31"/>
      <c r="KB135" s="31"/>
      <c r="KC135" s="31"/>
      <c r="KD135" s="31"/>
      <c r="KE135" s="31"/>
      <c r="KF135" s="31"/>
      <c r="KG135" s="31"/>
      <c r="KH135" s="31"/>
      <c r="KI135" s="31"/>
      <c r="KJ135" s="31"/>
      <c r="KK135" s="31"/>
      <c r="KL135" s="31"/>
      <c r="KM135" s="31"/>
      <c r="KN135" s="31"/>
      <c r="KO135" s="31"/>
      <c r="KP135" s="31"/>
      <c r="KQ135" s="31"/>
      <c r="KR135" s="31"/>
      <c r="KS135" s="31"/>
      <c r="KT135" s="31"/>
      <c r="KU135" s="31"/>
      <c r="KV135" s="31"/>
      <c r="KW135" s="31"/>
      <c r="KX135" s="31">
        <v>22245.1</v>
      </c>
      <c r="KY135" s="31"/>
      <c r="KZ135" s="31"/>
      <c r="LA135" s="31"/>
      <c r="LB135" s="31"/>
      <c r="LC135" s="31"/>
      <c r="LD135" s="31"/>
      <c r="LE135" s="31"/>
      <c r="LF135" s="31"/>
      <c r="LG135" s="31"/>
      <c r="LH135" s="31"/>
      <c r="LI135" s="31"/>
      <c r="LJ135" s="31"/>
      <c r="LK135" s="31"/>
      <c r="LL135" s="31"/>
      <c r="LM135" s="31"/>
      <c r="LN135" s="31"/>
      <c r="LO135" s="31"/>
      <c r="LP135" s="31"/>
      <c r="LQ135" s="31"/>
      <c r="LR135" s="31"/>
      <c r="LS135" s="31"/>
      <c r="LT135" s="31"/>
      <c r="LU135" s="31"/>
      <c r="LV135" s="31"/>
      <c r="LW135" s="31"/>
      <c r="LX135" s="31"/>
      <c r="LY135" s="31"/>
      <c r="LZ135" s="31"/>
      <c r="MA135" s="31"/>
      <c r="MB135" s="31">
        <v>22277.3</v>
      </c>
      <c r="MC135" s="31"/>
      <c r="MD135" s="31"/>
      <c r="ME135" s="31"/>
      <c r="MF135" s="31"/>
      <c r="MG135" s="31"/>
      <c r="MH135" s="31"/>
      <c r="MI135" s="31"/>
      <c r="MJ135" s="31"/>
      <c r="MK135" s="31"/>
      <c r="ML135" s="31"/>
      <c r="MM135" s="31"/>
      <c r="MN135" s="31"/>
      <c r="MO135" s="31"/>
      <c r="MP135" s="31"/>
      <c r="MQ135" s="31"/>
      <c r="MR135" s="31"/>
      <c r="MS135" s="31"/>
      <c r="MT135" s="31"/>
      <c r="MU135" s="31"/>
      <c r="MV135" s="31"/>
      <c r="MW135" s="31"/>
      <c r="MX135" s="31"/>
      <c r="MY135" s="31"/>
      <c r="MZ135" s="31"/>
      <c r="NA135" s="31"/>
      <c r="NB135" s="31"/>
      <c r="NC135" s="31"/>
      <c r="ND135" s="31"/>
      <c r="NE135" s="31"/>
      <c r="NF135" s="31"/>
      <c r="NG135" s="31">
        <v>22353.4</v>
      </c>
      <c r="NH135" s="31"/>
      <c r="NI135" s="31"/>
      <c r="NJ135" s="31"/>
      <c r="NK135" s="31"/>
      <c r="NL135" s="31"/>
      <c r="NM135" s="31"/>
      <c r="NN135" s="31"/>
      <c r="NO135" s="31"/>
      <c r="NP135" s="31"/>
      <c r="NQ135" s="31"/>
      <c r="NR135" s="31"/>
      <c r="NS135" s="31"/>
      <c r="NT135" s="31"/>
      <c r="NU135" s="31"/>
      <c r="NV135" s="31"/>
      <c r="NW135" s="31"/>
      <c r="NX135" s="31"/>
      <c r="NY135" s="31"/>
      <c r="NZ135" s="31"/>
      <c r="OA135" s="31"/>
      <c r="OB135" s="31"/>
      <c r="OC135" s="31"/>
      <c r="OD135" s="31"/>
      <c r="OE135" s="31"/>
      <c r="OF135" s="31"/>
      <c r="OG135" s="31"/>
      <c r="OH135" s="31"/>
      <c r="OI135" s="31"/>
      <c r="OJ135" s="31"/>
      <c r="OK135" s="31"/>
      <c r="OL135" s="31">
        <v>22429.3</v>
      </c>
      <c r="OM135" s="31"/>
      <c r="ON135" s="31"/>
      <c r="OO135" s="31"/>
      <c r="OP135" s="31"/>
      <c r="OQ135" s="31"/>
      <c r="OR135" s="31"/>
      <c r="OS135" s="31"/>
      <c r="OT135" s="31"/>
      <c r="OU135" s="31"/>
      <c r="OV135" s="31"/>
      <c r="OW135" s="31"/>
      <c r="OX135" s="31"/>
      <c r="OY135" s="31"/>
      <c r="OZ135" s="31"/>
      <c r="PA135" s="31"/>
      <c r="PB135" s="31"/>
      <c r="PC135" s="31"/>
      <c r="PD135" s="31"/>
      <c r="PE135" s="31"/>
      <c r="PF135" s="31"/>
      <c r="PG135" s="31"/>
      <c r="PH135" s="31"/>
      <c r="PI135" s="31"/>
      <c r="PJ135" s="31"/>
      <c r="PK135" s="31"/>
      <c r="PL135" s="31"/>
      <c r="PM135" s="31"/>
      <c r="PN135" s="31">
        <v>22626.9</v>
      </c>
      <c r="PO135" s="31"/>
      <c r="PP135" s="31"/>
      <c r="PQ135" s="31"/>
      <c r="PR135" s="31"/>
      <c r="PS135" s="31"/>
      <c r="PT135" s="31"/>
      <c r="PU135" s="31"/>
      <c r="PV135" s="31"/>
      <c r="PW135" s="31"/>
      <c r="PX135" s="31"/>
      <c r="PY135" s="31"/>
      <c r="PZ135" s="31"/>
      <c r="QA135" s="31"/>
      <c r="QB135" s="31"/>
      <c r="QC135" s="31"/>
      <c r="QD135" s="31"/>
      <c r="QE135" s="31"/>
      <c r="QF135" s="31"/>
      <c r="QG135" s="31"/>
      <c r="QH135" s="31"/>
      <c r="QI135" s="31"/>
      <c r="QJ135" s="31"/>
      <c r="QK135" s="31"/>
      <c r="QL135" s="31"/>
      <c r="QM135" s="31"/>
      <c r="QN135" s="31"/>
      <c r="QO135" s="31"/>
      <c r="QP135" s="31"/>
      <c r="QQ135" s="31"/>
      <c r="QR135" s="31"/>
      <c r="QS135" s="31">
        <v>22686.2</v>
      </c>
      <c r="QT135" s="31"/>
      <c r="QU135" s="31"/>
      <c r="QV135" s="31"/>
      <c r="QW135" s="31"/>
      <c r="QX135" s="31"/>
      <c r="QY135" s="31"/>
      <c r="QZ135" s="31"/>
      <c r="RA135" s="31"/>
      <c r="RB135" s="31"/>
      <c r="RC135" s="31"/>
      <c r="RD135" s="31"/>
      <c r="RE135" s="31"/>
      <c r="RF135" s="31"/>
      <c r="RG135" s="31"/>
      <c r="RH135" s="31"/>
      <c r="RI135" s="31"/>
      <c r="RJ135" s="31"/>
      <c r="RK135" s="31"/>
      <c r="RL135" s="31"/>
      <c r="RM135" s="31"/>
      <c r="RN135" s="31"/>
      <c r="RO135" s="31"/>
      <c r="RP135" s="31"/>
      <c r="RQ135" s="31"/>
      <c r="RR135" s="31"/>
      <c r="RS135" s="31"/>
      <c r="RT135" s="31"/>
      <c r="RU135" s="31"/>
      <c r="RV135" s="31"/>
      <c r="RW135" s="31">
        <v>22804.5</v>
      </c>
      <c r="RX135" s="31"/>
      <c r="RY135" s="31"/>
      <c r="RZ135" s="31"/>
      <c r="SA135" s="31"/>
      <c r="SB135" s="31"/>
      <c r="SC135" s="31"/>
      <c r="SD135" s="31"/>
      <c r="SE135" s="31"/>
      <c r="SF135" s="31"/>
      <c r="SG135" s="31"/>
      <c r="SH135" s="31"/>
      <c r="SI135" s="31"/>
      <c r="SJ135" s="31"/>
      <c r="SK135" s="31"/>
      <c r="SL135" s="31"/>
      <c r="SM135" s="31"/>
      <c r="SN135" s="31"/>
      <c r="SO135" s="31"/>
      <c r="SP135" s="31"/>
      <c r="SQ135" s="31"/>
      <c r="SR135" s="31"/>
      <c r="SS135" s="31"/>
      <c r="ST135" s="23"/>
      <c r="SU135" s="23"/>
      <c r="SV135" s="23"/>
      <c r="SW135" s="23"/>
      <c r="SX135" s="23"/>
      <c r="SY135" s="23"/>
      <c r="SZ135" s="23"/>
      <c r="TA135" s="23"/>
      <c r="TB135" s="23">
        <v>23052.3</v>
      </c>
      <c r="TC135" s="23"/>
      <c r="TD135" s="23"/>
      <c r="TE135" s="23"/>
      <c r="TF135" s="23"/>
      <c r="TG135" s="23"/>
      <c r="TH135" s="23"/>
      <c r="TI135" s="23"/>
      <c r="TJ135" s="23"/>
      <c r="TK135" s="23"/>
      <c r="TL135" s="23"/>
      <c r="TM135" s="23"/>
      <c r="TN135" s="23"/>
      <c r="TO135" s="23"/>
      <c r="TP135" s="23"/>
      <c r="TQ135" s="23"/>
      <c r="TR135" s="23"/>
      <c r="TS135" s="23"/>
      <c r="TT135" s="23"/>
      <c r="TU135" s="23"/>
      <c r="TV135" s="23"/>
      <c r="TW135" s="23"/>
      <c r="TX135" s="23"/>
      <c r="TY135" s="23"/>
      <c r="TZ135" s="23"/>
      <c r="UA135" s="23"/>
      <c r="UB135" s="23"/>
      <c r="UC135" s="23"/>
      <c r="UD135" s="23"/>
      <c r="UE135" s="23"/>
      <c r="UF135" s="23"/>
      <c r="UG135" s="23"/>
      <c r="UH135" s="23"/>
      <c r="UI135" s="23"/>
      <c r="UJ135" s="23"/>
      <c r="UK135" s="23"/>
      <c r="UL135" s="23"/>
      <c r="UM135" s="23"/>
      <c r="UN135" s="23"/>
      <c r="UO135" s="23"/>
      <c r="UP135" s="23"/>
      <c r="UQ135" s="23"/>
      <c r="UR135" s="23"/>
      <c r="US135" s="23"/>
      <c r="UT135" s="23"/>
    </row>
    <row r="136" spans="4:566">
      <c r="D136" t="s">
        <v>375</v>
      </c>
      <c r="E136" t="s">
        <v>376</v>
      </c>
      <c r="F136" s="31"/>
      <c r="G136" s="31">
        <v>2662673.4</v>
      </c>
      <c r="H136" s="31"/>
      <c r="I136" s="31"/>
      <c r="J136" s="31"/>
      <c r="K136" s="31"/>
      <c r="L136" s="31"/>
      <c r="M136" s="31"/>
      <c r="N136" s="31">
        <v>2671247.8</v>
      </c>
      <c r="O136" s="31"/>
      <c r="P136" s="31"/>
      <c r="Q136" s="31"/>
      <c r="R136" s="31"/>
      <c r="S136" s="31"/>
      <c r="T136" s="31"/>
      <c r="U136" s="31">
        <v>2664341.5</v>
      </c>
      <c r="V136" s="31"/>
      <c r="W136" s="31"/>
      <c r="X136" s="31"/>
      <c r="Y136" s="31"/>
      <c r="Z136" s="31"/>
      <c r="AA136" s="31"/>
      <c r="AB136" s="31">
        <v>2672564.4</v>
      </c>
      <c r="AC136" s="31"/>
      <c r="AD136" s="31"/>
      <c r="AE136" s="31"/>
      <c r="AF136" s="31"/>
      <c r="AG136" s="31"/>
      <c r="AH136" s="31"/>
      <c r="AI136" s="31">
        <v>2669826.8</v>
      </c>
      <c r="AJ136" s="31"/>
      <c r="AK136" s="31"/>
      <c r="AL136" s="31"/>
      <c r="AM136" s="31"/>
      <c r="AN136" s="31"/>
      <c r="AO136" s="31"/>
      <c r="AP136" s="31">
        <v>2669194.1</v>
      </c>
      <c r="AQ136" s="31"/>
      <c r="AR136" s="31"/>
      <c r="AS136" s="31"/>
      <c r="AT136" s="31"/>
      <c r="AU136" s="31"/>
      <c r="AV136" s="31"/>
      <c r="AW136" s="31">
        <v>2668324.7</v>
      </c>
      <c r="AX136" s="31"/>
      <c r="AY136" s="31"/>
      <c r="AZ136" s="31"/>
      <c r="BA136" s="31"/>
      <c r="BB136" s="31"/>
      <c r="BC136" s="31"/>
      <c r="BD136" s="31">
        <v>2679466.8</v>
      </c>
      <c r="BE136" s="31"/>
      <c r="BF136" s="31"/>
      <c r="BG136" s="31"/>
      <c r="BH136" s="31"/>
      <c r="BI136" s="31"/>
      <c r="BJ136" s="31"/>
      <c r="BK136" s="31">
        <v>2670977.6</v>
      </c>
      <c r="BL136" s="31"/>
      <c r="BM136" s="31"/>
      <c r="BN136" s="31"/>
      <c r="BO136" s="31"/>
      <c r="BP136" s="31"/>
      <c r="BQ136" s="31"/>
      <c r="BR136" s="31">
        <v>2675550.5</v>
      </c>
      <c r="BS136" s="31"/>
      <c r="BT136" s="31"/>
      <c r="BU136" s="31"/>
      <c r="BV136" s="31"/>
      <c r="BW136" s="31"/>
      <c r="BX136" s="31"/>
      <c r="BY136" s="31">
        <v>2675711.5</v>
      </c>
      <c r="BZ136" s="31"/>
      <c r="CA136" s="31"/>
      <c r="CB136" s="31"/>
      <c r="CC136" s="31"/>
      <c r="CD136" s="31"/>
      <c r="CE136" s="31"/>
      <c r="CF136" s="31">
        <v>2674532.5</v>
      </c>
      <c r="CG136" s="31"/>
      <c r="CH136" s="31"/>
      <c r="CI136" s="31"/>
      <c r="CJ136" s="31"/>
      <c r="CK136" s="31"/>
      <c r="CL136" s="31"/>
      <c r="CM136" s="31">
        <v>2681567.2</v>
      </c>
      <c r="CN136" s="31"/>
      <c r="CO136" s="31"/>
      <c r="CP136" s="31"/>
      <c r="CQ136" s="31"/>
      <c r="CR136" s="31"/>
      <c r="CS136" s="31"/>
      <c r="CT136" s="31">
        <v>2649282.7</v>
      </c>
      <c r="CU136" s="31"/>
      <c r="CV136" s="31"/>
      <c r="CW136" s="31"/>
      <c r="CX136" s="31"/>
      <c r="CY136" s="31"/>
      <c r="CZ136" s="31"/>
      <c r="DA136" s="31">
        <v>2652733.8</v>
      </c>
      <c r="DB136" s="31"/>
      <c r="DC136" s="31"/>
      <c r="DD136" s="31"/>
      <c r="DE136" s="31"/>
      <c r="DF136" s="31"/>
      <c r="DG136" s="31"/>
      <c r="DH136" s="31">
        <v>2664281.8</v>
      </c>
      <c r="DI136" s="31"/>
      <c r="DJ136" s="31"/>
      <c r="DK136" s="31"/>
      <c r="DL136" s="31"/>
      <c r="DM136" s="31"/>
      <c r="DN136" s="31"/>
      <c r="DO136" s="31">
        <v>2662347.3</v>
      </c>
      <c r="DP136" s="31"/>
      <c r="DQ136" s="31"/>
      <c r="DR136" s="31"/>
      <c r="DS136" s="31"/>
      <c r="DT136" s="31"/>
      <c r="DU136" s="31"/>
      <c r="DV136" s="31">
        <v>2663842.3</v>
      </c>
      <c r="DW136" s="31"/>
      <c r="DX136" s="31"/>
      <c r="DY136" s="31"/>
      <c r="DZ136" s="31"/>
      <c r="EA136" s="31"/>
      <c r="EB136" s="31"/>
      <c r="EC136" s="31">
        <v>2662959.7</v>
      </c>
      <c r="ED136" s="31"/>
      <c r="EE136" s="31"/>
      <c r="EF136" s="31"/>
      <c r="EG136" s="31"/>
      <c r="EH136" s="31"/>
      <c r="EI136" s="31"/>
      <c r="EJ136" s="31">
        <v>2672811.9</v>
      </c>
      <c r="EK136" s="31"/>
      <c r="EL136" s="31"/>
      <c r="EM136" s="31"/>
      <c r="EN136" s="31"/>
      <c r="EO136" s="31"/>
      <c r="EP136" s="31"/>
      <c r="EQ136" s="31">
        <v>2676256.4</v>
      </c>
      <c r="ER136" s="31"/>
      <c r="ES136" s="31"/>
      <c r="ET136" s="31"/>
      <c r="EU136" s="31"/>
      <c r="EV136" s="31"/>
      <c r="EW136" s="31"/>
      <c r="EX136" s="31">
        <v>2679564.8</v>
      </c>
      <c r="EY136" s="31"/>
      <c r="EZ136" s="31"/>
      <c r="FA136" s="31"/>
      <c r="FB136" s="31"/>
      <c r="FC136" s="31"/>
      <c r="FD136" s="31"/>
      <c r="FE136" s="31">
        <v>2676707.5</v>
      </c>
      <c r="FF136" s="31"/>
      <c r="FG136" s="31"/>
      <c r="FH136" s="31"/>
      <c r="FI136" s="31"/>
      <c r="FJ136" s="31"/>
      <c r="FK136" s="31"/>
      <c r="FL136" s="31">
        <v>2677941.4</v>
      </c>
      <c r="FM136" s="31"/>
      <c r="FN136" s="31"/>
      <c r="FO136" s="31"/>
      <c r="FP136" s="31"/>
      <c r="FQ136" s="31"/>
      <c r="FR136" s="31"/>
      <c r="FS136" s="31">
        <v>2686067.2</v>
      </c>
      <c r="FT136" s="31"/>
      <c r="FU136" s="31"/>
      <c r="FV136" s="31"/>
      <c r="FW136" s="31"/>
      <c r="FX136" s="31"/>
      <c r="FY136" s="31"/>
      <c r="FZ136" s="31">
        <v>2691619.2</v>
      </c>
      <c r="GA136" s="31"/>
      <c r="GB136" s="31"/>
      <c r="GC136" s="31"/>
      <c r="GD136" s="31"/>
      <c r="GE136" s="31"/>
      <c r="GF136" s="31"/>
      <c r="GG136" s="31">
        <v>2661347.8</v>
      </c>
      <c r="GH136" s="31"/>
      <c r="GI136" s="31"/>
      <c r="GJ136" s="31"/>
      <c r="GK136" s="31"/>
      <c r="GL136" s="31"/>
      <c r="GM136" s="31"/>
      <c r="GN136" s="31">
        <v>2664520.4</v>
      </c>
      <c r="GO136" s="31"/>
      <c r="GP136" s="31"/>
      <c r="GQ136" s="31"/>
      <c r="GR136" s="31"/>
      <c r="GS136" s="31"/>
      <c r="GT136" s="31"/>
      <c r="GU136" s="31">
        <v>2663317.7</v>
      </c>
      <c r="GV136" s="31"/>
      <c r="GW136" s="31"/>
      <c r="GX136" s="31"/>
      <c r="GY136" s="31"/>
      <c r="GZ136" s="31"/>
      <c r="HA136" s="31"/>
      <c r="HB136" s="31">
        <v>2669559.5</v>
      </c>
      <c r="HC136" s="31"/>
      <c r="HD136" s="31"/>
      <c r="HE136" s="31"/>
      <c r="HF136" s="31"/>
      <c r="HG136" s="31"/>
      <c r="HH136" s="31"/>
      <c r="HI136" s="31">
        <v>2675618.1</v>
      </c>
      <c r="HJ136" s="31"/>
      <c r="HK136" s="31"/>
      <c r="HL136" s="31"/>
      <c r="HM136" s="31"/>
      <c r="HN136" s="31"/>
      <c r="HO136" s="31"/>
      <c r="HP136" s="31">
        <v>2681150.8</v>
      </c>
      <c r="HQ136" s="31"/>
      <c r="HR136" s="31"/>
      <c r="HS136" s="31"/>
      <c r="HT136" s="31"/>
      <c r="HU136" s="31"/>
      <c r="HV136" s="31"/>
      <c r="HW136" s="31">
        <v>2679038.8</v>
      </c>
      <c r="HX136" s="31"/>
      <c r="HY136" s="31"/>
      <c r="HZ136" s="31"/>
      <c r="IA136" s="31"/>
      <c r="IB136" s="31"/>
      <c r="IC136" s="31"/>
      <c r="ID136" s="31">
        <v>2679148.6</v>
      </c>
      <c r="IE136" s="31"/>
      <c r="IF136" s="31"/>
      <c r="IG136" s="31"/>
      <c r="IH136" s="31"/>
      <c r="II136" s="31"/>
      <c r="IJ136" s="31"/>
      <c r="IK136" s="31">
        <v>2683982.3</v>
      </c>
      <c r="IL136" s="31"/>
      <c r="IM136" s="31"/>
      <c r="IN136" s="31"/>
      <c r="IO136" s="31"/>
      <c r="IP136" s="31"/>
      <c r="IQ136" s="31"/>
      <c r="IR136" s="31">
        <v>2691112.8</v>
      </c>
      <c r="IS136" s="31"/>
      <c r="IT136" s="31"/>
      <c r="IU136" s="31"/>
      <c r="IV136" s="31"/>
      <c r="IW136" s="31"/>
      <c r="IX136" s="31"/>
      <c r="IY136" s="31">
        <v>2687685.9</v>
      </c>
      <c r="IZ136" s="31"/>
      <c r="JA136" s="31"/>
      <c r="JB136" s="31"/>
      <c r="JC136" s="31"/>
      <c r="JD136" s="31"/>
      <c r="JE136" s="31"/>
      <c r="JF136" s="31">
        <v>2692967.7</v>
      </c>
      <c r="JG136" s="31"/>
      <c r="JH136" s="31"/>
      <c r="JI136" s="31"/>
      <c r="JJ136" s="31"/>
      <c r="JK136" s="31"/>
      <c r="JL136" s="31"/>
      <c r="JM136" s="31">
        <v>2694196.5</v>
      </c>
      <c r="JN136" s="31"/>
      <c r="JO136" s="31"/>
      <c r="JP136" s="31"/>
      <c r="JQ136" s="31"/>
      <c r="JR136" s="31"/>
      <c r="JS136" s="31"/>
      <c r="JT136" s="31">
        <v>2699528.4</v>
      </c>
      <c r="JU136" s="31"/>
      <c r="JV136" s="31"/>
      <c r="JW136" s="31"/>
      <c r="JX136" s="31"/>
      <c r="JY136" s="31"/>
      <c r="JZ136" s="31"/>
      <c r="KA136" s="31">
        <v>2695270.1</v>
      </c>
      <c r="KB136" s="31"/>
      <c r="KC136" s="31"/>
      <c r="KD136" s="31"/>
      <c r="KE136" s="31"/>
      <c r="KF136" s="31"/>
      <c r="KG136" s="31"/>
      <c r="KH136" s="31">
        <v>2694692.7</v>
      </c>
      <c r="KI136" s="31"/>
      <c r="KJ136" s="31"/>
      <c r="KK136" s="31"/>
      <c r="KL136" s="31"/>
      <c r="KM136" s="31"/>
      <c r="KN136" s="31"/>
      <c r="KO136" s="31">
        <v>2695174.4</v>
      </c>
      <c r="KP136" s="31"/>
      <c r="KQ136" s="31"/>
      <c r="KR136" s="31"/>
      <c r="KS136" s="31"/>
      <c r="KT136" s="31"/>
      <c r="KU136" s="31"/>
      <c r="KV136" s="31">
        <v>2693187.5</v>
      </c>
      <c r="KW136" s="31"/>
      <c r="KX136" s="31"/>
      <c r="KY136" s="31"/>
      <c r="KZ136" s="31"/>
      <c r="LA136" s="31"/>
      <c r="LB136" s="31"/>
      <c r="LC136" s="31">
        <v>2696654.4</v>
      </c>
      <c r="LD136" s="31"/>
      <c r="LE136" s="31"/>
      <c r="LF136" s="31"/>
      <c r="LG136" s="31"/>
      <c r="LH136" s="31"/>
      <c r="LI136" s="31"/>
      <c r="LJ136" s="31">
        <v>2700974.1</v>
      </c>
      <c r="LK136" s="31"/>
      <c r="LL136" s="31"/>
      <c r="LM136" s="31"/>
      <c r="LN136" s="31"/>
      <c r="LO136" s="31"/>
      <c r="LP136" s="31"/>
      <c r="LQ136" s="31">
        <v>2700936.6</v>
      </c>
      <c r="LR136" s="31"/>
      <c r="LS136" s="31"/>
      <c r="LT136" s="31"/>
      <c r="LU136" s="31"/>
      <c r="LV136" s="31"/>
      <c r="LW136" s="31"/>
      <c r="LX136" s="31">
        <v>2710231</v>
      </c>
      <c r="LY136" s="31"/>
      <c r="LZ136" s="31"/>
      <c r="MA136" s="31"/>
      <c r="MB136" s="31"/>
      <c r="MC136" s="31"/>
      <c r="MD136" s="31"/>
      <c r="ME136" s="31">
        <v>2709832</v>
      </c>
      <c r="MF136" s="31"/>
      <c r="MG136" s="31"/>
      <c r="MH136" s="31"/>
      <c r="MI136" s="31"/>
      <c r="MJ136" s="31"/>
      <c r="MK136" s="31"/>
      <c r="ML136" s="31">
        <v>2705585.5</v>
      </c>
      <c r="MM136" s="31"/>
      <c r="MN136" s="31"/>
      <c r="MO136" s="31"/>
      <c r="MP136" s="31"/>
      <c r="MQ136" s="31"/>
      <c r="MR136" s="31"/>
      <c r="MS136" s="31">
        <v>2710854.1</v>
      </c>
      <c r="MT136" s="31"/>
      <c r="MU136" s="31"/>
      <c r="MV136" s="31"/>
      <c r="MW136" s="31"/>
      <c r="MX136" s="31"/>
      <c r="MY136" s="31"/>
      <c r="MZ136" s="31">
        <v>2719297.2</v>
      </c>
      <c r="NA136" s="31"/>
      <c r="NB136" s="31"/>
      <c r="NC136" s="31"/>
      <c r="ND136" s="31"/>
      <c r="NE136" s="31"/>
      <c r="NF136" s="31"/>
      <c r="NG136" s="31">
        <v>2710116.7</v>
      </c>
      <c r="NH136" s="31"/>
      <c r="NI136" s="31"/>
      <c r="NJ136" s="31"/>
      <c r="NK136" s="31"/>
      <c r="NL136" s="31"/>
      <c r="NM136" s="31"/>
      <c r="NN136" s="31">
        <v>2720989.4</v>
      </c>
      <c r="NO136" s="31"/>
      <c r="NP136" s="31"/>
      <c r="NQ136" s="31"/>
      <c r="NR136" s="31"/>
      <c r="NS136" s="31"/>
      <c r="NT136" s="31"/>
      <c r="NU136" s="31">
        <v>2728243.7</v>
      </c>
      <c r="NV136" s="31"/>
      <c r="NW136" s="31"/>
      <c r="NX136" s="31"/>
      <c r="NY136" s="31"/>
      <c r="NZ136" s="31"/>
      <c r="OA136" s="31"/>
      <c r="OB136" s="31">
        <v>2744374.8</v>
      </c>
      <c r="OC136" s="31"/>
      <c r="OD136" s="31"/>
      <c r="OE136" s="31"/>
      <c r="OF136" s="31"/>
      <c r="OG136" s="31"/>
      <c r="OH136" s="31"/>
      <c r="OI136" s="31">
        <v>2745300.4</v>
      </c>
      <c r="OJ136" s="31"/>
      <c r="OK136" s="31"/>
      <c r="OL136" s="31"/>
      <c r="OM136" s="31"/>
      <c r="ON136" s="31"/>
      <c r="OO136" s="31"/>
      <c r="OP136" s="31">
        <v>2772478.5</v>
      </c>
      <c r="OQ136" s="31"/>
      <c r="OR136" s="31"/>
      <c r="OS136" s="31"/>
      <c r="OT136" s="31"/>
      <c r="OU136" s="31"/>
      <c r="OV136" s="31"/>
      <c r="OW136" s="31">
        <v>2779847.8</v>
      </c>
      <c r="OX136" s="31"/>
      <c r="OY136" s="31"/>
      <c r="OZ136" s="31"/>
      <c r="PA136" s="31"/>
      <c r="PB136" s="31"/>
      <c r="PC136" s="31"/>
      <c r="PD136" s="31">
        <v>2786092.8</v>
      </c>
      <c r="PE136" s="31"/>
      <c r="PF136" s="31"/>
      <c r="PG136" s="31"/>
      <c r="PH136" s="31"/>
      <c r="PI136" s="31"/>
      <c r="PJ136" s="31"/>
      <c r="PK136" s="31">
        <v>2786944</v>
      </c>
      <c r="PL136" s="31"/>
      <c r="PM136" s="31"/>
      <c r="PN136" s="31"/>
      <c r="PO136" s="31"/>
      <c r="PP136" s="31"/>
      <c r="PQ136" s="31"/>
      <c r="PR136" s="31">
        <v>2812014.4</v>
      </c>
      <c r="PS136" s="31"/>
      <c r="PT136" s="31"/>
      <c r="PU136" s="31"/>
      <c r="PV136" s="31"/>
      <c r="PW136" s="31"/>
      <c r="PX136" s="31"/>
      <c r="PY136" s="31">
        <v>2816186</v>
      </c>
      <c r="PZ136" s="31"/>
      <c r="QA136" s="31"/>
      <c r="QB136" s="31"/>
      <c r="QC136" s="31"/>
      <c r="QD136" s="31"/>
      <c r="QE136" s="31"/>
      <c r="QF136" s="31">
        <v>2820282.3</v>
      </c>
      <c r="QG136" s="31"/>
      <c r="QH136" s="31"/>
      <c r="QI136" s="31"/>
      <c r="QJ136" s="31"/>
      <c r="QK136" s="31"/>
      <c r="QL136" s="31"/>
      <c r="QM136" s="31">
        <v>2822133.2</v>
      </c>
      <c r="QN136" s="31"/>
      <c r="QO136" s="31"/>
      <c r="QP136" s="31"/>
      <c r="QQ136" s="31"/>
      <c r="QR136" s="31"/>
      <c r="QS136" s="31"/>
      <c r="QT136" s="31">
        <v>2845803.7</v>
      </c>
      <c r="QU136" s="31"/>
      <c r="QV136" s="31"/>
      <c r="QW136" s="31"/>
      <c r="QX136" s="31"/>
      <c r="QY136" s="31"/>
      <c r="QZ136" s="31"/>
      <c r="RA136" s="31">
        <v>2851934.1</v>
      </c>
      <c r="RB136" s="31"/>
      <c r="RC136" s="31"/>
      <c r="RD136" s="31"/>
      <c r="RE136" s="31"/>
      <c r="RF136" s="31"/>
      <c r="RG136" s="31"/>
      <c r="RH136" s="31">
        <v>2856177.8</v>
      </c>
      <c r="RI136" s="31"/>
      <c r="RJ136" s="31"/>
      <c r="RK136" s="31"/>
      <c r="RL136" s="31"/>
      <c r="RM136" s="31"/>
      <c r="RN136" s="31"/>
      <c r="RO136" s="31">
        <v>2860601.5</v>
      </c>
      <c r="RP136" s="31"/>
      <c r="RQ136" s="31"/>
      <c r="RR136" s="31"/>
      <c r="RS136" s="31"/>
      <c r="RT136" s="31"/>
      <c r="RU136" s="31"/>
      <c r="RV136" s="31">
        <v>2871447.4</v>
      </c>
      <c r="RW136" s="31"/>
      <c r="RX136" s="31"/>
      <c r="RY136" s="31"/>
      <c r="RZ136" s="31"/>
      <c r="SA136" s="31"/>
      <c r="SB136" s="31"/>
      <c r="SC136" s="31">
        <v>2872765.9</v>
      </c>
      <c r="SD136" s="31"/>
      <c r="SE136" s="31"/>
      <c r="SF136" s="31"/>
      <c r="SG136" s="31"/>
      <c r="SH136" s="31"/>
      <c r="SI136" s="31"/>
      <c r="SJ136" s="31">
        <v>2880582.7</v>
      </c>
      <c r="SK136" s="31"/>
      <c r="SL136" s="31"/>
      <c r="SM136" s="31"/>
      <c r="SN136" s="31"/>
      <c r="SO136" s="31"/>
      <c r="SP136" s="31"/>
      <c r="SQ136" s="31">
        <v>2888022.7</v>
      </c>
      <c r="SR136" s="31"/>
      <c r="SS136" s="31"/>
      <c r="ST136" s="23"/>
      <c r="SU136" s="23"/>
      <c r="SV136" s="23"/>
      <c r="SW136" s="23"/>
      <c r="SX136" s="23">
        <v>2894246</v>
      </c>
      <c r="SY136" s="23"/>
      <c r="SZ136" s="23"/>
      <c r="TA136" s="23"/>
      <c r="TB136" s="23"/>
      <c r="TC136" s="23"/>
      <c r="TD136" s="23"/>
      <c r="TE136" s="23">
        <v>2896367.5</v>
      </c>
      <c r="TF136" s="23"/>
      <c r="TG136" s="23"/>
      <c r="TH136" s="23"/>
      <c r="TI136" s="23"/>
      <c r="TJ136" s="23"/>
      <c r="TK136" s="23"/>
      <c r="TL136" s="23">
        <v>2898460.4</v>
      </c>
      <c r="TM136" s="23"/>
      <c r="TN136" s="23"/>
      <c r="TO136" s="23"/>
      <c r="TP136" s="23"/>
      <c r="TQ136" s="23"/>
      <c r="TR136" s="23"/>
      <c r="TS136" s="23">
        <v>2894992</v>
      </c>
      <c r="TT136" s="23"/>
      <c r="TU136" s="23"/>
      <c r="TV136" s="23"/>
      <c r="TW136" s="23"/>
      <c r="TX136" s="23"/>
      <c r="TY136" s="23"/>
      <c r="TZ136" s="23">
        <v>2901015.8</v>
      </c>
      <c r="UA136" s="23"/>
      <c r="UB136" s="23"/>
      <c r="UC136" s="23"/>
      <c r="UD136" s="23"/>
      <c r="UE136" s="23"/>
      <c r="UF136" s="23"/>
      <c r="UG136" s="23"/>
      <c r="UH136" s="23"/>
      <c r="UI136" s="23"/>
      <c r="UJ136" s="23"/>
      <c r="UK136" s="23"/>
      <c r="UL136" s="23"/>
      <c r="UM136" s="23"/>
      <c r="UN136" s="23"/>
      <c r="UO136" s="23"/>
      <c r="UP136" s="23"/>
      <c r="UQ136" s="23"/>
      <c r="UR136" s="23"/>
      <c r="US136" s="23"/>
      <c r="UT136" s="23"/>
    </row>
    <row r="137" spans="4:566">
      <c r="D137" t="s">
        <v>377</v>
      </c>
      <c r="E137" t="s">
        <v>378</v>
      </c>
      <c r="F137" s="31">
        <v>605321.134</v>
      </c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  <c r="DI137" s="31"/>
      <c r="DJ137" s="31"/>
      <c r="DK137" s="31"/>
      <c r="DL137" s="31"/>
      <c r="DM137" s="31"/>
      <c r="DN137" s="31"/>
      <c r="DO137" s="31"/>
      <c r="DP137" s="31"/>
      <c r="DQ137" s="31"/>
      <c r="DR137" s="31"/>
      <c r="DS137" s="31"/>
      <c r="DT137" s="31"/>
      <c r="DU137" s="31"/>
      <c r="DV137" s="31"/>
      <c r="DW137" s="31"/>
      <c r="DX137" s="31"/>
      <c r="DY137" s="31"/>
      <c r="DZ137" s="31"/>
      <c r="EA137" s="31"/>
      <c r="EB137" s="31"/>
      <c r="EC137" s="31"/>
      <c r="ED137" s="31"/>
      <c r="EE137" s="31"/>
      <c r="EF137" s="31"/>
      <c r="EG137" s="31"/>
      <c r="EH137" s="31"/>
      <c r="EI137" s="31"/>
      <c r="EJ137" s="31"/>
      <c r="EK137" s="31"/>
      <c r="EL137" s="31"/>
      <c r="EM137" s="31"/>
      <c r="EN137" s="31"/>
      <c r="EO137" s="31"/>
      <c r="EP137" s="31"/>
      <c r="EQ137" s="31"/>
      <c r="ER137" s="31"/>
      <c r="ES137" s="31"/>
      <c r="ET137" s="31"/>
      <c r="EU137" s="31"/>
      <c r="EV137" s="31"/>
      <c r="EW137" s="31"/>
      <c r="EX137" s="31"/>
      <c r="EY137" s="31"/>
      <c r="EZ137" s="31"/>
      <c r="FA137" s="31"/>
      <c r="FB137" s="31"/>
      <c r="FC137" s="31"/>
      <c r="FD137" s="31"/>
      <c r="FE137" s="31"/>
      <c r="FF137" s="31"/>
      <c r="FG137" s="31"/>
      <c r="FH137" s="31"/>
      <c r="FI137" s="31"/>
      <c r="FJ137" s="31"/>
      <c r="FK137" s="31"/>
      <c r="FL137" s="31"/>
      <c r="FM137" s="31"/>
      <c r="FN137" s="31"/>
      <c r="FO137" s="31"/>
      <c r="FP137" s="31"/>
      <c r="FQ137" s="31"/>
      <c r="FR137" s="31"/>
      <c r="FS137" s="31"/>
      <c r="FT137" s="31"/>
      <c r="FU137" s="31"/>
      <c r="FV137" s="31"/>
      <c r="FW137" s="31"/>
      <c r="FX137" s="31"/>
      <c r="FY137" s="31"/>
      <c r="FZ137" s="31"/>
      <c r="GA137" s="31"/>
      <c r="GB137" s="31"/>
      <c r="GC137" s="31"/>
      <c r="GD137" s="31"/>
      <c r="GE137" s="31"/>
      <c r="GF137" s="31"/>
      <c r="GG137" s="31"/>
      <c r="GH137" s="31"/>
      <c r="GI137" s="31"/>
      <c r="GJ137" s="31"/>
      <c r="GK137" s="31"/>
      <c r="GL137" s="31"/>
      <c r="GM137" s="31"/>
      <c r="GN137" s="31"/>
      <c r="GO137" s="31"/>
      <c r="GP137" s="31"/>
      <c r="GQ137" s="31"/>
      <c r="GR137" s="31"/>
      <c r="GS137" s="31"/>
      <c r="GT137" s="31"/>
      <c r="GU137" s="31"/>
      <c r="GV137" s="31"/>
      <c r="GW137" s="31"/>
      <c r="GX137" s="31"/>
      <c r="GY137" s="31"/>
      <c r="GZ137" s="31"/>
      <c r="HA137" s="31"/>
      <c r="HB137" s="31"/>
      <c r="HC137" s="31"/>
      <c r="HD137" s="31"/>
      <c r="HE137" s="31"/>
      <c r="HF137" s="31"/>
      <c r="HG137" s="31"/>
      <c r="HH137" s="31"/>
      <c r="HI137" s="31"/>
      <c r="HJ137" s="31"/>
      <c r="HK137" s="31"/>
      <c r="HL137" s="31"/>
      <c r="HM137" s="31"/>
      <c r="HN137" s="31"/>
      <c r="HO137" s="31"/>
      <c r="HP137" s="31"/>
      <c r="HQ137" s="31"/>
      <c r="HR137" s="31"/>
      <c r="HS137" s="31"/>
      <c r="HT137" s="31"/>
      <c r="HU137" s="31"/>
      <c r="HV137" s="31"/>
      <c r="HW137" s="31"/>
      <c r="HX137" s="31"/>
      <c r="HY137" s="31"/>
      <c r="HZ137" s="31"/>
      <c r="IA137" s="31"/>
      <c r="IB137" s="31"/>
      <c r="IC137" s="31"/>
      <c r="ID137" s="31"/>
      <c r="IE137" s="31"/>
      <c r="IF137" s="31"/>
      <c r="IG137" s="31"/>
      <c r="IH137" s="31"/>
      <c r="II137" s="31"/>
      <c r="IJ137" s="31"/>
      <c r="IK137" s="31"/>
      <c r="IL137" s="31"/>
      <c r="IM137" s="31"/>
      <c r="IN137" s="31"/>
      <c r="IO137" s="31"/>
      <c r="IP137" s="31"/>
      <c r="IQ137" s="31"/>
      <c r="IR137" s="31"/>
      <c r="IS137" s="31"/>
      <c r="IT137" s="31"/>
      <c r="IU137" s="31"/>
      <c r="IV137" s="31"/>
      <c r="IW137" s="31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  <c r="JH137" s="31"/>
      <c r="JI137" s="31"/>
      <c r="JJ137" s="31"/>
      <c r="JK137" s="31"/>
      <c r="JL137" s="31"/>
      <c r="JM137" s="31"/>
      <c r="JN137" s="31"/>
      <c r="JO137" s="31"/>
      <c r="JP137" s="31"/>
      <c r="JQ137" s="31"/>
      <c r="JR137" s="31"/>
      <c r="JS137" s="31"/>
      <c r="JT137" s="31"/>
      <c r="JU137" s="31"/>
      <c r="JV137" s="31"/>
      <c r="JW137" s="31"/>
      <c r="JX137" s="31"/>
      <c r="JY137" s="31"/>
      <c r="JZ137" s="31"/>
      <c r="KA137" s="31"/>
      <c r="KB137" s="31"/>
      <c r="KC137" s="31"/>
      <c r="KD137" s="31"/>
      <c r="KE137" s="31"/>
      <c r="KF137" s="31"/>
      <c r="KG137" s="31"/>
      <c r="KH137" s="31"/>
      <c r="KI137" s="31"/>
      <c r="KJ137" s="31"/>
      <c r="KK137" s="31"/>
      <c r="KL137" s="31"/>
      <c r="KM137" s="31"/>
      <c r="KN137" s="31"/>
      <c r="KO137" s="31"/>
      <c r="KP137" s="31"/>
      <c r="KQ137" s="31"/>
      <c r="KR137" s="31"/>
      <c r="KS137" s="31"/>
      <c r="KT137" s="31"/>
      <c r="KU137" s="31"/>
      <c r="KV137" s="31"/>
      <c r="KW137" s="31"/>
      <c r="KX137" s="31"/>
      <c r="KY137" s="31"/>
      <c r="KZ137" s="31"/>
      <c r="LA137" s="31"/>
      <c r="LB137" s="31"/>
      <c r="LC137" s="31"/>
      <c r="LD137" s="31"/>
      <c r="LE137" s="31"/>
      <c r="LF137" s="31"/>
      <c r="LG137" s="31"/>
      <c r="LH137" s="31"/>
      <c r="LI137" s="31"/>
      <c r="LJ137" s="31"/>
      <c r="LK137" s="31"/>
      <c r="LL137" s="31"/>
      <c r="LM137" s="31"/>
      <c r="LN137" s="31"/>
      <c r="LO137" s="31"/>
      <c r="LP137" s="31"/>
      <c r="LQ137" s="31"/>
      <c r="LR137" s="31"/>
      <c r="LS137" s="31"/>
      <c r="LT137" s="31"/>
      <c r="LU137" s="31"/>
      <c r="LV137" s="31"/>
      <c r="LW137" s="31"/>
      <c r="LX137" s="31"/>
      <c r="LY137" s="31"/>
      <c r="LZ137" s="31"/>
      <c r="MA137" s="31"/>
      <c r="MB137" s="31"/>
      <c r="MC137" s="31"/>
      <c r="MD137" s="31"/>
      <c r="ME137" s="31"/>
      <c r="MF137" s="31"/>
      <c r="MG137" s="31"/>
      <c r="MH137" s="31"/>
      <c r="MI137" s="31"/>
      <c r="MJ137" s="31"/>
      <c r="MK137" s="31"/>
      <c r="ML137" s="31"/>
      <c r="MM137" s="31"/>
      <c r="MN137" s="31"/>
      <c r="MO137" s="31"/>
      <c r="MP137" s="31"/>
      <c r="MQ137" s="31"/>
      <c r="MR137" s="31"/>
      <c r="MS137" s="31"/>
      <c r="MT137" s="31"/>
      <c r="MU137" s="31"/>
      <c r="MV137" s="31"/>
      <c r="MW137" s="31"/>
      <c r="MX137" s="31"/>
      <c r="MY137" s="31"/>
      <c r="MZ137" s="31"/>
      <c r="NA137" s="31"/>
      <c r="NB137" s="31"/>
      <c r="NC137" s="31"/>
      <c r="ND137" s="31"/>
      <c r="NE137" s="31"/>
      <c r="NF137" s="31"/>
      <c r="NG137" s="31"/>
      <c r="NH137" s="31"/>
      <c r="NI137" s="31"/>
      <c r="NJ137" s="31"/>
      <c r="NK137" s="31"/>
      <c r="NL137" s="31"/>
      <c r="NM137" s="31"/>
      <c r="NN137" s="31"/>
      <c r="NO137" s="31"/>
      <c r="NP137" s="31"/>
      <c r="NQ137" s="31"/>
      <c r="NR137" s="31"/>
      <c r="NS137" s="31"/>
      <c r="NT137" s="31"/>
      <c r="NU137" s="31"/>
      <c r="NV137" s="31"/>
      <c r="NW137" s="31"/>
      <c r="NX137" s="31"/>
      <c r="NY137" s="31"/>
      <c r="NZ137" s="31"/>
      <c r="OA137" s="31"/>
      <c r="OB137" s="31"/>
      <c r="OC137" s="31"/>
      <c r="OD137" s="31"/>
      <c r="OE137" s="31"/>
      <c r="OF137" s="31"/>
      <c r="OG137" s="31"/>
      <c r="OH137" s="31"/>
      <c r="OI137" s="31"/>
      <c r="OJ137" s="31"/>
      <c r="OK137" s="31"/>
      <c r="OL137" s="31"/>
      <c r="OM137" s="31"/>
      <c r="ON137" s="31"/>
      <c r="OO137" s="31"/>
      <c r="OP137" s="31"/>
      <c r="OQ137" s="31"/>
      <c r="OR137" s="31"/>
      <c r="OS137" s="31"/>
      <c r="OT137" s="31"/>
      <c r="OU137" s="31"/>
      <c r="OV137" s="31"/>
      <c r="OW137" s="31"/>
      <c r="OX137" s="31"/>
      <c r="OY137" s="31"/>
      <c r="OZ137" s="31"/>
      <c r="PA137" s="31"/>
      <c r="PB137" s="31"/>
      <c r="PC137" s="31"/>
      <c r="PD137" s="31"/>
      <c r="PE137" s="31"/>
      <c r="PF137" s="31"/>
      <c r="PG137" s="31"/>
      <c r="PH137" s="31"/>
      <c r="PI137" s="31"/>
      <c r="PJ137" s="31"/>
      <c r="PK137" s="31"/>
      <c r="PL137" s="31"/>
      <c r="PM137" s="31"/>
      <c r="PN137" s="31"/>
      <c r="PO137" s="31"/>
      <c r="PP137" s="31"/>
      <c r="PQ137" s="31"/>
      <c r="PR137" s="31"/>
      <c r="PS137" s="31"/>
      <c r="PT137" s="31"/>
      <c r="PU137" s="31"/>
      <c r="PV137" s="31"/>
      <c r="PW137" s="31"/>
      <c r="PX137" s="31"/>
      <c r="PY137" s="31"/>
      <c r="PZ137" s="31"/>
      <c r="QA137" s="31"/>
      <c r="QB137" s="31"/>
      <c r="QC137" s="31"/>
      <c r="QD137" s="31"/>
      <c r="QE137" s="31"/>
      <c r="QF137" s="31"/>
      <c r="QG137" s="31"/>
      <c r="QH137" s="31"/>
      <c r="QI137" s="31"/>
      <c r="QJ137" s="31"/>
      <c r="QK137" s="31"/>
      <c r="QL137" s="31"/>
      <c r="QM137" s="31"/>
      <c r="QN137" s="31"/>
      <c r="QO137" s="31"/>
      <c r="QP137" s="31"/>
      <c r="QQ137" s="31"/>
      <c r="QR137" s="31"/>
      <c r="QS137" s="31"/>
      <c r="QT137" s="31"/>
      <c r="QU137" s="31"/>
      <c r="QV137" s="31"/>
      <c r="QW137" s="31"/>
      <c r="QX137" s="31"/>
      <c r="QY137" s="31"/>
      <c r="QZ137" s="31"/>
      <c r="RA137" s="31"/>
      <c r="RB137" s="31"/>
      <c r="RC137" s="31"/>
      <c r="RD137" s="31"/>
      <c r="RE137" s="31"/>
      <c r="RF137" s="31"/>
      <c r="RG137" s="31"/>
      <c r="RH137" s="31"/>
      <c r="RI137" s="31"/>
      <c r="RJ137" s="31"/>
      <c r="RK137" s="31"/>
      <c r="RL137" s="31"/>
      <c r="RM137" s="31"/>
      <c r="RN137" s="31"/>
      <c r="RO137" s="31"/>
      <c r="RP137" s="31"/>
      <c r="RQ137" s="31"/>
      <c r="RR137" s="31"/>
      <c r="RS137" s="31"/>
      <c r="RT137" s="31"/>
      <c r="RU137" s="31"/>
      <c r="RV137" s="31"/>
      <c r="RW137" s="31"/>
      <c r="RX137" s="31"/>
      <c r="RY137" s="31"/>
      <c r="RZ137" s="31"/>
      <c r="SA137" s="31"/>
      <c r="SB137" s="31"/>
      <c r="SC137" s="31"/>
      <c r="SD137" s="31"/>
      <c r="SE137" s="31"/>
      <c r="SF137" s="31"/>
      <c r="SG137" s="31"/>
      <c r="SH137" s="31"/>
      <c r="SI137" s="31"/>
      <c r="SJ137" s="31"/>
      <c r="SK137" s="31"/>
      <c r="SL137" s="31"/>
      <c r="SM137" s="31"/>
      <c r="SN137" s="31"/>
      <c r="SO137" s="31"/>
      <c r="SP137" s="31"/>
      <c r="SQ137" s="31"/>
      <c r="SR137" s="31"/>
      <c r="SS137" s="31"/>
      <c r="ST137" s="23"/>
      <c r="SU137" s="23"/>
      <c r="SV137" s="23"/>
      <c r="SW137" s="23"/>
      <c r="SX137" s="23"/>
      <c r="SY137" s="23"/>
      <c r="SZ137" s="23"/>
      <c r="TA137" s="23"/>
      <c r="TB137" s="23"/>
      <c r="TC137" s="23"/>
      <c r="TD137" s="23"/>
      <c r="TE137" s="23"/>
      <c r="TF137" s="23"/>
      <c r="TG137" s="23"/>
      <c r="TH137" s="23"/>
      <c r="TI137" s="23"/>
      <c r="TJ137" s="23"/>
      <c r="TK137" s="23"/>
      <c r="TL137" s="23"/>
      <c r="TM137" s="23"/>
      <c r="TN137" s="23"/>
      <c r="TO137" s="23"/>
      <c r="TP137" s="23"/>
      <c r="TQ137" s="23"/>
      <c r="TR137" s="23"/>
      <c r="TS137" s="23"/>
      <c r="TT137" s="23"/>
      <c r="TU137" s="23"/>
      <c r="TV137" s="23"/>
      <c r="TW137" s="23"/>
      <c r="TX137" s="23"/>
      <c r="TY137" s="23"/>
      <c r="TZ137" s="23"/>
      <c r="UA137" s="23"/>
      <c r="UB137" s="23"/>
      <c r="UC137" s="23"/>
      <c r="UD137" s="23"/>
      <c r="UE137" s="23"/>
      <c r="UF137" s="23"/>
      <c r="UG137" s="23"/>
      <c r="UH137" s="23"/>
      <c r="UI137" s="23"/>
      <c r="UJ137" s="23"/>
      <c r="UK137" s="23"/>
      <c r="UL137" s="23"/>
      <c r="UM137" s="23"/>
      <c r="UN137" s="23"/>
      <c r="UO137" s="23"/>
      <c r="UP137" s="23"/>
      <c r="UQ137" s="23"/>
      <c r="UR137" s="23"/>
      <c r="US137" s="23"/>
      <c r="UT137" s="23"/>
    </row>
    <row r="138" spans="4:566">
      <c r="D138" t="s">
        <v>379</v>
      </c>
      <c r="E138" t="s">
        <v>380</v>
      </c>
      <c r="F138" s="31"/>
      <c r="G138" s="31">
        <v>1813720.7</v>
      </c>
      <c r="H138" s="31"/>
      <c r="I138" s="31"/>
      <c r="J138" s="31"/>
      <c r="K138" s="31"/>
      <c r="L138" s="31"/>
      <c r="M138" s="31"/>
      <c r="N138" s="31">
        <v>1813524.2</v>
      </c>
      <c r="O138" s="31"/>
      <c r="P138" s="31"/>
      <c r="Q138" s="31"/>
      <c r="R138" s="31"/>
      <c r="S138" s="31"/>
      <c r="T138" s="31"/>
      <c r="U138" s="31">
        <v>1812505.7</v>
      </c>
      <c r="V138" s="31"/>
      <c r="W138" s="31"/>
      <c r="X138" s="31"/>
      <c r="Y138" s="31"/>
      <c r="Z138" s="31"/>
      <c r="AA138" s="31"/>
      <c r="AB138" s="31">
        <v>1815858.7</v>
      </c>
      <c r="AC138" s="31"/>
      <c r="AD138" s="31"/>
      <c r="AE138" s="31"/>
      <c r="AF138" s="31"/>
      <c r="AG138" s="31"/>
      <c r="AH138" s="31"/>
      <c r="AI138" s="31">
        <v>1821751.3</v>
      </c>
      <c r="AJ138" s="31"/>
      <c r="AK138" s="31"/>
      <c r="AL138" s="31"/>
      <c r="AM138" s="31"/>
      <c r="AN138" s="31"/>
      <c r="AO138" s="31"/>
      <c r="AP138" s="31">
        <v>1819953.6</v>
      </c>
      <c r="AQ138" s="31"/>
      <c r="AR138" s="31"/>
      <c r="AS138" s="31"/>
      <c r="AT138" s="31"/>
      <c r="AU138" s="31"/>
      <c r="AV138" s="31"/>
      <c r="AW138" s="31">
        <v>1818562.6</v>
      </c>
      <c r="AX138" s="31"/>
      <c r="AY138" s="31"/>
      <c r="AZ138" s="31"/>
      <c r="BA138" s="31"/>
      <c r="BB138" s="31"/>
      <c r="BC138" s="31"/>
      <c r="BD138" s="31">
        <v>1820748.3</v>
      </c>
      <c r="BE138" s="31"/>
      <c r="BF138" s="31"/>
      <c r="BG138" s="31"/>
      <c r="BH138" s="31"/>
      <c r="BI138" s="31"/>
      <c r="BJ138" s="31"/>
      <c r="BK138" s="31">
        <v>1822965.9</v>
      </c>
      <c r="BL138" s="31"/>
      <c r="BM138" s="31"/>
      <c r="BN138" s="31"/>
      <c r="BO138" s="31"/>
      <c r="BP138" s="31"/>
      <c r="BQ138" s="31"/>
      <c r="BR138" s="31">
        <v>1820432.3</v>
      </c>
      <c r="BS138" s="31"/>
      <c r="BT138" s="31"/>
      <c r="BU138" s="31"/>
      <c r="BV138" s="31"/>
      <c r="BW138" s="31"/>
      <c r="BX138" s="31"/>
      <c r="BY138" s="31">
        <v>1822356.4</v>
      </c>
      <c r="BZ138" s="31"/>
      <c r="CA138" s="31"/>
      <c r="CB138" s="31"/>
      <c r="CC138" s="31"/>
      <c r="CD138" s="31"/>
      <c r="CE138" s="31"/>
      <c r="CF138" s="31">
        <v>1825007.2</v>
      </c>
      <c r="CG138" s="31"/>
      <c r="CH138" s="31"/>
      <c r="CI138" s="31"/>
      <c r="CJ138" s="31"/>
      <c r="CK138" s="31"/>
      <c r="CL138" s="31"/>
      <c r="CM138" s="31">
        <v>1826881.2</v>
      </c>
      <c r="CN138" s="31"/>
      <c r="CO138" s="31"/>
      <c r="CP138" s="31"/>
      <c r="CQ138" s="31"/>
      <c r="CR138" s="31"/>
      <c r="CS138" s="31"/>
      <c r="CT138" s="31">
        <v>1813260.7</v>
      </c>
      <c r="CU138" s="31"/>
      <c r="CV138" s="31"/>
      <c r="CW138" s="31"/>
      <c r="CX138" s="31"/>
      <c r="CY138" s="31"/>
      <c r="CZ138" s="31"/>
      <c r="DA138" s="31">
        <v>1816889.2</v>
      </c>
      <c r="DB138" s="31"/>
      <c r="DC138" s="31"/>
      <c r="DD138" s="31"/>
      <c r="DE138" s="31"/>
      <c r="DF138" s="31"/>
      <c r="DG138" s="31"/>
      <c r="DH138" s="31">
        <v>1819278.4</v>
      </c>
      <c r="DI138" s="31"/>
      <c r="DJ138" s="31"/>
      <c r="DK138" s="31"/>
      <c r="DL138" s="31"/>
      <c r="DM138" s="31"/>
      <c r="DN138" s="31"/>
      <c r="DO138" s="31">
        <v>1820442.8</v>
      </c>
      <c r="DP138" s="31"/>
      <c r="DQ138" s="31"/>
      <c r="DR138" s="31"/>
      <c r="DS138" s="31"/>
      <c r="DT138" s="31"/>
      <c r="DU138" s="31"/>
      <c r="DV138" s="31">
        <v>1821776.7</v>
      </c>
      <c r="DW138" s="31"/>
      <c r="DX138" s="31"/>
      <c r="DY138" s="31"/>
      <c r="DZ138" s="31"/>
      <c r="EA138" s="31"/>
      <c r="EB138" s="31"/>
      <c r="EC138" s="31">
        <v>1825811.5</v>
      </c>
      <c r="ED138" s="31"/>
      <c r="EE138" s="31"/>
      <c r="EF138" s="31"/>
      <c r="EG138" s="31"/>
      <c r="EH138" s="31"/>
      <c r="EI138" s="31"/>
      <c r="EJ138" s="31">
        <v>1826453.2</v>
      </c>
      <c r="EK138" s="31"/>
      <c r="EL138" s="31"/>
      <c r="EM138" s="31"/>
      <c r="EN138" s="31"/>
      <c r="EO138" s="31"/>
      <c r="EP138" s="31"/>
      <c r="EQ138" s="31">
        <v>1827946.8</v>
      </c>
      <c r="ER138" s="31"/>
      <c r="ES138" s="31"/>
      <c r="ET138" s="31"/>
      <c r="EU138" s="31"/>
      <c r="EV138" s="31"/>
      <c r="EW138" s="31"/>
      <c r="EX138" s="31">
        <v>1826010.5</v>
      </c>
      <c r="EY138" s="31"/>
      <c r="EZ138" s="31"/>
      <c r="FA138" s="31"/>
      <c r="FB138" s="31"/>
      <c r="FC138" s="31"/>
      <c r="FD138" s="31"/>
      <c r="FE138" s="31">
        <v>1828711.9</v>
      </c>
      <c r="FF138" s="31"/>
      <c r="FG138" s="31"/>
      <c r="FH138" s="31"/>
      <c r="FI138" s="31"/>
      <c r="FJ138" s="31"/>
      <c r="FK138" s="31"/>
      <c r="FL138" s="31">
        <v>1830426.3</v>
      </c>
      <c r="FM138" s="31"/>
      <c r="FN138" s="31"/>
      <c r="FO138" s="31"/>
      <c r="FP138" s="31"/>
      <c r="FQ138" s="31"/>
      <c r="FR138" s="31"/>
      <c r="FS138" s="31">
        <v>1830490.2</v>
      </c>
      <c r="FT138" s="31"/>
      <c r="FU138" s="31"/>
      <c r="FV138" s="31"/>
      <c r="FW138" s="31"/>
      <c r="FX138" s="31"/>
      <c r="FY138" s="31"/>
      <c r="FZ138" s="31">
        <v>1831466.5</v>
      </c>
      <c r="GA138" s="31"/>
      <c r="GB138" s="31"/>
      <c r="GC138" s="31"/>
      <c r="GD138" s="31"/>
      <c r="GE138" s="31"/>
      <c r="GF138" s="31"/>
      <c r="GG138" s="31">
        <v>1816385.3</v>
      </c>
      <c r="GH138" s="31"/>
      <c r="GI138" s="31"/>
      <c r="GJ138" s="31"/>
      <c r="GK138" s="31"/>
      <c r="GL138" s="31"/>
      <c r="GM138" s="31"/>
      <c r="GN138" s="31">
        <v>1820852.9</v>
      </c>
      <c r="GO138" s="31"/>
      <c r="GP138" s="31"/>
      <c r="GQ138" s="31"/>
      <c r="GR138" s="31"/>
      <c r="GS138" s="31"/>
      <c r="GT138" s="31"/>
      <c r="GU138" s="31">
        <v>1821714.4</v>
      </c>
      <c r="GV138" s="31"/>
      <c r="GW138" s="31"/>
      <c r="GX138" s="31"/>
      <c r="GY138" s="31"/>
      <c r="GZ138" s="31"/>
      <c r="HA138" s="31"/>
      <c r="HB138" s="31">
        <v>1822643.4</v>
      </c>
      <c r="HC138" s="31"/>
      <c r="HD138" s="31"/>
      <c r="HE138" s="31"/>
      <c r="HF138" s="31"/>
      <c r="HG138" s="31"/>
      <c r="HH138" s="31"/>
      <c r="HI138" s="31">
        <v>1828351.6</v>
      </c>
      <c r="HJ138" s="31"/>
      <c r="HK138" s="31"/>
      <c r="HL138" s="31"/>
      <c r="HM138" s="31"/>
      <c r="HN138" s="31"/>
      <c r="HO138" s="31"/>
      <c r="HP138" s="31">
        <v>1825618.6</v>
      </c>
      <c r="HQ138" s="31"/>
      <c r="HR138" s="31"/>
      <c r="HS138" s="31"/>
      <c r="HT138" s="31"/>
      <c r="HU138" s="31"/>
      <c r="HV138" s="31"/>
      <c r="HW138" s="31">
        <v>1827899.2</v>
      </c>
      <c r="HX138" s="31"/>
      <c r="HY138" s="31"/>
      <c r="HZ138" s="31"/>
      <c r="IA138" s="31"/>
      <c r="IB138" s="31"/>
      <c r="IC138" s="31"/>
      <c r="ID138" s="31">
        <v>1829810.7</v>
      </c>
      <c r="IE138" s="31"/>
      <c r="IF138" s="31"/>
      <c r="IG138" s="31"/>
      <c r="IH138" s="31"/>
      <c r="II138" s="31"/>
      <c r="IJ138" s="31"/>
      <c r="IK138" s="31">
        <v>1829419.6</v>
      </c>
      <c r="IL138" s="31"/>
      <c r="IM138" s="31"/>
      <c r="IN138" s="31"/>
      <c r="IO138" s="31"/>
      <c r="IP138" s="31"/>
      <c r="IQ138" s="31"/>
      <c r="IR138" s="31">
        <v>1829652.5</v>
      </c>
      <c r="IS138" s="31"/>
      <c r="IT138" s="31"/>
      <c r="IU138" s="31"/>
      <c r="IV138" s="31"/>
      <c r="IW138" s="31"/>
      <c r="IX138" s="31"/>
      <c r="IY138" s="31">
        <v>1833028.4</v>
      </c>
      <c r="IZ138" s="31"/>
      <c r="JA138" s="31"/>
      <c r="JB138" s="31"/>
      <c r="JC138" s="31"/>
      <c r="JD138" s="31"/>
      <c r="JE138" s="31"/>
      <c r="JF138" s="31">
        <v>1837895.3</v>
      </c>
      <c r="JG138" s="31"/>
      <c r="JH138" s="31"/>
      <c r="JI138" s="31"/>
      <c r="JJ138" s="31"/>
      <c r="JK138" s="31"/>
      <c r="JL138" s="31"/>
      <c r="JM138" s="31">
        <v>1838278.3</v>
      </c>
      <c r="JN138" s="31"/>
      <c r="JO138" s="31"/>
      <c r="JP138" s="31"/>
      <c r="JQ138" s="31"/>
      <c r="JR138" s="31"/>
      <c r="JS138" s="31"/>
      <c r="JT138" s="31">
        <v>1838383.7</v>
      </c>
      <c r="JU138" s="31"/>
      <c r="JV138" s="31"/>
      <c r="JW138" s="31"/>
      <c r="JX138" s="31"/>
      <c r="JY138" s="31"/>
      <c r="JZ138" s="31"/>
      <c r="KA138" s="31">
        <v>1843357.2</v>
      </c>
      <c r="KB138" s="31"/>
      <c r="KC138" s="31"/>
      <c r="KD138" s="31"/>
      <c r="KE138" s="31"/>
      <c r="KF138" s="31"/>
      <c r="KG138" s="31"/>
      <c r="KH138" s="31">
        <v>1843908.5</v>
      </c>
      <c r="KI138" s="31"/>
      <c r="KJ138" s="31"/>
      <c r="KK138" s="31"/>
      <c r="KL138" s="31"/>
      <c r="KM138" s="31"/>
      <c r="KN138" s="31"/>
      <c r="KO138" s="31">
        <v>1844614.9</v>
      </c>
      <c r="KP138" s="31"/>
      <c r="KQ138" s="31"/>
      <c r="KR138" s="31"/>
      <c r="KS138" s="31"/>
      <c r="KT138" s="31"/>
      <c r="KU138" s="31"/>
      <c r="KV138" s="31">
        <v>1846380.8</v>
      </c>
      <c r="KW138" s="31"/>
      <c r="KX138" s="31"/>
      <c r="KY138" s="31"/>
      <c r="KZ138" s="31"/>
      <c r="LA138" s="31"/>
      <c r="LB138" s="31"/>
      <c r="LC138" s="31">
        <v>1848128</v>
      </c>
      <c r="LD138" s="31"/>
      <c r="LE138" s="31"/>
      <c r="LF138" s="31"/>
      <c r="LG138" s="31"/>
      <c r="LH138" s="31"/>
      <c r="LI138" s="31"/>
      <c r="LJ138" s="31">
        <v>1851968.8</v>
      </c>
      <c r="LK138" s="31"/>
      <c r="LL138" s="31"/>
      <c r="LM138" s="31"/>
      <c r="LN138" s="31"/>
      <c r="LO138" s="31"/>
      <c r="LP138" s="31"/>
      <c r="LQ138" s="31">
        <v>1854190.4</v>
      </c>
      <c r="LR138" s="31"/>
      <c r="LS138" s="31"/>
      <c r="LT138" s="31"/>
      <c r="LU138" s="31"/>
      <c r="LV138" s="31"/>
      <c r="LW138" s="31"/>
      <c r="LX138" s="31">
        <v>1851892.7</v>
      </c>
      <c r="LY138" s="31"/>
      <c r="LZ138" s="31"/>
      <c r="MA138" s="31"/>
      <c r="MB138" s="31"/>
      <c r="MC138" s="31"/>
      <c r="MD138" s="31"/>
      <c r="ME138" s="31">
        <v>1854645</v>
      </c>
      <c r="MF138" s="31"/>
      <c r="MG138" s="31"/>
      <c r="MH138" s="31"/>
      <c r="MI138" s="31"/>
      <c r="MJ138" s="31"/>
      <c r="MK138" s="31"/>
      <c r="ML138" s="31">
        <v>1859088.8</v>
      </c>
      <c r="MM138" s="31"/>
      <c r="MN138" s="31"/>
      <c r="MO138" s="31"/>
      <c r="MP138" s="31"/>
      <c r="MQ138" s="31"/>
      <c r="MR138" s="31"/>
      <c r="MS138" s="31">
        <v>1861347.7</v>
      </c>
      <c r="MT138" s="31"/>
      <c r="MU138" s="31"/>
      <c r="MV138" s="31"/>
      <c r="MW138" s="31"/>
      <c r="MX138" s="31"/>
      <c r="MY138" s="31"/>
      <c r="MZ138" s="31">
        <v>1862967.5</v>
      </c>
      <c r="NA138" s="31"/>
      <c r="NB138" s="31"/>
      <c r="NC138" s="31"/>
      <c r="ND138" s="31"/>
      <c r="NE138" s="31"/>
      <c r="NF138" s="31"/>
      <c r="NG138" s="31">
        <v>1861311.8</v>
      </c>
      <c r="NH138" s="31"/>
      <c r="NI138" s="31"/>
      <c r="NJ138" s="31"/>
      <c r="NK138" s="31"/>
      <c r="NL138" s="31"/>
      <c r="NM138" s="31"/>
      <c r="NN138" s="31">
        <v>1867015.7</v>
      </c>
      <c r="NO138" s="31"/>
      <c r="NP138" s="31"/>
      <c r="NQ138" s="31"/>
      <c r="NR138" s="31"/>
      <c r="NS138" s="31"/>
      <c r="NT138" s="31"/>
      <c r="NU138" s="31">
        <v>1867713.4</v>
      </c>
      <c r="NV138" s="31"/>
      <c r="NW138" s="31"/>
      <c r="NX138" s="31"/>
      <c r="NY138" s="31"/>
      <c r="NZ138" s="31"/>
      <c r="OA138" s="31"/>
      <c r="OB138" s="31">
        <v>1869089.5</v>
      </c>
      <c r="OC138" s="31"/>
      <c r="OD138" s="31"/>
      <c r="OE138" s="31"/>
      <c r="OF138" s="31"/>
      <c r="OG138" s="31"/>
      <c r="OH138" s="31"/>
      <c r="OI138" s="31">
        <v>1867120.3</v>
      </c>
      <c r="OJ138" s="31"/>
      <c r="OK138" s="31"/>
      <c r="OL138" s="31"/>
      <c r="OM138" s="31"/>
      <c r="ON138" s="31"/>
      <c r="OO138" s="31"/>
      <c r="OP138" s="31">
        <v>1868962.5</v>
      </c>
      <c r="OQ138" s="31"/>
      <c r="OR138" s="31"/>
      <c r="OS138" s="31"/>
      <c r="OT138" s="31"/>
      <c r="OU138" s="31"/>
      <c r="OV138" s="31"/>
      <c r="OW138" s="31">
        <v>1871316</v>
      </c>
      <c r="OX138" s="31"/>
      <c r="OY138" s="31"/>
      <c r="OZ138" s="31"/>
      <c r="PA138" s="31"/>
      <c r="PB138" s="31"/>
      <c r="PC138" s="31"/>
      <c r="PD138" s="31">
        <v>1874010.5</v>
      </c>
      <c r="PE138" s="31"/>
      <c r="PF138" s="31"/>
      <c r="PG138" s="31"/>
      <c r="PH138" s="31"/>
      <c r="PI138" s="31"/>
      <c r="PJ138" s="31"/>
      <c r="PK138" s="31">
        <v>1873994.5</v>
      </c>
      <c r="PL138" s="31"/>
      <c r="PM138" s="31"/>
      <c r="PN138" s="31"/>
      <c r="PO138" s="31"/>
      <c r="PP138" s="31"/>
      <c r="PQ138" s="31"/>
      <c r="PR138" s="31">
        <v>1875782.8</v>
      </c>
      <c r="PS138" s="31"/>
      <c r="PT138" s="31"/>
      <c r="PU138" s="31"/>
      <c r="PV138" s="31"/>
      <c r="PW138" s="31"/>
      <c r="PX138" s="31"/>
      <c r="PY138" s="31">
        <v>1879585.6</v>
      </c>
      <c r="PZ138" s="31"/>
      <c r="QA138" s="31"/>
      <c r="QB138" s="31"/>
      <c r="QC138" s="31"/>
      <c r="QD138" s="31"/>
      <c r="QE138" s="31"/>
      <c r="QF138" s="31">
        <v>1884250.9</v>
      </c>
      <c r="QG138" s="31"/>
      <c r="QH138" s="31"/>
      <c r="QI138" s="31"/>
      <c r="QJ138" s="31"/>
      <c r="QK138" s="31"/>
      <c r="QL138" s="31"/>
      <c r="QM138" s="31">
        <v>1888405.7</v>
      </c>
      <c r="QN138" s="31"/>
      <c r="QO138" s="31"/>
      <c r="QP138" s="31"/>
      <c r="QQ138" s="31"/>
      <c r="QR138" s="31"/>
      <c r="QS138" s="31"/>
      <c r="QT138" s="31">
        <v>1883146.1</v>
      </c>
      <c r="QU138" s="31"/>
      <c r="QV138" s="31"/>
      <c r="QW138" s="31"/>
      <c r="QX138" s="31"/>
      <c r="QY138" s="31"/>
      <c r="QZ138" s="31"/>
      <c r="RA138" s="31">
        <v>1888500.3</v>
      </c>
      <c r="RB138" s="31"/>
      <c r="RC138" s="31"/>
      <c r="RD138" s="31"/>
      <c r="RE138" s="31"/>
      <c r="RF138" s="31"/>
      <c r="RG138" s="31"/>
      <c r="RH138" s="31">
        <v>1885800.3</v>
      </c>
      <c r="RI138" s="31"/>
      <c r="RJ138" s="31"/>
      <c r="RK138" s="31"/>
      <c r="RL138" s="31"/>
      <c r="RM138" s="31"/>
      <c r="RN138" s="31"/>
      <c r="RO138" s="31">
        <v>1885537</v>
      </c>
      <c r="RP138" s="31"/>
      <c r="RQ138" s="31"/>
      <c r="RR138" s="31"/>
      <c r="RS138" s="31"/>
      <c r="RT138" s="31"/>
      <c r="RU138" s="31"/>
      <c r="RV138" s="31">
        <v>1890749.7</v>
      </c>
      <c r="RW138" s="31"/>
      <c r="RX138" s="31"/>
      <c r="RY138" s="31"/>
      <c r="RZ138" s="31"/>
      <c r="SA138" s="31"/>
      <c r="SB138" s="31"/>
      <c r="SC138" s="31">
        <v>1889865.8</v>
      </c>
      <c r="SD138" s="31"/>
      <c r="SE138" s="31"/>
      <c r="SF138" s="31"/>
      <c r="SG138" s="31"/>
      <c r="SH138" s="31"/>
      <c r="SI138" s="31"/>
      <c r="SJ138" s="31">
        <v>1890871.7</v>
      </c>
      <c r="SK138" s="31"/>
      <c r="SL138" s="31"/>
      <c r="SM138" s="31"/>
      <c r="SN138" s="31"/>
      <c r="SO138" s="31"/>
      <c r="SP138" s="31"/>
      <c r="SQ138" s="31">
        <v>1893328.2</v>
      </c>
      <c r="SR138" s="31"/>
      <c r="SS138" s="31"/>
      <c r="ST138" s="23"/>
      <c r="SU138" s="23"/>
      <c r="SV138" s="23"/>
      <c r="SW138" s="23"/>
      <c r="SX138" s="23">
        <v>1894424.3</v>
      </c>
      <c r="SY138" s="23"/>
      <c r="SZ138" s="23"/>
      <c r="TA138" s="23"/>
      <c r="TB138" s="23"/>
      <c r="TC138" s="23"/>
      <c r="TD138" s="23"/>
      <c r="TE138" s="23">
        <v>1894045.1</v>
      </c>
      <c r="TF138" s="23"/>
      <c r="TG138" s="23"/>
      <c r="TH138" s="23"/>
      <c r="TI138" s="23"/>
      <c r="TJ138" s="23"/>
      <c r="TK138" s="23"/>
      <c r="TL138" s="23">
        <v>1896255.7</v>
      </c>
      <c r="TM138" s="23"/>
      <c r="TN138" s="23"/>
      <c r="TO138" s="23"/>
      <c r="TP138" s="23"/>
      <c r="TQ138" s="23"/>
      <c r="TR138" s="23"/>
      <c r="TS138" s="23">
        <v>1894630.1</v>
      </c>
      <c r="TT138" s="23"/>
      <c r="TU138" s="23"/>
      <c r="TV138" s="23"/>
      <c r="TW138" s="23"/>
      <c r="TX138" s="23"/>
      <c r="TY138" s="23"/>
      <c r="TZ138" s="23">
        <v>1896780.8</v>
      </c>
      <c r="UA138" s="23"/>
      <c r="UB138" s="23"/>
      <c r="UC138" s="23"/>
      <c r="UD138" s="23"/>
      <c r="UE138" s="23"/>
      <c r="UF138" s="23"/>
      <c r="UG138" s="23"/>
      <c r="UH138" s="23"/>
      <c r="UI138" s="23"/>
      <c r="UJ138" s="23"/>
      <c r="UK138" s="23"/>
      <c r="UL138" s="23"/>
      <c r="UM138" s="23"/>
      <c r="UN138" s="23"/>
      <c r="UO138" s="23"/>
      <c r="UP138" s="23"/>
      <c r="UQ138" s="23"/>
      <c r="UR138" s="23"/>
      <c r="US138" s="23"/>
      <c r="UT138" s="23"/>
    </row>
    <row r="139" spans="4:566">
      <c r="D139" t="s">
        <v>381</v>
      </c>
      <c r="E139" t="s">
        <v>382</v>
      </c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>
        <v>1.11</v>
      </c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>
        <v>0.97</v>
      </c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>
        <v>0.89</v>
      </c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  <c r="DI139" s="31"/>
      <c r="DJ139" s="31"/>
      <c r="DK139" s="31"/>
      <c r="DL139" s="31"/>
      <c r="DM139" s="31"/>
      <c r="DN139" s="31"/>
      <c r="DO139" s="31"/>
      <c r="DP139" s="31"/>
      <c r="DQ139" s="31"/>
      <c r="DR139" s="31"/>
      <c r="DS139" s="31"/>
      <c r="DT139" s="31"/>
      <c r="DU139" s="31"/>
      <c r="DV139" s="31">
        <v>0.4</v>
      </c>
      <c r="DW139" s="31"/>
      <c r="DX139" s="31"/>
      <c r="DY139" s="31"/>
      <c r="DZ139" s="31"/>
      <c r="EA139" s="31"/>
      <c r="EB139" s="31"/>
      <c r="EC139" s="31"/>
      <c r="ED139" s="31"/>
      <c r="EE139" s="31"/>
      <c r="EF139" s="31"/>
      <c r="EG139" s="31"/>
      <c r="EH139" s="31"/>
      <c r="EI139" s="31"/>
      <c r="EJ139" s="31"/>
      <c r="EK139" s="31"/>
      <c r="EL139" s="31"/>
      <c r="EM139" s="31"/>
      <c r="EN139" s="31"/>
      <c r="EO139" s="31"/>
      <c r="EP139" s="31"/>
      <c r="EQ139" s="31"/>
      <c r="ER139" s="31"/>
      <c r="ES139" s="31"/>
      <c r="ET139" s="31"/>
      <c r="EU139" s="31"/>
      <c r="EV139" s="31"/>
      <c r="EW139" s="31"/>
      <c r="EX139" s="31"/>
      <c r="EY139" s="31"/>
      <c r="EZ139" s="31"/>
      <c r="FA139" s="31">
        <v>0.03</v>
      </c>
      <c r="FB139" s="31"/>
      <c r="FC139" s="31"/>
      <c r="FD139" s="31"/>
      <c r="FE139" s="31"/>
      <c r="FF139" s="31"/>
      <c r="FG139" s="31"/>
      <c r="FH139" s="31"/>
      <c r="FI139" s="31"/>
      <c r="FJ139" s="31"/>
      <c r="FK139" s="31"/>
      <c r="FL139" s="31"/>
      <c r="FM139" s="31"/>
      <c r="FN139" s="31"/>
      <c r="FO139" s="31"/>
      <c r="FP139" s="31"/>
      <c r="FQ139" s="31"/>
      <c r="FR139" s="31"/>
      <c r="FS139" s="31"/>
      <c r="FT139" s="31"/>
      <c r="FU139" s="31"/>
      <c r="FV139" s="31"/>
      <c r="FW139" s="31"/>
      <c r="FX139" s="31"/>
      <c r="FY139" s="31"/>
      <c r="FZ139" s="31"/>
      <c r="GA139" s="31"/>
      <c r="GB139" s="31"/>
      <c r="GC139" s="31"/>
      <c r="GD139" s="31"/>
      <c r="GE139" s="31">
        <v>0.42</v>
      </c>
      <c r="GF139" s="31"/>
      <c r="GG139" s="31"/>
      <c r="GH139" s="31"/>
      <c r="GI139" s="31"/>
      <c r="GJ139" s="31"/>
      <c r="GK139" s="31"/>
      <c r="GL139" s="31"/>
      <c r="GM139" s="31"/>
      <c r="GN139" s="31"/>
      <c r="GO139" s="31"/>
      <c r="GP139" s="31"/>
      <c r="GQ139" s="31"/>
      <c r="GR139" s="31"/>
      <c r="GS139" s="31"/>
      <c r="GT139" s="31"/>
      <c r="GU139" s="31"/>
      <c r="GV139" s="31"/>
      <c r="GW139" s="31"/>
      <c r="GX139" s="31"/>
      <c r="GY139" s="31"/>
      <c r="GZ139" s="31"/>
      <c r="HA139" s="31"/>
      <c r="HB139" s="31"/>
      <c r="HC139" s="31"/>
      <c r="HD139" s="31"/>
      <c r="HE139" s="31"/>
      <c r="HF139" s="31"/>
      <c r="HG139" s="31"/>
      <c r="HH139" s="31"/>
      <c r="HI139" s="31"/>
      <c r="HJ139" s="31">
        <v>1.88</v>
      </c>
      <c r="HK139" s="31"/>
      <c r="HL139" s="31"/>
      <c r="HM139" s="31"/>
      <c r="HN139" s="31"/>
      <c r="HO139" s="31"/>
      <c r="HP139" s="31"/>
      <c r="HQ139" s="31"/>
      <c r="HR139" s="31"/>
      <c r="HS139" s="31"/>
      <c r="HT139" s="31"/>
      <c r="HU139" s="31"/>
      <c r="HV139" s="31"/>
      <c r="HW139" s="31"/>
      <c r="HX139" s="31"/>
      <c r="HY139" s="31"/>
      <c r="HZ139" s="31"/>
      <c r="IA139" s="31"/>
      <c r="IB139" s="31"/>
      <c r="IC139" s="31"/>
      <c r="ID139" s="31"/>
      <c r="IE139" s="31"/>
      <c r="IF139" s="31"/>
      <c r="IG139" s="31"/>
      <c r="IH139" s="31"/>
      <c r="II139" s="31"/>
      <c r="IJ139" s="31"/>
      <c r="IK139" s="31"/>
      <c r="IL139" s="31"/>
      <c r="IM139" s="31"/>
      <c r="IN139" s="31"/>
      <c r="IO139" s="31">
        <v>0.96</v>
      </c>
      <c r="IP139" s="31"/>
      <c r="IQ139" s="31"/>
      <c r="IR139" s="31"/>
      <c r="IS139" s="31"/>
      <c r="IT139" s="31"/>
      <c r="IU139" s="31"/>
      <c r="IV139" s="31"/>
      <c r="IW139" s="31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  <c r="JN139" s="31"/>
      <c r="JO139" s="31"/>
      <c r="JP139" s="31"/>
      <c r="JQ139" s="31"/>
      <c r="JR139" s="31"/>
      <c r="JS139" s="31">
        <v>1.81</v>
      </c>
      <c r="JT139" s="31"/>
      <c r="JU139" s="31"/>
      <c r="JV139" s="31"/>
      <c r="JW139" s="31"/>
      <c r="JX139" s="31"/>
      <c r="JY139" s="31"/>
      <c r="JZ139" s="31"/>
      <c r="KA139" s="31"/>
      <c r="KB139" s="31"/>
      <c r="KC139" s="31"/>
      <c r="KD139" s="31"/>
      <c r="KE139" s="31"/>
      <c r="KF139" s="31"/>
      <c r="KG139" s="31"/>
      <c r="KH139" s="31"/>
      <c r="KI139" s="31"/>
      <c r="KJ139" s="31"/>
      <c r="KK139" s="31"/>
      <c r="KL139" s="31"/>
      <c r="KM139" s="31"/>
      <c r="KN139" s="31"/>
      <c r="KO139" s="31"/>
      <c r="KP139" s="31"/>
      <c r="KQ139" s="31"/>
      <c r="KR139" s="31"/>
      <c r="KS139" s="31"/>
      <c r="KT139" s="31"/>
      <c r="KU139" s="31"/>
      <c r="KV139" s="31"/>
      <c r="KW139" s="31"/>
      <c r="KX139" s="31">
        <v>1.62</v>
      </c>
      <c r="KY139" s="31"/>
      <c r="KZ139" s="31"/>
      <c r="LA139" s="31"/>
      <c r="LB139" s="31"/>
      <c r="LC139" s="31"/>
      <c r="LD139" s="31"/>
      <c r="LE139" s="31"/>
      <c r="LF139" s="31"/>
      <c r="LG139" s="31"/>
      <c r="LH139" s="31"/>
      <c r="LI139" s="31"/>
      <c r="LJ139" s="31"/>
      <c r="LK139" s="31"/>
      <c r="LL139" s="31"/>
      <c r="LM139" s="31"/>
      <c r="LN139" s="31"/>
      <c r="LO139" s="31"/>
      <c r="LP139" s="31"/>
      <c r="LQ139" s="31"/>
      <c r="LR139" s="31"/>
      <c r="LS139" s="31"/>
      <c r="LT139" s="31"/>
      <c r="LU139" s="31"/>
      <c r="LV139" s="31"/>
      <c r="LW139" s="31"/>
      <c r="LX139" s="31"/>
      <c r="LY139" s="31"/>
      <c r="LZ139" s="31"/>
      <c r="MA139" s="31"/>
      <c r="MB139" s="31">
        <v>2.06</v>
      </c>
      <c r="MC139" s="31"/>
      <c r="MD139" s="31"/>
      <c r="ME139" s="31"/>
      <c r="MF139" s="31"/>
      <c r="MG139" s="31"/>
      <c r="MH139" s="31"/>
      <c r="MI139" s="31"/>
      <c r="MJ139" s="31"/>
      <c r="MK139" s="31"/>
      <c r="ML139" s="31"/>
      <c r="MM139" s="31"/>
      <c r="MN139" s="31"/>
      <c r="MO139" s="31"/>
      <c r="MP139" s="31"/>
      <c r="MQ139" s="31"/>
      <c r="MR139" s="31"/>
      <c r="MS139" s="31"/>
      <c r="MT139" s="31"/>
      <c r="MU139" s="31"/>
      <c r="MV139" s="31"/>
      <c r="MW139" s="31"/>
      <c r="MX139" s="31"/>
      <c r="MY139" s="31"/>
      <c r="MZ139" s="31"/>
      <c r="NA139" s="31"/>
      <c r="NB139" s="31"/>
      <c r="NC139" s="31"/>
      <c r="ND139" s="31"/>
      <c r="NE139" s="31"/>
      <c r="NF139" s="31"/>
      <c r="NG139" s="31">
        <v>1.36</v>
      </c>
      <c r="NH139" s="31"/>
      <c r="NI139" s="31"/>
      <c r="NJ139" s="31"/>
      <c r="NK139" s="31"/>
      <c r="NL139" s="31"/>
      <c r="NM139" s="31"/>
      <c r="NN139" s="31"/>
      <c r="NO139" s="31"/>
      <c r="NP139" s="31"/>
      <c r="NQ139" s="31"/>
      <c r="NR139" s="31"/>
      <c r="NS139" s="31"/>
      <c r="NT139" s="31"/>
      <c r="NU139" s="31"/>
      <c r="NV139" s="31"/>
      <c r="NW139" s="31"/>
      <c r="NX139" s="31"/>
      <c r="NY139" s="31"/>
      <c r="NZ139" s="31"/>
      <c r="OA139" s="31"/>
      <c r="OB139" s="31"/>
      <c r="OC139" s="31"/>
      <c r="OD139" s="31"/>
      <c r="OE139" s="31"/>
      <c r="OF139" s="31"/>
      <c r="OG139" s="31"/>
      <c r="OH139" s="31"/>
      <c r="OI139" s="31"/>
      <c r="OJ139" s="31"/>
      <c r="OK139" s="31"/>
      <c r="OL139" s="31">
        <v>0.79</v>
      </c>
      <c r="OM139" s="31"/>
      <c r="ON139" s="31"/>
      <c r="OO139" s="31"/>
      <c r="OP139" s="31"/>
      <c r="OQ139" s="31"/>
      <c r="OR139" s="31"/>
      <c r="OS139" s="31"/>
      <c r="OT139" s="31"/>
      <c r="OU139" s="31"/>
      <c r="OV139" s="31"/>
      <c r="OW139" s="31"/>
      <c r="OX139" s="31"/>
      <c r="OY139" s="31"/>
      <c r="OZ139" s="31"/>
      <c r="PA139" s="31"/>
      <c r="PB139" s="31"/>
      <c r="PC139" s="31"/>
      <c r="PD139" s="31"/>
      <c r="PE139" s="31"/>
      <c r="PF139" s="31"/>
      <c r="PG139" s="31"/>
      <c r="PH139" s="31"/>
      <c r="PI139" s="31"/>
      <c r="PJ139" s="31"/>
      <c r="PK139" s="31"/>
      <c r="PL139" s="31"/>
      <c r="PM139" s="31"/>
      <c r="PN139" s="31">
        <v>0.74</v>
      </c>
      <c r="PO139" s="31"/>
      <c r="PP139" s="31"/>
      <c r="PQ139" s="31"/>
      <c r="PR139" s="31"/>
      <c r="PS139" s="31"/>
      <c r="PT139" s="31"/>
      <c r="PU139" s="31"/>
      <c r="PV139" s="31"/>
      <c r="PW139" s="31"/>
      <c r="PX139" s="31"/>
      <c r="PY139" s="31"/>
      <c r="PZ139" s="31"/>
      <c r="QA139" s="31"/>
      <c r="QB139" s="31"/>
      <c r="QC139" s="31"/>
      <c r="QD139" s="31"/>
      <c r="QE139" s="31"/>
      <c r="QF139" s="31"/>
      <c r="QG139" s="31"/>
      <c r="QH139" s="31"/>
      <c r="QI139" s="31"/>
      <c r="QJ139" s="31"/>
      <c r="QK139" s="31"/>
      <c r="QL139" s="31"/>
      <c r="QM139" s="31"/>
      <c r="QN139" s="31"/>
      <c r="QO139" s="31"/>
      <c r="QP139" s="31"/>
      <c r="QQ139" s="31"/>
      <c r="QR139" s="31"/>
      <c r="QS139" s="31">
        <v>0.53</v>
      </c>
      <c r="QT139" s="31"/>
      <c r="QU139" s="31"/>
      <c r="QV139" s="31"/>
      <c r="QW139" s="31"/>
      <c r="QX139" s="31"/>
      <c r="QY139" s="31"/>
      <c r="QZ139" s="31"/>
      <c r="RA139" s="31"/>
      <c r="RB139" s="31"/>
      <c r="RC139" s="31"/>
      <c r="RD139" s="31"/>
      <c r="RE139" s="31"/>
      <c r="RF139" s="31"/>
      <c r="RG139" s="31"/>
      <c r="RH139" s="31"/>
      <c r="RI139" s="31"/>
      <c r="RJ139" s="31"/>
      <c r="RK139" s="31"/>
      <c r="RL139" s="31"/>
      <c r="RM139" s="31"/>
      <c r="RN139" s="31"/>
      <c r="RO139" s="31"/>
      <c r="RP139" s="31"/>
      <c r="RQ139" s="31"/>
      <c r="RR139" s="31"/>
      <c r="RS139" s="31"/>
      <c r="RT139" s="31"/>
      <c r="RU139" s="31"/>
      <c r="RV139" s="31"/>
      <c r="RW139" s="31">
        <v>1.15</v>
      </c>
      <c r="RX139" s="31"/>
      <c r="RY139" s="31"/>
      <c r="RZ139" s="31"/>
      <c r="SA139" s="31"/>
      <c r="SB139" s="31"/>
      <c r="SC139" s="31"/>
      <c r="SD139" s="31"/>
      <c r="SE139" s="31"/>
      <c r="SF139" s="31"/>
      <c r="SG139" s="31"/>
      <c r="SH139" s="31"/>
      <c r="SI139" s="31"/>
      <c r="SJ139" s="31"/>
      <c r="SK139" s="31"/>
      <c r="SL139" s="31"/>
      <c r="SM139" s="31"/>
      <c r="SN139" s="31"/>
      <c r="SO139" s="31"/>
      <c r="SP139" s="31"/>
      <c r="SQ139" s="31"/>
      <c r="SR139" s="31"/>
      <c r="SS139" s="31"/>
      <c r="ST139" s="23"/>
      <c r="SU139" s="23"/>
      <c r="SV139" s="23"/>
      <c r="SW139" s="23"/>
      <c r="SX139" s="23"/>
      <c r="SY139" s="23"/>
      <c r="SZ139" s="23"/>
      <c r="TA139" s="23"/>
      <c r="TB139" s="23">
        <v>1.63</v>
      </c>
      <c r="TC139" s="23"/>
      <c r="TD139" s="23"/>
      <c r="TE139" s="23"/>
      <c r="TF139" s="23"/>
      <c r="TG139" s="23"/>
      <c r="TH139" s="23"/>
      <c r="TI139" s="23"/>
      <c r="TJ139" s="23"/>
      <c r="TK139" s="23"/>
      <c r="TL139" s="23"/>
      <c r="TM139" s="23"/>
      <c r="TN139" s="23"/>
      <c r="TO139" s="23"/>
      <c r="TP139" s="23"/>
      <c r="TQ139" s="23"/>
      <c r="TR139" s="23"/>
      <c r="TS139" s="23"/>
      <c r="TT139" s="23"/>
      <c r="TU139" s="23"/>
      <c r="TV139" s="23"/>
      <c r="TW139" s="23"/>
      <c r="TX139" s="23"/>
      <c r="TY139" s="23"/>
      <c r="TZ139" s="23"/>
      <c r="UA139" s="23"/>
      <c r="UB139" s="23"/>
      <c r="UC139" s="23"/>
      <c r="UD139" s="23"/>
      <c r="UE139" s="23"/>
      <c r="UF139" s="23"/>
      <c r="UG139" s="23"/>
      <c r="UH139" s="23"/>
      <c r="UI139" s="23"/>
      <c r="UJ139" s="23"/>
      <c r="UK139" s="23"/>
      <c r="UL139" s="23"/>
      <c r="UM139" s="23"/>
      <c r="UN139" s="23"/>
      <c r="UO139" s="23"/>
      <c r="UP139" s="23"/>
      <c r="UQ139" s="23"/>
      <c r="UR139" s="23"/>
      <c r="US139" s="23"/>
      <c r="UT139" s="23"/>
    </row>
    <row r="140" spans="4:566">
      <c r="D140" t="s">
        <v>383</v>
      </c>
      <c r="E140" t="s">
        <v>384</v>
      </c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>
        <v>2.0193</v>
      </c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  <c r="DI140" s="31"/>
      <c r="DJ140" s="31"/>
      <c r="DK140" s="31"/>
      <c r="DL140" s="31"/>
      <c r="DM140" s="31"/>
      <c r="DN140" s="31"/>
      <c r="DO140" s="31"/>
      <c r="DP140" s="31"/>
      <c r="DQ140" s="31"/>
      <c r="DR140" s="31"/>
      <c r="DS140" s="31"/>
      <c r="DT140" s="31"/>
      <c r="DU140" s="31"/>
      <c r="DV140" s="31"/>
      <c r="DW140" s="31"/>
      <c r="DX140" s="31"/>
      <c r="DY140" s="31"/>
      <c r="DZ140" s="31"/>
      <c r="EA140" s="31"/>
      <c r="EB140" s="31"/>
      <c r="EC140" s="31"/>
      <c r="ED140" s="31"/>
      <c r="EE140" s="31"/>
      <c r="EF140" s="31"/>
      <c r="EG140" s="31"/>
      <c r="EH140" s="31"/>
      <c r="EI140" s="31"/>
      <c r="EJ140" s="31"/>
      <c r="EK140" s="31"/>
      <c r="EL140" s="31"/>
      <c r="EM140" s="31"/>
      <c r="EN140" s="31"/>
      <c r="EO140" s="31"/>
      <c r="EP140" s="31"/>
      <c r="EQ140" s="31"/>
      <c r="ER140" s="31"/>
      <c r="ES140" s="31"/>
      <c r="ET140" s="31"/>
      <c r="EU140" s="31"/>
      <c r="EV140" s="31"/>
      <c r="EW140" s="31"/>
      <c r="EX140" s="31"/>
      <c r="EY140" s="31"/>
      <c r="EZ140" s="31"/>
      <c r="FA140" s="31"/>
      <c r="FB140" s="31"/>
      <c r="FC140" s="31"/>
      <c r="FD140" s="31"/>
      <c r="FE140" s="31"/>
      <c r="FF140" s="31"/>
      <c r="FG140" s="31"/>
      <c r="FH140" s="31"/>
      <c r="FI140" s="31"/>
      <c r="FJ140" s="31"/>
      <c r="FK140" s="31"/>
      <c r="FL140" s="31"/>
      <c r="FM140" s="31"/>
      <c r="FN140" s="31"/>
      <c r="FO140" s="31"/>
      <c r="FP140" s="31"/>
      <c r="FQ140" s="31"/>
      <c r="FR140" s="31"/>
      <c r="FS140" s="31"/>
      <c r="FT140" s="31"/>
      <c r="FU140" s="31"/>
      <c r="FV140" s="31"/>
      <c r="FW140" s="31"/>
      <c r="FX140" s="31"/>
      <c r="FY140" s="31"/>
      <c r="FZ140" s="31"/>
      <c r="GA140" s="31"/>
      <c r="GB140" s="31"/>
      <c r="GC140" s="31"/>
      <c r="GD140" s="31"/>
      <c r="GE140" s="31">
        <v>2.0806</v>
      </c>
      <c r="GF140" s="31"/>
      <c r="GG140" s="31"/>
      <c r="GH140" s="31"/>
      <c r="GI140" s="31"/>
      <c r="GJ140" s="31"/>
      <c r="GK140" s="31"/>
      <c r="GL140" s="31"/>
      <c r="GM140" s="31"/>
      <c r="GN140" s="31"/>
      <c r="GO140" s="31"/>
      <c r="GP140" s="31"/>
      <c r="GQ140" s="31"/>
      <c r="GR140" s="31"/>
      <c r="GS140" s="31"/>
      <c r="GT140" s="31"/>
      <c r="GU140" s="31"/>
      <c r="GV140" s="31"/>
      <c r="GW140" s="31"/>
      <c r="GX140" s="31"/>
      <c r="GY140" s="31"/>
      <c r="GZ140" s="31"/>
      <c r="HA140" s="31"/>
      <c r="HB140" s="31"/>
      <c r="HC140" s="31"/>
      <c r="HD140" s="31"/>
      <c r="HE140" s="31"/>
      <c r="HF140" s="31"/>
      <c r="HG140" s="31"/>
      <c r="HH140" s="31"/>
      <c r="HI140" s="31"/>
      <c r="HJ140" s="31"/>
      <c r="HK140" s="31"/>
      <c r="HL140" s="31"/>
      <c r="HM140" s="31"/>
      <c r="HN140" s="31"/>
      <c r="HO140" s="31"/>
      <c r="HP140" s="31"/>
      <c r="HQ140" s="31"/>
      <c r="HR140" s="31"/>
      <c r="HS140" s="31"/>
      <c r="HT140" s="31"/>
      <c r="HU140" s="31"/>
      <c r="HV140" s="31"/>
      <c r="HW140" s="31"/>
      <c r="HX140" s="31"/>
      <c r="HY140" s="31"/>
      <c r="HZ140" s="31"/>
      <c r="IA140" s="31"/>
      <c r="IB140" s="31"/>
      <c r="IC140" s="31"/>
      <c r="ID140" s="31"/>
      <c r="IE140" s="31"/>
      <c r="IF140" s="31"/>
      <c r="IG140" s="31"/>
      <c r="IH140" s="31"/>
      <c r="II140" s="31"/>
      <c r="IJ140" s="31"/>
      <c r="IK140" s="31"/>
      <c r="IL140" s="31"/>
      <c r="IM140" s="31"/>
      <c r="IN140" s="31"/>
      <c r="IO140" s="31"/>
      <c r="IP140" s="31"/>
      <c r="IQ140" s="31"/>
      <c r="IR140" s="31"/>
      <c r="IS140" s="31"/>
      <c r="IT140" s="31"/>
      <c r="IU140" s="31"/>
      <c r="IV140" s="31"/>
      <c r="IW140" s="31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  <c r="JH140" s="31"/>
      <c r="JI140" s="31"/>
      <c r="JJ140" s="31"/>
      <c r="JK140" s="31"/>
      <c r="JL140" s="31"/>
      <c r="JM140" s="31"/>
      <c r="JN140" s="31"/>
      <c r="JO140" s="31"/>
      <c r="JP140" s="31"/>
      <c r="JQ140" s="31"/>
      <c r="JR140" s="31"/>
      <c r="JS140" s="31">
        <v>2.3349</v>
      </c>
      <c r="JT140" s="31"/>
      <c r="JU140" s="31"/>
      <c r="JV140" s="31"/>
      <c r="JW140" s="31"/>
      <c r="JX140" s="31"/>
      <c r="JY140" s="31"/>
      <c r="JZ140" s="31"/>
      <c r="KA140" s="31"/>
      <c r="KB140" s="31"/>
      <c r="KC140" s="31"/>
      <c r="KD140" s="31"/>
      <c r="KE140" s="31"/>
      <c r="KF140" s="31"/>
      <c r="KG140" s="31"/>
      <c r="KH140" s="31"/>
      <c r="KI140" s="31"/>
      <c r="KJ140" s="31"/>
      <c r="KK140" s="31"/>
      <c r="KL140" s="31"/>
      <c r="KM140" s="31"/>
      <c r="KN140" s="31"/>
      <c r="KO140" s="31"/>
      <c r="KP140" s="31"/>
      <c r="KQ140" s="31"/>
      <c r="KR140" s="31"/>
      <c r="KS140" s="31"/>
      <c r="KT140" s="31"/>
      <c r="KU140" s="31"/>
      <c r="KV140" s="31"/>
      <c r="KW140" s="31"/>
      <c r="KX140" s="31"/>
      <c r="KY140" s="31"/>
      <c r="KZ140" s="31"/>
      <c r="LA140" s="31"/>
      <c r="LB140" s="31"/>
      <c r="LC140" s="31"/>
      <c r="LD140" s="31"/>
      <c r="LE140" s="31"/>
      <c r="LF140" s="31"/>
      <c r="LG140" s="31"/>
      <c r="LH140" s="31"/>
      <c r="LI140" s="31"/>
      <c r="LJ140" s="31"/>
      <c r="LK140" s="31"/>
      <c r="LL140" s="31"/>
      <c r="LM140" s="31"/>
      <c r="LN140" s="31"/>
      <c r="LO140" s="31"/>
      <c r="LP140" s="31"/>
      <c r="LQ140" s="31"/>
      <c r="LR140" s="31"/>
      <c r="LS140" s="31"/>
      <c r="LT140" s="31"/>
      <c r="LU140" s="31"/>
      <c r="LV140" s="31"/>
      <c r="LW140" s="31"/>
      <c r="LX140" s="31"/>
      <c r="LY140" s="31"/>
      <c r="LZ140" s="31"/>
      <c r="MA140" s="31"/>
      <c r="MB140" s="31"/>
      <c r="MC140" s="31"/>
      <c r="MD140" s="31"/>
      <c r="ME140" s="31"/>
      <c r="MF140" s="31"/>
      <c r="MG140" s="31"/>
      <c r="MH140" s="31"/>
      <c r="MI140" s="31"/>
      <c r="MJ140" s="31"/>
      <c r="MK140" s="31"/>
      <c r="ML140" s="31"/>
      <c r="MM140" s="31"/>
      <c r="MN140" s="31"/>
      <c r="MO140" s="31"/>
      <c r="MP140" s="31"/>
      <c r="MQ140" s="31"/>
      <c r="MR140" s="31"/>
      <c r="MS140" s="31"/>
      <c r="MT140" s="31"/>
      <c r="MU140" s="31"/>
      <c r="MV140" s="31"/>
      <c r="MW140" s="31"/>
      <c r="MX140" s="31"/>
      <c r="MY140" s="31"/>
      <c r="MZ140" s="31"/>
      <c r="NA140" s="31"/>
      <c r="NB140" s="31"/>
      <c r="NC140" s="31"/>
      <c r="ND140" s="31"/>
      <c r="NE140" s="31"/>
      <c r="NF140" s="31"/>
      <c r="NG140" s="31">
        <v>1.9893</v>
      </c>
      <c r="NH140" s="31"/>
      <c r="NI140" s="31"/>
      <c r="NJ140" s="31"/>
      <c r="NK140" s="31"/>
      <c r="NL140" s="31"/>
      <c r="NM140" s="31"/>
      <c r="NN140" s="31"/>
      <c r="NO140" s="31"/>
      <c r="NP140" s="31"/>
      <c r="NQ140" s="31"/>
      <c r="NR140" s="31"/>
      <c r="NS140" s="31"/>
      <c r="NT140" s="31"/>
      <c r="NU140" s="31"/>
      <c r="NV140" s="31"/>
      <c r="NW140" s="31"/>
      <c r="NX140" s="31"/>
      <c r="NY140" s="31"/>
      <c r="NZ140" s="31"/>
      <c r="OA140" s="31"/>
      <c r="OB140" s="31"/>
      <c r="OC140" s="31"/>
      <c r="OD140" s="31"/>
      <c r="OE140" s="31"/>
      <c r="OF140" s="31"/>
      <c r="OG140" s="31"/>
      <c r="OH140" s="31"/>
      <c r="OI140" s="31"/>
      <c r="OJ140" s="31"/>
      <c r="OK140" s="31"/>
      <c r="OL140" s="31"/>
      <c r="OM140" s="31"/>
      <c r="ON140" s="31"/>
      <c r="OO140" s="31"/>
      <c r="OP140" s="31"/>
      <c r="OQ140" s="31"/>
      <c r="OR140" s="31"/>
      <c r="OS140" s="31"/>
      <c r="OT140" s="31"/>
      <c r="OU140" s="31"/>
      <c r="OV140" s="31"/>
      <c r="OW140" s="31"/>
      <c r="OX140" s="31"/>
      <c r="OY140" s="31"/>
      <c r="OZ140" s="31"/>
      <c r="PA140" s="31"/>
      <c r="PB140" s="31"/>
      <c r="PC140" s="31"/>
      <c r="PD140" s="31"/>
      <c r="PE140" s="31"/>
      <c r="PF140" s="31"/>
      <c r="PG140" s="31"/>
      <c r="PH140" s="31"/>
      <c r="PI140" s="31"/>
      <c r="PJ140" s="31"/>
      <c r="PK140" s="31"/>
      <c r="PL140" s="31"/>
      <c r="PM140" s="31"/>
      <c r="PN140" s="31"/>
      <c r="PO140" s="31"/>
      <c r="PP140" s="31"/>
      <c r="PQ140" s="31"/>
      <c r="PR140" s="31"/>
      <c r="PS140" s="31"/>
      <c r="PT140" s="31"/>
      <c r="PU140" s="31"/>
      <c r="PV140" s="31"/>
      <c r="PW140" s="31"/>
      <c r="PX140" s="31"/>
      <c r="PY140" s="31"/>
      <c r="PZ140" s="31"/>
      <c r="QA140" s="31"/>
      <c r="QB140" s="31"/>
      <c r="QC140" s="31"/>
      <c r="QD140" s="31"/>
      <c r="QE140" s="31"/>
      <c r="QF140" s="31"/>
      <c r="QG140" s="31"/>
      <c r="QH140" s="31"/>
      <c r="QI140" s="31"/>
      <c r="QJ140" s="31"/>
      <c r="QK140" s="31"/>
      <c r="QL140" s="31"/>
      <c r="QM140" s="31"/>
      <c r="QN140" s="31"/>
      <c r="QO140" s="31"/>
      <c r="QP140" s="31"/>
      <c r="QQ140" s="31"/>
      <c r="QR140" s="31"/>
      <c r="QS140" s="31">
        <v>2.6847</v>
      </c>
      <c r="QT140" s="31"/>
      <c r="QU140" s="31"/>
      <c r="QV140" s="31"/>
      <c r="QW140" s="31"/>
      <c r="QX140" s="31"/>
      <c r="QY140" s="31"/>
      <c r="QZ140" s="31"/>
      <c r="RA140" s="31"/>
      <c r="RB140" s="31"/>
      <c r="RC140" s="31"/>
      <c r="RD140" s="31"/>
      <c r="RE140" s="31"/>
      <c r="RF140" s="31"/>
      <c r="RG140" s="31"/>
      <c r="RH140" s="31"/>
      <c r="RI140" s="31"/>
      <c r="RJ140" s="31"/>
      <c r="RK140" s="31"/>
      <c r="RL140" s="31"/>
      <c r="RM140" s="31"/>
      <c r="RN140" s="31"/>
      <c r="RO140" s="31"/>
      <c r="RP140" s="31"/>
      <c r="RQ140" s="31"/>
      <c r="RR140" s="31"/>
      <c r="RS140" s="31"/>
      <c r="RT140" s="31"/>
      <c r="RU140" s="31"/>
      <c r="RV140" s="31"/>
      <c r="RW140" s="31"/>
      <c r="RX140" s="31"/>
      <c r="RY140" s="31"/>
      <c r="RZ140" s="31"/>
      <c r="SA140" s="31"/>
      <c r="SB140" s="31"/>
      <c r="SC140" s="31"/>
      <c r="SD140" s="31"/>
      <c r="SE140" s="31"/>
      <c r="SF140" s="31"/>
      <c r="SG140" s="31"/>
      <c r="SH140" s="31"/>
      <c r="SI140" s="31"/>
      <c r="SJ140" s="31"/>
      <c r="SK140" s="31"/>
      <c r="SL140" s="31"/>
      <c r="SM140" s="31"/>
      <c r="SN140" s="31"/>
      <c r="SO140" s="31"/>
      <c r="SP140" s="31"/>
      <c r="SQ140" s="31"/>
      <c r="SR140" s="31"/>
      <c r="SS140" s="31"/>
      <c r="ST140" s="23"/>
      <c r="SU140" s="23"/>
      <c r="SV140" s="23"/>
      <c r="SW140" s="23"/>
      <c r="SX140" s="23"/>
      <c r="SY140" s="23"/>
      <c r="SZ140" s="23"/>
      <c r="TA140" s="23"/>
      <c r="TB140" s="23"/>
      <c r="TC140" s="23"/>
      <c r="TD140" s="23"/>
      <c r="TE140" s="23"/>
      <c r="TF140" s="23"/>
      <c r="TG140" s="23"/>
      <c r="TH140" s="23"/>
      <c r="TI140" s="23"/>
      <c r="TJ140" s="23"/>
      <c r="TK140" s="23"/>
      <c r="TL140" s="23"/>
      <c r="TM140" s="23"/>
      <c r="TN140" s="23"/>
      <c r="TO140" s="23"/>
      <c r="TP140" s="23"/>
      <c r="TQ140" s="23"/>
      <c r="TR140" s="23"/>
      <c r="TS140" s="23"/>
      <c r="TT140" s="23"/>
      <c r="TU140" s="23"/>
      <c r="TV140" s="23"/>
      <c r="TW140" s="23"/>
      <c r="TX140" s="23"/>
      <c r="TY140" s="23"/>
      <c r="TZ140" s="23"/>
      <c r="UA140" s="23"/>
      <c r="UB140" s="23"/>
      <c r="UC140" s="23"/>
      <c r="UD140" s="23"/>
      <c r="UE140" s="23"/>
      <c r="UF140" s="23"/>
      <c r="UG140" s="23"/>
      <c r="UH140" s="23"/>
      <c r="UI140" s="23"/>
      <c r="UJ140" s="23"/>
      <c r="UK140" s="23"/>
      <c r="UL140" s="23"/>
      <c r="UM140" s="23"/>
      <c r="UN140" s="23"/>
      <c r="UO140" s="23"/>
      <c r="UP140" s="23"/>
      <c r="UQ140" s="23"/>
      <c r="UR140" s="23"/>
      <c r="US140" s="23"/>
      <c r="UT140" s="23"/>
    </row>
    <row r="141" spans="4:566">
      <c r="D141" t="s">
        <v>385</v>
      </c>
      <c r="E141" t="s">
        <v>386</v>
      </c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>
        <v>4</v>
      </c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>
        <v>4.1</v>
      </c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>
        <v>4.2</v>
      </c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  <c r="DI141" s="31"/>
      <c r="DJ141" s="31"/>
      <c r="DK141" s="31"/>
      <c r="DL141" s="31"/>
      <c r="DM141" s="31"/>
      <c r="DN141" s="31"/>
      <c r="DO141" s="31"/>
      <c r="DP141" s="31"/>
      <c r="DQ141" s="31"/>
      <c r="DR141" s="31"/>
      <c r="DS141" s="31"/>
      <c r="DT141" s="31"/>
      <c r="DU141" s="31"/>
      <c r="DV141" s="31">
        <v>3.9</v>
      </c>
      <c r="DW141" s="31"/>
      <c r="DX141" s="31"/>
      <c r="DY141" s="31"/>
      <c r="DZ141" s="31"/>
      <c r="EA141" s="31"/>
      <c r="EB141" s="31"/>
      <c r="EC141" s="31"/>
      <c r="ED141" s="31"/>
      <c r="EE141" s="31"/>
      <c r="EF141" s="31"/>
      <c r="EG141" s="31"/>
      <c r="EH141" s="31"/>
      <c r="EI141" s="31"/>
      <c r="EJ141" s="31"/>
      <c r="EK141" s="31"/>
      <c r="EL141" s="31"/>
      <c r="EM141" s="31"/>
      <c r="EN141" s="31"/>
      <c r="EO141" s="31"/>
      <c r="EP141" s="31"/>
      <c r="EQ141" s="31"/>
      <c r="ER141" s="31"/>
      <c r="ES141" s="31"/>
      <c r="ET141" s="31"/>
      <c r="EU141" s="31"/>
      <c r="EV141" s="31"/>
      <c r="EW141" s="31"/>
      <c r="EX141" s="31"/>
      <c r="EY141" s="31"/>
      <c r="EZ141" s="31"/>
      <c r="FA141" s="31">
        <v>4</v>
      </c>
      <c r="FB141" s="31"/>
      <c r="FC141" s="31"/>
      <c r="FD141" s="31"/>
      <c r="FE141" s="31"/>
      <c r="FF141" s="31"/>
      <c r="FG141" s="31"/>
      <c r="FH141" s="31"/>
      <c r="FI141" s="31"/>
      <c r="FJ141" s="31"/>
      <c r="FK141" s="31"/>
      <c r="FL141" s="31"/>
      <c r="FM141" s="31"/>
      <c r="FN141" s="31"/>
      <c r="FO141" s="31"/>
      <c r="FP141" s="31"/>
      <c r="FQ141" s="31"/>
      <c r="FR141" s="31"/>
      <c r="FS141" s="31"/>
      <c r="FT141" s="31"/>
      <c r="FU141" s="31"/>
      <c r="FV141" s="31"/>
      <c r="FW141" s="31"/>
      <c r="FX141" s="31"/>
      <c r="FY141" s="31"/>
      <c r="FZ141" s="31"/>
      <c r="GA141" s="31"/>
      <c r="GB141" s="31"/>
      <c r="GC141" s="31"/>
      <c r="GD141" s="31"/>
      <c r="GE141" s="31">
        <v>3.9</v>
      </c>
      <c r="GF141" s="31"/>
      <c r="GG141" s="31"/>
      <c r="GH141" s="31"/>
      <c r="GI141" s="31"/>
      <c r="GJ141" s="31"/>
      <c r="GK141" s="31"/>
      <c r="GL141" s="31"/>
      <c r="GM141" s="31"/>
      <c r="GN141" s="31"/>
      <c r="GO141" s="31"/>
      <c r="GP141" s="31"/>
      <c r="GQ141" s="31"/>
      <c r="GR141" s="31"/>
      <c r="GS141" s="31"/>
      <c r="GT141" s="31"/>
      <c r="GU141" s="31"/>
      <c r="GV141" s="31"/>
      <c r="GW141" s="31"/>
      <c r="GX141" s="31"/>
      <c r="GY141" s="31"/>
      <c r="GZ141" s="31"/>
      <c r="HA141" s="31"/>
      <c r="HB141" s="31"/>
      <c r="HC141" s="31"/>
      <c r="HD141" s="31"/>
      <c r="HE141" s="31"/>
      <c r="HF141" s="31"/>
      <c r="HG141" s="31"/>
      <c r="HH141" s="31"/>
      <c r="HI141" s="31"/>
      <c r="HJ141" s="31">
        <v>4</v>
      </c>
      <c r="HK141" s="31"/>
      <c r="HL141" s="31"/>
      <c r="HM141" s="31"/>
      <c r="HN141" s="31"/>
      <c r="HO141" s="31"/>
      <c r="HP141" s="31"/>
      <c r="HQ141" s="31"/>
      <c r="HR141" s="31"/>
      <c r="HS141" s="31"/>
      <c r="HT141" s="31"/>
      <c r="HU141" s="31"/>
      <c r="HV141" s="31"/>
      <c r="HW141" s="31"/>
      <c r="HX141" s="31"/>
      <c r="HY141" s="31"/>
      <c r="HZ141" s="31"/>
      <c r="IA141" s="31"/>
      <c r="IB141" s="31"/>
      <c r="IC141" s="31"/>
      <c r="ID141" s="31"/>
      <c r="IE141" s="31"/>
      <c r="IF141" s="31"/>
      <c r="IG141" s="31"/>
      <c r="IH141" s="31"/>
      <c r="II141" s="31"/>
      <c r="IJ141" s="31"/>
      <c r="IK141" s="31"/>
      <c r="IL141" s="31"/>
      <c r="IM141" s="31"/>
      <c r="IN141" s="31"/>
      <c r="IO141" s="31">
        <v>4</v>
      </c>
      <c r="IP141" s="31"/>
      <c r="IQ141" s="31"/>
      <c r="IR141" s="31"/>
      <c r="IS141" s="31"/>
      <c r="IT141" s="31"/>
      <c r="IU141" s="31"/>
      <c r="IV141" s="31"/>
      <c r="IW141" s="31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  <c r="JH141" s="31"/>
      <c r="JI141" s="31"/>
      <c r="JJ141" s="31"/>
      <c r="JK141" s="31"/>
      <c r="JL141" s="31"/>
      <c r="JM141" s="31"/>
      <c r="JN141" s="31"/>
      <c r="JO141" s="31"/>
      <c r="JP141" s="31"/>
      <c r="JQ141" s="31"/>
      <c r="JR141" s="31"/>
      <c r="JS141" s="31">
        <v>3.8</v>
      </c>
      <c r="JT141" s="31"/>
      <c r="JU141" s="31"/>
      <c r="JV141" s="31"/>
      <c r="JW141" s="31"/>
      <c r="JX141" s="31"/>
      <c r="JY141" s="31"/>
      <c r="JZ141" s="31"/>
      <c r="KA141" s="31"/>
      <c r="KB141" s="31"/>
      <c r="KC141" s="31"/>
      <c r="KD141" s="31"/>
      <c r="KE141" s="31"/>
      <c r="KF141" s="31"/>
      <c r="KG141" s="31"/>
      <c r="KH141" s="31"/>
      <c r="KI141" s="31"/>
      <c r="KJ141" s="31"/>
      <c r="KK141" s="31"/>
      <c r="KL141" s="31"/>
      <c r="KM141" s="31"/>
      <c r="KN141" s="31"/>
      <c r="KO141" s="31"/>
      <c r="KP141" s="31"/>
      <c r="KQ141" s="31"/>
      <c r="KR141" s="31"/>
      <c r="KS141" s="31"/>
      <c r="KT141" s="31"/>
      <c r="KU141" s="31"/>
      <c r="KV141" s="31"/>
      <c r="KW141" s="31"/>
      <c r="KX141" s="31">
        <v>3.9</v>
      </c>
      <c r="KY141" s="31"/>
      <c r="KZ141" s="31"/>
      <c r="LA141" s="31"/>
      <c r="LB141" s="31"/>
      <c r="LC141" s="31"/>
      <c r="LD141" s="31"/>
      <c r="LE141" s="31"/>
      <c r="LF141" s="31"/>
      <c r="LG141" s="31"/>
      <c r="LH141" s="31"/>
      <c r="LI141" s="31"/>
      <c r="LJ141" s="31"/>
      <c r="LK141" s="31"/>
      <c r="LL141" s="31"/>
      <c r="LM141" s="31"/>
      <c r="LN141" s="31"/>
      <c r="LO141" s="31"/>
      <c r="LP141" s="31"/>
      <c r="LQ141" s="31"/>
      <c r="LR141" s="31"/>
      <c r="LS141" s="31"/>
      <c r="LT141" s="31"/>
      <c r="LU141" s="31"/>
      <c r="LV141" s="31"/>
      <c r="LW141" s="31"/>
      <c r="LX141" s="31"/>
      <c r="LY141" s="31"/>
      <c r="LZ141" s="31"/>
      <c r="MA141" s="31"/>
      <c r="MB141" s="31">
        <v>3.9</v>
      </c>
      <c r="MC141" s="31"/>
      <c r="MD141" s="31"/>
      <c r="ME141" s="31"/>
      <c r="MF141" s="31"/>
      <c r="MG141" s="31"/>
      <c r="MH141" s="31"/>
      <c r="MI141" s="31"/>
      <c r="MJ141" s="31"/>
      <c r="MK141" s="31"/>
      <c r="ML141" s="31"/>
      <c r="MM141" s="31"/>
      <c r="MN141" s="31"/>
      <c r="MO141" s="31"/>
      <c r="MP141" s="31"/>
      <c r="MQ141" s="31"/>
      <c r="MR141" s="31"/>
      <c r="MS141" s="31"/>
      <c r="MT141" s="31"/>
      <c r="MU141" s="31"/>
      <c r="MV141" s="31"/>
      <c r="MW141" s="31"/>
      <c r="MX141" s="31"/>
      <c r="MY141" s="31"/>
      <c r="MZ141" s="31"/>
      <c r="NA141" s="31"/>
      <c r="NB141" s="31"/>
      <c r="NC141" s="31"/>
      <c r="ND141" s="31"/>
      <c r="NE141" s="31"/>
      <c r="NF141" s="31"/>
      <c r="NG141" s="31">
        <v>3.7</v>
      </c>
      <c r="NH141" s="31"/>
      <c r="NI141" s="31"/>
      <c r="NJ141" s="31"/>
      <c r="NK141" s="31"/>
      <c r="NL141" s="31"/>
      <c r="NM141" s="31"/>
      <c r="NN141" s="31"/>
      <c r="NO141" s="31"/>
      <c r="NP141" s="31"/>
      <c r="NQ141" s="31"/>
      <c r="NR141" s="31"/>
      <c r="NS141" s="31"/>
      <c r="NT141" s="31"/>
      <c r="NU141" s="31"/>
      <c r="NV141" s="31"/>
      <c r="NW141" s="31"/>
      <c r="NX141" s="31"/>
      <c r="NY141" s="31"/>
      <c r="NZ141" s="31"/>
      <c r="OA141" s="31"/>
      <c r="OB141" s="31"/>
      <c r="OC141" s="31"/>
      <c r="OD141" s="31"/>
      <c r="OE141" s="31"/>
      <c r="OF141" s="31"/>
      <c r="OG141" s="31"/>
      <c r="OH141" s="31"/>
      <c r="OI141" s="31"/>
      <c r="OJ141" s="31"/>
      <c r="OK141" s="31"/>
      <c r="OL141" s="31">
        <v>3.7</v>
      </c>
      <c r="OM141" s="31"/>
      <c r="ON141" s="31"/>
      <c r="OO141" s="31"/>
      <c r="OP141" s="31"/>
      <c r="OQ141" s="31"/>
      <c r="OR141" s="31"/>
      <c r="OS141" s="31"/>
      <c r="OT141" s="31"/>
      <c r="OU141" s="31"/>
      <c r="OV141" s="31"/>
      <c r="OW141" s="31"/>
      <c r="OX141" s="31"/>
      <c r="OY141" s="31"/>
      <c r="OZ141" s="31"/>
      <c r="PA141" s="31"/>
      <c r="PB141" s="31"/>
      <c r="PC141" s="31"/>
      <c r="PD141" s="31"/>
      <c r="PE141" s="31"/>
      <c r="PF141" s="31"/>
      <c r="PG141" s="31"/>
      <c r="PH141" s="31"/>
      <c r="PI141" s="31"/>
      <c r="PJ141" s="31"/>
      <c r="PK141" s="31"/>
      <c r="PL141" s="31"/>
      <c r="PM141" s="31"/>
      <c r="PN141" s="31">
        <v>3.7</v>
      </c>
      <c r="PO141" s="31"/>
      <c r="PP141" s="31"/>
      <c r="PQ141" s="31"/>
      <c r="PR141" s="31"/>
      <c r="PS141" s="31"/>
      <c r="PT141" s="31"/>
      <c r="PU141" s="31"/>
      <c r="PV141" s="31"/>
      <c r="PW141" s="31"/>
      <c r="PX141" s="31"/>
      <c r="PY141" s="31"/>
      <c r="PZ141" s="31"/>
      <c r="QA141" s="31"/>
      <c r="QB141" s="31"/>
      <c r="QC141" s="31"/>
      <c r="QD141" s="31"/>
      <c r="QE141" s="31"/>
      <c r="QF141" s="31"/>
      <c r="QG141" s="31"/>
      <c r="QH141" s="31"/>
      <c r="QI141" s="31"/>
      <c r="QJ141" s="31"/>
      <c r="QK141" s="31"/>
      <c r="QL141" s="31"/>
      <c r="QM141" s="31"/>
      <c r="QN141" s="31"/>
      <c r="QO141" s="31"/>
      <c r="QP141" s="31"/>
      <c r="QQ141" s="31"/>
      <c r="QR141" s="31"/>
      <c r="QS141" s="31">
        <v>3.4</v>
      </c>
      <c r="QT141" s="31"/>
      <c r="QU141" s="31"/>
      <c r="QV141" s="31"/>
      <c r="QW141" s="31"/>
      <c r="QX141" s="31"/>
      <c r="QY141" s="31"/>
      <c r="QZ141" s="31"/>
      <c r="RA141" s="31"/>
      <c r="RB141" s="31"/>
      <c r="RC141" s="31"/>
      <c r="RD141" s="31"/>
      <c r="RE141" s="31"/>
      <c r="RF141" s="31"/>
      <c r="RG141" s="31"/>
      <c r="RH141" s="31"/>
      <c r="RI141" s="31"/>
      <c r="RJ141" s="31"/>
      <c r="RK141" s="31"/>
      <c r="RL141" s="31"/>
      <c r="RM141" s="31"/>
      <c r="RN141" s="31"/>
      <c r="RO141" s="31"/>
      <c r="RP141" s="31"/>
      <c r="RQ141" s="31"/>
      <c r="RR141" s="31"/>
      <c r="RS141" s="31"/>
      <c r="RT141" s="31"/>
      <c r="RU141" s="31"/>
      <c r="RV141" s="31"/>
      <c r="RW141" s="31">
        <v>3.6</v>
      </c>
      <c r="RX141" s="31"/>
      <c r="RY141" s="31"/>
      <c r="RZ141" s="31"/>
      <c r="SA141" s="31"/>
      <c r="SB141" s="31"/>
      <c r="SC141" s="31"/>
      <c r="SD141" s="31"/>
      <c r="SE141" s="31"/>
      <c r="SF141" s="31"/>
      <c r="SG141" s="31"/>
      <c r="SH141" s="31"/>
      <c r="SI141" s="31"/>
      <c r="SJ141" s="31"/>
      <c r="SK141" s="31"/>
      <c r="SL141" s="31"/>
      <c r="SM141" s="31"/>
      <c r="SN141" s="31"/>
      <c r="SO141" s="31"/>
      <c r="SP141" s="31"/>
      <c r="SQ141" s="31"/>
      <c r="SR141" s="31"/>
      <c r="SS141" s="31"/>
      <c r="ST141" s="23"/>
      <c r="SU141" s="23"/>
      <c r="SV141" s="23"/>
      <c r="SW141" s="23"/>
      <c r="SX141" s="23"/>
      <c r="SY141" s="23"/>
      <c r="SZ141" s="23"/>
      <c r="TA141" s="23"/>
      <c r="TB141" s="23">
        <v>3.4</v>
      </c>
      <c r="TC141" s="23"/>
      <c r="TD141" s="23"/>
      <c r="TE141" s="23"/>
      <c r="TF141" s="23"/>
      <c r="TG141" s="23"/>
      <c r="TH141" s="23"/>
      <c r="TI141" s="23"/>
      <c r="TJ141" s="23"/>
      <c r="TK141" s="23"/>
      <c r="TL141" s="23"/>
      <c r="TM141" s="23"/>
      <c r="TN141" s="23"/>
      <c r="TO141" s="23"/>
      <c r="TP141" s="23"/>
      <c r="TQ141" s="23"/>
      <c r="TR141" s="23"/>
      <c r="TS141" s="23"/>
      <c r="TT141" s="23"/>
      <c r="TU141" s="23"/>
      <c r="TV141" s="23"/>
      <c r="TW141" s="23"/>
      <c r="TX141" s="23"/>
      <c r="TY141" s="23"/>
      <c r="TZ141" s="23"/>
      <c r="UA141" s="23"/>
      <c r="UB141" s="23"/>
      <c r="UC141" s="23"/>
      <c r="UD141" s="23"/>
      <c r="UE141" s="23"/>
      <c r="UF141" s="23">
        <v>3.5</v>
      </c>
      <c r="UG141" s="23"/>
      <c r="UH141" s="23"/>
      <c r="UI141" s="23"/>
      <c r="UJ141" s="23"/>
      <c r="UK141" s="23"/>
      <c r="UL141" s="23"/>
      <c r="UM141" s="23"/>
      <c r="UN141" s="23"/>
      <c r="UO141" s="23"/>
      <c r="UP141" s="23"/>
      <c r="UQ141" s="23"/>
      <c r="UR141" s="23"/>
      <c r="US141" s="23"/>
      <c r="UT141" s="23"/>
    </row>
    <row r="142" spans="4:566">
      <c r="D142" t="s">
        <v>387</v>
      </c>
      <c r="E142" t="s">
        <v>388</v>
      </c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>
        <v>2</v>
      </c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1"/>
      <c r="DL142" s="31"/>
      <c r="DM142" s="31"/>
      <c r="DN142" s="31"/>
      <c r="DO142" s="31"/>
      <c r="DP142" s="31"/>
      <c r="DQ142" s="31"/>
      <c r="DR142" s="31"/>
      <c r="DS142" s="31"/>
      <c r="DT142" s="31"/>
      <c r="DU142" s="31"/>
      <c r="DV142" s="31"/>
      <c r="DW142" s="31"/>
      <c r="DX142" s="31"/>
      <c r="DY142" s="31"/>
      <c r="DZ142" s="31"/>
      <c r="EA142" s="31"/>
      <c r="EB142" s="31"/>
      <c r="EC142" s="31"/>
      <c r="ED142" s="31"/>
      <c r="EE142" s="31"/>
      <c r="EF142" s="31"/>
      <c r="EG142" s="31"/>
      <c r="EH142" s="31"/>
      <c r="EI142" s="31"/>
      <c r="EJ142" s="31"/>
      <c r="EK142" s="31"/>
      <c r="EL142" s="31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1"/>
      <c r="EZ142" s="31"/>
      <c r="FA142" s="31"/>
      <c r="FB142" s="31"/>
      <c r="FC142" s="31"/>
      <c r="FD142" s="31"/>
      <c r="FE142" s="31"/>
      <c r="FF142" s="31"/>
      <c r="FG142" s="31"/>
      <c r="FH142" s="31"/>
      <c r="FI142" s="31"/>
      <c r="FJ142" s="31"/>
      <c r="FK142" s="31"/>
      <c r="FL142" s="31"/>
      <c r="FM142" s="31"/>
      <c r="FN142" s="31"/>
      <c r="FO142" s="31"/>
      <c r="FP142" s="31"/>
      <c r="FQ142" s="31"/>
      <c r="FR142" s="31"/>
      <c r="FS142" s="31"/>
      <c r="FT142" s="31"/>
      <c r="FU142" s="31"/>
      <c r="FV142" s="31"/>
      <c r="FW142" s="31"/>
      <c r="FX142" s="31"/>
      <c r="FY142" s="31"/>
      <c r="FZ142" s="31"/>
      <c r="GA142" s="31"/>
      <c r="GB142" s="31"/>
      <c r="GC142" s="31"/>
      <c r="GD142" s="31"/>
      <c r="GE142" s="31">
        <v>1.8</v>
      </c>
      <c r="GF142" s="31"/>
      <c r="GG142" s="31"/>
      <c r="GH142" s="31"/>
      <c r="GI142" s="31"/>
      <c r="GJ142" s="31"/>
      <c r="GK142" s="31"/>
      <c r="GL142" s="31"/>
      <c r="GM142" s="31"/>
      <c r="GN142" s="31"/>
      <c r="GO142" s="31"/>
      <c r="GP142" s="31"/>
      <c r="GQ142" s="31"/>
      <c r="GR142" s="31"/>
      <c r="GS142" s="31"/>
      <c r="GT142" s="31"/>
      <c r="GU142" s="31"/>
      <c r="GV142" s="31"/>
      <c r="GW142" s="31"/>
      <c r="GX142" s="31"/>
      <c r="GY142" s="31"/>
      <c r="GZ142" s="31"/>
      <c r="HA142" s="31"/>
      <c r="HB142" s="31"/>
      <c r="HC142" s="31"/>
      <c r="HD142" s="31"/>
      <c r="HE142" s="31"/>
      <c r="HF142" s="31"/>
      <c r="HG142" s="31"/>
      <c r="HH142" s="31"/>
      <c r="HI142" s="31"/>
      <c r="HJ142" s="31"/>
      <c r="HK142" s="31"/>
      <c r="HL142" s="31"/>
      <c r="HM142" s="31"/>
      <c r="HN142" s="31"/>
      <c r="HO142" s="31"/>
      <c r="HP142" s="31"/>
      <c r="HQ142" s="31"/>
      <c r="HR142" s="31"/>
      <c r="HS142" s="31"/>
      <c r="HT142" s="31"/>
      <c r="HU142" s="31"/>
      <c r="HV142" s="31"/>
      <c r="HW142" s="31"/>
      <c r="HX142" s="31"/>
      <c r="HY142" s="31"/>
      <c r="HZ142" s="31"/>
      <c r="IA142" s="31"/>
      <c r="IB142" s="31"/>
      <c r="IC142" s="31"/>
      <c r="ID142" s="31"/>
      <c r="IE142" s="31"/>
      <c r="IF142" s="31"/>
      <c r="IG142" s="31"/>
      <c r="IH142" s="31"/>
      <c r="II142" s="31"/>
      <c r="IJ142" s="31"/>
      <c r="IK142" s="31"/>
      <c r="IL142" s="31"/>
      <c r="IM142" s="31"/>
      <c r="IN142" s="31"/>
      <c r="IO142" s="31"/>
      <c r="IP142" s="31"/>
      <c r="IQ142" s="31"/>
      <c r="IR142" s="31"/>
      <c r="IS142" s="31"/>
      <c r="IT142" s="31"/>
      <c r="IU142" s="31"/>
      <c r="IV142" s="31"/>
      <c r="IW142" s="31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  <c r="JH142" s="31"/>
      <c r="JI142" s="31"/>
      <c r="JJ142" s="31"/>
      <c r="JK142" s="31"/>
      <c r="JL142" s="31"/>
      <c r="JM142" s="31"/>
      <c r="JN142" s="31"/>
      <c r="JO142" s="31"/>
      <c r="JP142" s="31"/>
      <c r="JQ142" s="31"/>
      <c r="JR142" s="31"/>
      <c r="JS142" s="31">
        <v>1.8</v>
      </c>
      <c r="JT142" s="31"/>
      <c r="JU142" s="31"/>
      <c r="JV142" s="31"/>
      <c r="JW142" s="31"/>
      <c r="JX142" s="31"/>
      <c r="JY142" s="31"/>
      <c r="JZ142" s="31"/>
      <c r="KA142" s="31"/>
      <c r="KB142" s="31"/>
      <c r="KC142" s="31"/>
      <c r="KD142" s="31"/>
      <c r="KE142" s="31"/>
      <c r="KF142" s="31"/>
      <c r="KG142" s="31"/>
      <c r="KH142" s="31"/>
      <c r="KI142" s="31"/>
      <c r="KJ142" s="31"/>
      <c r="KK142" s="31"/>
      <c r="KL142" s="31"/>
      <c r="KM142" s="31"/>
      <c r="KN142" s="31"/>
      <c r="KO142" s="31"/>
      <c r="KP142" s="31"/>
      <c r="KQ142" s="31"/>
      <c r="KR142" s="31"/>
      <c r="KS142" s="31"/>
      <c r="KT142" s="31"/>
      <c r="KU142" s="31"/>
      <c r="KV142" s="31"/>
      <c r="KW142" s="31"/>
      <c r="KX142" s="31"/>
      <c r="KY142" s="31"/>
      <c r="KZ142" s="31"/>
      <c r="LA142" s="31"/>
      <c r="LB142" s="31"/>
      <c r="LC142" s="31"/>
      <c r="LD142" s="31"/>
      <c r="LE142" s="31"/>
      <c r="LF142" s="31"/>
      <c r="LG142" s="31"/>
      <c r="LH142" s="31"/>
      <c r="LI142" s="31"/>
      <c r="LJ142" s="31"/>
      <c r="LK142" s="31"/>
      <c r="LL142" s="31"/>
      <c r="LM142" s="31"/>
      <c r="LN142" s="31"/>
      <c r="LO142" s="31"/>
      <c r="LP142" s="31"/>
      <c r="LQ142" s="31"/>
      <c r="LR142" s="31"/>
      <c r="LS142" s="31"/>
      <c r="LT142" s="31"/>
      <c r="LU142" s="31"/>
      <c r="LV142" s="31"/>
      <c r="LW142" s="31"/>
      <c r="LX142" s="31"/>
      <c r="LY142" s="31"/>
      <c r="LZ142" s="31"/>
      <c r="MA142" s="31"/>
      <c r="MB142" s="31"/>
      <c r="MC142" s="31"/>
      <c r="MD142" s="31"/>
      <c r="ME142" s="31"/>
      <c r="MF142" s="31"/>
      <c r="MG142" s="31"/>
      <c r="MH142" s="31"/>
      <c r="MI142" s="31"/>
      <c r="MJ142" s="31"/>
      <c r="MK142" s="31"/>
      <c r="ML142" s="31"/>
      <c r="MM142" s="31"/>
      <c r="MN142" s="31"/>
      <c r="MO142" s="31"/>
      <c r="MP142" s="31"/>
      <c r="MQ142" s="31"/>
      <c r="MR142" s="31"/>
      <c r="MS142" s="31"/>
      <c r="MT142" s="31"/>
      <c r="MU142" s="31"/>
      <c r="MV142" s="31"/>
      <c r="MW142" s="31"/>
      <c r="MX142" s="31"/>
      <c r="MY142" s="31"/>
      <c r="MZ142" s="31"/>
      <c r="NA142" s="31"/>
      <c r="NB142" s="31"/>
      <c r="NC142" s="31"/>
      <c r="ND142" s="31"/>
      <c r="NE142" s="31"/>
      <c r="NF142" s="31"/>
      <c r="NG142" s="31">
        <v>1</v>
      </c>
      <c r="NH142" s="31"/>
      <c r="NI142" s="31"/>
      <c r="NJ142" s="31"/>
      <c r="NK142" s="31"/>
      <c r="NL142" s="31"/>
      <c r="NM142" s="31"/>
      <c r="NN142" s="31"/>
      <c r="NO142" s="31"/>
      <c r="NP142" s="31"/>
      <c r="NQ142" s="31"/>
      <c r="NR142" s="31"/>
      <c r="NS142" s="31"/>
      <c r="NT142" s="31"/>
      <c r="NU142" s="31"/>
      <c r="NV142" s="31"/>
      <c r="NW142" s="31"/>
      <c r="NX142" s="31"/>
      <c r="NY142" s="31"/>
      <c r="NZ142" s="31"/>
      <c r="OA142" s="31"/>
      <c r="OB142" s="31"/>
      <c r="OC142" s="31"/>
      <c r="OD142" s="31"/>
      <c r="OE142" s="31"/>
      <c r="OF142" s="31"/>
      <c r="OG142" s="31"/>
      <c r="OH142" s="31"/>
      <c r="OI142" s="31"/>
      <c r="OJ142" s="31"/>
      <c r="OK142" s="31"/>
      <c r="OL142" s="31"/>
      <c r="OM142" s="31"/>
      <c r="ON142" s="31"/>
      <c r="OO142" s="31"/>
      <c r="OP142" s="31"/>
      <c r="OQ142" s="31"/>
      <c r="OR142" s="31"/>
      <c r="OS142" s="31"/>
      <c r="OT142" s="31"/>
      <c r="OU142" s="31"/>
      <c r="OV142" s="31"/>
      <c r="OW142" s="31"/>
      <c r="OX142" s="31"/>
      <c r="OY142" s="31"/>
      <c r="OZ142" s="31"/>
      <c r="PA142" s="31"/>
      <c r="PB142" s="31"/>
      <c r="PC142" s="31"/>
      <c r="PD142" s="31"/>
      <c r="PE142" s="31"/>
      <c r="PF142" s="31"/>
      <c r="PG142" s="31"/>
      <c r="PH142" s="31"/>
      <c r="PI142" s="31"/>
      <c r="PJ142" s="31"/>
      <c r="PK142" s="31"/>
      <c r="PL142" s="31"/>
      <c r="PM142" s="31"/>
      <c r="PN142" s="31"/>
      <c r="PO142" s="31"/>
      <c r="PP142" s="31"/>
      <c r="PQ142" s="31"/>
      <c r="PR142" s="31"/>
      <c r="PS142" s="31"/>
      <c r="PT142" s="31"/>
      <c r="PU142" s="31"/>
      <c r="PV142" s="31"/>
      <c r="PW142" s="31"/>
      <c r="PX142" s="31"/>
      <c r="PY142" s="31"/>
      <c r="PZ142" s="31"/>
      <c r="QA142" s="31"/>
      <c r="QB142" s="31"/>
      <c r="QC142" s="31"/>
      <c r="QD142" s="31"/>
      <c r="QE142" s="31"/>
      <c r="QF142" s="31"/>
      <c r="QG142" s="31"/>
      <c r="QH142" s="31"/>
      <c r="QI142" s="31"/>
      <c r="QJ142" s="31"/>
      <c r="QK142" s="31"/>
      <c r="QL142" s="31"/>
      <c r="QM142" s="31"/>
      <c r="QN142" s="31"/>
      <c r="QO142" s="31"/>
      <c r="QP142" s="31"/>
      <c r="QQ142" s="31"/>
      <c r="QR142" s="31"/>
      <c r="QS142" s="31">
        <v>0.7</v>
      </c>
      <c r="QT142" s="31"/>
      <c r="QU142" s="31"/>
      <c r="QV142" s="31"/>
      <c r="QW142" s="31"/>
      <c r="QX142" s="31"/>
      <c r="QY142" s="31"/>
      <c r="QZ142" s="31"/>
      <c r="RA142" s="31"/>
      <c r="RB142" s="31"/>
      <c r="RC142" s="31"/>
      <c r="RD142" s="31"/>
      <c r="RE142" s="31"/>
      <c r="RF142" s="31"/>
      <c r="RG142" s="31"/>
      <c r="RH142" s="31"/>
      <c r="RI142" s="31"/>
      <c r="RJ142" s="31"/>
      <c r="RK142" s="31"/>
      <c r="RL142" s="31"/>
      <c r="RM142" s="31"/>
      <c r="RN142" s="31"/>
      <c r="RO142" s="31"/>
      <c r="RP142" s="31"/>
      <c r="RQ142" s="31"/>
      <c r="RR142" s="31"/>
      <c r="RS142" s="31"/>
      <c r="RT142" s="31"/>
      <c r="RU142" s="31"/>
      <c r="RV142" s="31"/>
      <c r="RW142" s="31"/>
      <c r="RX142" s="31"/>
      <c r="RY142" s="31"/>
      <c r="RZ142" s="31"/>
      <c r="SA142" s="31"/>
      <c r="SB142" s="31"/>
      <c r="SC142" s="31"/>
      <c r="SD142" s="31"/>
      <c r="SE142" s="31"/>
      <c r="SF142" s="31"/>
      <c r="SG142" s="31"/>
      <c r="SH142" s="31"/>
      <c r="SI142" s="31"/>
      <c r="SJ142" s="31"/>
      <c r="SK142" s="31"/>
      <c r="SL142" s="31"/>
      <c r="SM142" s="31"/>
      <c r="SN142" s="31"/>
      <c r="SO142" s="31"/>
      <c r="SP142" s="31"/>
      <c r="SQ142" s="31"/>
      <c r="SR142" s="31"/>
      <c r="SS142" s="31"/>
      <c r="ST142" s="23"/>
      <c r="SU142" s="23"/>
      <c r="SV142" s="23"/>
      <c r="SW142" s="23"/>
      <c r="SX142" s="23"/>
      <c r="SY142" s="23"/>
      <c r="SZ142" s="23"/>
      <c r="TA142" s="23"/>
      <c r="TB142" s="23"/>
      <c r="TC142" s="23"/>
      <c r="TD142" s="23"/>
      <c r="TE142" s="23"/>
      <c r="TF142" s="23"/>
      <c r="TG142" s="23"/>
      <c r="TH142" s="23"/>
      <c r="TI142" s="23"/>
      <c r="TJ142" s="23"/>
      <c r="TK142" s="23"/>
      <c r="TL142" s="23"/>
      <c r="TM142" s="23"/>
      <c r="TN142" s="23"/>
      <c r="TO142" s="23"/>
      <c r="TP142" s="23"/>
      <c r="TQ142" s="23"/>
      <c r="TR142" s="23"/>
      <c r="TS142" s="23"/>
      <c r="TT142" s="23"/>
      <c r="TU142" s="23"/>
      <c r="TV142" s="23"/>
      <c r="TW142" s="23"/>
      <c r="TX142" s="23"/>
      <c r="TY142" s="23"/>
      <c r="TZ142" s="23"/>
      <c r="UA142" s="23"/>
      <c r="UB142" s="23"/>
      <c r="UC142" s="23"/>
      <c r="UD142" s="23"/>
      <c r="UE142" s="23"/>
      <c r="UF142" s="23"/>
      <c r="UG142" s="23"/>
      <c r="UH142" s="23"/>
      <c r="UI142" s="23"/>
      <c r="UJ142" s="23"/>
      <c r="UK142" s="23"/>
      <c r="UL142" s="23"/>
      <c r="UM142" s="23"/>
      <c r="UN142" s="23"/>
      <c r="UO142" s="23"/>
      <c r="UP142" s="23"/>
      <c r="UQ142" s="23"/>
      <c r="UR142" s="23"/>
      <c r="US142" s="23"/>
      <c r="UT142" s="23"/>
    </row>
    <row r="143" spans="4:566">
      <c r="D143" t="s">
        <v>389</v>
      </c>
      <c r="E143" t="s">
        <v>390</v>
      </c>
      <c r="F143" s="31"/>
      <c r="G143" s="31">
        <v>5617821.4</v>
      </c>
      <c r="H143" s="31"/>
      <c r="I143" s="31"/>
      <c r="J143" s="31"/>
      <c r="K143" s="31"/>
      <c r="L143" s="31"/>
      <c r="M143" s="31"/>
      <c r="N143" s="31">
        <v>5616630.8</v>
      </c>
      <c r="O143" s="31"/>
      <c r="P143" s="31"/>
      <c r="Q143" s="31"/>
      <c r="R143" s="31"/>
      <c r="S143" s="31"/>
      <c r="T143" s="31"/>
      <c r="U143" s="31">
        <v>5621662.5</v>
      </c>
      <c r="V143" s="31"/>
      <c r="W143" s="31"/>
      <c r="X143" s="31"/>
      <c r="Y143" s="31"/>
      <c r="Z143" s="31"/>
      <c r="AA143" s="31"/>
      <c r="AB143" s="31">
        <v>5627539.9</v>
      </c>
      <c r="AC143" s="31"/>
      <c r="AD143" s="31"/>
      <c r="AE143" s="31"/>
      <c r="AF143" s="31"/>
      <c r="AG143" s="31"/>
      <c r="AH143" s="31"/>
      <c r="AI143" s="31">
        <v>5626492.2</v>
      </c>
      <c r="AJ143" s="31"/>
      <c r="AK143" s="31"/>
      <c r="AL143" s="31"/>
      <c r="AM143" s="31"/>
      <c r="AN143" s="31"/>
      <c r="AO143" s="31"/>
      <c r="AP143" s="31">
        <v>5628070.4</v>
      </c>
      <c r="AQ143" s="31"/>
      <c r="AR143" s="31"/>
      <c r="AS143" s="31"/>
      <c r="AT143" s="31"/>
      <c r="AU143" s="31"/>
      <c r="AV143" s="31"/>
      <c r="AW143" s="31">
        <v>5635816.5</v>
      </c>
      <c r="AX143" s="31"/>
      <c r="AY143" s="31"/>
      <c r="AZ143" s="31"/>
      <c r="BA143" s="31"/>
      <c r="BB143" s="31"/>
      <c r="BC143" s="31"/>
      <c r="BD143" s="31">
        <v>5637957.2</v>
      </c>
      <c r="BE143" s="31"/>
      <c r="BF143" s="31"/>
      <c r="BG143" s="31"/>
      <c r="BH143" s="31"/>
      <c r="BI143" s="31"/>
      <c r="BJ143" s="31"/>
      <c r="BK143" s="31">
        <v>5642827</v>
      </c>
      <c r="BL143" s="31"/>
      <c r="BM143" s="31"/>
      <c r="BN143" s="31"/>
      <c r="BO143" s="31"/>
      <c r="BP143" s="31"/>
      <c r="BQ143" s="31"/>
      <c r="BR143" s="31">
        <v>5639179.7</v>
      </c>
      <c r="BS143" s="31"/>
      <c r="BT143" s="31"/>
      <c r="BU143" s="31"/>
      <c r="BV143" s="31"/>
      <c r="BW143" s="31"/>
      <c r="BX143" s="31"/>
      <c r="BY143" s="31">
        <v>5643911.8</v>
      </c>
      <c r="BZ143" s="31"/>
      <c r="CA143" s="31"/>
      <c r="CB143" s="31"/>
      <c r="CC143" s="31"/>
      <c r="CD143" s="31"/>
      <c r="CE143" s="31"/>
      <c r="CF143" s="31">
        <v>5644225</v>
      </c>
      <c r="CG143" s="31"/>
      <c r="CH143" s="31"/>
      <c r="CI143" s="31"/>
      <c r="CJ143" s="31"/>
      <c r="CK143" s="31"/>
      <c r="CL143" s="31"/>
      <c r="CM143" s="31">
        <v>5642539.5</v>
      </c>
      <c r="CN143" s="31"/>
      <c r="CO143" s="31"/>
      <c r="CP143" s="31"/>
      <c r="CQ143" s="31"/>
      <c r="CR143" s="31"/>
      <c r="CS143" s="31"/>
      <c r="CT143" s="31">
        <v>5639951.2</v>
      </c>
      <c r="CU143" s="31"/>
      <c r="CV143" s="31"/>
      <c r="CW143" s="31"/>
      <c r="CX143" s="31"/>
      <c r="CY143" s="31"/>
      <c r="CZ143" s="31"/>
      <c r="DA143" s="31">
        <v>5643936.9</v>
      </c>
      <c r="DB143" s="31"/>
      <c r="DC143" s="31"/>
      <c r="DD143" s="31"/>
      <c r="DE143" s="31"/>
      <c r="DF143" s="31"/>
      <c r="DG143" s="31"/>
      <c r="DH143" s="31">
        <v>5646233.2</v>
      </c>
      <c r="DI143" s="31"/>
      <c r="DJ143" s="31"/>
      <c r="DK143" s="31"/>
      <c r="DL143" s="31"/>
      <c r="DM143" s="31"/>
      <c r="DN143" s="31"/>
      <c r="DO143" s="31">
        <v>5651268.6</v>
      </c>
      <c r="DP143" s="31"/>
      <c r="DQ143" s="31"/>
      <c r="DR143" s="31"/>
      <c r="DS143" s="31"/>
      <c r="DT143" s="31"/>
      <c r="DU143" s="31"/>
      <c r="DV143" s="31">
        <v>5655353.9</v>
      </c>
      <c r="DW143" s="31"/>
      <c r="DX143" s="31"/>
      <c r="DY143" s="31"/>
      <c r="DZ143" s="31"/>
      <c r="EA143" s="31"/>
      <c r="EB143" s="31"/>
      <c r="EC143" s="31">
        <v>5655709</v>
      </c>
      <c r="ED143" s="31"/>
      <c r="EE143" s="31"/>
      <c r="EF143" s="31"/>
      <c r="EG143" s="31"/>
      <c r="EH143" s="31"/>
      <c r="EI143" s="31"/>
      <c r="EJ143" s="31">
        <v>5657366.3</v>
      </c>
      <c r="EK143" s="31"/>
      <c r="EL143" s="31"/>
      <c r="EM143" s="31"/>
      <c r="EN143" s="31"/>
      <c r="EO143" s="31"/>
      <c r="EP143" s="31"/>
      <c r="EQ143" s="31">
        <v>5659471.9</v>
      </c>
      <c r="ER143" s="31"/>
      <c r="ES143" s="31"/>
      <c r="ET143" s="31"/>
      <c r="EU143" s="31"/>
      <c r="EV143" s="31"/>
      <c r="EW143" s="31"/>
      <c r="EX143" s="31">
        <v>5660268.9</v>
      </c>
      <c r="EY143" s="31"/>
      <c r="EZ143" s="31"/>
      <c r="FA143" s="31"/>
      <c r="FB143" s="31"/>
      <c r="FC143" s="31"/>
      <c r="FD143" s="31"/>
      <c r="FE143" s="31">
        <v>5666094.8</v>
      </c>
      <c r="FF143" s="31"/>
      <c r="FG143" s="31"/>
      <c r="FH143" s="31"/>
      <c r="FI143" s="31"/>
      <c r="FJ143" s="31"/>
      <c r="FK143" s="31"/>
      <c r="FL143" s="31">
        <v>5669508.1</v>
      </c>
      <c r="FM143" s="31"/>
      <c r="FN143" s="31"/>
      <c r="FO143" s="31"/>
      <c r="FP143" s="31"/>
      <c r="FQ143" s="31"/>
      <c r="FR143" s="31"/>
      <c r="FS143" s="31">
        <v>5669289.3</v>
      </c>
      <c r="FT143" s="31"/>
      <c r="FU143" s="31"/>
      <c r="FV143" s="31"/>
      <c r="FW143" s="31"/>
      <c r="FX143" s="31"/>
      <c r="FY143" s="31"/>
      <c r="FZ143" s="31">
        <v>5667278.6</v>
      </c>
      <c r="GA143" s="31"/>
      <c r="GB143" s="31"/>
      <c r="GC143" s="31"/>
      <c r="GD143" s="31"/>
      <c r="GE143" s="31"/>
      <c r="GF143" s="31"/>
      <c r="GG143" s="31">
        <v>5665417</v>
      </c>
      <c r="GH143" s="31"/>
      <c r="GI143" s="31"/>
      <c r="GJ143" s="31"/>
      <c r="GK143" s="31"/>
      <c r="GL143" s="31"/>
      <c r="GM143" s="31"/>
      <c r="GN143" s="31">
        <v>5668047.7</v>
      </c>
      <c r="GO143" s="31"/>
      <c r="GP143" s="31"/>
      <c r="GQ143" s="31"/>
      <c r="GR143" s="31"/>
      <c r="GS143" s="31"/>
      <c r="GT143" s="31"/>
      <c r="GU143" s="31">
        <v>5672455.5</v>
      </c>
      <c r="GV143" s="31"/>
      <c r="GW143" s="31"/>
      <c r="GX143" s="31"/>
      <c r="GY143" s="31"/>
      <c r="GZ143" s="31"/>
      <c r="HA143" s="31"/>
      <c r="HB143" s="31">
        <v>5674537.9</v>
      </c>
      <c r="HC143" s="31"/>
      <c r="HD143" s="31"/>
      <c r="HE143" s="31"/>
      <c r="HF143" s="31"/>
      <c r="HG143" s="31"/>
      <c r="HH143" s="31"/>
      <c r="HI143" s="31">
        <v>5675809.6</v>
      </c>
      <c r="HJ143" s="31"/>
      <c r="HK143" s="31"/>
      <c r="HL143" s="31"/>
      <c r="HM143" s="31"/>
      <c r="HN143" s="31"/>
      <c r="HO143" s="31"/>
      <c r="HP143" s="31">
        <v>5672144.5</v>
      </c>
      <c r="HQ143" s="31"/>
      <c r="HR143" s="31"/>
      <c r="HS143" s="31"/>
      <c r="HT143" s="31"/>
      <c r="HU143" s="31"/>
      <c r="HV143" s="31"/>
      <c r="HW143" s="31">
        <v>5677916.7</v>
      </c>
      <c r="HX143" s="31"/>
      <c r="HY143" s="31"/>
      <c r="HZ143" s="31"/>
      <c r="IA143" s="31"/>
      <c r="IB143" s="31"/>
      <c r="IC143" s="31"/>
      <c r="ID143" s="31">
        <v>5681067.9</v>
      </c>
      <c r="IE143" s="31"/>
      <c r="IF143" s="31"/>
      <c r="IG143" s="31"/>
      <c r="IH143" s="31"/>
      <c r="II143" s="31"/>
      <c r="IJ143" s="31"/>
      <c r="IK143" s="31">
        <v>5682144.2</v>
      </c>
      <c r="IL143" s="31"/>
      <c r="IM143" s="31"/>
      <c r="IN143" s="31"/>
      <c r="IO143" s="31"/>
      <c r="IP143" s="31"/>
      <c r="IQ143" s="31"/>
      <c r="IR143" s="31">
        <v>5680900.3</v>
      </c>
      <c r="IS143" s="31"/>
      <c r="IT143" s="31"/>
      <c r="IU143" s="31"/>
      <c r="IV143" s="31"/>
      <c r="IW143" s="31"/>
      <c r="IX143" s="31"/>
      <c r="IY143" s="31">
        <v>5683366.6</v>
      </c>
      <c r="IZ143" s="31"/>
      <c r="JA143" s="31"/>
      <c r="JB143" s="31"/>
      <c r="JC143" s="31"/>
      <c r="JD143" s="31"/>
      <c r="JE143" s="31"/>
      <c r="JF143" s="31">
        <v>5686475.3</v>
      </c>
      <c r="JG143" s="31"/>
      <c r="JH143" s="31"/>
      <c r="JI143" s="31"/>
      <c r="JJ143" s="31"/>
      <c r="JK143" s="31"/>
      <c r="JL143" s="31"/>
      <c r="JM143" s="31">
        <v>5690632.8</v>
      </c>
      <c r="JN143" s="31"/>
      <c r="JO143" s="31"/>
      <c r="JP143" s="31"/>
      <c r="JQ143" s="31"/>
      <c r="JR143" s="31"/>
      <c r="JS143" s="31"/>
      <c r="JT143" s="31">
        <v>5687182.1</v>
      </c>
      <c r="JU143" s="31"/>
      <c r="JV143" s="31"/>
      <c r="JW143" s="31"/>
      <c r="JX143" s="31"/>
      <c r="JY143" s="31"/>
      <c r="JZ143" s="31"/>
      <c r="KA143" s="31">
        <v>5691446.9</v>
      </c>
      <c r="KB143" s="31"/>
      <c r="KC143" s="31"/>
      <c r="KD143" s="31"/>
      <c r="KE143" s="31"/>
      <c r="KF143" s="31"/>
      <c r="KG143" s="31"/>
      <c r="KH143" s="31">
        <v>5699697.6</v>
      </c>
      <c r="KI143" s="31"/>
      <c r="KJ143" s="31"/>
      <c r="KK143" s="31"/>
      <c r="KL143" s="31"/>
      <c r="KM143" s="31"/>
      <c r="KN143" s="31"/>
      <c r="KO143" s="31">
        <v>5705625.8</v>
      </c>
      <c r="KP143" s="31"/>
      <c r="KQ143" s="31"/>
      <c r="KR143" s="31"/>
      <c r="KS143" s="31"/>
      <c r="KT143" s="31"/>
      <c r="KU143" s="31"/>
      <c r="KV143" s="31">
        <v>5707908.7</v>
      </c>
      <c r="KW143" s="31"/>
      <c r="KX143" s="31"/>
      <c r="KY143" s="31"/>
      <c r="KZ143" s="31"/>
      <c r="LA143" s="31"/>
      <c r="LB143" s="31"/>
      <c r="LC143" s="31">
        <v>5706295.8</v>
      </c>
      <c r="LD143" s="31"/>
      <c r="LE143" s="31"/>
      <c r="LF143" s="31"/>
      <c r="LG143" s="31"/>
      <c r="LH143" s="31"/>
      <c r="LI143" s="31"/>
      <c r="LJ143" s="31">
        <v>5712762.4</v>
      </c>
      <c r="LK143" s="31"/>
      <c r="LL143" s="31"/>
      <c r="LM143" s="31"/>
      <c r="LN143" s="31"/>
      <c r="LO143" s="31"/>
      <c r="LP143" s="31"/>
      <c r="LQ143" s="31">
        <v>5720257.5</v>
      </c>
      <c r="LR143" s="31"/>
      <c r="LS143" s="31"/>
      <c r="LT143" s="31"/>
      <c r="LU143" s="31"/>
      <c r="LV143" s="31"/>
      <c r="LW143" s="31"/>
      <c r="LX143" s="31">
        <v>5724841.8</v>
      </c>
      <c r="LY143" s="31"/>
      <c r="LZ143" s="31"/>
      <c r="MA143" s="31"/>
      <c r="MB143" s="31"/>
      <c r="MC143" s="31"/>
      <c r="MD143" s="31"/>
      <c r="ME143" s="31">
        <v>5726145.1</v>
      </c>
      <c r="MF143" s="31"/>
      <c r="MG143" s="31"/>
      <c r="MH143" s="31"/>
      <c r="MI143" s="31"/>
      <c r="MJ143" s="31"/>
      <c r="MK143" s="31"/>
      <c r="ML143" s="31">
        <v>5735850.8</v>
      </c>
      <c r="MM143" s="31"/>
      <c r="MN143" s="31"/>
      <c r="MO143" s="31"/>
      <c r="MP143" s="31"/>
      <c r="MQ143" s="31"/>
      <c r="MR143" s="31"/>
      <c r="MS143" s="31">
        <v>5737869.9</v>
      </c>
      <c r="MT143" s="31"/>
      <c r="MU143" s="31"/>
      <c r="MV143" s="31"/>
      <c r="MW143" s="31"/>
      <c r="MX143" s="31"/>
      <c r="MY143" s="31"/>
      <c r="MZ143" s="31">
        <v>5736660.1</v>
      </c>
      <c r="NA143" s="31"/>
      <c r="NB143" s="31"/>
      <c r="NC143" s="31"/>
      <c r="ND143" s="31"/>
      <c r="NE143" s="31"/>
      <c r="NF143" s="31"/>
      <c r="NG143" s="31">
        <v>5733214.8</v>
      </c>
      <c r="NH143" s="31"/>
      <c r="NI143" s="31"/>
      <c r="NJ143" s="31"/>
      <c r="NK143" s="31"/>
      <c r="NL143" s="31"/>
      <c r="NM143" s="31"/>
      <c r="NN143" s="31">
        <v>5738875.7</v>
      </c>
      <c r="NO143" s="31"/>
      <c r="NP143" s="31"/>
      <c r="NQ143" s="31"/>
      <c r="NR143" s="31"/>
      <c r="NS143" s="31"/>
      <c r="NT143" s="31"/>
      <c r="NU143" s="31">
        <v>5744206.9</v>
      </c>
      <c r="NV143" s="31"/>
      <c r="NW143" s="31"/>
      <c r="NX143" s="31"/>
      <c r="NY143" s="31"/>
      <c r="NZ143" s="31"/>
      <c r="OA143" s="31"/>
      <c r="OB143" s="31">
        <v>5751383.7</v>
      </c>
      <c r="OC143" s="31"/>
      <c r="OD143" s="31"/>
      <c r="OE143" s="31"/>
      <c r="OF143" s="31"/>
      <c r="OG143" s="31"/>
      <c r="OH143" s="31"/>
      <c r="OI143" s="31">
        <v>5753101.5</v>
      </c>
      <c r="OJ143" s="31"/>
      <c r="OK143" s="31"/>
      <c r="OL143" s="31"/>
      <c r="OM143" s="31"/>
      <c r="ON143" s="31"/>
      <c r="OO143" s="31"/>
      <c r="OP143" s="31">
        <v>5753149.9</v>
      </c>
      <c r="OQ143" s="31"/>
      <c r="OR143" s="31"/>
      <c r="OS143" s="31"/>
      <c r="OT143" s="31"/>
      <c r="OU143" s="31"/>
      <c r="OV143" s="31"/>
      <c r="OW143" s="31">
        <v>5760548</v>
      </c>
      <c r="OX143" s="31"/>
      <c r="OY143" s="31"/>
      <c r="OZ143" s="31"/>
      <c r="PA143" s="31"/>
      <c r="PB143" s="31"/>
      <c r="PC143" s="31"/>
      <c r="PD143" s="31">
        <v>5764552.8</v>
      </c>
      <c r="PE143" s="31"/>
      <c r="PF143" s="31"/>
      <c r="PG143" s="31"/>
      <c r="PH143" s="31"/>
      <c r="PI143" s="31"/>
      <c r="PJ143" s="31"/>
      <c r="PK143" s="31">
        <v>5762730.6</v>
      </c>
      <c r="PL143" s="31"/>
      <c r="PM143" s="31"/>
      <c r="PN143" s="31"/>
      <c r="PO143" s="31"/>
      <c r="PP143" s="31"/>
      <c r="PQ143" s="31"/>
      <c r="PR143" s="31">
        <v>5763002.3</v>
      </c>
      <c r="PS143" s="31"/>
      <c r="PT143" s="31"/>
      <c r="PU143" s="31"/>
      <c r="PV143" s="31"/>
      <c r="PW143" s="31"/>
      <c r="PX143" s="31"/>
      <c r="PY143" s="31">
        <v>5760720.3</v>
      </c>
      <c r="PZ143" s="31"/>
      <c r="QA143" s="31"/>
      <c r="QB143" s="31"/>
      <c r="QC143" s="31"/>
      <c r="QD143" s="31"/>
      <c r="QE143" s="31"/>
      <c r="QF143" s="31">
        <v>5762828.6</v>
      </c>
      <c r="QG143" s="31"/>
      <c r="QH143" s="31"/>
      <c r="QI143" s="31"/>
      <c r="QJ143" s="31"/>
      <c r="QK143" s="31"/>
      <c r="QL143" s="31"/>
      <c r="QM143" s="31">
        <v>5769382.1</v>
      </c>
      <c r="QN143" s="31"/>
      <c r="QO143" s="31"/>
      <c r="QP143" s="31"/>
      <c r="QQ143" s="31"/>
      <c r="QR143" s="31"/>
      <c r="QS143" s="31"/>
      <c r="QT143" s="31">
        <v>5769585.6</v>
      </c>
      <c r="QU143" s="31"/>
      <c r="QV143" s="31"/>
      <c r="QW143" s="31"/>
      <c r="QX143" s="31"/>
      <c r="QY143" s="31"/>
      <c r="QZ143" s="31"/>
      <c r="RA143" s="31">
        <v>5771010.5</v>
      </c>
      <c r="RB143" s="31"/>
      <c r="RC143" s="31"/>
      <c r="RD143" s="31"/>
      <c r="RE143" s="31"/>
      <c r="RF143" s="31"/>
      <c r="RG143" s="31"/>
      <c r="RH143" s="31">
        <v>5775849.8</v>
      </c>
      <c r="RI143" s="31"/>
      <c r="RJ143" s="31"/>
      <c r="RK143" s="31"/>
      <c r="RL143" s="31"/>
      <c r="RM143" s="31"/>
      <c r="RN143" s="31"/>
      <c r="RO143" s="31">
        <v>5778122.3</v>
      </c>
      <c r="RP143" s="31"/>
      <c r="RQ143" s="31"/>
      <c r="RR143" s="31"/>
      <c r="RS143" s="31"/>
      <c r="RT143" s="31"/>
      <c r="RU143" s="31"/>
      <c r="RV143" s="31">
        <v>5777550.3</v>
      </c>
      <c r="RW143" s="31"/>
      <c r="RX143" s="31"/>
      <c r="RY143" s="31"/>
      <c r="RZ143" s="31"/>
      <c r="SA143" s="31"/>
      <c r="SB143" s="31"/>
      <c r="SC143" s="31">
        <v>5783655.1</v>
      </c>
      <c r="SD143" s="31"/>
      <c r="SE143" s="31"/>
      <c r="SF143" s="31"/>
      <c r="SG143" s="31"/>
      <c r="SH143" s="31"/>
      <c r="SI143" s="31"/>
      <c r="SJ143" s="31">
        <v>5785021.6</v>
      </c>
      <c r="SK143" s="31"/>
      <c r="SL143" s="31"/>
      <c r="SM143" s="31"/>
      <c r="SN143" s="31"/>
      <c r="SO143" s="31"/>
      <c r="SP143" s="31"/>
      <c r="SQ143" s="31">
        <v>5791822.1</v>
      </c>
      <c r="SR143" s="31"/>
      <c r="SS143" s="31"/>
      <c r="ST143" s="23"/>
      <c r="SU143" s="23"/>
      <c r="SV143" s="23"/>
      <c r="SW143" s="23"/>
      <c r="SX143" s="23">
        <v>5789673.3</v>
      </c>
      <c r="SY143" s="23"/>
      <c r="SZ143" s="23"/>
      <c r="TA143" s="23"/>
      <c r="TB143" s="23"/>
      <c r="TC143" s="23"/>
      <c r="TD143" s="23"/>
      <c r="TE143" s="23">
        <v>5791823.9</v>
      </c>
      <c r="TF143" s="23"/>
      <c r="TG143" s="23"/>
      <c r="TH143" s="23"/>
      <c r="TI143" s="23"/>
      <c r="TJ143" s="23"/>
      <c r="TK143" s="23"/>
      <c r="TL143" s="23">
        <v>5798466.3</v>
      </c>
      <c r="TM143" s="23"/>
      <c r="TN143" s="23"/>
      <c r="TO143" s="23"/>
      <c r="TP143" s="23"/>
      <c r="TQ143" s="23"/>
      <c r="TR143" s="23"/>
      <c r="TS143" s="23">
        <v>5800868.7</v>
      </c>
      <c r="TT143" s="23"/>
      <c r="TU143" s="23"/>
      <c r="TV143" s="23"/>
      <c r="TW143" s="23"/>
      <c r="TX143" s="23"/>
      <c r="TY143" s="23"/>
      <c r="TZ143" s="23">
        <v>5798603.8</v>
      </c>
      <c r="UA143" s="23"/>
      <c r="UB143" s="23"/>
      <c r="UC143" s="23"/>
      <c r="UD143" s="23"/>
      <c r="UE143" s="23"/>
      <c r="UF143" s="23"/>
      <c r="UG143" s="23"/>
      <c r="UH143" s="23"/>
      <c r="UI143" s="23"/>
      <c r="UJ143" s="23"/>
      <c r="UK143" s="23"/>
      <c r="UL143" s="23"/>
      <c r="UM143" s="23"/>
      <c r="UN143" s="23"/>
      <c r="UO143" s="23"/>
      <c r="UP143" s="23"/>
      <c r="UQ143" s="23"/>
      <c r="UR143" s="23"/>
      <c r="US143" s="23"/>
      <c r="UT143" s="23"/>
    </row>
    <row r="144" spans="4:566">
      <c r="D144" t="s">
        <v>423</v>
      </c>
      <c r="E144" t="s">
        <v>237</v>
      </c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>
        <v>43856</v>
      </c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>
        <v>60189</v>
      </c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  <c r="DI144" s="31"/>
      <c r="DJ144" s="31"/>
      <c r="DK144" s="31"/>
      <c r="DL144" s="31"/>
      <c r="DM144" s="31"/>
      <c r="DN144" s="31"/>
      <c r="DO144" s="31"/>
      <c r="DP144" s="31"/>
      <c r="DQ144" s="31"/>
      <c r="DR144" s="31"/>
      <c r="DS144" s="31"/>
      <c r="DT144" s="31"/>
      <c r="DU144" s="31"/>
      <c r="DV144" s="31">
        <v>80616</v>
      </c>
      <c r="DW144" s="31"/>
      <c r="DX144" s="31"/>
      <c r="DY144" s="31"/>
      <c r="DZ144" s="31"/>
      <c r="EA144" s="31"/>
      <c r="EB144" s="31"/>
      <c r="EC144" s="31"/>
      <c r="ED144" s="31"/>
      <c r="EE144" s="31"/>
      <c r="EF144" s="31"/>
      <c r="EG144" s="31"/>
      <c r="EH144" s="31"/>
      <c r="EI144" s="31"/>
      <c r="EJ144" s="31"/>
      <c r="EK144" s="31"/>
      <c r="EL144" s="31"/>
      <c r="EM144" s="31"/>
      <c r="EN144" s="31"/>
      <c r="EO144" s="31"/>
      <c r="EP144" s="31"/>
      <c r="EQ144" s="31"/>
      <c r="ER144" s="31"/>
      <c r="ES144" s="31"/>
      <c r="ET144" s="31"/>
      <c r="EU144" s="31"/>
      <c r="EV144" s="31"/>
      <c r="EW144" s="31"/>
      <c r="EX144" s="31"/>
      <c r="EY144" s="31"/>
      <c r="EZ144" s="31"/>
      <c r="FA144" s="31">
        <v>96623</v>
      </c>
      <c r="FB144" s="31"/>
      <c r="FC144" s="31"/>
      <c r="FD144" s="31"/>
      <c r="FE144" s="31"/>
      <c r="FF144" s="31"/>
      <c r="FG144" s="31"/>
      <c r="FH144" s="31"/>
      <c r="FI144" s="31"/>
      <c r="FJ144" s="31"/>
      <c r="FK144" s="31"/>
      <c r="FL144" s="31"/>
      <c r="FM144" s="31"/>
      <c r="FN144" s="31"/>
      <c r="FO144" s="31"/>
      <c r="FP144" s="31"/>
      <c r="FQ144" s="31"/>
      <c r="FR144" s="31"/>
      <c r="FS144" s="31"/>
      <c r="FT144" s="31"/>
      <c r="FU144" s="31"/>
      <c r="FV144" s="31"/>
      <c r="FW144" s="31"/>
      <c r="FX144" s="31"/>
      <c r="FY144" s="31"/>
      <c r="FZ144" s="31"/>
      <c r="GA144" s="31"/>
      <c r="GB144" s="31"/>
      <c r="GC144" s="31"/>
      <c r="GD144" s="31"/>
      <c r="GE144" s="31">
        <v>115566</v>
      </c>
      <c r="GF144" s="31"/>
      <c r="GG144" s="31"/>
      <c r="GH144" s="31"/>
      <c r="GI144" s="31"/>
      <c r="GJ144" s="31"/>
      <c r="GK144" s="31"/>
      <c r="GL144" s="31"/>
      <c r="GM144" s="31"/>
      <c r="GN144" s="31"/>
      <c r="GO144" s="31"/>
      <c r="GP144" s="31"/>
      <c r="GQ144" s="31"/>
      <c r="GR144" s="31"/>
      <c r="GS144" s="31"/>
      <c r="GT144" s="31"/>
      <c r="GU144" s="31"/>
      <c r="GV144" s="31"/>
      <c r="GW144" s="31"/>
      <c r="GX144" s="31"/>
      <c r="GY144" s="31"/>
      <c r="GZ144" s="31"/>
      <c r="HA144" s="31"/>
      <c r="HB144" s="31"/>
      <c r="HC144" s="31"/>
      <c r="HD144" s="31"/>
      <c r="HE144" s="31"/>
      <c r="HF144" s="31"/>
      <c r="HG144" s="31"/>
      <c r="HH144" s="31"/>
      <c r="HI144" s="31"/>
      <c r="HJ144" s="31">
        <v>135839</v>
      </c>
      <c r="HK144" s="31"/>
      <c r="HL144" s="31"/>
      <c r="HM144" s="31"/>
      <c r="HN144" s="31"/>
      <c r="HO144" s="31"/>
      <c r="HP144" s="31"/>
      <c r="HQ144" s="31"/>
      <c r="HR144" s="31"/>
      <c r="HS144" s="31"/>
      <c r="HT144" s="31"/>
      <c r="HU144" s="31"/>
      <c r="HV144" s="31"/>
      <c r="HW144" s="31"/>
      <c r="HX144" s="31"/>
      <c r="HY144" s="31"/>
      <c r="HZ144" s="31"/>
      <c r="IA144" s="31"/>
      <c r="IB144" s="31"/>
      <c r="IC144" s="31"/>
      <c r="ID144" s="31"/>
      <c r="IE144" s="31"/>
      <c r="IF144" s="31"/>
      <c r="IG144" s="31"/>
      <c r="IH144" s="31"/>
      <c r="II144" s="31"/>
      <c r="IJ144" s="31"/>
      <c r="IK144" s="31"/>
      <c r="IL144" s="31"/>
      <c r="IM144" s="31"/>
      <c r="IN144" s="31"/>
      <c r="IO144" s="31">
        <v>148198</v>
      </c>
      <c r="IP144" s="31"/>
      <c r="IQ144" s="31"/>
      <c r="IR144" s="31"/>
      <c r="IS144" s="31"/>
      <c r="IT144" s="31"/>
      <c r="IU144" s="31"/>
      <c r="IV144" s="31"/>
      <c r="IW144" s="31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  <c r="JH144" s="31"/>
      <c r="JI144" s="31"/>
      <c r="JJ144" s="31"/>
      <c r="JK144" s="31"/>
      <c r="JL144" s="31"/>
      <c r="JM144" s="31"/>
      <c r="JN144" s="31"/>
      <c r="JO144" s="31"/>
      <c r="JP144" s="31"/>
      <c r="JQ144" s="31"/>
      <c r="JR144" s="31"/>
      <c r="JS144" s="31">
        <v>163876</v>
      </c>
      <c r="JT144" s="31"/>
      <c r="JU144" s="31"/>
      <c r="JV144" s="31"/>
      <c r="JW144" s="31"/>
      <c r="JX144" s="31"/>
      <c r="JY144" s="31"/>
      <c r="JZ144" s="31"/>
      <c r="KA144" s="31"/>
      <c r="KB144" s="31"/>
      <c r="KC144" s="31"/>
      <c r="KD144" s="31"/>
      <c r="KE144" s="31"/>
      <c r="KF144" s="31"/>
      <c r="KG144" s="31"/>
      <c r="KH144" s="31"/>
      <c r="KI144" s="31"/>
      <c r="KJ144" s="31"/>
      <c r="KK144" s="31"/>
      <c r="KL144" s="31"/>
      <c r="KM144" s="31"/>
      <c r="KN144" s="31"/>
      <c r="KO144" s="31"/>
      <c r="KP144" s="31"/>
      <c r="KQ144" s="31"/>
      <c r="KR144" s="31"/>
      <c r="KS144" s="31"/>
      <c r="KT144" s="31"/>
      <c r="KU144" s="31"/>
      <c r="KV144" s="31"/>
      <c r="KW144" s="31"/>
      <c r="KX144" s="31">
        <v>186490</v>
      </c>
      <c r="KY144" s="31"/>
      <c r="KZ144" s="31"/>
      <c r="LA144" s="31"/>
      <c r="LB144" s="31"/>
      <c r="LC144" s="31"/>
      <c r="LD144" s="31"/>
      <c r="LE144" s="31"/>
      <c r="LF144" s="31"/>
      <c r="LG144" s="31"/>
      <c r="LH144" s="31"/>
      <c r="LI144" s="31"/>
      <c r="LJ144" s="31"/>
      <c r="LK144" s="31"/>
      <c r="LL144" s="31"/>
      <c r="LM144" s="31"/>
      <c r="LN144" s="31"/>
      <c r="LO144" s="31"/>
      <c r="LP144" s="31"/>
      <c r="LQ144" s="31"/>
      <c r="LR144" s="31"/>
      <c r="LS144" s="31"/>
      <c r="LT144" s="31"/>
      <c r="LU144" s="31"/>
      <c r="LV144" s="31"/>
      <c r="LW144" s="31"/>
      <c r="LX144" s="31"/>
      <c r="LY144" s="31"/>
      <c r="LZ144" s="31"/>
      <c r="MA144" s="31"/>
      <c r="MB144" s="31">
        <v>200516</v>
      </c>
      <c r="MC144" s="31"/>
      <c r="MD144" s="31"/>
      <c r="ME144" s="31"/>
      <c r="MF144" s="31"/>
      <c r="MG144" s="31"/>
      <c r="MH144" s="31"/>
      <c r="MI144" s="31"/>
      <c r="MJ144" s="31"/>
      <c r="MK144" s="31"/>
      <c r="ML144" s="31"/>
      <c r="MM144" s="31"/>
      <c r="MN144" s="31"/>
      <c r="MO144" s="31"/>
      <c r="MP144" s="31"/>
      <c r="MQ144" s="31"/>
      <c r="MR144" s="31"/>
      <c r="MS144" s="31"/>
      <c r="MT144" s="31"/>
      <c r="MU144" s="31"/>
      <c r="MV144" s="31"/>
      <c r="MW144" s="31"/>
      <c r="MX144" s="31"/>
      <c r="MY144" s="31"/>
      <c r="MZ144" s="31"/>
      <c r="NA144" s="31"/>
      <c r="NB144" s="31"/>
      <c r="NC144" s="31"/>
      <c r="ND144" s="31"/>
      <c r="NE144" s="31"/>
      <c r="NF144" s="31"/>
      <c r="NG144" s="31">
        <v>216045</v>
      </c>
      <c r="NH144" s="31"/>
      <c r="NI144" s="31"/>
      <c r="NJ144" s="31"/>
      <c r="NK144" s="31"/>
      <c r="NL144" s="31"/>
      <c r="NM144" s="31"/>
      <c r="NN144" s="31"/>
      <c r="NO144" s="31"/>
      <c r="NP144" s="31"/>
      <c r="NQ144" s="31"/>
      <c r="NR144" s="31"/>
      <c r="NS144" s="31"/>
      <c r="NT144" s="31"/>
      <c r="NU144" s="31"/>
      <c r="NV144" s="31"/>
      <c r="NW144" s="31"/>
      <c r="NX144" s="31"/>
      <c r="NY144" s="31"/>
      <c r="NZ144" s="31"/>
      <c r="OA144" s="31"/>
      <c r="OB144" s="31"/>
      <c r="OC144" s="31"/>
      <c r="OD144" s="31"/>
      <c r="OE144" s="31"/>
      <c r="OF144" s="31"/>
      <c r="OG144" s="31"/>
      <c r="OH144" s="31"/>
      <c r="OI144" s="31"/>
      <c r="OJ144" s="31"/>
      <c r="OK144" s="31"/>
      <c r="OL144" s="31"/>
      <c r="OM144" s="31"/>
      <c r="ON144" s="31"/>
      <c r="OO144" s="31"/>
      <c r="OP144" s="31"/>
      <c r="OQ144" s="31"/>
      <c r="OR144" s="31"/>
      <c r="OS144" s="31"/>
      <c r="OT144" s="31"/>
      <c r="OU144" s="31"/>
      <c r="OV144" s="31"/>
      <c r="OW144" s="31"/>
      <c r="OX144" s="31"/>
      <c r="OY144" s="31"/>
      <c r="OZ144" s="31"/>
      <c r="PA144" s="31"/>
      <c r="PB144" s="31"/>
      <c r="PC144" s="31"/>
      <c r="PD144" s="31"/>
      <c r="PE144" s="31"/>
      <c r="PF144" s="31"/>
      <c r="PG144" s="31"/>
      <c r="PH144" s="31"/>
      <c r="PI144" s="31"/>
      <c r="PJ144" s="31"/>
      <c r="PK144" s="31"/>
      <c r="PL144" s="31"/>
      <c r="PM144" s="31"/>
      <c r="PN144" s="31">
        <v>44154</v>
      </c>
      <c r="PO144" s="31"/>
      <c r="PP144" s="31"/>
      <c r="PQ144" s="31"/>
      <c r="PR144" s="31"/>
      <c r="PS144" s="31"/>
      <c r="PT144" s="31"/>
      <c r="PU144" s="31"/>
      <c r="PV144" s="31"/>
      <c r="PW144" s="31"/>
      <c r="PX144" s="31"/>
      <c r="PY144" s="31"/>
      <c r="PZ144" s="31"/>
      <c r="QA144" s="31"/>
      <c r="QB144" s="31"/>
      <c r="QC144" s="31"/>
      <c r="QD144" s="31"/>
      <c r="QE144" s="31"/>
      <c r="QF144" s="31"/>
      <c r="QG144" s="31"/>
      <c r="QH144" s="31"/>
      <c r="QI144" s="31"/>
      <c r="QJ144" s="31"/>
      <c r="QK144" s="31"/>
      <c r="QL144" s="31"/>
      <c r="QM144" s="31"/>
      <c r="QN144" s="31"/>
      <c r="QO144" s="31"/>
      <c r="QP144" s="31"/>
      <c r="QQ144" s="31"/>
      <c r="QR144" s="31"/>
      <c r="QS144" s="31">
        <v>61613</v>
      </c>
      <c r="QT144" s="31"/>
      <c r="QU144" s="31"/>
      <c r="QV144" s="31"/>
      <c r="QW144" s="31"/>
      <c r="QX144" s="31"/>
      <c r="QY144" s="31"/>
      <c r="QZ144" s="31"/>
      <c r="RA144" s="31"/>
      <c r="RB144" s="31"/>
      <c r="RC144" s="31"/>
      <c r="RD144" s="31"/>
      <c r="RE144" s="31"/>
      <c r="RF144" s="31"/>
      <c r="RG144" s="31"/>
      <c r="RH144" s="31"/>
      <c r="RI144" s="31"/>
      <c r="RJ144" s="31"/>
      <c r="RK144" s="31"/>
      <c r="RL144" s="31"/>
      <c r="RM144" s="31"/>
      <c r="RN144" s="31"/>
      <c r="RO144" s="31"/>
      <c r="RP144" s="31"/>
      <c r="RQ144" s="31"/>
      <c r="RR144" s="31"/>
      <c r="RS144" s="31"/>
      <c r="RT144" s="31"/>
      <c r="RU144" s="31"/>
      <c r="RV144" s="31"/>
      <c r="RW144" s="31">
        <v>83404</v>
      </c>
      <c r="RX144" s="31"/>
      <c r="RY144" s="31"/>
      <c r="RZ144" s="31"/>
      <c r="SA144" s="31"/>
      <c r="SB144" s="31"/>
      <c r="SC144" s="31"/>
      <c r="SD144" s="31"/>
      <c r="SE144" s="31"/>
      <c r="SF144" s="31"/>
      <c r="SG144" s="31"/>
      <c r="SH144" s="31"/>
      <c r="SI144" s="31"/>
      <c r="SJ144" s="31"/>
      <c r="SK144" s="31"/>
      <c r="SL144" s="31"/>
      <c r="SM144" s="31"/>
      <c r="SN144" s="31"/>
      <c r="SO144" s="31"/>
      <c r="SP144" s="31"/>
      <c r="SQ144" s="31"/>
      <c r="SR144" s="31"/>
      <c r="SS144" s="31"/>
      <c r="ST144" s="23"/>
      <c r="SU144" s="23"/>
      <c r="SV144" s="23"/>
      <c r="SW144" s="23"/>
      <c r="SX144" s="23"/>
      <c r="SY144" s="23"/>
      <c r="SZ144" s="23"/>
      <c r="TA144" s="23"/>
      <c r="TB144" s="23">
        <v>100465</v>
      </c>
      <c r="TC144" s="23"/>
      <c r="TD144" s="23"/>
      <c r="TE144" s="23"/>
      <c r="TF144" s="23"/>
      <c r="TG144" s="23"/>
      <c r="TH144" s="23"/>
      <c r="TI144" s="23"/>
      <c r="TJ144" s="23"/>
      <c r="TK144" s="23"/>
      <c r="TL144" s="23"/>
      <c r="TM144" s="23"/>
      <c r="TN144" s="23"/>
      <c r="TO144" s="23"/>
      <c r="TP144" s="23"/>
      <c r="TQ144" s="23"/>
      <c r="TR144" s="23"/>
      <c r="TS144" s="23"/>
      <c r="TT144" s="23"/>
      <c r="TU144" s="23"/>
      <c r="TV144" s="23"/>
      <c r="TW144" s="23"/>
      <c r="TX144" s="23"/>
      <c r="TY144" s="23"/>
      <c r="TZ144" s="23"/>
      <c r="UA144" s="23"/>
      <c r="UB144" s="23"/>
      <c r="UC144" s="23"/>
      <c r="UD144" s="23"/>
      <c r="UE144" s="23"/>
      <c r="UF144" s="23"/>
      <c r="UG144" s="23"/>
      <c r="UH144" s="23"/>
      <c r="UI144" s="23"/>
      <c r="UJ144" s="23"/>
      <c r="UK144" s="23"/>
      <c r="UL144" s="23"/>
      <c r="UM144" s="23"/>
      <c r="UN144" s="23"/>
      <c r="UO144" s="23"/>
      <c r="UP144" s="23"/>
      <c r="UQ144" s="23"/>
      <c r="UR144" s="23"/>
      <c r="US144" s="23"/>
      <c r="UT144" s="23"/>
    </row>
    <row r="145" spans="4:566">
      <c r="D145" t="s">
        <v>424</v>
      </c>
      <c r="E145" t="s">
        <v>425</v>
      </c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>
        <v>45096</v>
      </c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>
        <v>72815</v>
      </c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  <c r="DI145" s="31"/>
      <c r="DJ145" s="31"/>
      <c r="DK145" s="31"/>
      <c r="DL145" s="31"/>
      <c r="DM145" s="31"/>
      <c r="DN145" s="31"/>
      <c r="DO145" s="31"/>
      <c r="DP145" s="31"/>
      <c r="DQ145" s="31"/>
      <c r="DR145" s="31"/>
      <c r="DS145" s="31"/>
      <c r="DT145" s="31"/>
      <c r="DU145" s="31"/>
      <c r="DV145" s="31">
        <v>93581</v>
      </c>
      <c r="DW145" s="31"/>
      <c r="DX145" s="31"/>
      <c r="DY145" s="31"/>
      <c r="DZ145" s="31"/>
      <c r="EA145" s="31"/>
      <c r="EB145" s="31"/>
      <c r="EC145" s="31"/>
      <c r="ED145" s="31"/>
      <c r="EE145" s="31"/>
      <c r="EF145" s="31"/>
      <c r="EG145" s="31"/>
      <c r="EH145" s="31"/>
      <c r="EI145" s="31"/>
      <c r="EJ145" s="31"/>
      <c r="EK145" s="31"/>
      <c r="EL145" s="31"/>
      <c r="EM145" s="31"/>
      <c r="EN145" s="31"/>
      <c r="EO145" s="31"/>
      <c r="EP145" s="31"/>
      <c r="EQ145" s="31"/>
      <c r="ER145" s="31"/>
      <c r="ES145" s="31"/>
      <c r="ET145" s="31"/>
      <c r="EU145" s="31"/>
      <c r="EV145" s="31"/>
      <c r="EW145" s="31"/>
      <c r="EX145" s="31"/>
      <c r="EY145" s="31"/>
      <c r="EZ145" s="31"/>
      <c r="FA145" s="31">
        <v>112953</v>
      </c>
      <c r="FB145" s="31"/>
      <c r="FC145" s="31"/>
      <c r="FD145" s="31"/>
      <c r="FE145" s="31"/>
      <c r="FF145" s="31"/>
      <c r="FG145" s="31"/>
      <c r="FH145" s="31"/>
      <c r="FI145" s="31"/>
      <c r="FJ145" s="31"/>
      <c r="FK145" s="31"/>
      <c r="FL145" s="31"/>
      <c r="FM145" s="31"/>
      <c r="FN145" s="31"/>
      <c r="FO145" s="31"/>
      <c r="FP145" s="31"/>
      <c r="FQ145" s="31"/>
      <c r="FR145" s="31"/>
      <c r="FS145" s="31"/>
      <c r="FT145" s="31"/>
      <c r="FU145" s="31"/>
      <c r="FV145" s="31"/>
      <c r="FW145" s="31"/>
      <c r="FX145" s="31"/>
      <c r="FY145" s="31"/>
      <c r="FZ145" s="31"/>
      <c r="GA145" s="31"/>
      <c r="GB145" s="31"/>
      <c r="GC145" s="31"/>
      <c r="GD145" s="31"/>
      <c r="GE145" s="31">
        <v>141271</v>
      </c>
      <c r="GF145" s="31"/>
      <c r="GG145" s="31"/>
      <c r="GH145" s="31"/>
      <c r="GI145" s="31"/>
      <c r="GJ145" s="31"/>
      <c r="GK145" s="31"/>
      <c r="GL145" s="31"/>
      <c r="GM145" s="31"/>
      <c r="GN145" s="31"/>
      <c r="GO145" s="31"/>
      <c r="GP145" s="31"/>
      <c r="GQ145" s="31"/>
      <c r="GR145" s="31"/>
      <c r="GS145" s="31"/>
      <c r="GT145" s="31"/>
      <c r="GU145" s="31"/>
      <c r="GV145" s="31"/>
      <c r="GW145" s="31"/>
      <c r="GX145" s="31"/>
      <c r="GY145" s="31"/>
      <c r="GZ145" s="31"/>
      <c r="HA145" s="31"/>
      <c r="HB145" s="31"/>
      <c r="HC145" s="31"/>
      <c r="HD145" s="31"/>
      <c r="HE145" s="31"/>
      <c r="HF145" s="31"/>
      <c r="HG145" s="31"/>
      <c r="HH145" s="31"/>
      <c r="HI145" s="31"/>
      <c r="HJ145" s="31">
        <v>160737</v>
      </c>
      <c r="HK145" s="31"/>
      <c r="HL145" s="31"/>
      <c r="HM145" s="31"/>
      <c r="HN145" s="31"/>
      <c r="HO145" s="31"/>
      <c r="HP145" s="31"/>
      <c r="HQ145" s="31"/>
      <c r="HR145" s="31"/>
      <c r="HS145" s="31"/>
      <c r="HT145" s="31"/>
      <c r="HU145" s="31"/>
      <c r="HV145" s="31"/>
      <c r="HW145" s="31"/>
      <c r="HX145" s="31"/>
      <c r="HY145" s="31"/>
      <c r="HZ145" s="31"/>
      <c r="IA145" s="31"/>
      <c r="IB145" s="31"/>
      <c r="IC145" s="31"/>
      <c r="ID145" s="31"/>
      <c r="IE145" s="31"/>
      <c r="IF145" s="31"/>
      <c r="IG145" s="31"/>
      <c r="IH145" s="31"/>
      <c r="II145" s="31"/>
      <c r="IJ145" s="31"/>
      <c r="IK145" s="31"/>
      <c r="IL145" s="31"/>
      <c r="IM145" s="31"/>
      <c r="IN145" s="31"/>
      <c r="IO145" s="31">
        <v>179324</v>
      </c>
      <c r="IP145" s="31"/>
      <c r="IQ145" s="31"/>
      <c r="IR145" s="31"/>
      <c r="IS145" s="31"/>
      <c r="IT145" s="31"/>
      <c r="IU145" s="31"/>
      <c r="IV145" s="31"/>
      <c r="IW145" s="31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  <c r="JN145" s="31"/>
      <c r="JO145" s="31"/>
      <c r="JP145" s="31"/>
      <c r="JQ145" s="31"/>
      <c r="JR145" s="31"/>
      <c r="JS145" s="31">
        <v>208064</v>
      </c>
      <c r="JT145" s="31"/>
      <c r="JU145" s="31"/>
      <c r="JV145" s="31"/>
      <c r="JW145" s="31"/>
      <c r="JX145" s="31"/>
      <c r="JY145" s="31"/>
      <c r="JZ145" s="31"/>
      <c r="KA145" s="31"/>
      <c r="KB145" s="31"/>
      <c r="KC145" s="31"/>
      <c r="KD145" s="31"/>
      <c r="KE145" s="31"/>
      <c r="KF145" s="31"/>
      <c r="KG145" s="31"/>
      <c r="KH145" s="31"/>
      <c r="KI145" s="31"/>
      <c r="KJ145" s="31"/>
      <c r="KK145" s="31"/>
      <c r="KL145" s="31"/>
      <c r="KM145" s="31"/>
      <c r="KN145" s="31"/>
      <c r="KO145" s="31"/>
      <c r="KP145" s="31"/>
      <c r="KQ145" s="31"/>
      <c r="KR145" s="31"/>
      <c r="KS145" s="31"/>
      <c r="KT145" s="31"/>
      <c r="KU145" s="31"/>
      <c r="KV145" s="31"/>
      <c r="KW145" s="31"/>
      <c r="KX145" s="31">
        <v>225825</v>
      </c>
      <c r="KY145" s="31"/>
      <c r="KZ145" s="31"/>
      <c r="LA145" s="31"/>
      <c r="LB145" s="31"/>
      <c r="LC145" s="31"/>
      <c r="LD145" s="31"/>
      <c r="LE145" s="31"/>
      <c r="LF145" s="31"/>
      <c r="LG145" s="31"/>
      <c r="LH145" s="31"/>
      <c r="LI145" s="31"/>
      <c r="LJ145" s="31"/>
      <c r="LK145" s="31"/>
      <c r="LL145" s="31"/>
      <c r="LM145" s="31"/>
      <c r="LN145" s="31"/>
      <c r="LO145" s="31"/>
      <c r="LP145" s="31"/>
      <c r="LQ145" s="31"/>
      <c r="LR145" s="31"/>
      <c r="LS145" s="31"/>
      <c r="LT145" s="31"/>
      <c r="LU145" s="31"/>
      <c r="LV145" s="31"/>
      <c r="LW145" s="31"/>
      <c r="LX145" s="31"/>
      <c r="LY145" s="31"/>
      <c r="LZ145" s="31"/>
      <c r="MA145" s="31"/>
      <c r="MB145" s="31">
        <v>248538</v>
      </c>
      <c r="MC145" s="31"/>
      <c r="MD145" s="31"/>
      <c r="ME145" s="31"/>
      <c r="MF145" s="31"/>
      <c r="MG145" s="31"/>
      <c r="MH145" s="31"/>
      <c r="MI145" s="31"/>
      <c r="MJ145" s="31"/>
      <c r="MK145" s="31"/>
      <c r="ML145" s="31"/>
      <c r="MM145" s="31"/>
      <c r="MN145" s="31"/>
      <c r="MO145" s="31"/>
      <c r="MP145" s="31"/>
      <c r="MQ145" s="31"/>
      <c r="MR145" s="31"/>
      <c r="MS145" s="31"/>
      <c r="MT145" s="31"/>
      <c r="MU145" s="31"/>
      <c r="MV145" s="31"/>
      <c r="MW145" s="31"/>
      <c r="MX145" s="31"/>
      <c r="MY145" s="31"/>
      <c r="MZ145" s="31"/>
      <c r="NA145" s="31"/>
      <c r="NB145" s="31"/>
      <c r="NC145" s="31"/>
      <c r="ND145" s="31"/>
      <c r="NE145" s="31"/>
      <c r="NF145" s="31"/>
      <c r="NG145" s="31">
        <v>287395</v>
      </c>
      <c r="NH145" s="31"/>
      <c r="NI145" s="31"/>
      <c r="NJ145" s="31"/>
      <c r="NK145" s="31"/>
      <c r="NL145" s="31"/>
      <c r="NM145" s="31"/>
      <c r="NN145" s="31"/>
      <c r="NO145" s="31"/>
      <c r="NP145" s="31"/>
      <c r="NQ145" s="31"/>
      <c r="NR145" s="31"/>
      <c r="NS145" s="31"/>
      <c r="NT145" s="31"/>
      <c r="NU145" s="31"/>
      <c r="NV145" s="31"/>
      <c r="NW145" s="31"/>
      <c r="NX145" s="31"/>
      <c r="NY145" s="31"/>
      <c r="NZ145" s="31"/>
      <c r="OA145" s="31"/>
      <c r="OB145" s="31"/>
      <c r="OC145" s="31"/>
      <c r="OD145" s="31"/>
      <c r="OE145" s="31"/>
      <c r="OF145" s="31"/>
      <c r="OG145" s="31"/>
      <c r="OH145" s="31"/>
      <c r="OI145" s="31"/>
      <c r="OJ145" s="31"/>
      <c r="OK145" s="31"/>
      <c r="OL145" s="31"/>
      <c r="OM145" s="31"/>
      <c r="ON145" s="31"/>
      <c r="OO145" s="31"/>
      <c r="OP145" s="31"/>
      <c r="OQ145" s="31"/>
      <c r="OR145" s="31"/>
      <c r="OS145" s="31"/>
      <c r="OT145" s="31"/>
      <c r="OU145" s="31"/>
      <c r="OV145" s="31"/>
      <c r="OW145" s="31"/>
      <c r="OX145" s="31"/>
      <c r="OY145" s="31"/>
      <c r="OZ145" s="31"/>
      <c r="PA145" s="31"/>
      <c r="PB145" s="31"/>
      <c r="PC145" s="31"/>
      <c r="PD145" s="31"/>
      <c r="PE145" s="31"/>
      <c r="PF145" s="31"/>
      <c r="PG145" s="31"/>
      <c r="PH145" s="31"/>
      <c r="PI145" s="31"/>
      <c r="PJ145" s="31"/>
      <c r="PK145" s="31"/>
      <c r="PL145" s="31"/>
      <c r="PM145" s="31"/>
      <c r="PN145" s="31">
        <v>46706</v>
      </c>
      <c r="PO145" s="31"/>
      <c r="PP145" s="31"/>
      <c r="PQ145" s="31"/>
      <c r="PR145" s="31"/>
      <c r="PS145" s="31"/>
      <c r="PT145" s="31"/>
      <c r="PU145" s="31"/>
      <c r="PV145" s="31"/>
      <c r="PW145" s="31"/>
      <c r="PX145" s="31"/>
      <c r="PY145" s="31"/>
      <c r="PZ145" s="31"/>
      <c r="QA145" s="31"/>
      <c r="QB145" s="31"/>
      <c r="QC145" s="31"/>
      <c r="QD145" s="31"/>
      <c r="QE145" s="31"/>
      <c r="QF145" s="31"/>
      <c r="QG145" s="31"/>
      <c r="QH145" s="31"/>
      <c r="QI145" s="31"/>
      <c r="QJ145" s="31"/>
      <c r="QK145" s="31"/>
      <c r="QL145" s="31"/>
      <c r="QM145" s="31"/>
      <c r="QN145" s="31"/>
      <c r="QO145" s="31"/>
      <c r="QP145" s="31"/>
      <c r="QQ145" s="31"/>
      <c r="QR145" s="31"/>
      <c r="QS145" s="31">
        <v>74706</v>
      </c>
      <c r="QT145" s="31"/>
      <c r="QU145" s="31"/>
      <c r="QV145" s="31"/>
      <c r="QW145" s="31"/>
      <c r="QX145" s="31"/>
      <c r="QY145" s="31"/>
      <c r="QZ145" s="31"/>
      <c r="RA145" s="31"/>
      <c r="RB145" s="31"/>
      <c r="RC145" s="31"/>
      <c r="RD145" s="31"/>
      <c r="RE145" s="31"/>
      <c r="RF145" s="31"/>
      <c r="RG145" s="31"/>
      <c r="RH145" s="31"/>
      <c r="RI145" s="31"/>
      <c r="RJ145" s="31"/>
      <c r="RK145" s="31"/>
      <c r="RL145" s="31"/>
      <c r="RM145" s="31"/>
      <c r="RN145" s="31"/>
      <c r="RO145" s="31"/>
      <c r="RP145" s="31"/>
      <c r="RQ145" s="31"/>
      <c r="RR145" s="31"/>
      <c r="RS145" s="31"/>
      <c r="RT145" s="31"/>
      <c r="RU145" s="31"/>
      <c r="RV145" s="31"/>
      <c r="RW145" s="31">
        <v>94809</v>
      </c>
      <c r="RX145" s="31"/>
      <c r="RY145" s="31"/>
      <c r="RZ145" s="31"/>
      <c r="SA145" s="31"/>
      <c r="SB145" s="31"/>
      <c r="SC145" s="31"/>
      <c r="SD145" s="31"/>
      <c r="SE145" s="31"/>
      <c r="SF145" s="31"/>
      <c r="SG145" s="31"/>
      <c r="SH145" s="31"/>
      <c r="SI145" s="31"/>
      <c r="SJ145" s="31"/>
      <c r="SK145" s="31"/>
      <c r="SL145" s="31"/>
      <c r="SM145" s="31"/>
      <c r="SN145" s="31"/>
      <c r="SO145" s="31"/>
      <c r="SP145" s="31"/>
      <c r="SQ145" s="31"/>
      <c r="SR145" s="31"/>
      <c r="SS145" s="31"/>
      <c r="ST145" s="23"/>
      <c r="SU145" s="23"/>
      <c r="SV145" s="23"/>
      <c r="SW145" s="23"/>
      <c r="SX145" s="23"/>
      <c r="SY145" s="23"/>
      <c r="SZ145" s="23"/>
      <c r="TA145" s="23"/>
      <c r="TB145" s="23">
        <v>113877</v>
      </c>
      <c r="TC145" s="23"/>
      <c r="TD145" s="23"/>
      <c r="TE145" s="23"/>
      <c r="TF145" s="23"/>
      <c r="TG145" s="23"/>
      <c r="TH145" s="23"/>
      <c r="TI145" s="23"/>
      <c r="TJ145" s="23"/>
      <c r="TK145" s="23"/>
      <c r="TL145" s="23"/>
      <c r="TM145" s="23"/>
      <c r="TN145" s="23"/>
      <c r="TO145" s="23"/>
      <c r="TP145" s="23"/>
      <c r="TQ145" s="23"/>
      <c r="TR145" s="23"/>
      <c r="TS145" s="23"/>
      <c r="TT145" s="23"/>
      <c r="TU145" s="23"/>
      <c r="TV145" s="23"/>
      <c r="TW145" s="23"/>
      <c r="TX145" s="23"/>
      <c r="TY145" s="23"/>
      <c r="TZ145" s="23"/>
      <c r="UA145" s="23"/>
      <c r="UB145" s="23"/>
      <c r="UC145" s="23"/>
      <c r="UD145" s="23"/>
      <c r="UE145" s="23"/>
      <c r="UF145" s="23"/>
      <c r="UG145" s="23"/>
      <c r="UH145" s="23"/>
      <c r="UI145" s="23"/>
      <c r="UJ145" s="23"/>
      <c r="UK145" s="23"/>
      <c r="UL145" s="23"/>
      <c r="UM145" s="23"/>
      <c r="UN145" s="23"/>
      <c r="UO145" s="23"/>
      <c r="UP145" s="23"/>
      <c r="UQ145" s="23"/>
      <c r="UR145" s="23"/>
      <c r="US145" s="23"/>
      <c r="UT145" s="23"/>
    </row>
    <row r="146" spans="4:566">
      <c r="D146" t="s">
        <v>426</v>
      </c>
      <c r="E146" t="s">
        <v>427</v>
      </c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  <c r="DI146" s="31"/>
      <c r="DJ146" s="31"/>
      <c r="DK146" s="31"/>
      <c r="DL146" s="31"/>
      <c r="DM146" s="31"/>
      <c r="DN146" s="31"/>
      <c r="DO146" s="31"/>
      <c r="DP146" s="31"/>
      <c r="DQ146" s="31"/>
      <c r="DR146" s="31"/>
      <c r="DS146" s="31"/>
      <c r="DT146" s="31"/>
      <c r="DU146" s="31"/>
      <c r="DV146" s="31"/>
      <c r="DW146" s="31"/>
      <c r="DX146" s="31"/>
      <c r="DY146" s="31"/>
      <c r="DZ146" s="31"/>
      <c r="EA146" s="31"/>
      <c r="EB146" s="31"/>
      <c r="EC146" s="31"/>
      <c r="ED146" s="31"/>
      <c r="EE146" s="31"/>
      <c r="EF146" s="31"/>
      <c r="EG146" s="31"/>
      <c r="EH146" s="31"/>
      <c r="EI146" s="31"/>
      <c r="EJ146" s="31"/>
      <c r="EK146" s="31"/>
      <c r="EL146" s="31"/>
      <c r="EM146" s="31"/>
      <c r="EN146" s="31"/>
      <c r="EO146" s="31"/>
      <c r="EP146" s="31"/>
      <c r="EQ146" s="31"/>
      <c r="ER146" s="31"/>
      <c r="ES146" s="31"/>
      <c r="ET146" s="31"/>
      <c r="EU146" s="31"/>
      <c r="EV146" s="31"/>
      <c r="EW146" s="31"/>
      <c r="EX146" s="31"/>
      <c r="EY146" s="31"/>
      <c r="EZ146" s="31"/>
      <c r="FA146" s="31"/>
      <c r="FB146" s="31"/>
      <c r="FC146" s="31"/>
      <c r="FD146" s="31"/>
      <c r="FE146" s="31"/>
      <c r="FF146" s="31"/>
      <c r="FG146" s="31"/>
      <c r="FH146" s="31"/>
      <c r="FI146" s="31"/>
      <c r="FJ146" s="31"/>
      <c r="FK146" s="31"/>
      <c r="FL146" s="31"/>
      <c r="FM146" s="31"/>
      <c r="FN146" s="31"/>
      <c r="FO146" s="31"/>
      <c r="FP146" s="31"/>
      <c r="FQ146" s="31"/>
      <c r="FR146" s="31"/>
      <c r="FS146" s="31"/>
      <c r="FT146" s="31"/>
      <c r="FU146" s="31"/>
      <c r="FV146" s="31"/>
      <c r="FW146" s="31"/>
      <c r="FX146" s="31"/>
      <c r="FY146" s="31"/>
      <c r="FZ146" s="31"/>
      <c r="GA146" s="31"/>
      <c r="GB146" s="31"/>
      <c r="GC146" s="31"/>
      <c r="GD146" s="31"/>
      <c r="GE146" s="31"/>
      <c r="GF146" s="31"/>
      <c r="GG146" s="31"/>
      <c r="GH146" s="31"/>
      <c r="GI146" s="31"/>
      <c r="GJ146" s="31"/>
      <c r="GK146" s="31"/>
      <c r="GL146" s="31"/>
      <c r="GM146" s="31"/>
      <c r="GN146" s="31"/>
      <c r="GO146" s="31"/>
      <c r="GP146" s="31"/>
      <c r="GQ146" s="31"/>
      <c r="GR146" s="31"/>
      <c r="GS146" s="31"/>
      <c r="GT146" s="31"/>
      <c r="GU146" s="31"/>
      <c r="GV146" s="31"/>
      <c r="GW146" s="31"/>
      <c r="GX146" s="31"/>
      <c r="GY146" s="31"/>
      <c r="GZ146" s="31"/>
      <c r="HA146" s="31"/>
      <c r="HB146" s="31"/>
      <c r="HC146" s="31"/>
      <c r="HD146" s="31"/>
      <c r="HE146" s="31"/>
      <c r="HF146" s="31"/>
      <c r="HG146" s="31"/>
      <c r="HH146" s="31"/>
      <c r="HI146" s="31"/>
      <c r="HJ146" s="31"/>
      <c r="HK146" s="31"/>
      <c r="HL146" s="31"/>
      <c r="HM146" s="31"/>
      <c r="HN146" s="31"/>
      <c r="HO146" s="31"/>
      <c r="HP146" s="31"/>
      <c r="HQ146" s="31"/>
      <c r="HR146" s="31"/>
      <c r="HS146" s="31"/>
      <c r="HT146" s="31"/>
      <c r="HU146" s="31"/>
      <c r="HV146" s="31"/>
      <c r="HW146" s="31"/>
      <c r="HX146" s="31"/>
      <c r="HY146" s="31"/>
      <c r="HZ146" s="31"/>
      <c r="IA146" s="31"/>
      <c r="IB146" s="31"/>
      <c r="IC146" s="31"/>
      <c r="ID146" s="31"/>
      <c r="IE146" s="31"/>
      <c r="IF146" s="31"/>
      <c r="IG146" s="31"/>
      <c r="IH146" s="31"/>
      <c r="II146" s="31"/>
      <c r="IJ146" s="31"/>
      <c r="IK146" s="31"/>
      <c r="IL146" s="31"/>
      <c r="IM146" s="31"/>
      <c r="IN146" s="31"/>
      <c r="IO146" s="31"/>
      <c r="IP146" s="31"/>
      <c r="IQ146" s="31"/>
      <c r="IR146" s="31"/>
      <c r="IS146" s="31"/>
      <c r="IT146" s="31"/>
      <c r="IU146" s="31"/>
      <c r="IV146" s="31"/>
      <c r="IW146" s="31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  <c r="JN146" s="31"/>
      <c r="JO146" s="31"/>
      <c r="JP146" s="31"/>
      <c r="JQ146" s="31"/>
      <c r="JR146" s="31"/>
      <c r="JS146" s="31"/>
      <c r="JT146" s="31"/>
      <c r="JU146" s="31"/>
      <c r="JV146" s="31"/>
      <c r="JW146" s="31"/>
      <c r="JX146" s="31"/>
      <c r="JY146" s="31"/>
      <c r="JZ146" s="31"/>
      <c r="KA146" s="31"/>
      <c r="KB146" s="31"/>
      <c r="KC146" s="31"/>
      <c r="KD146" s="31"/>
      <c r="KE146" s="31"/>
      <c r="KF146" s="31"/>
      <c r="KG146" s="31"/>
      <c r="KH146" s="31"/>
      <c r="KI146" s="31"/>
      <c r="KJ146" s="31"/>
      <c r="KK146" s="31"/>
      <c r="KL146" s="31"/>
      <c r="KM146" s="31"/>
      <c r="KN146" s="31"/>
      <c r="KO146" s="31"/>
      <c r="KP146" s="31"/>
      <c r="KQ146" s="31"/>
      <c r="KR146" s="31"/>
      <c r="KS146" s="31"/>
      <c r="KT146" s="31"/>
      <c r="KU146" s="31"/>
      <c r="KV146" s="31"/>
      <c r="KW146" s="31"/>
      <c r="KX146" s="31"/>
      <c r="KY146" s="31"/>
      <c r="KZ146" s="31"/>
      <c r="LA146" s="31"/>
      <c r="LB146" s="31"/>
      <c r="LC146" s="31"/>
      <c r="LD146" s="31"/>
      <c r="LE146" s="31"/>
      <c r="LF146" s="31"/>
      <c r="LG146" s="31"/>
      <c r="LH146" s="31"/>
      <c r="LI146" s="31"/>
      <c r="LJ146" s="31"/>
      <c r="LK146" s="31"/>
      <c r="LL146" s="31"/>
      <c r="LM146" s="31"/>
      <c r="LN146" s="31"/>
      <c r="LO146" s="31"/>
      <c r="LP146" s="31"/>
      <c r="LQ146" s="31"/>
      <c r="LR146" s="31"/>
      <c r="LS146" s="31"/>
      <c r="LT146" s="31"/>
      <c r="LU146" s="31"/>
      <c r="LV146" s="31"/>
      <c r="LW146" s="31"/>
      <c r="LX146" s="31"/>
      <c r="LY146" s="31"/>
      <c r="LZ146" s="31"/>
      <c r="MA146" s="31"/>
      <c r="MB146" s="31"/>
      <c r="MC146" s="31"/>
      <c r="MD146" s="31"/>
      <c r="ME146" s="31"/>
      <c r="MF146" s="31"/>
      <c r="MG146" s="31"/>
      <c r="MH146" s="31"/>
      <c r="MI146" s="31"/>
      <c r="MJ146" s="31"/>
      <c r="MK146" s="31"/>
      <c r="ML146" s="31"/>
      <c r="MM146" s="31"/>
      <c r="MN146" s="31"/>
      <c r="MO146" s="31"/>
      <c r="MP146" s="31"/>
      <c r="MQ146" s="31"/>
      <c r="MR146" s="31"/>
      <c r="MS146" s="31"/>
      <c r="MT146" s="31"/>
      <c r="MU146" s="31"/>
      <c r="MV146" s="31"/>
      <c r="MW146" s="31"/>
      <c r="MX146" s="31"/>
      <c r="MY146" s="31"/>
      <c r="MZ146" s="31"/>
      <c r="NA146" s="31"/>
      <c r="NB146" s="31"/>
      <c r="NC146" s="31"/>
      <c r="ND146" s="31"/>
      <c r="NE146" s="31"/>
      <c r="NF146" s="31"/>
      <c r="NG146" s="31">
        <v>1401879.2</v>
      </c>
      <c r="NH146" s="31"/>
      <c r="NI146" s="31"/>
      <c r="NJ146" s="31"/>
      <c r="NK146" s="31"/>
      <c r="NL146" s="31"/>
      <c r="NM146" s="31"/>
      <c r="NN146" s="31"/>
      <c r="NO146" s="31"/>
      <c r="NP146" s="31"/>
      <c r="NQ146" s="31"/>
      <c r="NR146" s="31"/>
      <c r="NS146" s="31"/>
      <c r="NT146" s="31"/>
      <c r="NU146" s="31"/>
      <c r="NV146" s="31"/>
      <c r="NW146" s="31"/>
      <c r="NX146" s="31"/>
      <c r="NY146" s="31"/>
      <c r="NZ146" s="31"/>
      <c r="OA146" s="31"/>
      <c r="OB146" s="31"/>
      <c r="OC146" s="31"/>
      <c r="OD146" s="31"/>
      <c r="OE146" s="31"/>
      <c r="OF146" s="31"/>
      <c r="OG146" s="31"/>
      <c r="OH146" s="31"/>
      <c r="OI146" s="31"/>
      <c r="OJ146" s="31"/>
      <c r="OK146" s="31"/>
      <c r="OL146" s="31"/>
      <c r="OM146" s="31"/>
      <c r="ON146" s="31"/>
      <c r="OO146" s="31"/>
      <c r="OP146" s="31"/>
      <c r="OQ146" s="31"/>
      <c r="OR146" s="31"/>
      <c r="OS146" s="31"/>
      <c r="OT146" s="31"/>
      <c r="OU146" s="31"/>
      <c r="OV146" s="31"/>
      <c r="OW146" s="31"/>
      <c r="OX146" s="31"/>
      <c r="OY146" s="31"/>
      <c r="OZ146" s="31"/>
      <c r="PA146" s="31"/>
      <c r="PB146" s="31"/>
      <c r="PC146" s="31"/>
      <c r="PD146" s="31"/>
      <c r="PE146" s="31"/>
      <c r="PF146" s="31"/>
      <c r="PG146" s="31"/>
      <c r="PH146" s="31"/>
      <c r="PI146" s="31"/>
      <c r="PJ146" s="31"/>
      <c r="PK146" s="31"/>
      <c r="PL146" s="31"/>
      <c r="PM146" s="31"/>
      <c r="PN146" s="31"/>
      <c r="PO146" s="31"/>
      <c r="PP146" s="31"/>
      <c r="PQ146" s="31"/>
      <c r="PR146" s="31"/>
      <c r="PS146" s="31"/>
      <c r="PT146" s="31"/>
      <c r="PU146" s="31"/>
      <c r="PV146" s="31"/>
      <c r="PW146" s="31"/>
      <c r="PX146" s="31"/>
      <c r="PY146" s="31"/>
      <c r="PZ146" s="31"/>
      <c r="QA146" s="31"/>
      <c r="QB146" s="31"/>
      <c r="QC146" s="31"/>
      <c r="QD146" s="31"/>
      <c r="QE146" s="31"/>
      <c r="QF146" s="31"/>
      <c r="QG146" s="31"/>
      <c r="QH146" s="31"/>
      <c r="QI146" s="31"/>
      <c r="QJ146" s="31"/>
      <c r="QK146" s="31"/>
      <c r="QL146" s="31"/>
      <c r="QM146" s="31"/>
      <c r="QN146" s="31"/>
      <c r="QO146" s="31"/>
      <c r="QP146" s="31"/>
      <c r="QQ146" s="31"/>
      <c r="QR146" s="31"/>
      <c r="QS146" s="31"/>
      <c r="QT146" s="31"/>
      <c r="QU146" s="31"/>
      <c r="QV146" s="31"/>
      <c r="QW146" s="31"/>
      <c r="QX146" s="31"/>
      <c r="QY146" s="31"/>
      <c r="QZ146" s="31"/>
      <c r="RA146" s="31"/>
      <c r="RB146" s="31"/>
      <c r="RC146" s="31"/>
      <c r="RD146" s="31"/>
      <c r="RE146" s="31"/>
      <c r="RF146" s="31"/>
      <c r="RG146" s="31"/>
      <c r="RH146" s="31"/>
      <c r="RI146" s="31"/>
      <c r="RJ146" s="31"/>
      <c r="RK146" s="31"/>
      <c r="RL146" s="31"/>
      <c r="RM146" s="31"/>
      <c r="RN146" s="31"/>
      <c r="RO146" s="31"/>
      <c r="RP146" s="31"/>
      <c r="RQ146" s="31"/>
      <c r="RR146" s="31"/>
      <c r="RS146" s="31"/>
      <c r="RT146" s="31"/>
      <c r="RU146" s="31"/>
      <c r="RV146" s="31"/>
      <c r="RW146" s="31"/>
      <c r="RX146" s="31"/>
      <c r="RY146" s="31"/>
      <c r="RZ146" s="31"/>
      <c r="SA146" s="31"/>
      <c r="SB146" s="31"/>
      <c r="SC146" s="31"/>
      <c r="SD146" s="31"/>
      <c r="SE146" s="31"/>
      <c r="SF146" s="31"/>
      <c r="SG146" s="31"/>
      <c r="SH146" s="31"/>
      <c r="SI146" s="31"/>
      <c r="SJ146" s="31"/>
      <c r="SK146" s="31"/>
      <c r="SL146" s="31"/>
      <c r="SM146" s="31"/>
      <c r="SN146" s="31"/>
      <c r="SO146" s="31"/>
      <c r="SP146" s="31"/>
      <c r="SQ146" s="31"/>
      <c r="SR146" s="31"/>
      <c r="SS146" s="31"/>
      <c r="ST146" s="23"/>
      <c r="SU146" s="23"/>
      <c r="SV146" s="23"/>
      <c r="SW146" s="23"/>
      <c r="SX146" s="23"/>
      <c r="SY146" s="23"/>
      <c r="SZ146" s="23"/>
      <c r="TA146" s="23"/>
      <c r="TB146" s="23"/>
      <c r="TC146" s="23"/>
      <c r="TD146" s="23"/>
      <c r="TE146" s="23"/>
      <c r="TF146" s="23"/>
      <c r="TG146" s="23"/>
      <c r="TH146" s="23"/>
      <c r="TI146" s="23"/>
      <c r="TJ146" s="23"/>
      <c r="TK146" s="23"/>
      <c r="TL146" s="23"/>
      <c r="TM146" s="23"/>
      <c r="TN146" s="23"/>
      <c r="TO146" s="23"/>
      <c r="TP146" s="23"/>
      <c r="TQ146" s="23"/>
      <c r="TR146" s="23"/>
      <c r="TS146" s="23"/>
      <c r="TT146" s="23"/>
      <c r="TU146" s="23"/>
      <c r="TV146" s="23"/>
      <c r="TW146" s="23"/>
      <c r="TX146" s="23"/>
      <c r="TY146" s="23"/>
      <c r="TZ146" s="23"/>
      <c r="UA146" s="23"/>
      <c r="UB146" s="23"/>
      <c r="UC146" s="23"/>
      <c r="UD146" s="23"/>
      <c r="UE146" s="23"/>
      <c r="UF146" s="23"/>
      <c r="UG146" s="23"/>
      <c r="UH146" s="23"/>
      <c r="UI146" s="23"/>
      <c r="UJ146" s="23"/>
      <c r="UK146" s="23"/>
      <c r="UL146" s="23"/>
      <c r="UM146" s="23"/>
      <c r="UN146" s="23"/>
      <c r="UO146" s="23"/>
      <c r="UP146" s="23"/>
      <c r="UQ146" s="23"/>
      <c r="UR146" s="23"/>
      <c r="US146" s="23"/>
      <c r="UT146" s="23"/>
    </row>
    <row r="147" spans="4:566">
      <c r="D147" t="s">
        <v>226</v>
      </c>
      <c r="E147" t="s">
        <v>227</v>
      </c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>
        <v>-452.1652</v>
      </c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>
        <v>-104.0869</v>
      </c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>
        <v>-19.6736</v>
      </c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  <c r="DI147" s="31"/>
      <c r="DJ147" s="31"/>
      <c r="DK147" s="31"/>
      <c r="DL147" s="31"/>
      <c r="DM147" s="31"/>
      <c r="DN147" s="31"/>
      <c r="DO147" s="31"/>
      <c r="DP147" s="31"/>
      <c r="DQ147" s="31"/>
      <c r="DR147" s="31"/>
      <c r="DS147" s="31"/>
      <c r="DT147" s="31"/>
      <c r="DU147" s="31"/>
      <c r="DV147" s="31">
        <v>-42.5692</v>
      </c>
      <c r="DW147" s="31"/>
      <c r="DX147" s="31"/>
      <c r="DY147" s="31"/>
      <c r="DZ147" s="31"/>
      <c r="EA147" s="31"/>
      <c r="EB147" s="31"/>
      <c r="EC147" s="31"/>
      <c r="ED147" s="31"/>
      <c r="EE147" s="31"/>
      <c r="EF147" s="31"/>
      <c r="EG147" s="31"/>
      <c r="EH147" s="31"/>
      <c r="EI147" s="31"/>
      <c r="EJ147" s="31"/>
      <c r="EK147" s="31"/>
      <c r="EL147" s="31"/>
      <c r="EM147" s="31"/>
      <c r="EN147" s="31"/>
      <c r="EO147" s="31"/>
      <c r="EP147" s="31"/>
      <c r="EQ147" s="31"/>
      <c r="ER147" s="31"/>
      <c r="ES147" s="31"/>
      <c r="ET147" s="31"/>
      <c r="EU147" s="31"/>
      <c r="EV147" s="31"/>
      <c r="EW147" s="31"/>
      <c r="EX147" s="31"/>
      <c r="EY147" s="31"/>
      <c r="EZ147" s="31"/>
      <c r="FA147" s="31">
        <v>112.5785</v>
      </c>
      <c r="FB147" s="31"/>
      <c r="FC147" s="31"/>
      <c r="FD147" s="31"/>
      <c r="FE147" s="31"/>
      <c r="FF147" s="31"/>
      <c r="FG147" s="31"/>
      <c r="FH147" s="31"/>
      <c r="FI147" s="31"/>
      <c r="FJ147" s="31"/>
      <c r="FK147" s="31"/>
      <c r="FL147" s="31"/>
      <c r="FM147" s="31"/>
      <c r="FN147" s="31"/>
      <c r="FO147" s="31"/>
      <c r="FP147" s="31"/>
      <c r="FQ147" s="31"/>
      <c r="FR147" s="31"/>
      <c r="FS147" s="31"/>
      <c r="FT147" s="31"/>
      <c r="FU147" s="31"/>
      <c r="FV147" s="31"/>
      <c r="FW147" s="31"/>
      <c r="FX147" s="31"/>
      <c r="FY147" s="31"/>
      <c r="FZ147" s="31"/>
      <c r="GA147" s="31"/>
      <c r="GB147" s="31"/>
      <c r="GC147" s="31"/>
      <c r="GD147" s="31"/>
      <c r="GE147" s="31">
        <v>253.283</v>
      </c>
      <c r="GF147" s="31"/>
      <c r="GG147" s="31"/>
      <c r="GH147" s="31"/>
      <c r="GI147" s="31"/>
      <c r="GJ147" s="31"/>
      <c r="GK147" s="31"/>
      <c r="GL147" s="31"/>
      <c r="GM147" s="31"/>
      <c r="GN147" s="31"/>
      <c r="GO147" s="31"/>
      <c r="GP147" s="31"/>
      <c r="GQ147" s="31"/>
      <c r="GR147" s="31"/>
      <c r="GS147" s="31"/>
      <c r="GT147" s="31"/>
      <c r="GU147" s="31"/>
      <c r="GV147" s="31"/>
      <c r="GW147" s="31"/>
      <c r="GX147" s="31"/>
      <c r="GY147" s="31"/>
      <c r="GZ147" s="31"/>
      <c r="HA147" s="31"/>
      <c r="HB147" s="31"/>
      <c r="HC147" s="31"/>
      <c r="HD147" s="31"/>
      <c r="HE147" s="31"/>
      <c r="HF147" s="31"/>
      <c r="HG147" s="31"/>
      <c r="HH147" s="31"/>
      <c r="HI147" s="31"/>
      <c r="HJ147" s="31">
        <v>228.0034</v>
      </c>
      <c r="HK147" s="31"/>
      <c r="HL147" s="31"/>
      <c r="HM147" s="31"/>
      <c r="HN147" s="31"/>
      <c r="HO147" s="31"/>
      <c r="HP147" s="31"/>
      <c r="HQ147" s="31"/>
      <c r="HR147" s="31"/>
      <c r="HS147" s="31"/>
      <c r="HT147" s="31"/>
      <c r="HU147" s="31"/>
      <c r="HV147" s="31"/>
      <c r="HW147" s="31"/>
      <c r="HX147" s="31"/>
      <c r="HY147" s="31"/>
      <c r="HZ147" s="31"/>
      <c r="IA147" s="31"/>
      <c r="IB147" s="31"/>
      <c r="IC147" s="31"/>
      <c r="ID147" s="31"/>
      <c r="IE147" s="31"/>
      <c r="IF147" s="31"/>
      <c r="IG147" s="31"/>
      <c r="IH147" s="31"/>
      <c r="II147" s="31"/>
      <c r="IJ147" s="31"/>
      <c r="IK147" s="31"/>
      <c r="IL147" s="31"/>
      <c r="IM147" s="31"/>
      <c r="IN147" s="31"/>
      <c r="IO147" s="31">
        <v>146.4837</v>
      </c>
      <c r="IP147" s="31"/>
      <c r="IQ147" s="31"/>
      <c r="IR147" s="31"/>
      <c r="IS147" s="31"/>
      <c r="IT147" s="31"/>
      <c r="IU147" s="31"/>
      <c r="IV147" s="31"/>
      <c r="IW147" s="31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  <c r="JN147" s="31"/>
      <c r="JO147" s="31"/>
      <c r="JP147" s="31"/>
      <c r="JQ147" s="31"/>
      <c r="JR147" s="31"/>
      <c r="JS147" s="31">
        <v>510.2332</v>
      </c>
      <c r="JT147" s="31"/>
      <c r="JU147" s="31"/>
      <c r="JV147" s="31"/>
      <c r="JW147" s="31"/>
      <c r="JX147" s="31"/>
      <c r="JY147" s="31"/>
      <c r="JZ147" s="31"/>
      <c r="KA147" s="31"/>
      <c r="KB147" s="31"/>
      <c r="KC147" s="31"/>
      <c r="KD147" s="31"/>
      <c r="KE147" s="31"/>
      <c r="KF147" s="31"/>
      <c r="KG147" s="31"/>
      <c r="KH147" s="31"/>
      <c r="KI147" s="31"/>
      <c r="KJ147" s="31"/>
      <c r="KK147" s="31"/>
      <c r="KL147" s="31"/>
      <c r="KM147" s="31"/>
      <c r="KN147" s="31"/>
      <c r="KO147" s="31"/>
      <c r="KP147" s="31"/>
      <c r="KQ147" s="31"/>
      <c r="KR147" s="31"/>
      <c r="KS147" s="31"/>
      <c r="KT147" s="31"/>
      <c r="KU147" s="31"/>
      <c r="KV147" s="31"/>
      <c r="KW147" s="31"/>
      <c r="KX147" s="31">
        <v>176.7872</v>
      </c>
      <c r="KY147" s="31"/>
      <c r="KZ147" s="31"/>
      <c r="LA147" s="31"/>
      <c r="LB147" s="31"/>
      <c r="LC147" s="31"/>
      <c r="LD147" s="31"/>
      <c r="LE147" s="31"/>
      <c r="LF147" s="31"/>
      <c r="LG147" s="31"/>
      <c r="LH147" s="31"/>
      <c r="LI147" s="31"/>
      <c r="LJ147" s="31"/>
      <c r="LK147" s="31"/>
      <c r="LL147" s="31"/>
      <c r="LM147" s="31"/>
      <c r="LN147" s="31"/>
      <c r="LO147" s="31"/>
      <c r="LP147" s="31"/>
      <c r="LQ147" s="31"/>
      <c r="LR147" s="31"/>
      <c r="LS147" s="31"/>
      <c r="LT147" s="31"/>
      <c r="LU147" s="31"/>
      <c r="LV147" s="31"/>
      <c r="LW147" s="31"/>
      <c r="LX147" s="31"/>
      <c r="LY147" s="31"/>
      <c r="LZ147" s="31"/>
      <c r="MA147" s="31"/>
      <c r="MB147" s="31">
        <v>156.5003</v>
      </c>
      <c r="MC147" s="31"/>
      <c r="MD147" s="31"/>
      <c r="ME147" s="31"/>
      <c r="MF147" s="31"/>
      <c r="MG147" s="31"/>
      <c r="MH147" s="31"/>
      <c r="MI147" s="31"/>
      <c r="MJ147" s="31"/>
      <c r="MK147" s="31"/>
      <c r="ML147" s="31"/>
      <c r="MM147" s="31"/>
      <c r="MN147" s="31"/>
      <c r="MO147" s="31"/>
      <c r="MP147" s="31"/>
      <c r="MQ147" s="31"/>
      <c r="MR147" s="31"/>
      <c r="MS147" s="31"/>
      <c r="MT147" s="31"/>
      <c r="MU147" s="31"/>
      <c r="MV147" s="31"/>
      <c r="MW147" s="31"/>
      <c r="MX147" s="31"/>
      <c r="MY147" s="31"/>
      <c r="MZ147" s="31"/>
      <c r="NA147" s="31"/>
      <c r="NB147" s="31"/>
      <c r="NC147" s="31"/>
      <c r="ND147" s="31"/>
      <c r="NE147" s="31"/>
      <c r="NF147" s="31"/>
      <c r="NG147" s="31">
        <v>1000.6719</v>
      </c>
      <c r="NH147" s="31"/>
      <c r="NI147" s="31"/>
      <c r="NJ147" s="31"/>
      <c r="NK147" s="31"/>
      <c r="NL147" s="31"/>
      <c r="NM147" s="31"/>
      <c r="NN147" s="31"/>
      <c r="NO147" s="31"/>
      <c r="NP147" s="31"/>
      <c r="NQ147" s="31"/>
      <c r="NR147" s="31"/>
      <c r="NS147" s="31"/>
      <c r="NT147" s="31"/>
      <c r="NU147" s="31"/>
      <c r="NV147" s="31"/>
      <c r="NW147" s="31"/>
      <c r="NX147" s="31"/>
      <c r="NY147" s="31"/>
      <c r="NZ147" s="31"/>
      <c r="OA147" s="31"/>
      <c r="OB147" s="31"/>
      <c r="OC147" s="31"/>
      <c r="OD147" s="31"/>
      <c r="OE147" s="31"/>
      <c r="OF147" s="31"/>
      <c r="OG147" s="31"/>
      <c r="OH147" s="31"/>
      <c r="OI147" s="31"/>
      <c r="OJ147" s="31"/>
      <c r="OK147" s="31"/>
      <c r="OL147" s="31">
        <v>798.5082</v>
      </c>
      <c r="OM147" s="31"/>
      <c r="ON147" s="31"/>
      <c r="OO147" s="31"/>
      <c r="OP147" s="31"/>
      <c r="OQ147" s="31"/>
      <c r="OR147" s="31"/>
      <c r="OS147" s="31"/>
      <c r="OT147" s="31"/>
      <c r="OU147" s="31"/>
      <c r="OV147" s="31"/>
      <c r="OW147" s="31"/>
      <c r="OX147" s="31"/>
      <c r="OY147" s="31"/>
      <c r="OZ147" s="31"/>
      <c r="PA147" s="31"/>
      <c r="PB147" s="31"/>
      <c r="PC147" s="31"/>
      <c r="PD147" s="31"/>
      <c r="PE147" s="31"/>
      <c r="PF147" s="31"/>
      <c r="PG147" s="31"/>
      <c r="PH147" s="31"/>
      <c r="PI147" s="31"/>
      <c r="PJ147" s="31"/>
      <c r="PK147" s="31"/>
      <c r="PL147" s="31"/>
      <c r="PM147" s="31"/>
      <c r="PN147" s="31">
        <v>428.3114</v>
      </c>
      <c r="PO147" s="31"/>
      <c r="PP147" s="31"/>
      <c r="PQ147" s="31"/>
      <c r="PR147" s="31"/>
      <c r="PS147" s="31"/>
      <c r="PT147" s="31"/>
      <c r="PU147" s="31"/>
      <c r="PV147" s="31"/>
      <c r="PW147" s="31"/>
      <c r="PX147" s="31"/>
      <c r="PY147" s="31"/>
      <c r="PZ147" s="31"/>
      <c r="QA147" s="31"/>
      <c r="QB147" s="31"/>
      <c r="QC147" s="31"/>
      <c r="QD147" s="31"/>
      <c r="QE147" s="31"/>
      <c r="QF147" s="31"/>
      <c r="QG147" s="31"/>
      <c r="QH147" s="31"/>
      <c r="QI147" s="31"/>
      <c r="QJ147" s="31"/>
      <c r="QK147" s="31"/>
      <c r="QL147" s="31"/>
      <c r="QM147" s="31"/>
      <c r="QN147" s="31"/>
      <c r="QO147" s="31"/>
      <c r="QP147" s="31"/>
      <c r="QQ147" s="31"/>
      <c r="QR147" s="31"/>
      <c r="QS147" s="31">
        <v>159.756</v>
      </c>
      <c r="QT147" s="31"/>
      <c r="QU147" s="31"/>
      <c r="QV147" s="31"/>
      <c r="QW147" s="31"/>
      <c r="QX147" s="31"/>
      <c r="QY147" s="31"/>
      <c r="QZ147" s="31"/>
      <c r="RA147" s="31"/>
      <c r="RB147" s="31"/>
      <c r="RC147" s="31"/>
      <c r="RD147" s="31"/>
      <c r="RE147" s="31"/>
      <c r="RF147" s="31"/>
      <c r="RG147" s="31"/>
      <c r="RH147" s="31"/>
      <c r="RI147" s="31"/>
      <c r="RJ147" s="31"/>
      <c r="RK147" s="31"/>
      <c r="RL147" s="31"/>
      <c r="RM147" s="31"/>
      <c r="RN147" s="31"/>
      <c r="RO147" s="31"/>
      <c r="RP147" s="31"/>
      <c r="RQ147" s="31"/>
      <c r="RR147" s="31"/>
      <c r="RS147" s="31"/>
      <c r="RT147" s="31"/>
      <c r="RU147" s="31"/>
      <c r="RV147" s="31"/>
      <c r="RW147" s="31">
        <v>400.799</v>
      </c>
      <c r="RX147" s="31"/>
      <c r="RY147" s="31"/>
      <c r="RZ147" s="31"/>
      <c r="SA147" s="31"/>
      <c r="SB147" s="31"/>
      <c r="SC147" s="31"/>
      <c r="SD147" s="31"/>
      <c r="SE147" s="31"/>
      <c r="SF147" s="31"/>
      <c r="SG147" s="31"/>
      <c r="SH147" s="31"/>
      <c r="SI147" s="31"/>
      <c r="SJ147" s="31"/>
      <c r="SK147" s="31"/>
      <c r="SL147" s="31"/>
      <c r="SM147" s="31"/>
      <c r="SN147" s="31"/>
      <c r="SO147" s="31"/>
      <c r="SP147" s="31"/>
      <c r="SQ147" s="31"/>
      <c r="SR147" s="31"/>
      <c r="SS147" s="31"/>
      <c r="ST147" s="23"/>
      <c r="SU147" s="23"/>
      <c r="SV147" s="23"/>
      <c r="SW147" s="23"/>
      <c r="SX147" s="23"/>
      <c r="SY147" s="23"/>
      <c r="SZ147" s="23"/>
      <c r="TA147" s="23"/>
      <c r="TB147" s="23">
        <v>357.9242</v>
      </c>
      <c r="TC147" s="23"/>
      <c r="TD147" s="23"/>
      <c r="TE147" s="23"/>
      <c r="TF147" s="23"/>
      <c r="TG147" s="23"/>
      <c r="TH147" s="23"/>
      <c r="TI147" s="23"/>
      <c r="TJ147" s="23"/>
      <c r="TK147" s="23"/>
      <c r="TL147" s="23"/>
      <c r="TM147" s="23"/>
      <c r="TN147" s="23"/>
      <c r="TO147" s="23"/>
      <c r="TP147" s="23"/>
      <c r="TQ147" s="23"/>
      <c r="TR147" s="23"/>
      <c r="TS147" s="23"/>
      <c r="TT147" s="23"/>
      <c r="TU147" s="23"/>
      <c r="TV147" s="23"/>
      <c r="TW147" s="23"/>
      <c r="TX147" s="23"/>
      <c r="TY147" s="23"/>
      <c r="TZ147" s="23"/>
      <c r="UA147" s="23"/>
      <c r="UB147" s="23"/>
      <c r="UC147" s="23"/>
      <c r="UD147" s="23"/>
      <c r="UE147" s="23"/>
      <c r="UF147" s="23"/>
      <c r="UG147" s="23"/>
      <c r="UH147" s="23"/>
      <c r="UI147" s="23"/>
      <c r="UJ147" s="23"/>
      <c r="UK147" s="23"/>
      <c r="UL147" s="23"/>
      <c r="UM147" s="23"/>
      <c r="UN147" s="23"/>
      <c r="UO147" s="23"/>
      <c r="UP147" s="23"/>
      <c r="UQ147" s="23"/>
      <c r="UR147" s="23"/>
      <c r="US147" s="23"/>
      <c r="UT147" s="23"/>
    </row>
    <row r="148" spans="4:566">
      <c r="D148" t="s">
        <v>391</v>
      </c>
      <c r="E148" t="s">
        <v>392</v>
      </c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>
        <v>3.3</v>
      </c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>
        <v>3.1</v>
      </c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>
        <v>2.8</v>
      </c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  <c r="DI148" s="31"/>
      <c r="DJ148" s="31"/>
      <c r="DK148" s="31"/>
      <c r="DL148" s="31"/>
      <c r="DM148" s="31"/>
      <c r="DN148" s="31"/>
      <c r="DO148" s="31"/>
      <c r="DP148" s="31"/>
      <c r="DQ148" s="31"/>
      <c r="DR148" s="31"/>
      <c r="DS148" s="31"/>
      <c r="DT148" s="31"/>
      <c r="DU148" s="31"/>
      <c r="DV148" s="31">
        <v>2.8</v>
      </c>
      <c r="DW148" s="31"/>
      <c r="DX148" s="31"/>
      <c r="DY148" s="31"/>
      <c r="DZ148" s="31"/>
      <c r="EA148" s="31"/>
      <c r="EB148" s="31"/>
      <c r="EC148" s="31"/>
      <c r="ED148" s="31"/>
      <c r="EE148" s="31"/>
      <c r="EF148" s="31"/>
      <c r="EG148" s="31"/>
      <c r="EH148" s="31"/>
      <c r="EI148" s="31"/>
      <c r="EJ148" s="31"/>
      <c r="EK148" s="31"/>
      <c r="EL148" s="31"/>
      <c r="EM148" s="31"/>
      <c r="EN148" s="31"/>
      <c r="EO148" s="31"/>
      <c r="EP148" s="31"/>
      <c r="EQ148" s="31"/>
      <c r="ER148" s="31"/>
      <c r="ES148" s="31"/>
      <c r="ET148" s="31"/>
      <c r="EU148" s="31"/>
      <c r="EV148" s="31"/>
      <c r="EW148" s="31"/>
      <c r="EX148" s="31"/>
      <c r="EY148" s="31"/>
      <c r="EZ148" s="31"/>
      <c r="FA148" s="31">
        <v>2.8</v>
      </c>
      <c r="FB148" s="31"/>
      <c r="FC148" s="31"/>
      <c r="FD148" s="31"/>
      <c r="FE148" s="31"/>
      <c r="FF148" s="31"/>
      <c r="FG148" s="31"/>
      <c r="FH148" s="31"/>
      <c r="FI148" s="31"/>
      <c r="FJ148" s="31"/>
      <c r="FK148" s="31"/>
      <c r="FL148" s="31"/>
      <c r="FM148" s="31"/>
      <c r="FN148" s="31"/>
      <c r="FO148" s="31"/>
      <c r="FP148" s="31"/>
      <c r="FQ148" s="31"/>
      <c r="FR148" s="31"/>
      <c r="FS148" s="31"/>
      <c r="FT148" s="31"/>
      <c r="FU148" s="31"/>
      <c r="FV148" s="31"/>
      <c r="FW148" s="31"/>
      <c r="FX148" s="31"/>
      <c r="FY148" s="31"/>
      <c r="FZ148" s="31"/>
      <c r="GA148" s="31"/>
      <c r="GB148" s="31"/>
      <c r="GC148" s="31"/>
      <c r="GD148" s="31"/>
      <c r="GE148" s="31">
        <v>2.9</v>
      </c>
      <c r="GF148" s="31"/>
      <c r="GG148" s="31"/>
      <c r="GH148" s="31"/>
      <c r="GI148" s="31"/>
      <c r="GJ148" s="31"/>
      <c r="GK148" s="31"/>
      <c r="GL148" s="31"/>
      <c r="GM148" s="31"/>
      <c r="GN148" s="31"/>
      <c r="GO148" s="31"/>
      <c r="GP148" s="31"/>
      <c r="GQ148" s="31"/>
      <c r="GR148" s="31"/>
      <c r="GS148" s="31"/>
      <c r="GT148" s="31"/>
      <c r="GU148" s="31"/>
      <c r="GV148" s="31"/>
      <c r="GW148" s="31"/>
      <c r="GX148" s="31"/>
      <c r="GY148" s="31"/>
      <c r="GZ148" s="31"/>
      <c r="HA148" s="31"/>
      <c r="HB148" s="31"/>
      <c r="HC148" s="31"/>
      <c r="HD148" s="31"/>
      <c r="HE148" s="31"/>
      <c r="HF148" s="31"/>
      <c r="HG148" s="31"/>
      <c r="HH148" s="31"/>
      <c r="HI148" s="31"/>
      <c r="HJ148" s="31">
        <v>3.1</v>
      </c>
      <c r="HK148" s="31"/>
      <c r="HL148" s="31"/>
      <c r="HM148" s="31"/>
      <c r="HN148" s="31"/>
      <c r="HO148" s="31"/>
      <c r="HP148" s="31"/>
      <c r="HQ148" s="31"/>
      <c r="HR148" s="31"/>
      <c r="HS148" s="31"/>
      <c r="HT148" s="31"/>
      <c r="HU148" s="31"/>
      <c r="HV148" s="31"/>
      <c r="HW148" s="31"/>
      <c r="HX148" s="31"/>
      <c r="HY148" s="31"/>
      <c r="HZ148" s="31"/>
      <c r="IA148" s="31"/>
      <c r="IB148" s="31"/>
      <c r="IC148" s="31"/>
      <c r="ID148" s="31"/>
      <c r="IE148" s="31"/>
      <c r="IF148" s="31"/>
      <c r="IG148" s="31"/>
      <c r="IH148" s="31"/>
      <c r="II148" s="31"/>
      <c r="IJ148" s="31"/>
      <c r="IK148" s="31"/>
      <c r="IL148" s="31"/>
      <c r="IM148" s="31"/>
      <c r="IN148" s="31"/>
      <c r="IO148" s="31">
        <v>3.1</v>
      </c>
      <c r="IP148" s="31"/>
      <c r="IQ148" s="31"/>
      <c r="IR148" s="31"/>
      <c r="IS148" s="31"/>
      <c r="IT148" s="31"/>
      <c r="IU148" s="31"/>
      <c r="IV148" s="31"/>
      <c r="IW148" s="31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  <c r="JH148" s="31"/>
      <c r="JI148" s="31"/>
      <c r="JJ148" s="31"/>
      <c r="JK148" s="31"/>
      <c r="JL148" s="31"/>
      <c r="JM148" s="31"/>
      <c r="JN148" s="31"/>
      <c r="JO148" s="31"/>
      <c r="JP148" s="31"/>
      <c r="JQ148" s="31"/>
      <c r="JR148" s="31"/>
      <c r="JS148" s="31">
        <v>3</v>
      </c>
      <c r="JT148" s="31"/>
      <c r="JU148" s="31"/>
      <c r="JV148" s="31"/>
      <c r="JW148" s="31"/>
      <c r="JX148" s="31"/>
      <c r="JY148" s="31"/>
      <c r="JZ148" s="31"/>
      <c r="KA148" s="31"/>
      <c r="KB148" s="31"/>
      <c r="KC148" s="31"/>
      <c r="KD148" s="31"/>
      <c r="KE148" s="31"/>
      <c r="KF148" s="31"/>
      <c r="KG148" s="31"/>
      <c r="KH148" s="31"/>
      <c r="KI148" s="31"/>
      <c r="KJ148" s="31"/>
      <c r="KK148" s="31"/>
      <c r="KL148" s="31"/>
      <c r="KM148" s="31"/>
      <c r="KN148" s="31"/>
      <c r="KO148" s="31"/>
      <c r="KP148" s="31"/>
      <c r="KQ148" s="31"/>
      <c r="KR148" s="31"/>
      <c r="KS148" s="31"/>
      <c r="KT148" s="31"/>
      <c r="KU148" s="31"/>
      <c r="KV148" s="31"/>
      <c r="KW148" s="31"/>
      <c r="KX148" s="31"/>
      <c r="KY148" s="31"/>
      <c r="KZ148" s="31"/>
      <c r="LA148" s="31"/>
      <c r="LB148" s="31"/>
      <c r="LC148" s="31"/>
      <c r="LD148" s="31"/>
      <c r="LE148" s="31"/>
      <c r="LF148" s="31"/>
      <c r="LG148" s="31"/>
      <c r="LH148" s="31"/>
      <c r="LI148" s="31"/>
      <c r="LJ148" s="31"/>
      <c r="LK148" s="31"/>
      <c r="LL148" s="31"/>
      <c r="LM148" s="31"/>
      <c r="LN148" s="31"/>
      <c r="LO148" s="31"/>
      <c r="LP148" s="31"/>
      <c r="LQ148" s="31"/>
      <c r="LR148" s="31"/>
      <c r="LS148" s="31"/>
      <c r="LT148" s="31"/>
      <c r="LU148" s="31"/>
      <c r="LV148" s="31"/>
      <c r="LW148" s="31"/>
      <c r="LX148" s="31"/>
      <c r="LY148" s="31"/>
      <c r="LZ148" s="31"/>
      <c r="MA148" s="31"/>
      <c r="MB148" s="31">
        <v>2.6</v>
      </c>
      <c r="MC148" s="31"/>
      <c r="MD148" s="31"/>
      <c r="ME148" s="31"/>
      <c r="MF148" s="31"/>
      <c r="MG148" s="31"/>
      <c r="MH148" s="31"/>
      <c r="MI148" s="31"/>
      <c r="MJ148" s="31"/>
      <c r="MK148" s="31"/>
      <c r="ML148" s="31"/>
      <c r="MM148" s="31"/>
      <c r="MN148" s="31"/>
      <c r="MO148" s="31"/>
      <c r="MP148" s="31"/>
      <c r="MQ148" s="31"/>
      <c r="MR148" s="31"/>
      <c r="MS148" s="31"/>
      <c r="MT148" s="31"/>
      <c r="MU148" s="31"/>
      <c r="MV148" s="31"/>
      <c r="MW148" s="31"/>
      <c r="MX148" s="31"/>
      <c r="MY148" s="31"/>
      <c r="MZ148" s="31"/>
      <c r="NA148" s="31"/>
      <c r="NB148" s="31"/>
      <c r="NC148" s="31"/>
      <c r="ND148" s="31"/>
      <c r="NE148" s="31"/>
      <c r="NF148" s="31"/>
      <c r="NG148" s="31">
        <v>2.6</v>
      </c>
      <c r="NH148" s="31"/>
      <c r="NI148" s="31"/>
      <c r="NJ148" s="31"/>
      <c r="NK148" s="31"/>
      <c r="NL148" s="31"/>
      <c r="NM148" s="31"/>
      <c r="NN148" s="31"/>
      <c r="NO148" s="31"/>
      <c r="NP148" s="31"/>
      <c r="NQ148" s="31"/>
      <c r="NR148" s="31"/>
      <c r="NS148" s="31"/>
      <c r="NT148" s="31"/>
      <c r="NU148" s="31"/>
      <c r="NV148" s="31"/>
      <c r="NW148" s="31"/>
      <c r="NX148" s="31"/>
      <c r="NY148" s="31"/>
      <c r="NZ148" s="31"/>
      <c r="OA148" s="31"/>
      <c r="OB148" s="31"/>
      <c r="OC148" s="31"/>
      <c r="OD148" s="31"/>
      <c r="OE148" s="31"/>
      <c r="OF148" s="31"/>
      <c r="OG148" s="31"/>
      <c r="OH148" s="31"/>
      <c r="OI148" s="31"/>
      <c r="OJ148" s="31"/>
      <c r="OK148" s="31"/>
      <c r="OL148" s="31">
        <v>2.5</v>
      </c>
      <c r="OM148" s="31"/>
      <c r="ON148" s="31"/>
      <c r="OO148" s="31"/>
      <c r="OP148" s="31"/>
      <c r="OQ148" s="31"/>
      <c r="OR148" s="31"/>
      <c r="OS148" s="31"/>
      <c r="OT148" s="31"/>
      <c r="OU148" s="31"/>
      <c r="OV148" s="31"/>
      <c r="OW148" s="31"/>
      <c r="OX148" s="31"/>
      <c r="OY148" s="31"/>
      <c r="OZ148" s="31"/>
      <c r="PA148" s="31"/>
      <c r="PB148" s="31"/>
      <c r="PC148" s="31"/>
      <c r="PD148" s="31"/>
      <c r="PE148" s="31"/>
      <c r="PF148" s="31"/>
      <c r="PG148" s="31"/>
      <c r="PH148" s="31"/>
      <c r="PI148" s="31"/>
      <c r="PJ148" s="31"/>
      <c r="PK148" s="31"/>
      <c r="PL148" s="31"/>
      <c r="PM148" s="31"/>
      <c r="PN148" s="31">
        <v>2.5</v>
      </c>
      <c r="PO148" s="31"/>
      <c r="PP148" s="31"/>
      <c r="PQ148" s="31"/>
      <c r="PR148" s="31"/>
      <c r="PS148" s="31"/>
      <c r="PT148" s="31"/>
      <c r="PU148" s="31"/>
      <c r="PV148" s="31"/>
      <c r="PW148" s="31"/>
      <c r="PX148" s="31"/>
      <c r="PY148" s="31"/>
      <c r="PZ148" s="31"/>
      <c r="QA148" s="31"/>
      <c r="QB148" s="31"/>
      <c r="QC148" s="31"/>
      <c r="QD148" s="31"/>
      <c r="QE148" s="31"/>
      <c r="QF148" s="31"/>
      <c r="QG148" s="31"/>
      <c r="QH148" s="31"/>
      <c r="QI148" s="31"/>
      <c r="QJ148" s="31"/>
      <c r="QK148" s="31"/>
      <c r="QL148" s="31"/>
      <c r="QM148" s="31"/>
      <c r="QN148" s="31"/>
      <c r="QO148" s="31"/>
      <c r="QP148" s="31"/>
      <c r="QQ148" s="31"/>
      <c r="QR148" s="31"/>
      <c r="QS148" s="31">
        <v>2.6</v>
      </c>
      <c r="QT148" s="31"/>
      <c r="QU148" s="31"/>
      <c r="QV148" s="31"/>
      <c r="QW148" s="31"/>
      <c r="QX148" s="31"/>
      <c r="QY148" s="31"/>
      <c r="QZ148" s="31"/>
      <c r="RA148" s="31"/>
      <c r="RB148" s="31"/>
      <c r="RC148" s="31"/>
      <c r="RD148" s="31"/>
      <c r="RE148" s="31"/>
      <c r="RF148" s="31"/>
      <c r="RG148" s="31"/>
      <c r="RH148" s="31"/>
      <c r="RI148" s="31"/>
      <c r="RJ148" s="31"/>
      <c r="RK148" s="31"/>
      <c r="RL148" s="31"/>
      <c r="RM148" s="31"/>
      <c r="RN148" s="31"/>
      <c r="RO148" s="31"/>
      <c r="RP148" s="31"/>
      <c r="RQ148" s="31"/>
      <c r="RR148" s="31"/>
      <c r="RS148" s="31"/>
      <c r="RT148" s="31"/>
      <c r="RU148" s="31"/>
      <c r="RV148" s="31"/>
      <c r="RW148" s="31">
        <v>2.7</v>
      </c>
      <c r="RX148" s="31"/>
      <c r="RY148" s="31"/>
      <c r="RZ148" s="31"/>
      <c r="SA148" s="31"/>
      <c r="SB148" s="31"/>
      <c r="SC148" s="31"/>
      <c r="SD148" s="31"/>
      <c r="SE148" s="31"/>
      <c r="SF148" s="31"/>
      <c r="SG148" s="31"/>
      <c r="SH148" s="31"/>
      <c r="SI148" s="31"/>
      <c r="SJ148" s="31"/>
      <c r="SK148" s="31"/>
      <c r="SL148" s="31"/>
      <c r="SM148" s="31"/>
      <c r="SN148" s="31"/>
      <c r="SO148" s="31"/>
      <c r="SP148" s="31"/>
      <c r="SQ148" s="31"/>
      <c r="SR148" s="31"/>
      <c r="SS148" s="31"/>
      <c r="ST148" s="23"/>
      <c r="SU148" s="23"/>
      <c r="SV148" s="23"/>
      <c r="SW148" s="23"/>
      <c r="SX148" s="23"/>
      <c r="SY148" s="23"/>
      <c r="SZ148" s="23"/>
      <c r="TA148" s="23"/>
      <c r="TB148" s="23">
        <v>2.8</v>
      </c>
      <c r="TC148" s="23"/>
      <c r="TD148" s="23"/>
      <c r="TE148" s="23"/>
      <c r="TF148" s="23"/>
      <c r="TG148" s="23"/>
      <c r="TH148" s="23"/>
      <c r="TI148" s="23"/>
      <c r="TJ148" s="23"/>
      <c r="TK148" s="23"/>
      <c r="TL148" s="23"/>
      <c r="TM148" s="23"/>
      <c r="TN148" s="23"/>
      <c r="TO148" s="23"/>
      <c r="TP148" s="23"/>
      <c r="TQ148" s="23"/>
      <c r="TR148" s="23"/>
      <c r="TS148" s="23"/>
      <c r="TT148" s="23"/>
      <c r="TU148" s="23"/>
      <c r="TV148" s="23"/>
      <c r="TW148" s="23"/>
      <c r="TX148" s="23"/>
      <c r="TY148" s="23"/>
      <c r="TZ148" s="23"/>
      <c r="UA148" s="23"/>
      <c r="UB148" s="23"/>
      <c r="UC148" s="23"/>
      <c r="UD148" s="23"/>
      <c r="UE148" s="23"/>
      <c r="UF148" s="23"/>
      <c r="UG148" s="23"/>
      <c r="UH148" s="23"/>
      <c r="UI148" s="23"/>
      <c r="UJ148" s="23"/>
      <c r="UK148" s="23"/>
      <c r="UL148" s="23"/>
      <c r="UM148" s="23"/>
      <c r="UN148" s="23"/>
      <c r="UO148" s="23"/>
      <c r="UP148" s="23"/>
      <c r="UQ148" s="23"/>
      <c r="UR148" s="23"/>
      <c r="US148" s="23"/>
      <c r="UT148" s="23"/>
    </row>
    <row r="149" spans="4:566">
      <c r="D149" t="s">
        <v>428</v>
      </c>
      <c r="E149" t="s">
        <v>394</v>
      </c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>
        <v>113.233154</v>
      </c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>
        <v>136.980591</v>
      </c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>
        <v>175.901123</v>
      </c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  <c r="DI149" s="31"/>
      <c r="DJ149" s="31"/>
      <c r="DK149" s="31"/>
      <c r="DL149" s="31"/>
      <c r="DM149" s="31"/>
      <c r="DN149" s="31"/>
      <c r="DO149" s="31"/>
      <c r="DP149" s="31"/>
      <c r="DQ149" s="31"/>
      <c r="DR149" s="31"/>
      <c r="DS149" s="31"/>
      <c r="DT149" s="31"/>
      <c r="DU149" s="31"/>
      <c r="DV149" s="31">
        <v>140.973694</v>
      </c>
      <c r="DW149" s="31"/>
      <c r="DX149" s="31"/>
      <c r="DY149" s="31"/>
      <c r="DZ149" s="31"/>
      <c r="EA149" s="31"/>
      <c r="EB149" s="31"/>
      <c r="EC149" s="31"/>
      <c r="ED149" s="31"/>
      <c r="EE149" s="31"/>
      <c r="EF149" s="31"/>
      <c r="EG149" s="31"/>
      <c r="EH149" s="31"/>
      <c r="EI149" s="31"/>
      <c r="EJ149" s="31"/>
      <c r="EK149" s="31"/>
      <c r="EL149" s="31"/>
      <c r="EM149" s="31"/>
      <c r="EN149" s="31"/>
      <c r="EO149" s="31"/>
      <c r="EP149" s="31"/>
      <c r="EQ149" s="31"/>
      <c r="ER149" s="31"/>
      <c r="ES149" s="31"/>
      <c r="ET149" s="31"/>
      <c r="EU149" s="31"/>
      <c r="EV149" s="31"/>
      <c r="EW149" s="31"/>
      <c r="EX149" s="31"/>
      <c r="EY149" s="31"/>
      <c r="EZ149" s="31"/>
      <c r="FA149" s="31">
        <v>166.827728</v>
      </c>
      <c r="FB149" s="31"/>
      <c r="FC149" s="31"/>
      <c r="FD149" s="31"/>
      <c r="FE149" s="31"/>
      <c r="FF149" s="31"/>
      <c r="FG149" s="31"/>
      <c r="FH149" s="31"/>
      <c r="FI149" s="31"/>
      <c r="FJ149" s="31"/>
      <c r="FK149" s="31"/>
      <c r="FL149" s="31"/>
      <c r="FM149" s="31"/>
      <c r="FN149" s="31"/>
      <c r="FO149" s="31"/>
      <c r="FP149" s="31"/>
      <c r="FQ149" s="31"/>
      <c r="FR149" s="31"/>
      <c r="FS149" s="31"/>
      <c r="FT149" s="31"/>
      <c r="FU149" s="31"/>
      <c r="FV149" s="31"/>
      <c r="FW149" s="31"/>
      <c r="FX149" s="31"/>
      <c r="FY149" s="31"/>
      <c r="FZ149" s="31"/>
      <c r="GA149" s="31"/>
      <c r="GB149" s="31"/>
      <c r="GC149" s="31"/>
      <c r="GD149" s="31"/>
      <c r="GE149" s="31">
        <v>221.134903</v>
      </c>
      <c r="GF149" s="31"/>
      <c r="GG149" s="31"/>
      <c r="GH149" s="31"/>
      <c r="GI149" s="31"/>
      <c r="GJ149" s="31"/>
      <c r="GK149" s="31"/>
      <c r="GL149" s="31"/>
      <c r="GM149" s="31"/>
      <c r="GN149" s="31"/>
      <c r="GO149" s="31"/>
      <c r="GP149" s="31"/>
      <c r="GQ149" s="31"/>
      <c r="GR149" s="31"/>
      <c r="GS149" s="31"/>
      <c r="GT149" s="31"/>
      <c r="GU149" s="31"/>
      <c r="GV149" s="31"/>
      <c r="GW149" s="31"/>
      <c r="GX149" s="31"/>
      <c r="GY149" s="31"/>
      <c r="GZ149" s="31"/>
      <c r="HA149" s="31"/>
      <c r="HB149" s="31"/>
      <c r="HC149" s="31"/>
      <c r="HD149" s="31"/>
      <c r="HE149" s="31"/>
      <c r="HF149" s="31"/>
      <c r="HG149" s="31"/>
      <c r="HH149" s="31"/>
      <c r="HI149" s="31"/>
      <c r="HJ149" s="31">
        <v>134.222</v>
      </c>
      <c r="HK149" s="31"/>
      <c r="HL149" s="31"/>
      <c r="HM149" s="31"/>
      <c r="HN149" s="31"/>
      <c r="HO149" s="31"/>
      <c r="HP149" s="31"/>
      <c r="HQ149" s="31"/>
      <c r="HR149" s="31"/>
      <c r="HS149" s="31"/>
      <c r="HT149" s="31"/>
      <c r="HU149" s="31"/>
      <c r="HV149" s="31"/>
      <c r="HW149" s="31"/>
      <c r="HX149" s="31"/>
      <c r="HY149" s="31"/>
      <c r="HZ149" s="31"/>
      <c r="IA149" s="31"/>
      <c r="IB149" s="31"/>
      <c r="IC149" s="31"/>
      <c r="ID149" s="31"/>
      <c r="IE149" s="31"/>
      <c r="IF149" s="31"/>
      <c r="IG149" s="31"/>
      <c r="IH149" s="31"/>
      <c r="II149" s="31"/>
      <c r="IJ149" s="31"/>
      <c r="IK149" s="31"/>
      <c r="IL149" s="31"/>
      <c r="IM149" s="31"/>
      <c r="IN149" s="31"/>
      <c r="IO149" s="31">
        <v>138.988464</v>
      </c>
      <c r="IP149" s="31"/>
      <c r="IQ149" s="31"/>
      <c r="IR149" s="31"/>
      <c r="IS149" s="31"/>
      <c r="IT149" s="31"/>
      <c r="IU149" s="31"/>
      <c r="IV149" s="31"/>
      <c r="IW149" s="31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  <c r="JN149" s="31"/>
      <c r="JO149" s="31"/>
      <c r="JP149" s="31"/>
      <c r="JQ149" s="31"/>
      <c r="JR149" s="31"/>
      <c r="JS149" s="31">
        <v>126.740585</v>
      </c>
      <c r="JT149" s="31"/>
      <c r="JU149" s="31"/>
      <c r="JV149" s="31"/>
      <c r="JW149" s="31"/>
      <c r="JX149" s="31"/>
      <c r="JY149" s="31"/>
      <c r="JZ149" s="31"/>
      <c r="KA149" s="31"/>
      <c r="KB149" s="31"/>
      <c r="KC149" s="31"/>
      <c r="KD149" s="31"/>
      <c r="KE149" s="31"/>
      <c r="KF149" s="31"/>
      <c r="KG149" s="31"/>
      <c r="KH149" s="31"/>
      <c r="KI149" s="31"/>
      <c r="KJ149" s="31"/>
      <c r="KK149" s="31"/>
      <c r="KL149" s="31"/>
      <c r="KM149" s="31"/>
      <c r="KN149" s="31"/>
      <c r="KO149" s="31"/>
      <c r="KP149" s="31"/>
      <c r="KQ149" s="31"/>
      <c r="KR149" s="31"/>
      <c r="KS149" s="31"/>
      <c r="KT149" s="31"/>
      <c r="KU149" s="31"/>
      <c r="KV149" s="31"/>
      <c r="KW149" s="31"/>
      <c r="KX149" s="31">
        <v>154.512924</v>
      </c>
      <c r="KY149" s="31"/>
      <c r="KZ149" s="31"/>
      <c r="LA149" s="31"/>
      <c r="LB149" s="31"/>
      <c r="LC149" s="31"/>
      <c r="LD149" s="31"/>
      <c r="LE149" s="31"/>
      <c r="LF149" s="31"/>
      <c r="LG149" s="31"/>
      <c r="LH149" s="31"/>
      <c r="LI149" s="31"/>
      <c r="LJ149" s="31"/>
      <c r="LK149" s="31"/>
      <c r="LL149" s="31"/>
      <c r="LM149" s="31"/>
      <c r="LN149" s="31"/>
      <c r="LO149" s="31"/>
      <c r="LP149" s="31"/>
      <c r="LQ149" s="31"/>
      <c r="LR149" s="31"/>
      <c r="LS149" s="31"/>
      <c r="LT149" s="31"/>
      <c r="LU149" s="31"/>
      <c r="LV149" s="31"/>
      <c r="LW149" s="31"/>
      <c r="LX149" s="31"/>
      <c r="LY149" s="31"/>
      <c r="LZ149" s="31"/>
      <c r="MA149" s="31"/>
      <c r="MB149" s="31">
        <v>104.351768</v>
      </c>
      <c r="MC149" s="31"/>
      <c r="MD149" s="31"/>
      <c r="ME149" s="31"/>
      <c r="MF149" s="31"/>
      <c r="MG149" s="31"/>
      <c r="MH149" s="31"/>
      <c r="MI149" s="31"/>
      <c r="MJ149" s="31"/>
      <c r="MK149" s="31"/>
      <c r="ML149" s="31"/>
      <c r="MM149" s="31"/>
      <c r="MN149" s="31"/>
      <c r="MO149" s="31"/>
      <c r="MP149" s="31"/>
      <c r="MQ149" s="31"/>
      <c r="MR149" s="31"/>
      <c r="MS149" s="31"/>
      <c r="MT149" s="31"/>
      <c r="MU149" s="31"/>
      <c r="MV149" s="31"/>
      <c r="MW149" s="31"/>
      <c r="MX149" s="31"/>
      <c r="MY149" s="31"/>
      <c r="MZ149" s="31"/>
      <c r="NA149" s="31"/>
      <c r="NB149" s="31"/>
      <c r="NC149" s="31"/>
      <c r="ND149" s="31"/>
      <c r="NE149" s="31"/>
      <c r="NF149" s="31"/>
      <c r="NG149" s="31">
        <v>132.486221</v>
      </c>
      <c r="NH149" s="31"/>
      <c r="NI149" s="31"/>
      <c r="NJ149" s="31"/>
      <c r="NK149" s="31"/>
      <c r="NL149" s="31"/>
      <c r="NM149" s="31"/>
      <c r="NN149" s="31"/>
      <c r="NO149" s="31"/>
      <c r="NP149" s="31"/>
      <c r="NQ149" s="31"/>
      <c r="NR149" s="31"/>
      <c r="NS149" s="31"/>
      <c r="NT149" s="31"/>
      <c r="NU149" s="31"/>
      <c r="NV149" s="31"/>
      <c r="NW149" s="31"/>
      <c r="NX149" s="31"/>
      <c r="NY149" s="31"/>
      <c r="NZ149" s="31"/>
      <c r="OA149" s="31"/>
      <c r="OB149" s="31"/>
      <c r="OC149" s="31"/>
      <c r="OD149" s="31"/>
      <c r="OE149" s="31"/>
      <c r="OF149" s="31"/>
      <c r="OG149" s="31"/>
      <c r="OH149" s="31"/>
      <c r="OI149" s="31"/>
      <c r="OJ149" s="31"/>
      <c r="OK149" s="31"/>
      <c r="OL149" s="31">
        <v>168.629868</v>
      </c>
      <c r="OM149" s="31"/>
      <c r="ON149" s="31"/>
      <c r="OO149" s="31"/>
      <c r="OP149" s="31"/>
      <c r="OQ149" s="31"/>
      <c r="OR149" s="31"/>
      <c r="OS149" s="31"/>
      <c r="OT149" s="31"/>
      <c r="OU149" s="31"/>
      <c r="OV149" s="31"/>
      <c r="OW149" s="31"/>
      <c r="OX149" s="31"/>
      <c r="OY149" s="31"/>
      <c r="OZ149" s="31"/>
      <c r="PA149" s="31"/>
      <c r="PB149" s="31"/>
      <c r="PC149" s="31"/>
      <c r="PD149" s="31"/>
      <c r="PE149" s="31"/>
      <c r="PF149" s="31"/>
      <c r="PG149" s="31"/>
      <c r="PH149" s="31"/>
      <c r="PI149" s="31"/>
      <c r="PJ149" s="31"/>
      <c r="PK149" s="31"/>
      <c r="PL149" s="31"/>
      <c r="PM149" s="31"/>
      <c r="PN149" s="31">
        <v>119.86541</v>
      </c>
      <c r="PO149" s="31"/>
      <c r="PP149" s="31"/>
      <c r="PQ149" s="31"/>
      <c r="PR149" s="31"/>
      <c r="PS149" s="31"/>
      <c r="PT149" s="31"/>
      <c r="PU149" s="31"/>
      <c r="PV149" s="31"/>
      <c r="PW149" s="31"/>
      <c r="PX149" s="31"/>
      <c r="PY149" s="31"/>
      <c r="PZ149" s="31"/>
      <c r="QA149" s="31"/>
      <c r="QB149" s="31"/>
      <c r="QC149" s="31"/>
      <c r="QD149" s="31"/>
      <c r="QE149" s="31"/>
      <c r="QF149" s="31"/>
      <c r="QG149" s="31"/>
      <c r="QH149" s="31"/>
      <c r="QI149" s="31"/>
      <c r="QJ149" s="31"/>
      <c r="QK149" s="31"/>
      <c r="QL149" s="31"/>
      <c r="QM149" s="31"/>
      <c r="QN149" s="31"/>
      <c r="QO149" s="31"/>
      <c r="QP149" s="31"/>
      <c r="QQ149" s="31"/>
      <c r="QR149" s="31"/>
      <c r="QS149" s="31">
        <v>330.944641</v>
      </c>
      <c r="QT149" s="31"/>
      <c r="QU149" s="31"/>
      <c r="QV149" s="31"/>
      <c r="QW149" s="31"/>
      <c r="QX149" s="31"/>
      <c r="QY149" s="31"/>
      <c r="QZ149" s="31"/>
      <c r="RA149" s="31"/>
      <c r="RB149" s="31"/>
      <c r="RC149" s="31"/>
      <c r="RD149" s="31"/>
      <c r="RE149" s="31"/>
      <c r="RF149" s="31"/>
      <c r="RG149" s="31"/>
      <c r="RH149" s="31"/>
      <c r="RI149" s="31"/>
      <c r="RJ149" s="31"/>
      <c r="RK149" s="31"/>
      <c r="RL149" s="31"/>
      <c r="RM149" s="31"/>
      <c r="RN149" s="31"/>
      <c r="RO149" s="31"/>
      <c r="RP149" s="31"/>
      <c r="RQ149" s="31"/>
      <c r="RR149" s="31"/>
      <c r="RS149" s="31"/>
      <c r="RT149" s="31"/>
      <c r="RU149" s="31"/>
      <c r="RV149" s="31"/>
      <c r="RW149" s="31">
        <v>254.429504</v>
      </c>
      <c r="RX149" s="31"/>
      <c r="RY149" s="31"/>
      <c r="RZ149" s="31"/>
      <c r="SA149" s="31"/>
      <c r="SB149" s="31"/>
      <c r="SC149" s="31"/>
      <c r="SD149" s="31"/>
      <c r="SE149" s="31"/>
      <c r="SF149" s="31"/>
      <c r="SG149" s="31"/>
      <c r="SH149" s="31"/>
      <c r="SI149" s="31"/>
      <c r="SJ149" s="31"/>
      <c r="SK149" s="31"/>
      <c r="SL149" s="31"/>
      <c r="SM149" s="31"/>
      <c r="SN149" s="31"/>
      <c r="SO149" s="31"/>
      <c r="SP149" s="31"/>
      <c r="SQ149" s="31"/>
      <c r="SR149" s="31"/>
      <c r="SS149" s="31"/>
      <c r="ST149" s="23"/>
      <c r="SU149" s="23"/>
      <c r="SV149" s="23"/>
      <c r="SW149" s="23"/>
      <c r="SX149" s="23"/>
      <c r="SY149" s="23"/>
      <c r="SZ149" s="23"/>
      <c r="TA149" s="23"/>
      <c r="TB149" s="23">
        <v>203.556671</v>
      </c>
      <c r="TC149" s="23"/>
      <c r="TD149" s="23"/>
      <c r="TE149" s="23"/>
      <c r="TF149" s="23"/>
      <c r="TG149" s="23"/>
      <c r="TH149" s="23"/>
      <c r="TI149" s="23"/>
      <c r="TJ149" s="23"/>
      <c r="TK149" s="23"/>
      <c r="TL149" s="23"/>
      <c r="TM149" s="23"/>
      <c r="TN149" s="23"/>
      <c r="TO149" s="23"/>
      <c r="TP149" s="23"/>
      <c r="TQ149" s="23"/>
      <c r="TR149" s="23"/>
      <c r="TS149" s="23"/>
      <c r="TT149" s="23"/>
      <c r="TU149" s="23"/>
      <c r="TV149" s="23"/>
      <c r="TW149" s="23"/>
      <c r="TX149" s="23"/>
      <c r="TY149" s="23"/>
      <c r="TZ149" s="23"/>
      <c r="UA149" s="23"/>
      <c r="UB149" s="23"/>
      <c r="UC149" s="23"/>
      <c r="UD149" s="23"/>
      <c r="UE149" s="23"/>
      <c r="UF149" s="23">
        <v>173.639557</v>
      </c>
      <c r="UG149" s="23"/>
      <c r="UH149" s="23"/>
      <c r="UI149" s="23"/>
      <c r="UJ149" s="23"/>
      <c r="UK149" s="23"/>
      <c r="UL149" s="23"/>
      <c r="UM149" s="23"/>
      <c r="UN149" s="23"/>
      <c r="UO149" s="23"/>
      <c r="UP149" s="23"/>
      <c r="UQ149" s="23"/>
      <c r="UR149" s="23"/>
      <c r="US149" s="23"/>
      <c r="UT149" s="23"/>
    </row>
    <row r="150" spans="4:566">
      <c r="D150" t="s">
        <v>395</v>
      </c>
      <c r="E150" t="s">
        <v>396</v>
      </c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>
        <v>102.8</v>
      </c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>
        <v>100.7</v>
      </c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>
        <v>97.4</v>
      </c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  <c r="DI150" s="31"/>
      <c r="DJ150" s="31"/>
      <c r="DK150" s="31"/>
      <c r="DL150" s="31"/>
      <c r="DM150" s="31"/>
      <c r="DN150" s="31"/>
      <c r="DO150" s="31"/>
      <c r="DP150" s="31"/>
      <c r="DQ150" s="31"/>
      <c r="DR150" s="31"/>
      <c r="DS150" s="31"/>
      <c r="DT150" s="31"/>
      <c r="DU150" s="31"/>
      <c r="DV150" s="31">
        <v>95.8</v>
      </c>
      <c r="DW150" s="31"/>
      <c r="DX150" s="31"/>
      <c r="DY150" s="31"/>
      <c r="DZ150" s="31"/>
      <c r="EA150" s="31"/>
      <c r="EB150" s="31"/>
      <c r="EC150" s="31"/>
      <c r="ED150" s="31"/>
      <c r="EE150" s="31"/>
      <c r="EF150" s="31"/>
      <c r="EG150" s="31"/>
      <c r="EH150" s="31"/>
      <c r="EI150" s="31"/>
      <c r="EJ150" s="31"/>
      <c r="EK150" s="31"/>
      <c r="EL150" s="31"/>
      <c r="EM150" s="31"/>
      <c r="EN150" s="31"/>
      <c r="EO150" s="31"/>
      <c r="EP150" s="31"/>
      <c r="EQ150" s="31"/>
      <c r="ER150" s="31"/>
      <c r="ES150" s="31"/>
      <c r="ET150" s="31"/>
      <c r="EU150" s="31"/>
      <c r="EV150" s="31"/>
      <c r="EW150" s="31"/>
      <c r="EX150" s="31"/>
      <c r="EY150" s="31"/>
      <c r="EZ150" s="31"/>
      <c r="FA150" s="31">
        <v>98.8</v>
      </c>
      <c r="FB150" s="31"/>
      <c r="FC150" s="31"/>
      <c r="FD150" s="31"/>
      <c r="FE150" s="31"/>
      <c r="FF150" s="31"/>
      <c r="FG150" s="31"/>
      <c r="FH150" s="31"/>
      <c r="FI150" s="31"/>
      <c r="FJ150" s="31"/>
      <c r="FK150" s="31"/>
      <c r="FL150" s="31"/>
      <c r="FM150" s="31"/>
      <c r="FN150" s="31"/>
      <c r="FO150" s="31"/>
      <c r="FP150" s="31"/>
      <c r="FQ150" s="31"/>
      <c r="FR150" s="31"/>
      <c r="FS150" s="31"/>
      <c r="FT150" s="31"/>
      <c r="FU150" s="31"/>
      <c r="FV150" s="31"/>
      <c r="FW150" s="31"/>
      <c r="FX150" s="31"/>
      <c r="FY150" s="31"/>
      <c r="FZ150" s="31"/>
      <c r="GA150" s="31"/>
      <c r="GB150" s="31"/>
      <c r="GC150" s="31"/>
      <c r="GD150" s="31"/>
      <c r="GE150" s="31">
        <v>98.6</v>
      </c>
      <c r="GF150" s="31"/>
      <c r="GG150" s="31"/>
      <c r="GH150" s="31"/>
      <c r="GI150" s="31"/>
      <c r="GJ150" s="31"/>
      <c r="GK150" s="31"/>
      <c r="GL150" s="31"/>
      <c r="GM150" s="31"/>
      <c r="GN150" s="31"/>
      <c r="GO150" s="31"/>
      <c r="GP150" s="31"/>
      <c r="GQ150" s="31"/>
      <c r="GR150" s="31"/>
      <c r="GS150" s="31"/>
      <c r="GT150" s="31"/>
      <c r="GU150" s="31"/>
      <c r="GV150" s="31"/>
      <c r="GW150" s="31"/>
      <c r="GX150" s="31"/>
      <c r="GY150" s="31"/>
      <c r="GZ150" s="31"/>
      <c r="HA150" s="31"/>
      <c r="HB150" s="31"/>
      <c r="HC150" s="31"/>
      <c r="HD150" s="31"/>
      <c r="HE150" s="31"/>
      <c r="HF150" s="31"/>
      <c r="HG150" s="31"/>
      <c r="HH150" s="31"/>
      <c r="HI150" s="31"/>
      <c r="HJ150" s="31">
        <v>100.3</v>
      </c>
      <c r="HK150" s="31"/>
      <c r="HL150" s="31"/>
      <c r="HM150" s="31"/>
      <c r="HN150" s="31"/>
      <c r="HO150" s="31"/>
      <c r="HP150" s="31"/>
      <c r="HQ150" s="31"/>
      <c r="HR150" s="31"/>
      <c r="HS150" s="31"/>
      <c r="HT150" s="31"/>
      <c r="HU150" s="31"/>
      <c r="HV150" s="31"/>
      <c r="HW150" s="31"/>
      <c r="HX150" s="31"/>
      <c r="HY150" s="31"/>
      <c r="HZ150" s="31"/>
      <c r="IA150" s="31"/>
      <c r="IB150" s="31"/>
      <c r="IC150" s="31"/>
      <c r="ID150" s="31"/>
      <c r="IE150" s="31"/>
      <c r="IF150" s="31"/>
      <c r="IG150" s="31"/>
      <c r="IH150" s="31"/>
      <c r="II150" s="31"/>
      <c r="IJ150" s="31"/>
      <c r="IK150" s="31"/>
      <c r="IL150" s="31"/>
      <c r="IM150" s="31"/>
      <c r="IN150" s="31"/>
      <c r="IO150" s="31">
        <v>100.8</v>
      </c>
      <c r="IP150" s="31"/>
      <c r="IQ150" s="31"/>
      <c r="IR150" s="31"/>
      <c r="IS150" s="31"/>
      <c r="IT150" s="31"/>
      <c r="IU150" s="31"/>
      <c r="IV150" s="31"/>
      <c r="IW150" s="31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  <c r="JN150" s="31"/>
      <c r="JO150" s="31"/>
      <c r="JP150" s="31"/>
      <c r="JQ150" s="31"/>
      <c r="JR150" s="31"/>
      <c r="JS150" s="31">
        <v>98.8</v>
      </c>
      <c r="JT150" s="31"/>
      <c r="JU150" s="31"/>
      <c r="JV150" s="31"/>
      <c r="JW150" s="31"/>
      <c r="JX150" s="31"/>
      <c r="JY150" s="31"/>
      <c r="JZ150" s="31"/>
      <c r="KA150" s="31"/>
      <c r="KB150" s="31"/>
      <c r="KC150" s="31"/>
      <c r="KD150" s="31"/>
      <c r="KE150" s="31"/>
      <c r="KF150" s="31"/>
      <c r="KG150" s="31"/>
      <c r="KH150" s="31"/>
      <c r="KI150" s="31"/>
      <c r="KJ150" s="31"/>
      <c r="KK150" s="31"/>
      <c r="KL150" s="31"/>
      <c r="KM150" s="31"/>
      <c r="KN150" s="31"/>
      <c r="KO150" s="31"/>
      <c r="KP150" s="31"/>
      <c r="KQ150" s="31"/>
      <c r="KR150" s="31"/>
      <c r="KS150" s="31"/>
      <c r="KT150" s="31"/>
      <c r="KU150" s="31"/>
      <c r="KV150" s="31"/>
      <c r="KW150" s="31"/>
      <c r="KX150" s="31">
        <v>98.2</v>
      </c>
      <c r="KY150" s="31"/>
      <c r="KZ150" s="31"/>
      <c r="LA150" s="31"/>
      <c r="LB150" s="31"/>
      <c r="LC150" s="31"/>
      <c r="LD150" s="31"/>
      <c r="LE150" s="31"/>
      <c r="LF150" s="31"/>
      <c r="LG150" s="31"/>
      <c r="LH150" s="31"/>
      <c r="LI150" s="31"/>
      <c r="LJ150" s="31"/>
      <c r="LK150" s="31"/>
      <c r="LL150" s="31"/>
      <c r="LM150" s="31"/>
      <c r="LN150" s="31"/>
      <c r="LO150" s="31"/>
      <c r="LP150" s="31"/>
      <c r="LQ150" s="31"/>
      <c r="LR150" s="31"/>
      <c r="LS150" s="31"/>
      <c r="LT150" s="31"/>
      <c r="LU150" s="31"/>
      <c r="LV150" s="31"/>
      <c r="LW150" s="31"/>
      <c r="LX150" s="31"/>
      <c r="LY150" s="31"/>
      <c r="LZ150" s="31"/>
      <c r="MA150" s="31"/>
      <c r="MB150" s="31">
        <v>99</v>
      </c>
      <c r="MC150" s="31"/>
      <c r="MD150" s="31"/>
      <c r="ME150" s="31"/>
      <c r="MF150" s="31"/>
      <c r="MG150" s="31"/>
      <c r="MH150" s="31"/>
      <c r="MI150" s="31"/>
      <c r="MJ150" s="31"/>
      <c r="MK150" s="31"/>
      <c r="ML150" s="31"/>
      <c r="MM150" s="31"/>
      <c r="MN150" s="31"/>
      <c r="MO150" s="31"/>
      <c r="MP150" s="31"/>
      <c r="MQ150" s="31"/>
      <c r="MR150" s="31"/>
      <c r="MS150" s="31"/>
      <c r="MT150" s="31"/>
      <c r="MU150" s="31"/>
      <c r="MV150" s="31"/>
      <c r="MW150" s="31"/>
      <c r="MX150" s="31"/>
      <c r="MY150" s="31"/>
      <c r="MZ150" s="31"/>
      <c r="NA150" s="31"/>
      <c r="NB150" s="31"/>
      <c r="NC150" s="31"/>
      <c r="ND150" s="31"/>
      <c r="NE150" s="31"/>
      <c r="NF150" s="31"/>
      <c r="NG150" s="31">
        <v>99.5</v>
      </c>
      <c r="NH150" s="31"/>
      <c r="NI150" s="31"/>
      <c r="NJ150" s="31"/>
      <c r="NK150" s="31"/>
      <c r="NL150" s="31"/>
      <c r="NM150" s="31"/>
      <c r="NN150" s="31"/>
      <c r="NO150" s="31"/>
      <c r="NP150" s="31"/>
      <c r="NQ150" s="31"/>
      <c r="NR150" s="31"/>
      <c r="NS150" s="31"/>
      <c r="NT150" s="31"/>
      <c r="NU150" s="31"/>
      <c r="NV150" s="31"/>
      <c r="NW150" s="31"/>
      <c r="NX150" s="31"/>
      <c r="NY150" s="31"/>
      <c r="NZ150" s="31"/>
      <c r="OA150" s="31"/>
      <c r="OB150" s="31"/>
      <c r="OC150" s="31"/>
      <c r="OD150" s="31"/>
      <c r="OE150" s="31"/>
      <c r="OF150" s="31"/>
      <c r="OG150" s="31"/>
      <c r="OH150" s="31"/>
      <c r="OI150" s="31"/>
      <c r="OJ150" s="31"/>
      <c r="OK150" s="31"/>
      <c r="OL150" s="31">
        <v>99.3</v>
      </c>
      <c r="OM150" s="31"/>
      <c r="ON150" s="31"/>
      <c r="OO150" s="31"/>
      <c r="OP150" s="31"/>
      <c r="OQ150" s="31"/>
      <c r="OR150" s="31"/>
      <c r="OS150" s="31"/>
      <c r="OT150" s="31"/>
      <c r="OU150" s="31"/>
      <c r="OV150" s="31"/>
      <c r="OW150" s="31"/>
      <c r="OX150" s="31"/>
      <c r="OY150" s="31"/>
      <c r="OZ150" s="31"/>
      <c r="PA150" s="31"/>
      <c r="PB150" s="31"/>
      <c r="PC150" s="31"/>
      <c r="PD150" s="31"/>
      <c r="PE150" s="31"/>
      <c r="PF150" s="31"/>
      <c r="PG150" s="31"/>
      <c r="PH150" s="31"/>
      <c r="PI150" s="31"/>
      <c r="PJ150" s="31"/>
      <c r="PK150" s="31"/>
      <c r="PL150" s="31"/>
      <c r="PM150" s="31"/>
      <c r="PN150" s="31">
        <v>98.8</v>
      </c>
      <c r="PO150" s="31"/>
      <c r="PP150" s="31"/>
      <c r="PQ150" s="31"/>
      <c r="PR150" s="31"/>
      <c r="PS150" s="31"/>
      <c r="PT150" s="31"/>
      <c r="PU150" s="31"/>
      <c r="PV150" s="31"/>
      <c r="PW150" s="31"/>
      <c r="PX150" s="31"/>
      <c r="PY150" s="31"/>
      <c r="PZ150" s="31"/>
      <c r="QA150" s="31"/>
      <c r="QB150" s="31"/>
      <c r="QC150" s="31"/>
      <c r="QD150" s="31"/>
      <c r="QE150" s="31"/>
      <c r="QF150" s="31"/>
      <c r="QG150" s="31"/>
      <c r="QH150" s="31"/>
      <c r="QI150" s="31"/>
      <c r="QJ150" s="31"/>
      <c r="QK150" s="31"/>
      <c r="QL150" s="31"/>
      <c r="QM150" s="31"/>
      <c r="QN150" s="31"/>
      <c r="QO150" s="31"/>
      <c r="QP150" s="31"/>
      <c r="QQ150" s="31"/>
      <c r="QR150" s="31"/>
      <c r="QS150" s="31">
        <v>95.8</v>
      </c>
      <c r="QT150" s="31"/>
      <c r="QU150" s="31"/>
      <c r="QV150" s="31"/>
      <c r="QW150" s="31"/>
      <c r="QX150" s="31"/>
      <c r="QY150" s="31"/>
      <c r="QZ150" s="31"/>
      <c r="RA150" s="31"/>
      <c r="RB150" s="31"/>
      <c r="RC150" s="31"/>
      <c r="RD150" s="31"/>
      <c r="RE150" s="31"/>
      <c r="RF150" s="31"/>
      <c r="RG150" s="31"/>
      <c r="RH150" s="31"/>
      <c r="RI150" s="31"/>
      <c r="RJ150" s="31"/>
      <c r="RK150" s="31"/>
      <c r="RL150" s="31"/>
      <c r="RM150" s="31"/>
      <c r="RN150" s="31"/>
      <c r="RO150" s="31"/>
      <c r="RP150" s="31"/>
      <c r="RQ150" s="31"/>
      <c r="RR150" s="31"/>
      <c r="RS150" s="31"/>
      <c r="RT150" s="31"/>
      <c r="RU150" s="31"/>
      <c r="RV150" s="31"/>
      <c r="RW150" s="31">
        <v>95.9</v>
      </c>
      <c r="RX150" s="31"/>
      <c r="RY150" s="31"/>
      <c r="RZ150" s="31"/>
      <c r="SA150" s="31"/>
      <c r="SB150" s="31"/>
      <c r="SC150" s="31"/>
      <c r="SD150" s="31"/>
      <c r="SE150" s="31"/>
      <c r="SF150" s="31"/>
      <c r="SG150" s="31"/>
      <c r="SH150" s="31"/>
      <c r="SI150" s="31"/>
      <c r="SJ150" s="31"/>
      <c r="SK150" s="31"/>
      <c r="SL150" s="31"/>
      <c r="SM150" s="31"/>
      <c r="SN150" s="31"/>
      <c r="SO150" s="31"/>
      <c r="SP150" s="31"/>
      <c r="SQ150" s="31"/>
      <c r="SR150" s="31"/>
      <c r="SS150" s="31"/>
      <c r="ST150" s="23"/>
      <c r="SU150" s="23"/>
      <c r="SV150" s="23"/>
      <c r="SW150" s="23"/>
      <c r="SX150" s="23"/>
      <c r="SY150" s="23"/>
      <c r="SZ150" s="23"/>
      <c r="TA150" s="23"/>
      <c r="TB150" s="23">
        <v>95.3</v>
      </c>
      <c r="TC150" s="23"/>
      <c r="TD150" s="23"/>
      <c r="TE150" s="23"/>
      <c r="TF150" s="23"/>
      <c r="TG150" s="23"/>
      <c r="TH150" s="23"/>
      <c r="TI150" s="23"/>
      <c r="TJ150" s="23"/>
      <c r="TK150" s="23"/>
      <c r="TL150" s="23"/>
      <c r="TM150" s="23"/>
      <c r="TN150" s="23"/>
      <c r="TO150" s="23"/>
      <c r="TP150" s="23"/>
      <c r="TQ150" s="23"/>
      <c r="TR150" s="23"/>
      <c r="TS150" s="23"/>
      <c r="TT150" s="23"/>
      <c r="TU150" s="23"/>
      <c r="TV150" s="23"/>
      <c r="TW150" s="23"/>
      <c r="TX150" s="23"/>
      <c r="TY150" s="23"/>
      <c r="TZ150" s="23"/>
      <c r="UA150" s="23"/>
      <c r="UB150" s="23"/>
      <c r="UC150" s="23"/>
      <c r="UD150" s="23"/>
      <c r="UE150" s="23"/>
      <c r="UF150" s="23"/>
      <c r="UG150" s="23"/>
      <c r="UH150" s="23"/>
      <c r="UI150" s="23"/>
      <c r="UJ150" s="23"/>
      <c r="UK150" s="23"/>
      <c r="UL150" s="23"/>
      <c r="UM150" s="23"/>
      <c r="UN150" s="23"/>
      <c r="UO150" s="23"/>
      <c r="UP150" s="23"/>
      <c r="UQ150" s="23"/>
      <c r="UR150" s="23"/>
      <c r="US150" s="23"/>
      <c r="UT150" s="23"/>
    </row>
    <row r="151" spans="4:566">
      <c r="D151" t="s">
        <v>94</v>
      </c>
      <c r="E151" t="s">
        <v>95</v>
      </c>
      <c r="F151" s="31"/>
      <c r="G151" s="31"/>
      <c r="H151" s="31">
        <v>1.6825</v>
      </c>
      <c r="I151" s="31">
        <v>1.677</v>
      </c>
      <c r="J151" s="31"/>
      <c r="K151" s="31"/>
      <c r="L151" s="31">
        <v>1.663</v>
      </c>
      <c r="M151" s="31">
        <v>1.655</v>
      </c>
      <c r="N151" s="31">
        <v>1.652</v>
      </c>
      <c r="O151" s="31">
        <v>1.645</v>
      </c>
      <c r="P151" s="31">
        <v>1.643</v>
      </c>
      <c r="Q151" s="31"/>
      <c r="R151" s="31"/>
      <c r="S151" s="31">
        <v>1.648</v>
      </c>
      <c r="T151" s="31">
        <v>1.658</v>
      </c>
      <c r="U151" s="31">
        <v>1.6665</v>
      </c>
      <c r="V151" s="31">
        <v>1.674</v>
      </c>
      <c r="W151" s="31">
        <v>1.677</v>
      </c>
      <c r="X151" s="31"/>
      <c r="Y151" s="31"/>
      <c r="Z151" s="31">
        <v>1.687</v>
      </c>
      <c r="AA151" s="31">
        <v>1.6935</v>
      </c>
      <c r="AB151" s="31">
        <v>1.693</v>
      </c>
      <c r="AC151" s="31">
        <v>1.694</v>
      </c>
      <c r="AD151" s="31">
        <v>1.697</v>
      </c>
      <c r="AE151" s="31"/>
      <c r="AF151" s="31">
        <v>1.6995</v>
      </c>
      <c r="AG151" s="31">
        <v>1.702</v>
      </c>
      <c r="AH151" s="31"/>
      <c r="AI151" s="31"/>
      <c r="AJ151" s="31"/>
      <c r="AK151" s="31"/>
      <c r="AL151" s="31"/>
      <c r="AM151" s="31"/>
      <c r="AN151" s="31"/>
      <c r="AO151" s="31"/>
      <c r="AP151" s="31">
        <v>1.707</v>
      </c>
      <c r="AQ151" s="31">
        <v>1.71</v>
      </c>
      <c r="AR151" s="31">
        <v>1.711</v>
      </c>
      <c r="AS151" s="31">
        <v>1.712</v>
      </c>
      <c r="AT151" s="31"/>
      <c r="AU151" s="31">
        <v>1.714</v>
      </c>
      <c r="AV151" s="31">
        <v>1.721</v>
      </c>
      <c r="AW151" s="31">
        <v>1.726</v>
      </c>
      <c r="AX151" s="31">
        <v>1.73</v>
      </c>
      <c r="AY151" s="31">
        <v>1.738</v>
      </c>
      <c r="AZ151" s="31"/>
      <c r="BA151" s="31"/>
      <c r="BB151" s="31">
        <v>1.75</v>
      </c>
      <c r="BC151" s="31">
        <v>1.763</v>
      </c>
      <c r="BD151" s="31">
        <v>1.7702</v>
      </c>
      <c r="BE151" s="31">
        <v>1.7802</v>
      </c>
      <c r="BF151" s="31">
        <v>1.7912</v>
      </c>
      <c r="BG151" s="31"/>
      <c r="BH151" s="31"/>
      <c r="BI151" s="31">
        <v>1.797</v>
      </c>
      <c r="BJ151" s="31">
        <v>1.818</v>
      </c>
      <c r="BK151" s="31">
        <v>1.8555</v>
      </c>
      <c r="BL151" s="31">
        <v>1.89</v>
      </c>
      <c r="BM151" s="31">
        <v>1.922</v>
      </c>
      <c r="BN151" s="31"/>
      <c r="BO151" s="31"/>
      <c r="BP151" s="31">
        <v>1.946</v>
      </c>
      <c r="BQ151" s="31">
        <v>1.9625</v>
      </c>
      <c r="BR151" s="31">
        <v>1.975</v>
      </c>
      <c r="BS151" s="31">
        <v>1.982</v>
      </c>
      <c r="BT151" s="31">
        <v>1.991</v>
      </c>
      <c r="BU151" s="31"/>
      <c r="BV151" s="31"/>
      <c r="BW151" s="31">
        <v>2.005</v>
      </c>
      <c r="BX151" s="31">
        <v>2.01</v>
      </c>
      <c r="BY151" s="31">
        <v>2.015</v>
      </c>
      <c r="BZ151" s="31">
        <v>2.012</v>
      </c>
      <c r="CA151" s="31">
        <v>2.004</v>
      </c>
      <c r="CB151" s="31"/>
      <c r="CC151" s="31"/>
      <c r="CD151" s="31">
        <v>1.994</v>
      </c>
      <c r="CE151" s="31">
        <v>1.992</v>
      </c>
      <c r="CF151" s="31">
        <v>1.987</v>
      </c>
      <c r="CG151" s="31">
        <v>1.98</v>
      </c>
      <c r="CH151" s="31">
        <v>1.968</v>
      </c>
      <c r="CI151" s="31"/>
      <c r="CJ151" s="31"/>
      <c r="CK151" s="31">
        <v>1.961</v>
      </c>
      <c r="CL151" s="31">
        <v>1.942</v>
      </c>
      <c r="CM151" s="31">
        <v>1.934</v>
      </c>
      <c r="CN151" s="31">
        <v>1.924</v>
      </c>
      <c r="CO151" s="31">
        <v>1.921</v>
      </c>
      <c r="CP151" s="31"/>
      <c r="CQ151" s="31"/>
      <c r="CR151" s="31">
        <v>1.912</v>
      </c>
      <c r="CS151" s="31">
        <v>1.907</v>
      </c>
      <c r="CT151" s="31">
        <v>1.902</v>
      </c>
      <c r="CU151" s="31">
        <v>1.871</v>
      </c>
      <c r="CV151" s="31"/>
      <c r="CW151" s="31"/>
      <c r="CX151" s="31"/>
      <c r="CY151" s="31">
        <v>1.824</v>
      </c>
      <c r="CZ151" s="31">
        <v>1.81</v>
      </c>
      <c r="DA151" s="31">
        <v>1.806</v>
      </c>
      <c r="DB151" s="31">
        <v>1.8</v>
      </c>
      <c r="DC151" s="31">
        <v>1.786</v>
      </c>
      <c r="DD151" s="31"/>
      <c r="DE151" s="31"/>
      <c r="DF151" s="31">
        <v>1.777</v>
      </c>
      <c r="DG151" s="31">
        <v>1.775</v>
      </c>
      <c r="DH151" s="31">
        <v>1.772</v>
      </c>
      <c r="DI151" s="31">
        <v>1.767</v>
      </c>
      <c r="DJ151" s="31">
        <v>1.761</v>
      </c>
      <c r="DK151" s="31"/>
      <c r="DL151" s="31"/>
      <c r="DM151" s="31">
        <v>1.759</v>
      </c>
      <c r="DN151" s="31">
        <v>1.755</v>
      </c>
      <c r="DO151" s="31">
        <v>1.753</v>
      </c>
      <c r="DP151" s="31">
        <v>1.75</v>
      </c>
      <c r="DQ151" s="31">
        <v>1.75</v>
      </c>
      <c r="DR151" s="31"/>
      <c r="DS151" s="31">
        <v>1.75</v>
      </c>
      <c r="DT151" s="31">
        <v>1.75</v>
      </c>
      <c r="DU151" s="31">
        <v>1.75</v>
      </c>
      <c r="DV151" s="31">
        <v>1.75</v>
      </c>
      <c r="DW151" s="31"/>
      <c r="DX151" s="31"/>
      <c r="DY151" s="31"/>
      <c r="DZ151" s="31"/>
      <c r="EA151" s="31"/>
      <c r="EB151" s="31">
        <v>1.748</v>
      </c>
      <c r="EC151" s="31">
        <v>1.737</v>
      </c>
      <c r="ED151" s="31">
        <v>1.72</v>
      </c>
      <c r="EE151" s="31">
        <v>1.696</v>
      </c>
      <c r="EF151" s="31"/>
      <c r="EG151" s="31"/>
      <c r="EH151" s="31">
        <v>1.672</v>
      </c>
      <c r="EI151" s="31">
        <v>1.662</v>
      </c>
      <c r="EJ151" s="31">
        <v>1.653</v>
      </c>
      <c r="EK151" s="31">
        <v>1.645</v>
      </c>
      <c r="EL151" s="31">
        <v>1.647</v>
      </c>
      <c r="EM151" s="31"/>
      <c r="EN151" s="31"/>
      <c r="EO151" s="31">
        <v>1.645</v>
      </c>
      <c r="EP151" s="31">
        <v>1.642</v>
      </c>
      <c r="EQ151" s="31">
        <v>1.64</v>
      </c>
      <c r="ER151" s="31">
        <v>1.64</v>
      </c>
      <c r="ES151" s="31">
        <v>1.642</v>
      </c>
      <c r="ET151" s="31"/>
      <c r="EU151" s="31"/>
      <c r="EV151" s="31">
        <v>1.643</v>
      </c>
      <c r="EW151" s="31">
        <v>1.644</v>
      </c>
      <c r="EX151" s="31">
        <v>1.647</v>
      </c>
      <c r="EY151" s="31">
        <v>1.652</v>
      </c>
      <c r="EZ151" s="31">
        <v>1.652</v>
      </c>
      <c r="FA151" s="31"/>
      <c r="FB151" s="31"/>
      <c r="FC151" s="31"/>
      <c r="FD151" s="31">
        <v>1.652</v>
      </c>
      <c r="FE151" s="31">
        <v>1.652</v>
      </c>
      <c r="FF151" s="31">
        <v>1.652</v>
      </c>
      <c r="FG151" s="31">
        <v>1.651</v>
      </c>
      <c r="FH151" s="31"/>
      <c r="FI151" s="31"/>
      <c r="FJ151" s="31">
        <v>1.649</v>
      </c>
      <c r="FK151" s="31">
        <v>1.645</v>
      </c>
      <c r="FL151" s="31">
        <v>1.642</v>
      </c>
      <c r="FM151" s="31">
        <v>1.639</v>
      </c>
      <c r="FN151" s="31">
        <v>1.638</v>
      </c>
      <c r="FO151" s="31"/>
      <c r="FP151" s="31"/>
      <c r="FQ151" s="31">
        <v>1.636</v>
      </c>
      <c r="FR151" s="31">
        <v>1.634</v>
      </c>
      <c r="FS151" s="31">
        <v>1.63</v>
      </c>
      <c r="FT151" s="31">
        <v>1.63</v>
      </c>
      <c r="FU151" s="31">
        <v>1.629</v>
      </c>
      <c r="FV151" s="31"/>
      <c r="FW151" s="31"/>
      <c r="FX151" s="31">
        <v>1.629</v>
      </c>
      <c r="FY151" s="31">
        <v>1.629</v>
      </c>
      <c r="FZ151" s="31">
        <v>1.63</v>
      </c>
      <c r="GA151" s="31">
        <v>1.63</v>
      </c>
      <c r="GB151" s="31">
        <v>1.63</v>
      </c>
      <c r="GC151" s="31"/>
      <c r="GD151" s="31"/>
      <c r="GE151" s="31">
        <v>1.63</v>
      </c>
      <c r="GF151" s="31">
        <v>1.628</v>
      </c>
      <c r="GG151" s="31">
        <v>1.6195</v>
      </c>
      <c r="GH151" s="31">
        <v>1.606</v>
      </c>
      <c r="GI151" s="31">
        <v>1.597</v>
      </c>
      <c r="GJ151" s="31"/>
      <c r="GK151" s="31"/>
      <c r="GL151" s="31">
        <v>1.579</v>
      </c>
      <c r="GM151" s="31">
        <v>1.57</v>
      </c>
      <c r="GN151" s="31">
        <v>1.562</v>
      </c>
      <c r="GO151" s="31">
        <v>1.559</v>
      </c>
      <c r="GP151" s="31">
        <v>1.557</v>
      </c>
      <c r="GQ151" s="31"/>
      <c r="GR151" s="31"/>
      <c r="GS151" s="31">
        <v>1.561</v>
      </c>
      <c r="GT151" s="31">
        <v>1.559</v>
      </c>
      <c r="GU151" s="31">
        <v>1.559</v>
      </c>
      <c r="GV151" s="31">
        <v>1.557</v>
      </c>
      <c r="GW151" s="31">
        <v>1.555</v>
      </c>
      <c r="GX151" s="31"/>
      <c r="GY151" s="31"/>
      <c r="GZ151" s="31">
        <v>1.553</v>
      </c>
      <c r="HA151" s="31">
        <v>1.549</v>
      </c>
      <c r="HB151" s="31">
        <v>1.551</v>
      </c>
      <c r="HC151" s="31">
        <v>1.553</v>
      </c>
      <c r="HD151" s="31">
        <v>1.559</v>
      </c>
      <c r="HE151" s="31"/>
      <c r="HF151" s="31"/>
      <c r="HG151" s="31">
        <v>1.56</v>
      </c>
      <c r="HH151" s="31">
        <v>1.56</v>
      </c>
      <c r="HI151" s="31">
        <v>1.564</v>
      </c>
      <c r="HJ151" s="31">
        <v>1.566</v>
      </c>
      <c r="HK151" s="31">
        <v>1.563</v>
      </c>
      <c r="HL151" s="31"/>
      <c r="HM151" s="31"/>
      <c r="HN151" s="31">
        <v>1.559</v>
      </c>
      <c r="HO151" s="31">
        <v>1.558</v>
      </c>
      <c r="HP151" s="31">
        <v>1.559</v>
      </c>
      <c r="HQ151" s="31">
        <v>1.56</v>
      </c>
      <c r="HR151" s="31">
        <v>1.5544</v>
      </c>
      <c r="HS151" s="31"/>
      <c r="HT151" s="31"/>
      <c r="HU151" s="31">
        <v>1.549</v>
      </c>
      <c r="HV151" s="31">
        <v>1.548</v>
      </c>
      <c r="HW151" s="31">
        <v>1.548</v>
      </c>
      <c r="HX151" s="31">
        <v>1.549</v>
      </c>
      <c r="HY151" s="31">
        <v>1.547</v>
      </c>
      <c r="HZ151" s="31"/>
      <c r="IA151" s="31"/>
      <c r="IB151" s="31">
        <v>1.549</v>
      </c>
      <c r="IC151" s="31">
        <v>1.55</v>
      </c>
      <c r="ID151" s="31">
        <v>1.55</v>
      </c>
      <c r="IE151" s="31">
        <v>1.55</v>
      </c>
      <c r="IF151" s="31">
        <v>1.55</v>
      </c>
      <c r="IG151" s="31"/>
      <c r="IH151" s="31"/>
      <c r="II151" s="31">
        <v>1.55</v>
      </c>
      <c r="IJ151" s="31">
        <v>1.55</v>
      </c>
      <c r="IK151" s="31">
        <v>1.55</v>
      </c>
      <c r="IL151" s="31">
        <v>1.55</v>
      </c>
      <c r="IM151" s="31">
        <v>1.55</v>
      </c>
      <c r="IN151" s="31"/>
      <c r="IO151" s="31"/>
      <c r="IP151" s="31">
        <v>1.549</v>
      </c>
      <c r="IQ151" s="31">
        <v>1.549</v>
      </c>
      <c r="IR151" s="31">
        <v>1.55</v>
      </c>
      <c r="IS151" s="31">
        <v>1.55</v>
      </c>
      <c r="IT151" s="31">
        <v>1.55</v>
      </c>
      <c r="IU151" s="31"/>
      <c r="IV151" s="31"/>
      <c r="IW151" s="31">
        <v>1.55</v>
      </c>
      <c r="IX151" s="31">
        <v>1.551</v>
      </c>
      <c r="IY151" s="31">
        <v>1.553</v>
      </c>
      <c r="IZ151" s="31">
        <v>1.553</v>
      </c>
      <c r="JA151" s="31">
        <v>1.553</v>
      </c>
      <c r="JB151" s="31"/>
      <c r="JC151" s="31"/>
      <c r="JD151" s="31">
        <v>1.553</v>
      </c>
      <c r="JE151" s="31">
        <v>1.553</v>
      </c>
      <c r="JF151" s="31">
        <v>1.554</v>
      </c>
      <c r="JG151" s="31">
        <v>1.556</v>
      </c>
      <c r="JH151" s="31">
        <v>1.562</v>
      </c>
      <c r="JI151" s="31"/>
      <c r="JJ151" s="31"/>
      <c r="JK151" s="31">
        <v>1.562</v>
      </c>
      <c r="JL151" s="31">
        <v>1.562</v>
      </c>
      <c r="JM151" s="31">
        <v>1.566</v>
      </c>
      <c r="JN151" s="31">
        <v>1.574</v>
      </c>
      <c r="JO151" s="31">
        <v>1.576</v>
      </c>
      <c r="JP151" s="31"/>
      <c r="JQ151" s="31">
        <v>1.58</v>
      </c>
      <c r="JR151" s="31">
        <v>1.58</v>
      </c>
      <c r="JS151" s="31">
        <v>1.58</v>
      </c>
      <c r="JT151" s="31"/>
      <c r="JU151" s="31"/>
      <c r="JV151" s="31"/>
      <c r="JW151" s="31"/>
      <c r="JX151" s="31"/>
      <c r="JY151" s="31"/>
      <c r="JZ151" s="31"/>
      <c r="KA151" s="31"/>
      <c r="KB151" s="31">
        <v>1.579</v>
      </c>
      <c r="KC151" s="31">
        <v>1.578</v>
      </c>
      <c r="KD151" s="31">
        <v>1.581</v>
      </c>
      <c r="KE151" s="31"/>
      <c r="KF151" s="31">
        <v>1.58</v>
      </c>
      <c r="KG151" s="31">
        <v>1.581</v>
      </c>
      <c r="KH151" s="31">
        <v>1.581</v>
      </c>
      <c r="KI151" s="31">
        <v>1.581</v>
      </c>
      <c r="KJ151" s="31">
        <v>1.58</v>
      </c>
      <c r="KK151" s="31"/>
      <c r="KL151" s="31"/>
      <c r="KM151" s="31">
        <v>1.582</v>
      </c>
      <c r="KN151" s="31">
        <v>1.586</v>
      </c>
      <c r="KO151" s="31">
        <v>1.592</v>
      </c>
      <c r="KP151" s="31">
        <v>1.594</v>
      </c>
      <c r="KQ151" s="31">
        <v>1.594</v>
      </c>
      <c r="KR151" s="31"/>
      <c r="KS151" s="31"/>
      <c r="KT151" s="31">
        <v>1.595</v>
      </c>
      <c r="KU151" s="31">
        <v>1.599</v>
      </c>
      <c r="KV151" s="31">
        <v>1.599</v>
      </c>
      <c r="KW151" s="31">
        <v>1.597</v>
      </c>
      <c r="KX151" s="31">
        <v>1.596</v>
      </c>
      <c r="KY151" s="31"/>
      <c r="KZ151" s="31"/>
      <c r="LA151" s="31">
        <v>1.595</v>
      </c>
      <c r="LB151" s="31">
        <v>1.594</v>
      </c>
      <c r="LC151" s="31">
        <v>1.589</v>
      </c>
      <c r="LD151" s="31">
        <v>1.5875</v>
      </c>
      <c r="LE151" s="31">
        <v>1.584</v>
      </c>
      <c r="LF151" s="31"/>
      <c r="LG151" s="31"/>
      <c r="LH151" s="31">
        <v>1.58</v>
      </c>
      <c r="LI151" s="31">
        <v>1.58</v>
      </c>
      <c r="LJ151" s="31">
        <v>1.58</v>
      </c>
      <c r="LK151" s="31">
        <v>1.58</v>
      </c>
      <c r="LL151" s="31">
        <v>1.58</v>
      </c>
      <c r="LM151" s="31"/>
      <c r="LN151" s="31"/>
      <c r="LO151" s="31">
        <v>1.58</v>
      </c>
      <c r="LP151" s="31">
        <v>1.58</v>
      </c>
      <c r="LQ151" s="31">
        <v>1.58</v>
      </c>
      <c r="LR151" s="31">
        <v>1.579</v>
      </c>
      <c r="LS151" s="31">
        <v>1.578</v>
      </c>
      <c r="LT151" s="31"/>
      <c r="LU151" s="31"/>
      <c r="LV151" s="31">
        <v>1.58</v>
      </c>
      <c r="LW151" s="31">
        <v>1.58</v>
      </c>
      <c r="LX151" s="31">
        <v>1.579</v>
      </c>
      <c r="LY151" s="31">
        <v>1.58</v>
      </c>
      <c r="LZ151" s="31">
        <v>1.58</v>
      </c>
      <c r="MA151" s="31"/>
      <c r="MB151" s="31"/>
      <c r="MC151" s="31">
        <v>1.58</v>
      </c>
      <c r="MD151" s="31">
        <v>1.58</v>
      </c>
      <c r="ME151" s="31">
        <v>1.58</v>
      </c>
      <c r="MF151" s="31">
        <v>1.58</v>
      </c>
      <c r="MG151" s="31">
        <v>1.58</v>
      </c>
      <c r="MH151" s="31"/>
      <c r="MI151" s="31"/>
      <c r="MJ151" s="31">
        <v>1.58</v>
      </c>
      <c r="MK151" s="31">
        <v>1.581</v>
      </c>
      <c r="ML151" s="31">
        <v>1.582</v>
      </c>
      <c r="MM151" s="31">
        <v>1.584</v>
      </c>
      <c r="MN151" s="31">
        <v>1.585</v>
      </c>
      <c r="MO151" s="31"/>
      <c r="MP151" s="31"/>
      <c r="MQ151" s="31">
        <v>1.591</v>
      </c>
      <c r="MR151" s="31">
        <v>1.595</v>
      </c>
      <c r="MS151" s="31">
        <v>1.601</v>
      </c>
      <c r="MT151" s="31">
        <v>1.603</v>
      </c>
      <c r="MU151" s="31">
        <v>1.6022</v>
      </c>
      <c r="MV151" s="31"/>
      <c r="MW151" s="31"/>
      <c r="MX151" s="31">
        <v>1.601</v>
      </c>
      <c r="MY151" s="31">
        <v>1.6</v>
      </c>
      <c r="MZ151" s="31">
        <v>1.6</v>
      </c>
      <c r="NA151" s="31">
        <v>1.6</v>
      </c>
      <c r="NB151" s="31">
        <v>1.6</v>
      </c>
      <c r="NC151" s="31"/>
      <c r="ND151" s="31"/>
      <c r="NE151" s="31">
        <v>1.6</v>
      </c>
      <c r="NF151" s="31">
        <v>1.6</v>
      </c>
      <c r="NG151" s="31">
        <v>1.6</v>
      </c>
      <c r="NH151" s="31"/>
      <c r="NI151" s="31"/>
      <c r="NJ151" s="31"/>
      <c r="NK151" s="31">
        <v>1.598</v>
      </c>
      <c r="NL151" s="31">
        <v>1.596</v>
      </c>
      <c r="NM151" s="31">
        <v>1.596</v>
      </c>
      <c r="NN151" s="31">
        <v>1.597</v>
      </c>
      <c r="NO151" s="31">
        <v>1.595</v>
      </c>
      <c r="NP151" s="31">
        <v>1.595</v>
      </c>
      <c r="NQ151" s="31"/>
      <c r="NR151" s="31"/>
      <c r="NS151" s="31">
        <v>1.598</v>
      </c>
      <c r="NT151" s="31">
        <v>1.6</v>
      </c>
      <c r="NU151" s="31">
        <v>1.6</v>
      </c>
      <c r="NV151" s="31">
        <v>1.6</v>
      </c>
      <c r="NW151" s="31">
        <v>1.6</v>
      </c>
      <c r="NX151" s="31"/>
      <c r="NY151" s="31"/>
      <c r="NZ151" s="31">
        <v>1.6</v>
      </c>
      <c r="OA151" s="31">
        <v>1.6</v>
      </c>
      <c r="OB151" s="31">
        <v>1.6</v>
      </c>
      <c r="OC151" s="31">
        <v>1.598</v>
      </c>
      <c r="OD151" s="31">
        <v>1.598</v>
      </c>
      <c r="OE151" s="31"/>
      <c r="OF151" s="31"/>
      <c r="OG151" s="31">
        <v>1.5978</v>
      </c>
      <c r="OH151" s="31">
        <v>1.5968</v>
      </c>
      <c r="OI151" s="31">
        <v>1.5947</v>
      </c>
      <c r="OJ151" s="31">
        <v>1.591</v>
      </c>
      <c r="OK151" s="31">
        <v>1.589</v>
      </c>
      <c r="OL151" s="31"/>
      <c r="OM151" s="31"/>
      <c r="ON151" s="31">
        <v>1.5889</v>
      </c>
      <c r="OO151" s="31">
        <v>1.5859</v>
      </c>
      <c r="OP151" s="31">
        <v>1.5846</v>
      </c>
      <c r="OQ151" s="31">
        <v>1.5805</v>
      </c>
      <c r="OR151" s="31">
        <v>1.58</v>
      </c>
      <c r="OS151" s="31"/>
      <c r="OT151" s="31"/>
      <c r="OU151" s="31">
        <v>1.58</v>
      </c>
      <c r="OV151" s="31">
        <v>1.58</v>
      </c>
      <c r="OW151" s="31">
        <v>1.58</v>
      </c>
      <c r="OX151" s="31">
        <v>1.58</v>
      </c>
      <c r="OY151" s="31">
        <v>1.579</v>
      </c>
      <c r="OZ151" s="31">
        <v>1.58</v>
      </c>
      <c r="PA151" s="31"/>
      <c r="PB151" s="31"/>
      <c r="PC151" s="31"/>
      <c r="PD151" s="31"/>
      <c r="PE151" s="31"/>
      <c r="PF151" s="31"/>
      <c r="PG151" s="31"/>
      <c r="PH151" s="31"/>
      <c r="PI151" s="31"/>
      <c r="PJ151" s="31">
        <v>1.578</v>
      </c>
      <c r="PK151" s="31">
        <v>1.5778</v>
      </c>
      <c r="PL151" s="31">
        <v>1.5748</v>
      </c>
      <c r="PM151" s="31">
        <v>1.569</v>
      </c>
      <c r="PN151" s="31">
        <v>1.5679</v>
      </c>
      <c r="PO151" s="31"/>
      <c r="PP151" s="31">
        <v>1.5678</v>
      </c>
      <c r="PQ151" s="31">
        <v>1.565</v>
      </c>
      <c r="PR151" s="31">
        <v>1.5605</v>
      </c>
      <c r="PS151" s="31">
        <v>1.558</v>
      </c>
      <c r="PT151" s="31">
        <v>1.5548</v>
      </c>
      <c r="PU151" s="31"/>
      <c r="PV151" s="31"/>
      <c r="PW151" s="31">
        <v>1.5515</v>
      </c>
      <c r="PX151" s="31">
        <v>1.5492</v>
      </c>
      <c r="PY151" s="31">
        <v>1.547</v>
      </c>
      <c r="PZ151" s="31">
        <v>1.546</v>
      </c>
      <c r="QA151" s="31">
        <v>1.542</v>
      </c>
      <c r="QB151" s="31"/>
      <c r="QC151" s="31"/>
      <c r="QD151" s="31">
        <v>1.538</v>
      </c>
      <c r="QE151" s="31">
        <v>1.5358</v>
      </c>
      <c r="QF151" s="31">
        <v>1.532</v>
      </c>
      <c r="QG151" s="31">
        <v>1.528</v>
      </c>
      <c r="QH151" s="31">
        <v>1.522</v>
      </c>
      <c r="QI151" s="31"/>
      <c r="QJ151" s="31"/>
      <c r="QK151" s="31">
        <v>1.5182</v>
      </c>
      <c r="QL151" s="31">
        <v>1.516</v>
      </c>
      <c r="QM151" s="31">
        <v>1.5155</v>
      </c>
      <c r="QN151" s="31">
        <v>1.5135</v>
      </c>
      <c r="QO151" s="31">
        <v>1.509</v>
      </c>
      <c r="QP151" s="31"/>
      <c r="QQ151" s="31"/>
      <c r="QR151" s="31">
        <v>1.509</v>
      </c>
      <c r="QS151" s="31">
        <v>1.507</v>
      </c>
      <c r="QT151" s="31">
        <v>1.504</v>
      </c>
      <c r="QU151" s="31">
        <v>1.4995</v>
      </c>
      <c r="QV151" s="31">
        <v>1.493</v>
      </c>
      <c r="QW151" s="31"/>
      <c r="QX151" s="31"/>
      <c r="QY151" s="31"/>
      <c r="QZ151" s="31">
        <v>1.484</v>
      </c>
      <c r="RA151" s="31">
        <v>1.4795</v>
      </c>
      <c r="RB151" s="31">
        <v>1.476</v>
      </c>
      <c r="RC151" s="31">
        <v>1.4715</v>
      </c>
      <c r="RD151" s="31"/>
      <c r="RE151" s="31"/>
      <c r="RF151" s="31">
        <v>1.466</v>
      </c>
      <c r="RG151" s="31">
        <v>1.4635</v>
      </c>
      <c r="RH151" s="31">
        <v>1.4615</v>
      </c>
      <c r="RI151" s="31">
        <v>1.455</v>
      </c>
      <c r="RJ151" s="31">
        <v>1.4525</v>
      </c>
      <c r="RK151" s="31"/>
      <c r="RL151" s="31"/>
      <c r="RM151" s="31">
        <v>1.449</v>
      </c>
      <c r="RN151" s="31">
        <v>1.442</v>
      </c>
      <c r="RO151" s="31">
        <v>1.4375</v>
      </c>
      <c r="RP151" s="31">
        <v>1.4345</v>
      </c>
      <c r="RQ151" s="31">
        <v>1.4275</v>
      </c>
      <c r="RR151" s="31"/>
      <c r="RS151" s="31"/>
      <c r="RT151" s="31">
        <v>1.429</v>
      </c>
      <c r="RU151" s="31">
        <v>1.424</v>
      </c>
      <c r="RV151" s="31">
        <v>1.4195</v>
      </c>
      <c r="RW151" s="31">
        <v>1.416</v>
      </c>
      <c r="RX151" s="31"/>
      <c r="RY151" s="31"/>
      <c r="RZ151" s="31"/>
      <c r="SA151" s="31"/>
      <c r="SB151" s="31"/>
      <c r="SC151" s="31">
        <v>1.42</v>
      </c>
      <c r="SD151" s="31">
        <v>1.417</v>
      </c>
      <c r="SE151" s="31">
        <v>1.417</v>
      </c>
      <c r="SF151" s="31">
        <v>1.414</v>
      </c>
      <c r="SG151" s="31"/>
      <c r="SH151" s="31">
        <v>1.414</v>
      </c>
      <c r="SI151" s="31">
        <v>1.412</v>
      </c>
      <c r="SJ151" s="31">
        <v>1.409</v>
      </c>
      <c r="SK151" s="31">
        <v>1.406</v>
      </c>
      <c r="SL151" s="31">
        <v>1.408</v>
      </c>
      <c r="SM151" s="31"/>
      <c r="SN151" s="31"/>
      <c r="SO151" s="31">
        <v>1.405</v>
      </c>
      <c r="SP151" s="31">
        <v>1.404</v>
      </c>
      <c r="SQ151" s="31">
        <v>1.4045</v>
      </c>
      <c r="SR151" s="31">
        <v>1.4065</v>
      </c>
      <c r="SS151" s="31">
        <v>1.405</v>
      </c>
      <c r="ST151" s="23"/>
      <c r="SU151" s="23"/>
      <c r="SV151" s="23">
        <v>1.4065</v>
      </c>
      <c r="SW151" s="23">
        <v>1.4065</v>
      </c>
      <c r="SX151" s="23">
        <v>1.4045</v>
      </c>
      <c r="SY151" s="23">
        <v>1.4055</v>
      </c>
      <c r="SZ151" s="23">
        <v>1.4075</v>
      </c>
      <c r="TA151" s="23"/>
      <c r="TB151" s="23"/>
      <c r="TC151" s="23">
        <v>1.4065</v>
      </c>
      <c r="TD151" s="23">
        <v>1.4035</v>
      </c>
      <c r="TE151" s="23">
        <v>1.4035</v>
      </c>
      <c r="TF151" s="23">
        <v>1.4015</v>
      </c>
      <c r="TG151" s="23">
        <v>1.402</v>
      </c>
      <c r="TH151" s="23"/>
      <c r="TI151" s="23"/>
      <c r="TJ151" s="23">
        <v>1.402</v>
      </c>
      <c r="TK151" s="23">
        <v>1.402</v>
      </c>
      <c r="TL151" s="23">
        <v>1.402</v>
      </c>
      <c r="TM151" s="23">
        <v>1.408</v>
      </c>
      <c r="TN151" s="23">
        <v>1.414</v>
      </c>
      <c r="TO151" s="23"/>
      <c r="TP151" s="23"/>
      <c r="TQ151" s="23">
        <v>1.4225</v>
      </c>
      <c r="TR151" s="23">
        <v>1.428</v>
      </c>
      <c r="TS151" s="23">
        <v>1.429</v>
      </c>
      <c r="TT151" s="23">
        <v>1.43</v>
      </c>
      <c r="TU151" s="23"/>
      <c r="TV151" s="23"/>
      <c r="TW151" s="23"/>
      <c r="TX151" s="23">
        <v>1.43</v>
      </c>
      <c r="TY151" s="23">
        <v>1.431</v>
      </c>
      <c r="TZ151" s="23">
        <v>1.436</v>
      </c>
      <c r="UA151" s="23">
        <v>1.4395</v>
      </c>
      <c r="UB151" s="23">
        <v>1.44</v>
      </c>
      <c r="UC151" s="23"/>
      <c r="UD151" s="23"/>
      <c r="UE151" s="23">
        <v>1.437</v>
      </c>
      <c r="UF151" s="23">
        <v>1.438</v>
      </c>
      <c r="UG151" s="23">
        <v>1.438</v>
      </c>
      <c r="UH151" s="23">
        <v>1.437</v>
      </c>
      <c r="UI151" s="23">
        <v>1.435</v>
      </c>
      <c r="UJ151" s="23"/>
      <c r="UK151" s="23"/>
      <c r="UL151" s="23"/>
      <c r="UM151" s="23"/>
      <c r="UN151" s="23"/>
      <c r="UO151" s="23"/>
      <c r="UP151" s="23"/>
      <c r="UQ151" s="23"/>
      <c r="UR151" s="23"/>
      <c r="US151" s="23"/>
      <c r="UT151" s="23"/>
    </row>
    <row r="152" spans="4:566">
      <c r="D152" t="s">
        <v>229</v>
      </c>
      <c r="E152" t="s">
        <v>231</v>
      </c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>
        <v>61.5</v>
      </c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  <c r="DI152" s="31"/>
      <c r="DJ152" s="31"/>
      <c r="DK152" s="31"/>
      <c r="DL152" s="31"/>
      <c r="DM152" s="31"/>
      <c r="DN152" s="31"/>
      <c r="DO152" s="31"/>
      <c r="DP152" s="31"/>
      <c r="DQ152" s="31"/>
      <c r="DR152" s="31"/>
      <c r="DS152" s="31"/>
      <c r="DT152" s="31"/>
      <c r="DU152" s="31"/>
      <c r="DV152" s="31"/>
      <c r="DW152" s="31"/>
      <c r="DX152" s="31"/>
      <c r="DY152" s="31"/>
      <c r="DZ152" s="31"/>
      <c r="EA152" s="31"/>
      <c r="EB152" s="31"/>
      <c r="EC152" s="31"/>
      <c r="ED152" s="31"/>
      <c r="EE152" s="31"/>
      <c r="EF152" s="31"/>
      <c r="EG152" s="31"/>
      <c r="EH152" s="31"/>
      <c r="EI152" s="31"/>
      <c r="EJ152" s="31"/>
      <c r="EK152" s="31"/>
      <c r="EL152" s="31"/>
      <c r="EM152" s="31"/>
      <c r="EN152" s="31"/>
      <c r="EO152" s="31"/>
      <c r="EP152" s="31"/>
      <c r="EQ152" s="31"/>
      <c r="ER152" s="31"/>
      <c r="ES152" s="31"/>
      <c r="ET152" s="31"/>
      <c r="EU152" s="31"/>
      <c r="EV152" s="31"/>
      <c r="EW152" s="31"/>
      <c r="EX152" s="31"/>
      <c r="EY152" s="31"/>
      <c r="EZ152" s="31"/>
      <c r="FA152" s="31"/>
      <c r="FB152" s="31"/>
      <c r="FC152" s="31"/>
      <c r="FD152" s="31"/>
      <c r="FE152" s="31"/>
      <c r="FF152" s="31"/>
      <c r="FG152" s="31"/>
      <c r="FH152" s="31"/>
      <c r="FI152" s="31"/>
      <c r="FJ152" s="31"/>
      <c r="FK152" s="31"/>
      <c r="FL152" s="31"/>
      <c r="FM152" s="31"/>
      <c r="FN152" s="31"/>
      <c r="FO152" s="31"/>
      <c r="FP152" s="31"/>
      <c r="FQ152" s="31"/>
      <c r="FR152" s="31"/>
      <c r="FS152" s="31"/>
      <c r="FT152" s="31"/>
      <c r="FU152" s="31"/>
      <c r="FV152" s="31"/>
      <c r="FW152" s="31"/>
      <c r="FX152" s="31"/>
      <c r="FY152" s="31"/>
      <c r="FZ152" s="31"/>
      <c r="GA152" s="31"/>
      <c r="GB152" s="31"/>
      <c r="GC152" s="31"/>
      <c r="GD152" s="31"/>
      <c r="GE152" s="31">
        <v>61.1</v>
      </c>
      <c r="GF152" s="31"/>
      <c r="GG152" s="31"/>
      <c r="GH152" s="31"/>
      <c r="GI152" s="31"/>
      <c r="GJ152" s="31"/>
      <c r="GK152" s="31"/>
      <c r="GL152" s="31"/>
      <c r="GM152" s="31"/>
      <c r="GN152" s="31"/>
      <c r="GO152" s="31"/>
      <c r="GP152" s="31"/>
      <c r="GQ152" s="31"/>
      <c r="GR152" s="31"/>
      <c r="GS152" s="31"/>
      <c r="GT152" s="31"/>
      <c r="GU152" s="31"/>
      <c r="GV152" s="31"/>
      <c r="GW152" s="31"/>
      <c r="GX152" s="31"/>
      <c r="GY152" s="31"/>
      <c r="GZ152" s="31"/>
      <c r="HA152" s="31"/>
      <c r="HB152" s="31"/>
      <c r="HC152" s="31"/>
      <c r="HD152" s="31"/>
      <c r="HE152" s="31"/>
      <c r="HF152" s="31"/>
      <c r="HG152" s="31"/>
      <c r="HH152" s="31"/>
      <c r="HI152" s="31"/>
      <c r="HJ152" s="31"/>
      <c r="HK152" s="31"/>
      <c r="HL152" s="31"/>
      <c r="HM152" s="31"/>
      <c r="HN152" s="31"/>
      <c r="HO152" s="31"/>
      <c r="HP152" s="31"/>
      <c r="HQ152" s="31"/>
      <c r="HR152" s="31"/>
      <c r="HS152" s="31"/>
      <c r="HT152" s="31"/>
      <c r="HU152" s="31"/>
      <c r="HV152" s="31"/>
      <c r="HW152" s="31"/>
      <c r="HX152" s="31"/>
      <c r="HY152" s="31"/>
      <c r="HZ152" s="31"/>
      <c r="IA152" s="31"/>
      <c r="IB152" s="31"/>
      <c r="IC152" s="31"/>
      <c r="ID152" s="31"/>
      <c r="IE152" s="31"/>
      <c r="IF152" s="31"/>
      <c r="IG152" s="31"/>
      <c r="IH152" s="31"/>
      <c r="II152" s="31"/>
      <c r="IJ152" s="31"/>
      <c r="IK152" s="31"/>
      <c r="IL152" s="31"/>
      <c r="IM152" s="31"/>
      <c r="IN152" s="31"/>
      <c r="IO152" s="31"/>
      <c r="IP152" s="31"/>
      <c r="IQ152" s="31"/>
      <c r="IR152" s="31"/>
      <c r="IS152" s="31"/>
      <c r="IT152" s="31"/>
      <c r="IU152" s="31"/>
      <c r="IV152" s="31"/>
      <c r="IW152" s="31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  <c r="JN152" s="31"/>
      <c r="JO152" s="31"/>
      <c r="JP152" s="31"/>
      <c r="JQ152" s="31"/>
      <c r="JR152" s="31"/>
      <c r="JS152" s="31">
        <v>60.4</v>
      </c>
      <c r="JT152" s="31"/>
      <c r="JU152" s="31"/>
      <c r="JV152" s="31"/>
      <c r="JW152" s="31"/>
      <c r="JX152" s="31"/>
      <c r="JY152" s="31"/>
      <c r="JZ152" s="31"/>
      <c r="KA152" s="31"/>
      <c r="KB152" s="31"/>
      <c r="KC152" s="31"/>
      <c r="KD152" s="31"/>
      <c r="KE152" s="31"/>
      <c r="KF152" s="31"/>
      <c r="KG152" s="31"/>
      <c r="KH152" s="31"/>
      <c r="KI152" s="31"/>
      <c r="KJ152" s="31"/>
      <c r="KK152" s="31"/>
      <c r="KL152" s="31"/>
      <c r="KM152" s="31"/>
      <c r="KN152" s="31"/>
      <c r="KO152" s="31"/>
      <c r="KP152" s="31"/>
      <c r="KQ152" s="31"/>
      <c r="KR152" s="31"/>
      <c r="KS152" s="31"/>
      <c r="KT152" s="31"/>
      <c r="KU152" s="31"/>
      <c r="KV152" s="31"/>
      <c r="KW152" s="31"/>
      <c r="KX152" s="31"/>
      <c r="KY152" s="31"/>
      <c r="KZ152" s="31"/>
      <c r="LA152" s="31"/>
      <c r="LB152" s="31"/>
      <c r="LC152" s="31"/>
      <c r="LD152" s="31"/>
      <c r="LE152" s="31"/>
      <c r="LF152" s="31"/>
      <c r="LG152" s="31"/>
      <c r="LH152" s="31"/>
      <c r="LI152" s="31"/>
      <c r="LJ152" s="31"/>
      <c r="LK152" s="31"/>
      <c r="LL152" s="31"/>
      <c r="LM152" s="31"/>
      <c r="LN152" s="31"/>
      <c r="LO152" s="31"/>
      <c r="LP152" s="31"/>
      <c r="LQ152" s="31"/>
      <c r="LR152" s="31"/>
      <c r="LS152" s="31"/>
      <c r="LT152" s="31"/>
      <c r="LU152" s="31"/>
      <c r="LV152" s="31"/>
      <c r="LW152" s="31"/>
      <c r="LX152" s="31"/>
      <c r="LY152" s="31"/>
      <c r="LZ152" s="31"/>
      <c r="MA152" s="31"/>
      <c r="MB152" s="31"/>
      <c r="MC152" s="31"/>
      <c r="MD152" s="31"/>
      <c r="ME152" s="31"/>
      <c r="MF152" s="31"/>
      <c r="MG152" s="31"/>
      <c r="MH152" s="31"/>
      <c r="MI152" s="31"/>
      <c r="MJ152" s="31"/>
      <c r="MK152" s="31"/>
      <c r="ML152" s="31"/>
      <c r="MM152" s="31"/>
      <c r="MN152" s="31"/>
      <c r="MO152" s="31"/>
      <c r="MP152" s="31"/>
      <c r="MQ152" s="31"/>
      <c r="MR152" s="31"/>
      <c r="MS152" s="31"/>
      <c r="MT152" s="31"/>
      <c r="MU152" s="31"/>
      <c r="MV152" s="31"/>
      <c r="MW152" s="31"/>
      <c r="MX152" s="31"/>
      <c r="MY152" s="31"/>
      <c r="MZ152" s="31"/>
      <c r="NA152" s="31"/>
      <c r="NB152" s="31"/>
      <c r="NC152" s="31"/>
      <c r="ND152" s="31"/>
      <c r="NE152" s="31"/>
      <c r="NF152" s="31"/>
      <c r="NG152" s="31">
        <v>59.4</v>
      </c>
      <c r="NH152" s="31"/>
      <c r="NI152" s="31"/>
      <c r="NJ152" s="31"/>
      <c r="NK152" s="31"/>
      <c r="NL152" s="31"/>
      <c r="NM152" s="31"/>
      <c r="NN152" s="31"/>
      <c r="NO152" s="31"/>
      <c r="NP152" s="31"/>
      <c r="NQ152" s="31"/>
      <c r="NR152" s="31"/>
      <c r="NS152" s="31"/>
      <c r="NT152" s="31"/>
      <c r="NU152" s="31"/>
      <c r="NV152" s="31"/>
      <c r="NW152" s="31"/>
      <c r="NX152" s="31"/>
      <c r="NY152" s="31"/>
      <c r="NZ152" s="31"/>
      <c r="OA152" s="31"/>
      <c r="OB152" s="31"/>
      <c r="OC152" s="31"/>
      <c r="OD152" s="31"/>
      <c r="OE152" s="31"/>
      <c r="OF152" s="31"/>
      <c r="OG152" s="31"/>
      <c r="OH152" s="31"/>
      <c r="OI152" s="31"/>
      <c r="OJ152" s="31"/>
      <c r="OK152" s="31"/>
      <c r="OL152" s="31"/>
      <c r="OM152" s="31"/>
      <c r="ON152" s="31"/>
      <c r="OO152" s="31"/>
      <c r="OP152" s="31"/>
      <c r="OQ152" s="31"/>
      <c r="OR152" s="31"/>
      <c r="OS152" s="31"/>
      <c r="OT152" s="31"/>
      <c r="OU152" s="31"/>
      <c r="OV152" s="31"/>
      <c r="OW152" s="31"/>
      <c r="OX152" s="31"/>
      <c r="OY152" s="31"/>
      <c r="OZ152" s="31"/>
      <c r="PA152" s="31"/>
      <c r="PB152" s="31"/>
      <c r="PC152" s="31"/>
      <c r="PD152" s="31"/>
      <c r="PE152" s="31"/>
      <c r="PF152" s="31"/>
      <c r="PG152" s="31"/>
      <c r="PH152" s="31"/>
      <c r="PI152" s="31"/>
      <c r="PJ152" s="31"/>
      <c r="PK152" s="31"/>
      <c r="PL152" s="31"/>
      <c r="PM152" s="31"/>
      <c r="PN152" s="31"/>
      <c r="PO152" s="31"/>
      <c r="PP152" s="31"/>
      <c r="PQ152" s="31"/>
      <c r="PR152" s="31"/>
      <c r="PS152" s="31"/>
      <c r="PT152" s="31"/>
      <c r="PU152" s="31"/>
      <c r="PV152" s="31"/>
      <c r="PW152" s="31"/>
      <c r="PX152" s="31"/>
      <c r="PY152" s="31"/>
      <c r="PZ152" s="31"/>
      <c r="QA152" s="31"/>
      <c r="QB152" s="31"/>
      <c r="QC152" s="31"/>
      <c r="QD152" s="31"/>
      <c r="QE152" s="31"/>
      <c r="QF152" s="31"/>
      <c r="QG152" s="31"/>
      <c r="QH152" s="31"/>
      <c r="QI152" s="31"/>
      <c r="QJ152" s="31"/>
      <c r="QK152" s="31"/>
      <c r="QL152" s="31"/>
      <c r="QM152" s="31"/>
      <c r="QN152" s="31"/>
      <c r="QO152" s="31"/>
      <c r="QP152" s="31"/>
      <c r="QQ152" s="31"/>
      <c r="QR152" s="31"/>
      <c r="QS152" s="31">
        <v>59</v>
      </c>
      <c r="QT152" s="31"/>
      <c r="QU152" s="31"/>
      <c r="QV152" s="31"/>
      <c r="QW152" s="31"/>
      <c r="QX152" s="31"/>
      <c r="QY152" s="31"/>
      <c r="QZ152" s="31"/>
      <c r="RA152" s="31"/>
      <c r="RB152" s="31"/>
      <c r="RC152" s="31"/>
      <c r="RD152" s="31"/>
      <c r="RE152" s="31"/>
      <c r="RF152" s="31"/>
      <c r="RG152" s="31"/>
      <c r="RH152" s="31"/>
      <c r="RI152" s="31"/>
      <c r="RJ152" s="31"/>
      <c r="RK152" s="31"/>
      <c r="RL152" s="31"/>
      <c r="RM152" s="31"/>
      <c r="RN152" s="31"/>
      <c r="RO152" s="31"/>
      <c r="RP152" s="31"/>
      <c r="RQ152" s="31"/>
      <c r="RR152" s="31"/>
      <c r="RS152" s="31"/>
      <c r="RT152" s="31"/>
      <c r="RU152" s="31"/>
      <c r="RV152" s="31"/>
      <c r="RW152" s="31"/>
      <c r="RX152" s="31"/>
      <c r="RY152" s="31"/>
      <c r="RZ152" s="31"/>
      <c r="SA152" s="31"/>
      <c r="SB152" s="31"/>
      <c r="SC152" s="31"/>
      <c r="SD152" s="31"/>
      <c r="SE152" s="31"/>
      <c r="SF152" s="31"/>
      <c r="SG152" s="31"/>
      <c r="SH152" s="31"/>
      <c r="SI152" s="31"/>
      <c r="SJ152" s="31"/>
      <c r="SK152" s="31"/>
      <c r="SL152" s="31"/>
      <c r="SM152" s="31"/>
      <c r="SN152" s="31"/>
      <c r="SO152" s="31"/>
      <c r="SP152" s="31"/>
      <c r="SQ152" s="31"/>
      <c r="SR152" s="31"/>
      <c r="SS152" s="31"/>
      <c r="ST152" s="23"/>
      <c r="SU152" s="23"/>
      <c r="SV152" s="23"/>
      <c r="SW152" s="23"/>
      <c r="SX152" s="23"/>
      <c r="SY152" s="23"/>
      <c r="SZ152" s="23"/>
      <c r="TA152" s="23"/>
      <c r="TB152" s="23"/>
      <c r="TC152" s="23"/>
      <c r="TD152" s="23"/>
      <c r="TE152" s="23"/>
      <c r="TF152" s="23"/>
      <c r="TG152" s="23"/>
      <c r="TH152" s="23"/>
      <c r="TI152" s="23"/>
      <c r="TJ152" s="23"/>
      <c r="TK152" s="23"/>
      <c r="TL152" s="23"/>
      <c r="TM152" s="23"/>
      <c r="TN152" s="23"/>
      <c r="TO152" s="23"/>
      <c r="TP152" s="23"/>
      <c r="TQ152" s="23"/>
      <c r="TR152" s="23"/>
      <c r="TS152" s="23"/>
      <c r="TT152" s="23"/>
      <c r="TU152" s="23"/>
      <c r="TV152" s="23"/>
      <c r="TW152" s="23"/>
      <c r="TX152" s="23"/>
      <c r="TY152" s="23"/>
      <c r="TZ152" s="23"/>
      <c r="UA152" s="23"/>
      <c r="UB152" s="23"/>
      <c r="UC152" s="23"/>
      <c r="UD152" s="23"/>
      <c r="UE152" s="23"/>
      <c r="UF152" s="23"/>
      <c r="UG152" s="23"/>
      <c r="UH152" s="23"/>
      <c r="UI152" s="23"/>
      <c r="UJ152" s="23"/>
      <c r="UK152" s="23"/>
      <c r="UL152" s="23"/>
      <c r="UM152" s="23"/>
      <c r="UN152" s="23"/>
      <c r="UO152" s="23"/>
      <c r="UP152" s="23"/>
      <c r="UQ152" s="23"/>
      <c r="UR152" s="23"/>
      <c r="US152" s="23"/>
      <c r="UT152" s="23"/>
    </row>
    <row r="153" spans="4:566">
      <c r="D153" t="s">
        <v>232</v>
      </c>
      <c r="E153" t="s">
        <v>233</v>
      </c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>
        <v>63.2</v>
      </c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1"/>
      <c r="DL153" s="31"/>
      <c r="DM153" s="31"/>
      <c r="DN153" s="31"/>
      <c r="DO153" s="31"/>
      <c r="DP153" s="31"/>
      <c r="DQ153" s="31"/>
      <c r="DR153" s="31"/>
      <c r="DS153" s="31"/>
      <c r="DT153" s="31"/>
      <c r="DU153" s="31"/>
      <c r="DV153" s="31"/>
      <c r="DW153" s="31"/>
      <c r="DX153" s="31"/>
      <c r="DY153" s="31"/>
      <c r="DZ153" s="31"/>
      <c r="EA153" s="31"/>
      <c r="EB153" s="31"/>
      <c r="EC153" s="31"/>
      <c r="ED153" s="31"/>
      <c r="EE153" s="31"/>
      <c r="EF153" s="31"/>
      <c r="EG153" s="31"/>
      <c r="EH153" s="31"/>
      <c r="EI153" s="31"/>
      <c r="EJ153" s="31"/>
      <c r="EK153" s="31"/>
      <c r="EL153" s="31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1"/>
      <c r="EZ153" s="31"/>
      <c r="FA153" s="31"/>
      <c r="FB153" s="31"/>
      <c r="FC153" s="31"/>
      <c r="FD153" s="31"/>
      <c r="FE153" s="31"/>
      <c r="FF153" s="31"/>
      <c r="FG153" s="31"/>
      <c r="FH153" s="31"/>
      <c r="FI153" s="31"/>
      <c r="FJ153" s="31"/>
      <c r="FK153" s="31"/>
      <c r="FL153" s="31"/>
      <c r="FM153" s="31"/>
      <c r="FN153" s="31"/>
      <c r="FO153" s="31"/>
      <c r="FP153" s="31"/>
      <c r="FQ153" s="31"/>
      <c r="FR153" s="31"/>
      <c r="FS153" s="31"/>
      <c r="FT153" s="31"/>
      <c r="FU153" s="31"/>
      <c r="FV153" s="31"/>
      <c r="FW153" s="31"/>
      <c r="FX153" s="31"/>
      <c r="FY153" s="31"/>
      <c r="FZ153" s="31"/>
      <c r="GA153" s="31"/>
      <c r="GB153" s="31"/>
      <c r="GC153" s="31"/>
      <c r="GD153" s="31"/>
      <c r="GE153" s="31">
        <v>65.3</v>
      </c>
      <c r="GF153" s="31"/>
      <c r="GG153" s="31"/>
      <c r="GH153" s="31"/>
      <c r="GI153" s="31"/>
      <c r="GJ153" s="31"/>
      <c r="GK153" s="31"/>
      <c r="GL153" s="31"/>
      <c r="GM153" s="31"/>
      <c r="GN153" s="31"/>
      <c r="GO153" s="31"/>
      <c r="GP153" s="31"/>
      <c r="GQ153" s="31"/>
      <c r="GR153" s="31"/>
      <c r="GS153" s="31"/>
      <c r="GT153" s="31"/>
      <c r="GU153" s="31"/>
      <c r="GV153" s="31"/>
      <c r="GW153" s="31"/>
      <c r="GX153" s="31"/>
      <c r="GY153" s="31"/>
      <c r="GZ153" s="31"/>
      <c r="HA153" s="31"/>
      <c r="HB153" s="31"/>
      <c r="HC153" s="31"/>
      <c r="HD153" s="31"/>
      <c r="HE153" s="31"/>
      <c r="HF153" s="31"/>
      <c r="HG153" s="31"/>
      <c r="HH153" s="31"/>
      <c r="HI153" s="31"/>
      <c r="HJ153" s="31"/>
      <c r="HK153" s="31"/>
      <c r="HL153" s="31"/>
      <c r="HM153" s="31"/>
      <c r="HN153" s="31"/>
      <c r="HO153" s="31"/>
      <c r="HP153" s="31"/>
      <c r="HQ153" s="31"/>
      <c r="HR153" s="31"/>
      <c r="HS153" s="31"/>
      <c r="HT153" s="31"/>
      <c r="HU153" s="31"/>
      <c r="HV153" s="31"/>
      <c r="HW153" s="31"/>
      <c r="HX153" s="31"/>
      <c r="HY153" s="31"/>
      <c r="HZ153" s="31"/>
      <c r="IA153" s="31"/>
      <c r="IB153" s="31"/>
      <c r="IC153" s="31"/>
      <c r="ID153" s="31"/>
      <c r="IE153" s="31"/>
      <c r="IF153" s="31"/>
      <c r="IG153" s="31"/>
      <c r="IH153" s="31"/>
      <c r="II153" s="31"/>
      <c r="IJ153" s="31"/>
      <c r="IK153" s="31"/>
      <c r="IL153" s="31"/>
      <c r="IM153" s="31"/>
      <c r="IN153" s="31"/>
      <c r="IO153" s="31"/>
      <c r="IP153" s="31"/>
      <c r="IQ153" s="31"/>
      <c r="IR153" s="31"/>
      <c r="IS153" s="31"/>
      <c r="IT153" s="31"/>
      <c r="IU153" s="31"/>
      <c r="IV153" s="31"/>
      <c r="IW153" s="31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  <c r="JN153" s="31"/>
      <c r="JO153" s="31"/>
      <c r="JP153" s="31"/>
      <c r="JQ153" s="31"/>
      <c r="JR153" s="31"/>
      <c r="JS153" s="31">
        <v>67.5</v>
      </c>
      <c r="JT153" s="31"/>
      <c r="JU153" s="31"/>
      <c r="JV153" s="31"/>
      <c r="JW153" s="31"/>
      <c r="JX153" s="31"/>
      <c r="JY153" s="31"/>
      <c r="JZ153" s="31"/>
      <c r="KA153" s="31"/>
      <c r="KB153" s="31"/>
      <c r="KC153" s="31"/>
      <c r="KD153" s="31"/>
      <c r="KE153" s="31"/>
      <c r="KF153" s="31"/>
      <c r="KG153" s="31"/>
      <c r="KH153" s="31"/>
      <c r="KI153" s="31"/>
      <c r="KJ153" s="31"/>
      <c r="KK153" s="31"/>
      <c r="KL153" s="31"/>
      <c r="KM153" s="31"/>
      <c r="KN153" s="31"/>
      <c r="KO153" s="31"/>
      <c r="KP153" s="31"/>
      <c r="KQ153" s="31"/>
      <c r="KR153" s="31"/>
      <c r="KS153" s="31"/>
      <c r="KT153" s="31"/>
      <c r="KU153" s="31"/>
      <c r="KV153" s="31"/>
      <c r="KW153" s="31"/>
      <c r="KX153" s="31"/>
      <c r="KY153" s="31"/>
      <c r="KZ153" s="31"/>
      <c r="LA153" s="31"/>
      <c r="LB153" s="31"/>
      <c r="LC153" s="31"/>
      <c r="LD153" s="31"/>
      <c r="LE153" s="31"/>
      <c r="LF153" s="31"/>
      <c r="LG153" s="31"/>
      <c r="LH153" s="31"/>
      <c r="LI153" s="31"/>
      <c r="LJ153" s="31"/>
      <c r="LK153" s="31"/>
      <c r="LL153" s="31"/>
      <c r="LM153" s="31"/>
      <c r="LN153" s="31"/>
      <c r="LO153" s="31"/>
      <c r="LP153" s="31"/>
      <c r="LQ153" s="31"/>
      <c r="LR153" s="31"/>
      <c r="LS153" s="31"/>
      <c r="LT153" s="31"/>
      <c r="LU153" s="31"/>
      <c r="LV153" s="31"/>
      <c r="LW153" s="31"/>
      <c r="LX153" s="31"/>
      <c r="LY153" s="31"/>
      <c r="LZ153" s="31"/>
      <c r="MA153" s="31"/>
      <c r="MB153" s="31"/>
      <c r="MC153" s="31"/>
      <c r="MD153" s="31"/>
      <c r="ME153" s="31"/>
      <c r="MF153" s="31"/>
      <c r="MG153" s="31"/>
      <c r="MH153" s="31"/>
      <c r="MI153" s="31"/>
      <c r="MJ153" s="31"/>
      <c r="MK153" s="31"/>
      <c r="ML153" s="31"/>
      <c r="MM153" s="31"/>
      <c r="MN153" s="31"/>
      <c r="MO153" s="31"/>
      <c r="MP153" s="31"/>
      <c r="MQ153" s="31"/>
      <c r="MR153" s="31"/>
      <c r="MS153" s="31"/>
      <c r="MT153" s="31"/>
      <c r="MU153" s="31"/>
      <c r="MV153" s="31"/>
      <c r="MW153" s="31"/>
      <c r="MX153" s="31"/>
      <c r="MY153" s="31"/>
      <c r="MZ153" s="31"/>
      <c r="NA153" s="31"/>
      <c r="NB153" s="31"/>
      <c r="NC153" s="31"/>
      <c r="ND153" s="31"/>
      <c r="NE153" s="31"/>
      <c r="NF153" s="31"/>
      <c r="NG153" s="31">
        <v>68.4</v>
      </c>
      <c r="NH153" s="31"/>
      <c r="NI153" s="31"/>
      <c r="NJ153" s="31"/>
      <c r="NK153" s="31"/>
      <c r="NL153" s="31"/>
      <c r="NM153" s="31"/>
      <c r="NN153" s="31"/>
      <c r="NO153" s="31"/>
      <c r="NP153" s="31"/>
      <c r="NQ153" s="31"/>
      <c r="NR153" s="31"/>
      <c r="NS153" s="31"/>
      <c r="NT153" s="31"/>
      <c r="NU153" s="31"/>
      <c r="NV153" s="31"/>
      <c r="NW153" s="31"/>
      <c r="NX153" s="31"/>
      <c r="NY153" s="31"/>
      <c r="NZ153" s="31"/>
      <c r="OA153" s="31"/>
      <c r="OB153" s="31"/>
      <c r="OC153" s="31"/>
      <c r="OD153" s="31"/>
      <c r="OE153" s="31"/>
      <c r="OF153" s="31"/>
      <c r="OG153" s="31"/>
      <c r="OH153" s="31"/>
      <c r="OI153" s="31"/>
      <c r="OJ153" s="31"/>
      <c r="OK153" s="31"/>
      <c r="OL153" s="31"/>
      <c r="OM153" s="31"/>
      <c r="ON153" s="31"/>
      <c r="OO153" s="31"/>
      <c r="OP153" s="31"/>
      <c r="OQ153" s="31"/>
      <c r="OR153" s="31"/>
      <c r="OS153" s="31"/>
      <c r="OT153" s="31"/>
      <c r="OU153" s="31"/>
      <c r="OV153" s="31"/>
      <c r="OW153" s="31"/>
      <c r="OX153" s="31"/>
      <c r="OY153" s="31"/>
      <c r="OZ153" s="31"/>
      <c r="PA153" s="31"/>
      <c r="PB153" s="31"/>
      <c r="PC153" s="31"/>
      <c r="PD153" s="31"/>
      <c r="PE153" s="31"/>
      <c r="PF153" s="31"/>
      <c r="PG153" s="31"/>
      <c r="PH153" s="31"/>
      <c r="PI153" s="31"/>
      <c r="PJ153" s="31"/>
      <c r="PK153" s="31"/>
      <c r="PL153" s="31"/>
      <c r="PM153" s="31"/>
      <c r="PN153" s="31"/>
      <c r="PO153" s="31"/>
      <c r="PP153" s="31"/>
      <c r="PQ153" s="31"/>
      <c r="PR153" s="31"/>
      <c r="PS153" s="31"/>
      <c r="PT153" s="31"/>
      <c r="PU153" s="31"/>
      <c r="PV153" s="31"/>
      <c r="PW153" s="31"/>
      <c r="PX153" s="31"/>
      <c r="PY153" s="31"/>
      <c r="PZ153" s="31"/>
      <c r="QA153" s="31"/>
      <c r="QB153" s="31"/>
      <c r="QC153" s="31"/>
      <c r="QD153" s="31"/>
      <c r="QE153" s="31"/>
      <c r="QF153" s="31"/>
      <c r="QG153" s="31"/>
      <c r="QH153" s="31"/>
      <c r="QI153" s="31"/>
      <c r="QJ153" s="31"/>
      <c r="QK153" s="31"/>
      <c r="QL153" s="31"/>
      <c r="QM153" s="31"/>
      <c r="QN153" s="31"/>
      <c r="QO153" s="31"/>
      <c r="QP153" s="31"/>
      <c r="QQ153" s="31"/>
      <c r="QR153" s="31"/>
      <c r="QS153" s="31">
        <v>70.3</v>
      </c>
      <c r="QT153" s="31"/>
      <c r="QU153" s="31"/>
      <c r="QV153" s="31"/>
      <c r="QW153" s="31"/>
      <c r="QX153" s="31"/>
      <c r="QY153" s="31"/>
      <c r="QZ153" s="31"/>
      <c r="RA153" s="31"/>
      <c r="RB153" s="31"/>
      <c r="RC153" s="31"/>
      <c r="RD153" s="31"/>
      <c r="RE153" s="31"/>
      <c r="RF153" s="31"/>
      <c r="RG153" s="31"/>
      <c r="RH153" s="31"/>
      <c r="RI153" s="31"/>
      <c r="RJ153" s="31"/>
      <c r="RK153" s="31"/>
      <c r="RL153" s="31"/>
      <c r="RM153" s="31"/>
      <c r="RN153" s="31"/>
      <c r="RO153" s="31"/>
      <c r="RP153" s="31"/>
      <c r="RQ153" s="31"/>
      <c r="RR153" s="31"/>
      <c r="RS153" s="31"/>
      <c r="RT153" s="31"/>
      <c r="RU153" s="31"/>
      <c r="RV153" s="31"/>
      <c r="RW153" s="31"/>
      <c r="RX153" s="31"/>
      <c r="RY153" s="31"/>
      <c r="RZ153" s="31"/>
      <c r="SA153" s="31"/>
      <c r="SB153" s="31"/>
      <c r="SC153" s="31"/>
      <c r="SD153" s="31"/>
      <c r="SE153" s="31"/>
      <c r="SF153" s="31"/>
      <c r="SG153" s="31"/>
      <c r="SH153" s="31"/>
      <c r="SI153" s="31"/>
      <c r="SJ153" s="31"/>
      <c r="SK153" s="31"/>
      <c r="SL153" s="31"/>
      <c r="SM153" s="31"/>
      <c r="SN153" s="31"/>
      <c r="SO153" s="31"/>
      <c r="SP153" s="31"/>
      <c r="SQ153" s="31"/>
      <c r="SR153" s="31"/>
      <c r="SS153" s="31"/>
      <c r="ST153" s="23"/>
      <c r="SU153" s="23"/>
      <c r="SV153" s="23"/>
      <c r="SW153" s="23"/>
      <c r="SX153" s="23"/>
      <c r="SY153" s="23"/>
      <c r="SZ153" s="23"/>
      <c r="TA153" s="23"/>
      <c r="TB153" s="23"/>
      <c r="TC153" s="23"/>
      <c r="TD153" s="23"/>
      <c r="TE153" s="23"/>
      <c r="TF153" s="23"/>
      <c r="TG153" s="23"/>
      <c r="TH153" s="23"/>
      <c r="TI153" s="23"/>
      <c r="TJ153" s="23"/>
      <c r="TK153" s="23"/>
      <c r="TL153" s="23"/>
      <c r="TM153" s="23"/>
      <c r="TN153" s="23"/>
      <c r="TO153" s="23"/>
      <c r="TP153" s="23"/>
      <c r="TQ153" s="23"/>
      <c r="TR153" s="23"/>
      <c r="TS153" s="23"/>
      <c r="TT153" s="23"/>
      <c r="TU153" s="23"/>
      <c r="TV153" s="23"/>
      <c r="TW153" s="23"/>
      <c r="TX153" s="23"/>
      <c r="TY153" s="23"/>
      <c r="TZ153" s="23"/>
      <c r="UA153" s="23"/>
      <c r="UB153" s="23"/>
      <c r="UC153" s="23"/>
      <c r="UD153" s="23"/>
      <c r="UE153" s="23"/>
      <c r="UF153" s="23"/>
      <c r="UG153" s="23"/>
      <c r="UH153" s="23"/>
      <c r="UI153" s="23"/>
      <c r="UJ153" s="23"/>
      <c r="UK153" s="23"/>
      <c r="UL153" s="23"/>
      <c r="UM153" s="23"/>
      <c r="UN153" s="23"/>
      <c r="UO153" s="23"/>
      <c r="UP153" s="23"/>
      <c r="UQ153" s="23"/>
      <c r="UR153" s="23"/>
      <c r="US153" s="23"/>
      <c r="UT153" s="23"/>
    </row>
    <row r="154" spans="4:566">
      <c r="D154" t="s">
        <v>234</v>
      </c>
      <c r="E154" t="s">
        <v>235</v>
      </c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>
        <v>173.7</v>
      </c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  <c r="DI154" s="31"/>
      <c r="DJ154" s="31"/>
      <c r="DK154" s="31"/>
      <c r="DL154" s="31"/>
      <c r="DM154" s="31"/>
      <c r="DN154" s="31"/>
      <c r="DO154" s="31"/>
      <c r="DP154" s="31"/>
      <c r="DQ154" s="31"/>
      <c r="DR154" s="31"/>
      <c r="DS154" s="31"/>
      <c r="DT154" s="31"/>
      <c r="DU154" s="31"/>
      <c r="DV154" s="31"/>
      <c r="DW154" s="31"/>
      <c r="DX154" s="31"/>
      <c r="DY154" s="31"/>
      <c r="DZ154" s="31"/>
      <c r="EA154" s="31"/>
      <c r="EB154" s="31"/>
      <c r="EC154" s="31"/>
      <c r="ED154" s="31"/>
      <c r="EE154" s="31"/>
      <c r="EF154" s="31"/>
      <c r="EG154" s="31"/>
      <c r="EH154" s="31"/>
      <c r="EI154" s="31"/>
      <c r="EJ154" s="31"/>
      <c r="EK154" s="31"/>
      <c r="EL154" s="31"/>
      <c r="EM154" s="31"/>
      <c r="EN154" s="31"/>
      <c r="EO154" s="31"/>
      <c r="EP154" s="31"/>
      <c r="EQ154" s="31"/>
      <c r="ER154" s="31"/>
      <c r="ES154" s="31"/>
      <c r="ET154" s="31"/>
      <c r="EU154" s="31"/>
      <c r="EV154" s="31"/>
      <c r="EW154" s="31"/>
      <c r="EX154" s="31"/>
      <c r="EY154" s="31"/>
      <c r="EZ154" s="31"/>
      <c r="FA154" s="31"/>
      <c r="FB154" s="31"/>
      <c r="FC154" s="31"/>
      <c r="FD154" s="31"/>
      <c r="FE154" s="31"/>
      <c r="FF154" s="31"/>
      <c r="FG154" s="31"/>
      <c r="FH154" s="31"/>
      <c r="FI154" s="31"/>
      <c r="FJ154" s="31"/>
      <c r="FK154" s="31"/>
      <c r="FL154" s="31"/>
      <c r="FM154" s="31"/>
      <c r="FN154" s="31"/>
      <c r="FO154" s="31"/>
      <c r="FP154" s="31"/>
      <c r="FQ154" s="31"/>
      <c r="FR154" s="31"/>
      <c r="FS154" s="31"/>
      <c r="FT154" s="31"/>
      <c r="FU154" s="31"/>
      <c r="FV154" s="31"/>
      <c r="FW154" s="31"/>
      <c r="FX154" s="31"/>
      <c r="FY154" s="31"/>
      <c r="FZ154" s="31"/>
      <c r="GA154" s="31"/>
      <c r="GB154" s="31"/>
      <c r="GC154" s="31"/>
      <c r="GD154" s="31"/>
      <c r="GE154" s="31">
        <v>174</v>
      </c>
      <c r="GF154" s="31"/>
      <c r="GG154" s="31"/>
      <c r="GH154" s="31"/>
      <c r="GI154" s="31"/>
      <c r="GJ154" s="31"/>
      <c r="GK154" s="31"/>
      <c r="GL154" s="31"/>
      <c r="GM154" s="31"/>
      <c r="GN154" s="31"/>
      <c r="GO154" s="31"/>
      <c r="GP154" s="31"/>
      <c r="GQ154" s="31"/>
      <c r="GR154" s="31"/>
      <c r="GS154" s="31"/>
      <c r="GT154" s="31"/>
      <c r="GU154" s="31"/>
      <c r="GV154" s="31"/>
      <c r="GW154" s="31"/>
      <c r="GX154" s="31"/>
      <c r="GY154" s="31"/>
      <c r="GZ154" s="31"/>
      <c r="HA154" s="31"/>
      <c r="HB154" s="31"/>
      <c r="HC154" s="31"/>
      <c r="HD154" s="31"/>
      <c r="HE154" s="31"/>
      <c r="HF154" s="31"/>
      <c r="HG154" s="31"/>
      <c r="HH154" s="31"/>
      <c r="HI154" s="31"/>
      <c r="HJ154" s="31"/>
      <c r="HK154" s="31"/>
      <c r="HL154" s="31"/>
      <c r="HM154" s="31"/>
      <c r="HN154" s="31"/>
      <c r="HO154" s="31"/>
      <c r="HP154" s="31"/>
      <c r="HQ154" s="31"/>
      <c r="HR154" s="31"/>
      <c r="HS154" s="31"/>
      <c r="HT154" s="31"/>
      <c r="HU154" s="31"/>
      <c r="HV154" s="31"/>
      <c r="HW154" s="31"/>
      <c r="HX154" s="31"/>
      <c r="HY154" s="31"/>
      <c r="HZ154" s="31"/>
      <c r="IA154" s="31"/>
      <c r="IB154" s="31"/>
      <c r="IC154" s="31"/>
      <c r="ID154" s="31"/>
      <c r="IE154" s="31"/>
      <c r="IF154" s="31"/>
      <c r="IG154" s="31"/>
      <c r="IH154" s="31"/>
      <c r="II154" s="31"/>
      <c r="IJ154" s="31"/>
      <c r="IK154" s="31"/>
      <c r="IL154" s="31"/>
      <c r="IM154" s="31"/>
      <c r="IN154" s="31"/>
      <c r="IO154" s="31"/>
      <c r="IP154" s="31"/>
      <c r="IQ154" s="31"/>
      <c r="IR154" s="31"/>
      <c r="IS154" s="31"/>
      <c r="IT154" s="31"/>
      <c r="IU154" s="31"/>
      <c r="IV154" s="31"/>
      <c r="IW154" s="31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  <c r="JN154" s="31"/>
      <c r="JO154" s="31"/>
      <c r="JP154" s="31"/>
      <c r="JQ154" s="31"/>
      <c r="JR154" s="31"/>
      <c r="JS154" s="31">
        <v>174.4</v>
      </c>
      <c r="JT154" s="31"/>
      <c r="JU154" s="31"/>
      <c r="JV154" s="31"/>
      <c r="JW154" s="31"/>
      <c r="JX154" s="31"/>
      <c r="JY154" s="31"/>
      <c r="JZ154" s="31"/>
      <c r="KA154" s="31"/>
      <c r="KB154" s="31"/>
      <c r="KC154" s="31"/>
      <c r="KD154" s="31"/>
      <c r="KE154" s="31"/>
      <c r="KF154" s="31"/>
      <c r="KG154" s="31"/>
      <c r="KH154" s="31"/>
      <c r="KI154" s="31"/>
      <c r="KJ154" s="31"/>
      <c r="KK154" s="31"/>
      <c r="KL154" s="31"/>
      <c r="KM154" s="31"/>
      <c r="KN154" s="31"/>
      <c r="KO154" s="31"/>
      <c r="KP154" s="31"/>
      <c r="KQ154" s="31"/>
      <c r="KR154" s="31"/>
      <c r="KS154" s="31"/>
      <c r="KT154" s="31"/>
      <c r="KU154" s="31"/>
      <c r="KV154" s="31"/>
      <c r="KW154" s="31"/>
      <c r="KX154" s="31"/>
      <c r="KY154" s="31"/>
      <c r="KZ154" s="31"/>
      <c r="LA154" s="31"/>
      <c r="LB154" s="31"/>
      <c r="LC154" s="31"/>
      <c r="LD154" s="31"/>
      <c r="LE154" s="31"/>
      <c r="LF154" s="31"/>
      <c r="LG154" s="31"/>
      <c r="LH154" s="31"/>
      <c r="LI154" s="31"/>
      <c r="LJ154" s="31"/>
      <c r="LK154" s="31"/>
      <c r="LL154" s="31"/>
      <c r="LM154" s="31"/>
      <c r="LN154" s="31"/>
      <c r="LO154" s="31"/>
      <c r="LP154" s="31"/>
      <c r="LQ154" s="31"/>
      <c r="LR154" s="31"/>
      <c r="LS154" s="31"/>
      <c r="LT154" s="31"/>
      <c r="LU154" s="31"/>
      <c r="LV154" s="31"/>
      <c r="LW154" s="31"/>
      <c r="LX154" s="31"/>
      <c r="LY154" s="31"/>
      <c r="LZ154" s="31"/>
      <c r="MA154" s="31"/>
      <c r="MB154" s="31"/>
      <c r="MC154" s="31"/>
      <c r="MD154" s="31"/>
      <c r="ME154" s="31"/>
      <c r="MF154" s="31"/>
      <c r="MG154" s="31"/>
      <c r="MH154" s="31"/>
      <c r="MI154" s="31"/>
      <c r="MJ154" s="31"/>
      <c r="MK154" s="31"/>
      <c r="ML154" s="31"/>
      <c r="MM154" s="31"/>
      <c r="MN154" s="31"/>
      <c r="MO154" s="31"/>
      <c r="MP154" s="31"/>
      <c r="MQ154" s="31"/>
      <c r="MR154" s="31"/>
      <c r="MS154" s="31"/>
      <c r="MT154" s="31"/>
      <c r="MU154" s="31"/>
      <c r="MV154" s="31"/>
      <c r="MW154" s="31"/>
      <c r="MX154" s="31"/>
      <c r="MY154" s="31"/>
      <c r="MZ154" s="31"/>
      <c r="NA154" s="31"/>
      <c r="NB154" s="31"/>
      <c r="NC154" s="31"/>
      <c r="ND154" s="31"/>
      <c r="NE154" s="31"/>
      <c r="NF154" s="31"/>
      <c r="NG154" s="31">
        <v>174.6</v>
      </c>
      <c r="NH154" s="31"/>
      <c r="NI154" s="31"/>
      <c r="NJ154" s="31"/>
      <c r="NK154" s="31"/>
      <c r="NL154" s="31"/>
      <c r="NM154" s="31"/>
      <c r="NN154" s="31"/>
      <c r="NO154" s="31"/>
      <c r="NP154" s="31"/>
      <c r="NQ154" s="31"/>
      <c r="NR154" s="31"/>
      <c r="NS154" s="31"/>
      <c r="NT154" s="31"/>
      <c r="NU154" s="31"/>
      <c r="NV154" s="31"/>
      <c r="NW154" s="31"/>
      <c r="NX154" s="31"/>
      <c r="NY154" s="31"/>
      <c r="NZ154" s="31"/>
      <c r="OA154" s="31"/>
      <c r="OB154" s="31"/>
      <c r="OC154" s="31"/>
      <c r="OD154" s="31"/>
      <c r="OE154" s="31"/>
      <c r="OF154" s="31"/>
      <c r="OG154" s="31"/>
      <c r="OH154" s="31"/>
      <c r="OI154" s="31"/>
      <c r="OJ154" s="31"/>
      <c r="OK154" s="31"/>
      <c r="OL154" s="31"/>
      <c r="OM154" s="31"/>
      <c r="ON154" s="31"/>
      <c r="OO154" s="31"/>
      <c r="OP154" s="31"/>
      <c r="OQ154" s="31"/>
      <c r="OR154" s="31"/>
      <c r="OS154" s="31"/>
      <c r="OT154" s="31"/>
      <c r="OU154" s="31"/>
      <c r="OV154" s="31"/>
      <c r="OW154" s="31"/>
      <c r="OX154" s="31"/>
      <c r="OY154" s="31"/>
      <c r="OZ154" s="31"/>
      <c r="PA154" s="31"/>
      <c r="PB154" s="31"/>
      <c r="PC154" s="31"/>
      <c r="PD154" s="31"/>
      <c r="PE154" s="31"/>
      <c r="PF154" s="31"/>
      <c r="PG154" s="31"/>
      <c r="PH154" s="31"/>
      <c r="PI154" s="31"/>
      <c r="PJ154" s="31"/>
      <c r="PK154" s="31"/>
      <c r="PL154" s="31"/>
      <c r="PM154" s="31"/>
      <c r="PN154" s="31"/>
      <c r="PO154" s="31"/>
      <c r="PP154" s="31"/>
      <c r="PQ154" s="31"/>
      <c r="PR154" s="31"/>
      <c r="PS154" s="31"/>
      <c r="PT154" s="31"/>
      <c r="PU154" s="31"/>
      <c r="PV154" s="31"/>
      <c r="PW154" s="31"/>
      <c r="PX154" s="31"/>
      <c r="PY154" s="31"/>
      <c r="PZ154" s="31"/>
      <c r="QA154" s="31"/>
      <c r="QB154" s="31"/>
      <c r="QC154" s="31"/>
      <c r="QD154" s="31"/>
      <c r="QE154" s="31"/>
      <c r="QF154" s="31"/>
      <c r="QG154" s="31"/>
      <c r="QH154" s="31"/>
      <c r="QI154" s="31"/>
      <c r="QJ154" s="31"/>
      <c r="QK154" s="31"/>
      <c r="QL154" s="31"/>
      <c r="QM154" s="31"/>
      <c r="QN154" s="31"/>
      <c r="QO154" s="31"/>
      <c r="QP154" s="31"/>
      <c r="QQ154" s="31"/>
      <c r="QR154" s="31"/>
      <c r="QS154" s="31">
        <v>180</v>
      </c>
      <c r="QT154" s="31"/>
      <c r="QU154" s="31"/>
      <c r="QV154" s="31"/>
      <c r="QW154" s="31"/>
      <c r="QX154" s="31"/>
      <c r="QY154" s="31"/>
      <c r="QZ154" s="31"/>
      <c r="RA154" s="31"/>
      <c r="RB154" s="31"/>
      <c r="RC154" s="31"/>
      <c r="RD154" s="31"/>
      <c r="RE154" s="31"/>
      <c r="RF154" s="31"/>
      <c r="RG154" s="31"/>
      <c r="RH154" s="31"/>
      <c r="RI154" s="31"/>
      <c r="RJ154" s="31"/>
      <c r="RK154" s="31"/>
      <c r="RL154" s="31"/>
      <c r="RM154" s="31"/>
      <c r="RN154" s="31"/>
      <c r="RO154" s="31"/>
      <c r="RP154" s="31"/>
      <c r="RQ154" s="31"/>
      <c r="RR154" s="31"/>
      <c r="RS154" s="31"/>
      <c r="RT154" s="31"/>
      <c r="RU154" s="31"/>
      <c r="RV154" s="31"/>
      <c r="RW154" s="31"/>
      <c r="RX154" s="31"/>
      <c r="RY154" s="31"/>
      <c r="RZ154" s="31"/>
      <c r="SA154" s="31"/>
      <c r="SB154" s="31"/>
      <c r="SC154" s="31"/>
      <c r="SD154" s="31"/>
      <c r="SE154" s="31"/>
      <c r="SF154" s="31"/>
      <c r="SG154" s="31"/>
      <c r="SH154" s="31"/>
      <c r="SI154" s="31"/>
      <c r="SJ154" s="31"/>
      <c r="SK154" s="31"/>
      <c r="SL154" s="31"/>
      <c r="SM154" s="31"/>
      <c r="SN154" s="31"/>
      <c r="SO154" s="31"/>
      <c r="SP154" s="31"/>
      <c r="SQ154" s="31"/>
      <c r="SR154" s="31"/>
      <c r="SS154" s="31"/>
      <c r="ST154" s="23"/>
      <c r="SU154" s="23"/>
      <c r="SV154" s="23"/>
      <c r="SW154" s="23"/>
      <c r="SX154" s="23"/>
      <c r="SY154" s="23"/>
      <c r="SZ154" s="23"/>
      <c r="TA154" s="23"/>
      <c r="TB154" s="23"/>
      <c r="TC154" s="23"/>
      <c r="TD154" s="23"/>
      <c r="TE154" s="23"/>
      <c r="TF154" s="23"/>
      <c r="TG154" s="23"/>
      <c r="TH154" s="23"/>
      <c r="TI154" s="23"/>
      <c r="TJ154" s="23"/>
      <c r="TK154" s="23"/>
      <c r="TL154" s="23"/>
      <c r="TM154" s="23"/>
      <c r="TN154" s="23"/>
      <c r="TO154" s="23"/>
      <c r="TP154" s="23"/>
      <c r="TQ154" s="23"/>
      <c r="TR154" s="23"/>
      <c r="TS154" s="23"/>
      <c r="TT154" s="23"/>
      <c r="TU154" s="23"/>
      <c r="TV154" s="23"/>
      <c r="TW154" s="23"/>
      <c r="TX154" s="23"/>
      <c r="TY154" s="23"/>
      <c r="TZ154" s="23"/>
      <c r="UA154" s="23"/>
      <c r="UB154" s="23"/>
      <c r="UC154" s="23"/>
      <c r="UD154" s="23"/>
      <c r="UE154" s="23"/>
      <c r="UF154" s="23"/>
      <c r="UG154" s="23"/>
      <c r="UH154" s="23"/>
      <c r="UI154" s="23"/>
      <c r="UJ154" s="23"/>
      <c r="UK154" s="23"/>
      <c r="UL154" s="23"/>
      <c r="UM154" s="23"/>
      <c r="UN154" s="23"/>
      <c r="UO154" s="23"/>
      <c r="UP154" s="23"/>
      <c r="UQ154" s="23"/>
      <c r="UR154" s="23"/>
      <c r="US154" s="23"/>
      <c r="UT154" s="23"/>
    </row>
    <row r="155" spans="4:566">
      <c r="D155" t="s">
        <v>96</v>
      </c>
      <c r="E155" t="s">
        <v>97</v>
      </c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>
        <v>3.1</v>
      </c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>
        <v>3.1</v>
      </c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>
        <v>3.1</v>
      </c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  <c r="DI155" s="31"/>
      <c r="DJ155" s="31"/>
      <c r="DK155" s="31"/>
      <c r="DL155" s="31"/>
      <c r="DM155" s="31">
        <v>3.1</v>
      </c>
      <c r="DN155" s="31"/>
      <c r="DO155" s="31"/>
      <c r="DP155" s="31"/>
      <c r="DQ155" s="31"/>
      <c r="DR155" s="31"/>
      <c r="DS155" s="31"/>
      <c r="DT155" s="31"/>
      <c r="DU155" s="31"/>
      <c r="DV155" s="31"/>
      <c r="DW155" s="31"/>
      <c r="DX155" s="31"/>
      <c r="DY155" s="31"/>
      <c r="DZ155" s="31"/>
      <c r="EA155" s="31"/>
      <c r="EB155" s="31"/>
      <c r="EC155" s="31"/>
      <c r="ED155" s="31"/>
      <c r="EE155" s="31"/>
      <c r="EF155" s="31"/>
      <c r="EG155" s="31"/>
      <c r="EH155" s="31"/>
      <c r="EI155" s="31"/>
      <c r="EJ155" s="31"/>
      <c r="EK155" s="31"/>
      <c r="EL155" s="31"/>
      <c r="EM155" s="31"/>
      <c r="EN155" s="31"/>
      <c r="EO155" s="31"/>
      <c r="EP155" s="31">
        <v>3</v>
      </c>
      <c r="EQ155" s="31"/>
      <c r="ER155" s="31"/>
      <c r="ES155" s="31"/>
      <c r="ET155" s="31"/>
      <c r="EU155" s="31"/>
      <c r="EV155" s="31"/>
      <c r="EW155" s="31"/>
      <c r="EX155" s="31"/>
      <c r="EY155" s="31"/>
      <c r="EZ155" s="31"/>
      <c r="FA155" s="31"/>
      <c r="FB155" s="31"/>
      <c r="FC155" s="31"/>
      <c r="FD155" s="31"/>
      <c r="FE155" s="31"/>
      <c r="FF155" s="31"/>
      <c r="FG155" s="31"/>
      <c r="FH155" s="31"/>
      <c r="FI155" s="31"/>
      <c r="FJ155" s="31"/>
      <c r="FK155" s="31"/>
      <c r="FL155" s="31"/>
      <c r="FM155" s="31"/>
      <c r="FN155" s="31"/>
      <c r="FO155" s="31"/>
      <c r="FP155" s="31"/>
      <c r="FQ155" s="31"/>
      <c r="FR155" s="31"/>
      <c r="FS155" s="31"/>
      <c r="FT155" s="31"/>
      <c r="FU155" s="31">
        <v>3</v>
      </c>
      <c r="FV155" s="31"/>
      <c r="FW155" s="31"/>
      <c r="FX155" s="31"/>
      <c r="FY155" s="31"/>
      <c r="FZ155" s="31"/>
      <c r="GA155" s="31"/>
      <c r="GB155" s="31"/>
      <c r="GC155" s="31"/>
      <c r="GD155" s="31"/>
      <c r="GE155" s="31"/>
      <c r="GF155" s="31"/>
      <c r="GG155" s="31"/>
      <c r="GH155" s="31"/>
      <c r="GI155" s="31"/>
      <c r="GJ155" s="31"/>
      <c r="GK155" s="31"/>
      <c r="GL155" s="31"/>
      <c r="GM155" s="31"/>
      <c r="GN155" s="31"/>
      <c r="GO155" s="31"/>
      <c r="GP155" s="31"/>
      <c r="GQ155" s="31"/>
      <c r="GR155" s="31"/>
      <c r="GS155" s="31"/>
      <c r="GT155" s="31"/>
      <c r="GU155" s="31"/>
      <c r="GV155" s="31"/>
      <c r="GW155" s="31"/>
      <c r="GX155" s="31"/>
      <c r="GY155" s="31"/>
      <c r="GZ155" s="31">
        <v>3</v>
      </c>
      <c r="HA155" s="31"/>
      <c r="HB155" s="31"/>
      <c r="HC155" s="31"/>
      <c r="HD155" s="31"/>
      <c r="HE155" s="31"/>
      <c r="HF155" s="31"/>
      <c r="HG155" s="31"/>
      <c r="HH155" s="31"/>
      <c r="HI155" s="31"/>
      <c r="HJ155" s="31"/>
      <c r="HK155" s="31"/>
      <c r="HL155" s="31"/>
      <c r="HM155" s="31"/>
      <c r="HN155" s="31"/>
      <c r="HO155" s="31"/>
      <c r="HP155" s="31"/>
      <c r="HQ155" s="31"/>
      <c r="HR155" s="31"/>
      <c r="HS155" s="31"/>
      <c r="HT155" s="31"/>
      <c r="HU155" s="31"/>
      <c r="HV155" s="31"/>
      <c r="HW155" s="31"/>
      <c r="HX155" s="31"/>
      <c r="HY155" s="31"/>
      <c r="HZ155" s="31"/>
      <c r="IA155" s="31"/>
      <c r="IB155" s="31"/>
      <c r="IC155" s="31"/>
      <c r="ID155" s="31">
        <v>3</v>
      </c>
      <c r="IE155" s="31"/>
      <c r="IF155" s="31"/>
      <c r="IG155" s="31"/>
      <c r="IH155" s="31"/>
      <c r="II155" s="31"/>
      <c r="IJ155" s="31"/>
      <c r="IK155" s="31"/>
      <c r="IL155" s="31"/>
      <c r="IM155" s="31"/>
      <c r="IN155" s="31"/>
      <c r="IO155" s="31"/>
      <c r="IP155" s="31"/>
      <c r="IQ155" s="31"/>
      <c r="IR155" s="31"/>
      <c r="IS155" s="31"/>
      <c r="IT155" s="31"/>
      <c r="IU155" s="31"/>
      <c r="IV155" s="31"/>
      <c r="IW155" s="31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  <c r="JH155" s="31"/>
      <c r="JI155" s="31"/>
      <c r="JJ155" s="31"/>
      <c r="JK155" s="31">
        <v>3</v>
      </c>
      <c r="JL155" s="31"/>
      <c r="JM155" s="31"/>
      <c r="JN155" s="31"/>
      <c r="JO155" s="31"/>
      <c r="JP155" s="31"/>
      <c r="JQ155" s="31"/>
      <c r="JR155" s="31"/>
      <c r="JS155" s="31"/>
      <c r="JT155" s="31"/>
      <c r="JU155" s="31"/>
      <c r="JV155" s="31"/>
      <c r="JW155" s="31"/>
      <c r="JX155" s="31"/>
      <c r="JY155" s="31"/>
      <c r="JZ155" s="31"/>
      <c r="KA155" s="31"/>
      <c r="KB155" s="31"/>
      <c r="KC155" s="31"/>
      <c r="KD155" s="31"/>
      <c r="KE155" s="31"/>
      <c r="KF155" s="31"/>
      <c r="KG155" s="31"/>
      <c r="KH155" s="31"/>
      <c r="KI155" s="31"/>
      <c r="KJ155" s="31"/>
      <c r="KK155" s="31"/>
      <c r="KL155" s="31"/>
      <c r="KM155" s="31">
        <v>3</v>
      </c>
      <c r="KN155" s="31"/>
      <c r="KO155" s="31"/>
      <c r="KP155" s="31"/>
      <c r="KQ155" s="31"/>
      <c r="KR155" s="31"/>
      <c r="KS155" s="31"/>
      <c r="KT155" s="31"/>
      <c r="KU155" s="31"/>
      <c r="KV155" s="31"/>
      <c r="KW155" s="31"/>
      <c r="KX155" s="31"/>
      <c r="KY155" s="31"/>
      <c r="KZ155" s="31"/>
      <c r="LA155" s="31"/>
      <c r="LB155" s="31"/>
      <c r="LC155" s="31"/>
      <c r="LD155" s="31"/>
      <c r="LE155" s="31"/>
      <c r="LF155" s="31"/>
      <c r="LG155" s="31"/>
      <c r="LH155" s="31"/>
      <c r="LI155" s="31"/>
      <c r="LJ155" s="31"/>
      <c r="LK155" s="31"/>
      <c r="LL155" s="31"/>
      <c r="LM155" s="31"/>
      <c r="LN155" s="31"/>
      <c r="LO155" s="31"/>
      <c r="LP155" s="31"/>
      <c r="LQ155" s="31"/>
      <c r="LR155" s="31">
        <v>3</v>
      </c>
      <c r="LS155" s="31"/>
      <c r="LT155" s="31"/>
      <c r="LU155" s="31"/>
      <c r="LV155" s="31"/>
      <c r="LW155" s="31"/>
      <c r="LX155" s="31"/>
      <c r="LY155" s="31"/>
      <c r="LZ155" s="31"/>
      <c r="MA155" s="31"/>
      <c r="MB155" s="31"/>
      <c r="MC155" s="31"/>
      <c r="MD155" s="31"/>
      <c r="ME155" s="31"/>
      <c r="MF155" s="31"/>
      <c r="MG155" s="31"/>
      <c r="MH155" s="31"/>
      <c r="MI155" s="31"/>
      <c r="MJ155" s="31"/>
      <c r="MK155" s="31"/>
      <c r="ML155" s="31"/>
      <c r="MM155" s="31"/>
      <c r="MN155" s="31"/>
      <c r="MO155" s="31"/>
      <c r="MP155" s="31"/>
      <c r="MQ155" s="31"/>
      <c r="MR155" s="31"/>
      <c r="MS155" s="31"/>
      <c r="MT155" s="31"/>
      <c r="MU155" s="31"/>
      <c r="MV155" s="31"/>
      <c r="MW155" s="31"/>
      <c r="MX155" s="31">
        <v>3</v>
      </c>
      <c r="MY155" s="31"/>
      <c r="MZ155" s="31"/>
      <c r="NA155" s="31"/>
      <c r="NB155" s="31"/>
      <c r="NC155" s="31"/>
      <c r="ND155" s="31"/>
      <c r="NE155" s="31"/>
      <c r="NF155" s="31"/>
      <c r="NG155" s="31"/>
      <c r="NH155" s="31"/>
      <c r="NI155" s="31"/>
      <c r="NJ155" s="31"/>
      <c r="NK155" s="31"/>
      <c r="NL155" s="31"/>
      <c r="NM155" s="31"/>
      <c r="NN155" s="31"/>
      <c r="NO155" s="31"/>
      <c r="NP155" s="31"/>
      <c r="NQ155" s="31"/>
      <c r="NR155" s="31"/>
      <c r="NS155" s="31"/>
      <c r="NT155" s="31"/>
      <c r="NU155" s="31"/>
      <c r="NV155" s="31"/>
      <c r="NW155" s="31"/>
      <c r="NX155" s="31"/>
      <c r="NY155" s="31"/>
      <c r="NZ155" s="31"/>
      <c r="OA155" s="31">
        <v>3</v>
      </c>
      <c r="OB155" s="31"/>
      <c r="OC155" s="31"/>
      <c r="OD155" s="31"/>
      <c r="OE155" s="31"/>
      <c r="OF155" s="31"/>
      <c r="OG155" s="31"/>
      <c r="OH155" s="31"/>
      <c r="OI155" s="31"/>
      <c r="OJ155" s="31"/>
      <c r="OK155" s="31"/>
      <c r="OL155" s="31"/>
      <c r="OM155" s="31"/>
      <c r="ON155" s="31"/>
      <c r="OO155" s="31"/>
      <c r="OP155" s="31"/>
      <c r="OQ155" s="31"/>
      <c r="OR155" s="31"/>
      <c r="OS155" s="31"/>
      <c r="OT155" s="31"/>
      <c r="OU155" s="31"/>
      <c r="OV155" s="31"/>
      <c r="OW155" s="31"/>
      <c r="OX155" s="31"/>
      <c r="OY155" s="31"/>
      <c r="OZ155" s="31"/>
      <c r="PA155" s="31"/>
      <c r="PB155" s="31"/>
      <c r="PC155" s="31"/>
      <c r="PD155" s="31"/>
      <c r="PE155" s="31"/>
      <c r="PF155" s="31"/>
      <c r="PG155" s="31"/>
      <c r="PH155" s="31"/>
      <c r="PI155" s="31"/>
      <c r="PJ155" s="31">
        <v>3</v>
      </c>
      <c r="PK155" s="31"/>
      <c r="PL155" s="31"/>
      <c r="PM155" s="31"/>
      <c r="PN155" s="31"/>
      <c r="PO155" s="31"/>
      <c r="PP155" s="31"/>
      <c r="PQ155" s="31"/>
      <c r="PR155" s="31"/>
      <c r="PS155" s="31"/>
      <c r="PT155" s="31"/>
      <c r="PU155" s="31"/>
      <c r="PV155" s="31"/>
      <c r="PW155" s="31"/>
      <c r="PX155" s="31"/>
      <c r="PY155" s="31"/>
      <c r="PZ155" s="31"/>
      <c r="QA155" s="31"/>
      <c r="QB155" s="31"/>
      <c r="QC155" s="31"/>
      <c r="QD155" s="31"/>
      <c r="QE155" s="31"/>
      <c r="QF155" s="31"/>
      <c r="QG155" s="31"/>
      <c r="QH155" s="31">
        <v>3</v>
      </c>
      <c r="QI155" s="31"/>
      <c r="QJ155" s="31"/>
      <c r="QK155" s="31"/>
      <c r="QL155" s="31"/>
      <c r="QM155" s="31"/>
      <c r="QN155" s="31"/>
      <c r="QO155" s="31"/>
      <c r="QP155" s="31"/>
      <c r="QQ155" s="31"/>
      <c r="QR155" s="31"/>
      <c r="QS155" s="31"/>
      <c r="QT155" s="31"/>
      <c r="QU155" s="31"/>
      <c r="QV155" s="31"/>
      <c r="QW155" s="31"/>
      <c r="QX155" s="31"/>
      <c r="QY155" s="31"/>
      <c r="QZ155" s="31"/>
      <c r="RA155" s="31"/>
      <c r="RB155" s="31"/>
      <c r="RC155" s="31"/>
      <c r="RD155" s="31"/>
      <c r="RE155" s="31"/>
      <c r="RF155" s="31"/>
      <c r="RG155" s="31"/>
      <c r="RH155" s="31"/>
      <c r="RI155" s="31"/>
      <c r="RJ155" s="31"/>
      <c r="RK155" s="31"/>
      <c r="RL155" s="31"/>
      <c r="RM155" s="31">
        <v>3</v>
      </c>
      <c r="RN155" s="31"/>
      <c r="RO155" s="31"/>
      <c r="RP155" s="31"/>
      <c r="RQ155" s="31"/>
      <c r="RR155" s="31"/>
      <c r="RS155" s="31"/>
      <c r="RT155" s="31"/>
      <c r="RU155" s="31"/>
      <c r="RV155" s="31"/>
      <c r="RW155" s="31"/>
      <c r="RX155" s="31"/>
      <c r="RY155" s="31"/>
      <c r="RZ155" s="31"/>
      <c r="SA155" s="31"/>
      <c r="SB155" s="31"/>
      <c r="SC155" s="31"/>
      <c r="SD155" s="31"/>
      <c r="SE155" s="31"/>
      <c r="SF155" s="31"/>
      <c r="SG155" s="31"/>
      <c r="SH155" s="31"/>
      <c r="SI155" s="31"/>
      <c r="SJ155" s="31"/>
      <c r="SK155" s="31"/>
      <c r="SL155" s="31"/>
      <c r="SM155" s="31"/>
      <c r="SN155" s="31"/>
      <c r="SO155" s="31"/>
      <c r="SP155" s="31"/>
      <c r="SQ155" s="31">
        <v>3</v>
      </c>
      <c r="SR155" s="31"/>
      <c r="SS155" s="31"/>
      <c r="ST155" s="23"/>
      <c r="SU155" s="23"/>
      <c r="SV155" s="23"/>
      <c r="SW155" s="23"/>
      <c r="SX155" s="23"/>
      <c r="SY155" s="23"/>
      <c r="SZ155" s="23"/>
      <c r="TA155" s="23"/>
      <c r="TB155" s="23"/>
      <c r="TC155" s="23"/>
      <c r="TD155" s="23"/>
      <c r="TE155" s="23"/>
      <c r="TF155" s="23"/>
      <c r="TG155" s="23"/>
      <c r="TH155" s="23"/>
      <c r="TI155" s="23"/>
      <c r="TJ155" s="23"/>
      <c r="TK155" s="23"/>
      <c r="TL155" s="23"/>
      <c r="TM155" s="23"/>
      <c r="TN155" s="23"/>
      <c r="TO155" s="23"/>
      <c r="TP155" s="23"/>
      <c r="TQ155" s="23"/>
      <c r="TR155" s="23"/>
      <c r="TS155" s="23"/>
      <c r="TT155" s="23"/>
      <c r="TU155" s="23"/>
      <c r="TV155" s="23"/>
      <c r="TW155" s="23"/>
      <c r="TX155" s="23">
        <v>3</v>
      </c>
      <c r="TY155" s="23"/>
      <c r="TZ155" s="23"/>
      <c r="UA155" s="23"/>
      <c r="UB155" s="23"/>
      <c r="UC155" s="23"/>
      <c r="UD155" s="23"/>
      <c r="UE155" s="23"/>
      <c r="UF155" s="23"/>
      <c r="UG155" s="23"/>
      <c r="UH155" s="23"/>
      <c r="UI155" s="23"/>
      <c r="UJ155" s="23"/>
      <c r="UK155" s="23"/>
      <c r="UL155" s="23"/>
      <c r="UM155" s="23"/>
      <c r="UN155" s="23"/>
      <c r="UO155" s="23"/>
      <c r="UP155" s="23"/>
      <c r="UQ155" s="23"/>
      <c r="UR155" s="23"/>
      <c r="US155" s="23"/>
      <c r="UT155" s="23"/>
    </row>
    <row r="156" spans="4:566">
      <c r="D156" t="s">
        <v>98</v>
      </c>
      <c r="E156" t="s">
        <v>99</v>
      </c>
      <c r="F156" s="31"/>
      <c r="G156" s="31"/>
      <c r="H156" s="31">
        <v>1.6369</v>
      </c>
      <c r="I156" s="31">
        <v>1.5895</v>
      </c>
      <c r="J156" s="31"/>
      <c r="K156" s="31"/>
      <c r="L156" s="31">
        <v>1.6041</v>
      </c>
      <c r="M156" s="31">
        <v>1.5973</v>
      </c>
      <c r="N156" s="31">
        <v>1.6018</v>
      </c>
      <c r="O156" s="31">
        <v>1.6127</v>
      </c>
      <c r="P156" s="31">
        <v>1.6712</v>
      </c>
      <c r="Q156" s="31"/>
      <c r="R156" s="31"/>
      <c r="S156" s="31">
        <v>1.6442</v>
      </c>
      <c r="T156" s="31">
        <v>1.6502</v>
      </c>
      <c r="U156" s="31">
        <v>1.6268</v>
      </c>
      <c r="V156" s="31">
        <v>1.642</v>
      </c>
      <c r="W156" s="31">
        <v>1.6425</v>
      </c>
      <c r="X156" s="31"/>
      <c r="Y156" s="31"/>
      <c r="Z156" s="31">
        <v>1.665</v>
      </c>
      <c r="AA156" s="31">
        <v>1.6753</v>
      </c>
      <c r="AB156" s="31">
        <v>1.6554</v>
      </c>
      <c r="AC156" s="31">
        <v>1.662</v>
      </c>
      <c r="AD156" s="31">
        <v>1.6779</v>
      </c>
      <c r="AE156" s="31"/>
      <c r="AF156" s="31">
        <v>1.6536</v>
      </c>
      <c r="AG156" s="31">
        <v>1.645</v>
      </c>
      <c r="AH156" s="31"/>
      <c r="AI156" s="31"/>
      <c r="AJ156" s="31"/>
      <c r="AK156" s="31"/>
      <c r="AL156" s="31"/>
      <c r="AM156" s="31"/>
      <c r="AN156" s="31"/>
      <c r="AO156" s="31"/>
      <c r="AP156" s="31">
        <v>1.646</v>
      </c>
      <c r="AQ156" s="31">
        <v>1.6335</v>
      </c>
      <c r="AR156" s="31">
        <v>1.6287</v>
      </c>
      <c r="AS156" s="31">
        <v>1.6366</v>
      </c>
      <c r="AT156" s="31"/>
      <c r="AU156" s="31">
        <v>1.6264</v>
      </c>
      <c r="AV156" s="31">
        <v>1.6352</v>
      </c>
      <c r="AW156" s="31">
        <v>1.6311</v>
      </c>
      <c r="AX156" s="31">
        <v>1.6382</v>
      </c>
      <c r="AY156" s="31">
        <v>1.6486</v>
      </c>
      <c r="AZ156" s="31"/>
      <c r="BA156" s="31"/>
      <c r="BB156" s="31">
        <v>1.6787</v>
      </c>
      <c r="BC156" s="31">
        <v>1.7216</v>
      </c>
      <c r="BD156" s="31">
        <v>1.6992</v>
      </c>
      <c r="BE156" s="31">
        <v>1.7021</v>
      </c>
      <c r="BF156" s="31">
        <v>1.7317</v>
      </c>
      <c r="BG156" s="31"/>
      <c r="BH156" s="31"/>
      <c r="BI156" s="31">
        <v>1.77</v>
      </c>
      <c r="BJ156" s="31">
        <v>1.7842</v>
      </c>
      <c r="BK156" s="31">
        <v>1.7659</v>
      </c>
      <c r="BL156" s="31">
        <v>1.7741</v>
      </c>
      <c r="BM156" s="31">
        <v>1.8</v>
      </c>
      <c r="BN156" s="31"/>
      <c r="BO156" s="31"/>
      <c r="BP156" s="31">
        <v>1.722</v>
      </c>
      <c r="BQ156" s="31">
        <v>1.7049</v>
      </c>
      <c r="BR156" s="31">
        <v>1.7038</v>
      </c>
      <c r="BS156" s="31">
        <v>1.7301</v>
      </c>
      <c r="BT156" s="31">
        <v>1.7688</v>
      </c>
      <c r="BU156" s="31"/>
      <c r="BV156" s="31"/>
      <c r="BW156" s="31">
        <v>1.7955</v>
      </c>
      <c r="BX156" s="31">
        <v>1.8456</v>
      </c>
      <c r="BY156" s="31">
        <v>1.876</v>
      </c>
      <c r="BZ156" s="31">
        <v>1.8252</v>
      </c>
      <c r="CA156" s="31">
        <v>1.8588</v>
      </c>
      <c r="CB156" s="31"/>
      <c r="CC156" s="31"/>
      <c r="CD156" s="31">
        <v>1.878</v>
      </c>
      <c r="CE156" s="31">
        <v>1.8819</v>
      </c>
      <c r="CF156" s="31">
        <v>1.8836</v>
      </c>
      <c r="CG156" s="31">
        <v>1.8479</v>
      </c>
      <c r="CH156" s="31">
        <v>1.8387</v>
      </c>
      <c r="CI156" s="31"/>
      <c r="CJ156" s="31"/>
      <c r="CK156" s="31">
        <v>1.85</v>
      </c>
      <c r="CL156" s="31">
        <v>1.8148</v>
      </c>
      <c r="CM156" s="31">
        <v>1.8309</v>
      </c>
      <c r="CN156" s="31">
        <v>1.8079</v>
      </c>
      <c r="CO156" s="31">
        <v>1.8126</v>
      </c>
      <c r="CP156" s="31"/>
      <c r="CQ156" s="31"/>
      <c r="CR156" s="31">
        <v>1.8209</v>
      </c>
      <c r="CS156" s="31">
        <v>1.8063</v>
      </c>
      <c r="CT156" s="31">
        <v>1.809</v>
      </c>
      <c r="CU156" s="31">
        <v>1.7476</v>
      </c>
      <c r="CV156" s="31"/>
      <c r="CW156" s="31"/>
      <c r="CX156" s="31"/>
      <c r="CY156" s="31">
        <v>1.6475</v>
      </c>
      <c r="CZ156" s="31">
        <v>1.6549</v>
      </c>
      <c r="DA156" s="31">
        <v>1.65</v>
      </c>
      <c r="DB156" s="31">
        <v>1.664</v>
      </c>
      <c r="DC156" s="31">
        <v>1.6421</v>
      </c>
      <c r="DD156" s="31"/>
      <c r="DE156" s="31"/>
      <c r="DF156" s="31">
        <v>1.674</v>
      </c>
      <c r="DG156" s="31">
        <v>1.6616</v>
      </c>
      <c r="DH156" s="31">
        <v>1.6503</v>
      </c>
      <c r="DI156" s="31">
        <v>1.652</v>
      </c>
      <c r="DJ156" s="31">
        <v>1.6577</v>
      </c>
      <c r="DK156" s="31"/>
      <c r="DL156" s="31"/>
      <c r="DM156" s="31">
        <v>1.6631</v>
      </c>
      <c r="DN156" s="31">
        <v>1.6607</v>
      </c>
      <c r="DO156" s="31">
        <v>1.6715</v>
      </c>
      <c r="DP156" s="31">
        <v>1.6651</v>
      </c>
      <c r="DQ156" s="31">
        <v>1.6713</v>
      </c>
      <c r="DR156" s="31"/>
      <c r="DS156" s="31">
        <v>1.6685</v>
      </c>
      <c r="DT156" s="31">
        <v>1.6609</v>
      </c>
      <c r="DU156" s="31">
        <v>1.6493</v>
      </c>
      <c r="DV156" s="31">
        <v>1.6405</v>
      </c>
      <c r="DW156" s="31"/>
      <c r="DX156" s="31"/>
      <c r="DY156" s="31"/>
      <c r="DZ156" s="31"/>
      <c r="EA156" s="31"/>
      <c r="EB156" s="31">
        <v>1.6371</v>
      </c>
      <c r="EC156" s="31">
        <v>1.6466</v>
      </c>
      <c r="ED156" s="31">
        <v>1.6446</v>
      </c>
      <c r="EE156" s="31">
        <v>1.6414</v>
      </c>
      <c r="EF156" s="31"/>
      <c r="EG156" s="31"/>
      <c r="EH156" s="31">
        <v>1.6595</v>
      </c>
      <c r="EI156" s="31">
        <v>1.6866</v>
      </c>
      <c r="EJ156" s="31">
        <v>1.6831</v>
      </c>
      <c r="EK156" s="31">
        <v>1.686</v>
      </c>
      <c r="EL156" s="31">
        <v>1.6972</v>
      </c>
      <c r="EM156" s="31"/>
      <c r="EN156" s="31"/>
      <c r="EO156" s="31">
        <v>1.6883</v>
      </c>
      <c r="EP156" s="31">
        <v>1.6797</v>
      </c>
      <c r="EQ156" s="31">
        <v>1.6853</v>
      </c>
      <c r="ER156" s="31">
        <v>1.6943</v>
      </c>
      <c r="ES156" s="31">
        <v>1.7127</v>
      </c>
      <c r="ET156" s="31"/>
      <c r="EU156" s="31"/>
      <c r="EV156" s="31">
        <v>1.7002</v>
      </c>
      <c r="EW156" s="31">
        <v>1.7064</v>
      </c>
      <c r="EX156" s="31">
        <v>1.718</v>
      </c>
      <c r="EY156" s="31">
        <v>1.7404</v>
      </c>
      <c r="EZ156" s="31">
        <v>1.7195</v>
      </c>
      <c r="FA156" s="31"/>
      <c r="FB156" s="31"/>
      <c r="FC156" s="31"/>
      <c r="FD156" s="31">
        <v>1.7241</v>
      </c>
      <c r="FE156" s="31">
        <v>1.6782</v>
      </c>
      <c r="FF156" s="31">
        <v>1.6695</v>
      </c>
      <c r="FG156" s="31">
        <v>1.6697</v>
      </c>
      <c r="FH156" s="31"/>
      <c r="FI156" s="31"/>
      <c r="FJ156" s="31">
        <v>1.6541</v>
      </c>
      <c r="FK156" s="31">
        <v>1.6602</v>
      </c>
      <c r="FL156" s="31">
        <v>1.6524</v>
      </c>
      <c r="FM156" s="31">
        <v>1.6445</v>
      </c>
      <c r="FN156" s="31">
        <v>1.6478</v>
      </c>
      <c r="FO156" s="31"/>
      <c r="FP156" s="31"/>
      <c r="FQ156" s="31">
        <v>1.6444</v>
      </c>
      <c r="FR156" s="31">
        <v>1.6507</v>
      </c>
      <c r="FS156" s="31">
        <v>1.6427</v>
      </c>
      <c r="FT156" s="31">
        <v>1.6422</v>
      </c>
      <c r="FU156" s="31">
        <v>1.643</v>
      </c>
      <c r="FV156" s="31"/>
      <c r="FW156" s="31"/>
      <c r="FX156" s="31">
        <v>1.6417</v>
      </c>
      <c r="FY156" s="31">
        <v>1.6469</v>
      </c>
      <c r="FZ156" s="31">
        <v>1.6482</v>
      </c>
      <c r="GA156" s="31">
        <v>1.6561</v>
      </c>
      <c r="GB156" s="31">
        <v>1.6529</v>
      </c>
      <c r="GC156" s="31"/>
      <c r="GD156" s="31"/>
      <c r="GE156" s="31">
        <v>1.6553</v>
      </c>
      <c r="GF156" s="31">
        <v>1.6523</v>
      </c>
      <c r="GG156" s="31">
        <v>1.6464</v>
      </c>
      <c r="GH156" s="31">
        <v>1.6451</v>
      </c>
      <c r="GI156" s="31">
        <v>1.6439</v>
      </c>
      <c r="GJ156" s="31"/>
      <c r="GK156" s="31"/>
      <c r="GL156" s="31">
        <v>1.6482</v>
      </c>
      <c r="GM156" s="31">
        <v>1.6496</v>
      </c>
      <c r="GN156" s="31">
        <v>1.6508</v>
      </c>
      <c r="GO156" s="31">
        <v>1.6562</v>
      </c>
      <c r="GP156" s="31">
        <v>1.6749</v>
      </c>
      <c r="GQ156" s="31"/>
      <c r="GR156" s="31"/>
      <c r="GS156" s="31">
        <v>1.6775</v>
      </c>
      <c r="GT156" s="31">
        <v>1.6653</v>
      </c>
      <c r="GU156" s="31">
        <v>1.6643</v>
      </c>
      <c r="GV156" s="31">
        <v>1.6633</v>
      </c>
      <c r="GW156" s="31">
        <v>1.6721</v>
      </c>
      <c r="GX156" s="31"/>
      <c r="GY156" s="31"/>
      <c r="GZ156" s="31">
        <v>1.6819</v>
      </c>
      <c r="HA156" s="31">
        <v>1.6836</v>
      </c>
      <c r="HB156" s="31">
        <v>1.7185</v>
      </c>
      <c r="HC156" s="31">
        <v>1.7248</v>
      </c>
      <c r="HD156" s="31">
        <v>1.7393</v>
      </c>
      <c r="HE156" s="31"/>
      <c r="HF156" s="31"/>
      <c r="HG156" s="31">
        <v>1.729</v>
      </c>
      <c r="HH156" s="31">
        <v>1.7354</v>
      </c>
      <c r="HI156" s="31">
        <v>1.7578</v>
      </c>
      <c r="HJ156" s="31">
        <v>1.7144</v>
      </c>
      <c r="HK156" s="31">
        <v>1.7523</v>
      </c>
      <c r="HL156" s="31"/>
      <c r="HM156" s="31"/>
      <c r="HN156" s="31">
        <v>1.7028</v>
      </c>
      <c r="HO156" s="31">
        <v>1.7182</v>
      </c>
      <c r="HP156" s="31">
        <v>1.7093</v>
      </c>
      <c r="HQ156" s="31">
        <v>1.6975</v>
      </c>
      <c r="HR156" s="31">
        <v>1.7015</v>
      </c>
      <c r="HS156" s="31"/>
      <c r="HT156" s="31"/>
      <c r="HU156" s="31">
        <v>1.7181</v>
      </c>
      <c r="HV156" s="31">
        <v>1.7402</v>
      </c>
      <c r="HW156" s="31">
        <v>1.7445</v>
      </c>
      <c r="HX156" s="31">
        <v>1.7448</v>
      </c>
      <c r="HY156" s="31">
        <v>1.7397</v>
      </c>
      <c r="HZ156" s="31"/>
      <c r="IA156" s="31"/>
      <c r="IB156" s="31">
        <v>1.7826</v>
      </c>
      <c r="IC156" s="31">
        <v>1.7855</v>
      </c>
      <c r="ID156" s="31">
        <v>1.772</v>
      </c>
      <c r="IE156" s="31">
        <v>1.7925</v>
      </c>
      <c r="IF156" s="31">
        <v>1.7868</v>
      </c>
      <c r="IG156" s="31"/>
      <c r="IH156" s="31"/>
      <c r="II156" s="31">
        <v>1.7893</v>
      </c>
      <c r="IJ156" s="31">
        <v>1.7884</v>
      </c>
      <c r="IK156" s="31">
        <v>1.7813</v>
      </c>
      <c r="IL156" s="31">
        <v>1.7835</v>
      </c>
      <c r="IM156" s="31">
        <v>1.7922</v>
      </c>
      <c r="IN156" s="31"/>
      <c r="IO156" s="31"/>
      <c r="IP156" s="31">
        <v>1.7942</v>
      </c>
      <c r="IQ156" s="31">
        <v>1.8234</v>
      </c>
      <c r="IR156" s="31">
        <v>1.8148</v>
      </c>
      <c r="IS156" s="31">
        <v>1.795</v>
      </c>
      <c r="IT156" s="31">
        <v>1.8228</v>
      </c>
      <c r="IU156" s="31"/>
      <c r="IV156" s="31"/>
      <c r="IW156" s="31">
        <v>1.8466</v>
      </c>
      <c r="IX156" s="31">
        <v>1.8545</v>
      </c>
      <c r="IY156" s="31">
        <v>1.8669</v>
      </c>
      <c r="IZ156" s="31">
        <v>1.8909</v>
      </c>
      <c r="JA156" s="31">
        <v>1.865</v>
      </c>
      <c r="JB156" s="31"/>
      <c r="JC156" s="31"/>
      <c r="JD156" s="31">
        <v>1.8615</v>
      </c>
      <c r="JE156" s="31">
        <v>1.8753</v>
      </c>
      <c r="JF156" s="31">
        <v>1.8605</v>
      </c>
      <c r="JG156" s="31">
        <v>1.8546</v>
      </c>
      <c r="JH156" s="31">
        <v>1.8547</v>
      </c>
      <c r="JI156" s="31"/>
      <c r="JJ156" s="31"/>
      <c r="JK156" s="31">
        <v>1.8631</v>
      </c>
      <c r="JL156" s="31">
        <v>1.8833</v>
      </c>
      <c r="JM156" s="31">
        <v>1.8802</v>
      </c>
      <c r="JN156" s="31">
        <v>1.921</v>
      </c>
      <c r="JO156" s="31">
        <v>1.8885</v>
      </c>
      <c r="JP156" s="31"/>
      <c r="JQ156" s="31">
        <v>1.8841</v>
      </c>
      <c r="JR156" s="31">
        <v>1.8854</v>
      </c>
      <c r="JS156" s="31">
        <v>1.882</v>
      </c>
      <c r="JT156" s="31"/>
      <c r="JU156" s="31"/>
      <c r="JV156" s="31"/>
      <c r="JW156" s="31"/>
      <c r="JX156" s="31"/>
      <c r="JY156" s="31"/>
      <c r="JZ156" s="31"/>
      <c r="KA156" s="31"/>
      <c r="KB156" s="31">
        <v>1.8576</v>
      </c>
      <c r="KC156" s="31">
        <v>1.8467</v>
      </c>
      <c r="KD156" s="31">
        <v>1.833</v>
      </c>
      <c r="KE156" s="31"/>
      <c r="KF156" s="31">
        <v>1.837</v>
      </c>
      <c r="KG156" s="31">
        <v>1.8592</v>
      </c>
      <c r="KH156" s="31">
        <v>1.8426</v>
      </c>
      <c r="KI156" s="31">
        <v>1.8462</v>
      </c>
      <c r="KJ156" s="31">
        <v>1.8314</v>
      </c>
      <c r="KK156" s="31"/>
      <c r="KL156" s="31"/>
      <c r="KM156" s="31">
        <v>1.8499</v>
      </c>
      <c r="KN156" s="31">
        <v>1.8552</v>
      </c>
      <c r="KO156" s="31">
        <v>1.8358</v>
      </c>
      <c r="KP156" s="31">
        <v>1.8358</v>
      </c>
      <c r="KQ156" s="31">
        <v>1.8491</v>
      </c>
      <c r="KR156" s="31"/>
      <c r="KS156" s="31"/>
      <c r="KT156" s="31">
        <v>1.8488</v>
      </c>
      <c r="KU156" s="31">
        <v>1.8158</v>
      </c>
      <c r="KV156" s="31">
        <v>1.8137</v>
      </c>
      <c r="KW156" s="31">
        <v>1.823</v>
      </c>
      <c r="KX156" s="31">
        <v>1.8033</v>
      </c>
      <c r="KY156" s="31"/>
      <c r="KZ156" s="31"/>
      <c r="LA156" s="31">
        <v>1.8124</v>
      </c>
      <c r="LB156" s="31">
        <v>1.8112</v>
      </c>
      <c r="LC156" s="31">
        <v>1.8112</v>
      </c>
      <c r="LD156" s="31">
        <v>1.816</v>
      </c>
      <c r="LE156" s="31">
        <v>1.8239</v>
      </c>
      <c r="LF156" s="31"/>
      <c r="LG156" s="31"/>
      <c r="LH156" s="31">
        <v>1.8211</v>
      </c>
      <c r="LI156" s="31">
        <v>1.8161</v>
      </c>
      <c r="LJ156" s="31">
        <v>1.8221</v>
      </c>
      <c r="LK156" s="31">
        <v>1.8216</v>
      </c>
      <c r="LL156" s="31">
        <v>1.818</v>
      </c>
      <c r="LM156" s="31"/>
      <c r="LN156" s="31"/>
      <c r="LO156" s="31">
        <v>1.8195</v>
      </c>
      <c r="LP156" s="31">
        <v>1.814</v>
      </c>
      <c r="LQ156" s="31">
        <v>1.8202</v>
      </c>
      <c r="LR156" s="31">
        <v>1.8216</v>
      </c>
      <c r="LS156" s="31">
        <v>1.8188</v>
      </c>
      <c r="LT156" s="31"/>
      <c r="LU156" s="31"/>
      <c r="LV156" s="31">
        <v>1.8203</v>
      </c>
      <c r="LW156" s="31">
        <v>1.8273</v>
      </c>
      <c r="LX156" s="31">
        <v>1.8343</v>
      </c>
      <c r="LY156" s="31">
        <v>1.8503</v>
      </c>
      <c r="LZ156" s="31">
        <v>1.8508</v>
      </c>
      <c r="MA156" s="31"/>
      <c r="MB156" s="31"/>
      <c r="MC156" s="31">
        <v>1.8462</v>
      </c>
      <c r="MD156" s="31">
        <v>1.8501</v>
      </c>
      <c r="ME156" s="31">
        <v>1.8507</v>
      </c>
      <c r="MF156" s="31">
        <v>1.8783</v>
      </c>
      <c r="MG156" s="31">
        <v>1.8777</v>
      </c>
      <c r="MH156" s="31"/>
      <c r="MI156" s="31"/>
      <c r="MJ156" s="31">
        <v>1.8785</v>
      </c>
      <c r="MK156" s="31">
        <v>1.8721</v>
      </c>
      <c r="ML156" s="31">
        <v>1.8723</v>
      </c>
      <c r="MM156" s="31">
        <v>1.8645</v>
      </c>
      <c r="MN156" s="31">
        <v>1.8455</v>
      </c>
      <c r="MO156" s="31"/>
      <c r="MP156" s="31"/>
      <c r="MQ156" s="31">
        <v>1.8414</v>
      </c>
      <c r="MR156" s="31">
        <v>1.8464</v>
      </c>
      <c r="MS156" s="31">
        <v>1.842</v>
      </c>
      <c r="MT156" s="31">
        <v>1.8338</v>
      </c>
      <c r="MU156" s="31">
        <v>1.8372</v>
      </c>
      <c r="MV156" s="31"/>
      <c r="MW156" s="31"/>
      <c r="MX156" s="31">
        <v>1.8424</v>
      </c>
      <c r="MY156" s="31">
        <v>1.8414</v>
      </c>
      <c r="MZ156" s="31">
        <v>1.8365</v>
      </c>
      <c r="NA156" s="31">
        <v>1.8385</v>
      </c>
      <c r="NB156" s="31">
        <v>1.8377</v>
      </c>
      <c r="NC156" s="31"/>
      <c r="ND156" s="31"/>
      <c r="NE156" s="31">
        <v>1.8594</v>
      </c>
      <c r="NF156" s="31">
        <v>1.8516</v>
      </c>
      <c r="NG156" s="31">
        <v>1.8666</v>
      </c>
      <c r="NH156" s="31"/>
      <c r="NI156" s="31"/>
      <c r="NJ156" s="31"/>
      <c r="NK156" s="31">
        <v>1.8499</v>
      </c>
      <c r="NL156" s="31">
        <v>1.8588</v>
      </c>
      <c r="NM156" s="31">
        <v>1.8809</v>
      </c>
      <c r="NN156" s="31">
        <v>1.8829</v>
      </c>
      <c r="NO156" s="31">
        <v>1.8943</v>
      </c>
      <c r="NP156" s="31">
        <v>1.8916</v>
      </c>
      <c r="NQ156" s="31"/>
      <c r="NR156" s="31"/>
      <c r="NS156" s="31">
        <v>1.8694</v>
      </c>
      <c r="NT156" s="31">
        <v>1.865</v>
      </c>
      <c r="NU156" s="31">
        <v>1.8656</v>
      </c>
      <c r="NV156" s="31">
        <v>1.8444</v>
      </c>
      <c r="NW156" s="31">
        <v>1.8526</v>
      </c>
      <c r="NX156" s="31"/>
      <c r="NY156" s="31"/>
      <c r="NZ156" s="31">
        <v>1.8433</v>
      </c>
      <c r="OA156" s="31">
        <v>1.8375</v>
      </c>
      <c r="OB156" s="31">
        <v>1.8367</v>
      </c>
      <c r="OC156" s="31">
        <v>1.8339</v>
      </c>
      <c r="OD156" s="31">
        <v>1.8334</v>
      </c>
      <c r="OE156" s="31"/>
      <c r="OF156" s="31"/>
      <c r="OG156" s="31">
        <v>1.831</v>
      </c>
      <c r="OH156" s="31">
        <v>1.8306</v>
      </c>
      <c r="OI156" s="31">
        <v>1.835</v>
      </c>
      <c r="OJ156" s="31">
        <v>1.8179</v>
      </c>
      <c r="OK156" s="31">
        <v>1.8166</v>
      </c>
      <c r="OL156" s="31"/>
      <c r="OM156" s="31"/>
      <c r="ON156" s="31">
        <v>1.8216</v>
      </c>
      <c r="OO156" s="31">
        <v>1.8282</v>
      </c>
      <c r="OP156" s="31">
        <v>1.821</v>
      </c>
      <c r="OQ156" s="31">
        <v>1.8255</v>
      </c>
      <c r="OR156" s="31">
        <v>1.8148</v>
      </c>
      <c r="OS156" s="31"/>
      <c r="OT156" s="31"/>
      <c r="OU156" s="31">
        <v>1.8144</v>
      </c>
      <c r="OV156" s="31">
        <v>1.81</v>
      </c>
      <c r="OW156" s="31">
        <v>1.8031</v>
      </c>
      <c r="OX156" s="31">
        <v>1.7904</v>
      </c>
      <c r="OY156" s="31">
        <v>1.8077</v>
      </c>
      <c r="OZ156" s="31">
        <v>1.7997</v>
      </c>
      <c r="PA156" s="31"/>
      <c r="PB156" s="31"/>
      <c r="PC156" s="31"/>
      <c r="PD156" s="31"/>
      <c r="PE156" s="31"/>
      <c r="PF156" s="31"/>
      <c r="PG156" s="31"/>
      <c r="PH156" s="31"/>
      <c r="PI156" s="31"/>
      <c r="PJ156" s="31">
        <v>1.8006</v>
      </c>
      <c r="PK156" s="31">
        <v>1.817</v>
      </c>
      <c r="PL156" s="31">
        <v>1.8342</v>
      </c>
      <c r="PM156" s="31">
        <v>1.827</v>
      </c>
      <c r="PN156" s="31">
        <v>1.82</v>
      </c>
      <c r="PO156" s="31"/>
      <c r="PP156" s="31">
        <v>1.8128</v>
      </c>
      <c r="PQ156" s="31">
        <v>1.7789</v>
      </c>
      <c r="PR156" s="31">
        <v>1.7773</v>
      </c>
      <c r="PS156" s="31">
        <v>1.7803</v>
      </c>
      <c r="PT156" s="31">
        <v>1.7809</v>
      </c>
      <c r="PU156" s="31"/>
      <c r="PV156" s="31"/>
      <c r="PW156" s="31">
        <v>1.8085</v>
      </c>
      <c r="PX156" s="31">
        <v>1.8099</v>
      </c>
      <c r="PY156" s="31">
        <v>1.8086</v>
      </c>
      <c r="PZ156" s="31">
        <v>1.8129</v>
      </c>
      <c r="QA156" s="31">
        <v>1.809</v>
      </c>
      <c r="QB156" s="31"/>
      <c r="QC156" s="31"/>
      <c r="QD156" s="31">
        <v>1.8276</v>
      </c>
      <c r="QE156" s="31">
        <v>1.8352</v>
      </c>
      <c r="QF156" s="31">
        <v>1.8266</v>
      </c>
      <c r="QG156" s="31">
        <v>1.8119</v>
      </c>
      <c r="QH156" s="31">
        <v>1.8295</v>
      </c>
      <c r="QI156" s="31"/>
      <c r="QJ156" s="31"/>
      <c r="QK156" s="31">
        <v>1.8387</v>
      </c>
      <c r="QL156" s="31">
        <v>1.8313</v>
      </c>
      <c r="QM156" s="31">
        <v>1.8288</v>
      </c>
      <c r="QN156" s="31">
        <v>1.8157</v>
      </c>
      <c r="QO156" s="31">
        <v>1.8174</v>
      </c>
      <c r="QP156" s="31"/>
      <c r="QQ156" s="31"/>
      <c r="QR156" s="31">
        <v>1.8174</v>
      </c>
      <c r="QS156" s="31">
        <v>1.8095</v>
      </c>
      <c r="QT156" s="31">
        <v>1.8215</v>
      </c>
      <c r="QU156" s="31">
        <v>1.8251</v>
      </c>
      <c r="QV156" s="31">
        <v>1.8176</v>
      </c>
      <c r="QW156" s="31"/>
      <c r="QX156" s="31"/>
      <c r="QY156" s="31"/>
      <c r="QZ156" s="31">
        <v>1.8198</v>
      </c>
      <c r="RA156" s="31">
        <v>1.8168</v>
      </c>
      <c r="RB156" s="31">
        <v>1.8181</v>
      </c>
      <c r="RC156" s="31">
        <v>1.8174</v>
      </c>
      <c r="RD156" s="31"/>
      <c r="RE156" s="31"/>
      <c r="RF156" s="31">
        <v>1.8081</v>
      </c>
      <c r="RG156" s="31">
        <v>1.79</v>
      </c>
      <c r="RH156" s="31">
        <v>1.7854</v>
      </c>
      <c r="RI156" s="31">
        <v>1.781</v>
      </c>
      <c r="RJ156" s="31">
        <v>1.7781</v>
      </c>
      <c r="RK156" s="31"/>
      <c r="RL156" s="31"/>
      <c r="RM156" s="31">
        <v>1.7682</v>
      </c>
      <c r="RN156" s="31">
        <v>1.7573</v>
      </c>
      <c r="RO156" s="31">
        <v>1.7391</v>
      </c>
      <c r="RP156" s="31">
        <v>1.7451</v>
      </c>
      <c r="RQ156" s="31">
        <v>1.742</v>
      </c>
      <c r="RR156" s="31"/>
      <c r="RS156" s="31"/>
      <c r="RT156" s="31">
        <v>1.766</v>
      </c>
      <c r="RU156" s="31">
        <v>1.764</v>
      </c>
      <c r="RV156" s="31">
        <v>1.7618</v>
      </c>
      <c r="RW156" s="31">
        <v>1.7569</v>
      </c>
      <c r="RX156" s="31"/>
      <c r="RY156" s="31"/>
      <c r="RZ156" s="31"/>
      <c r="SA156" s="31"/>
      <c r="SB156" s="31"/>
      <c r="SC156" s="31">
        <v>1.7731</v>
      </c>
      <c r="SD156" s="31">
        <v>1.7685</v>
      </c>
      <c r="SE156" s="31">
        <v>1.7655</v>
      </c>
      <c r="SF156" s="31">
        <v>1.7696</v>
      </c>
      <c r="SG156" s="31"/>
      <c r="SH156" s="31">
        <v>1.7702</v>
      </c>
      <c r="SI156" s="31">
        <v>1.7611</v>
      </c>
      <c r="SJ156" s="31">
        <v>1.7564</v>
      </c>
      <c r="SK156" s="31">
        <v>1.7592</v>
      </c>
      <c r="SL156" s="31">
        <v>1.7598</v>
      </c>
      <c r="SM156" s="31"/>
      <c r="SN156" s="31"/>
      <c r="SO156" s="31">
        <v>1.7656</v>
      </c>
      <c r="SP156" s="31">
        <v>1.7543</v>
      </c>
      <c r="SQ156" s="31">
        <v>1.7507</v>
      </c>
      <c r="SR156" s="31">
        <v>1.7564</v>
      </c>
      <c r="SS156" s="31">
        <v>1.7616</v>
      </c>
      <c r="ST156" s="23"/>
      <c r="SU156" s="23"/>
      <c r="SV156" s="23">
        <v>1.7599</v>
      </c>
      <c r="SW156" s="23">
        <v>1.7593</v>
      </c>
      <c r="SX156" s="23">
        <v>1.7527</v>
      </c>
      <c r="SY156" s="23">
        <v>1.7328</v>
      </c>
      <c r="SZ156" s="23">
        <v>1.7285</v>
      </c>
      <c r="TA156" s="23"/>
      <c r="TB156" s="23"/>
      <c r="TC156" s="23">
        <v>1.7389</v>
      </c>
      <c r="TD156" s="23">
        <v>1.7416</v>
      </c>
      <c r="TE156" s="23">
        <v>1.744</v>
      </c>
      <c r="TF156" s="23">
        <v>1.7385</v>
      </c>
      <c r="TG156" s="23">
        <v>1.7386</v>
      </c>
      <c r="TH156" s="23"/>
      <c r="TI156" s="23"/>
      <c r="TJ156" s="23">
        <v>1.7506</v>
      </c>
      <c r="TK156" s="23">
        <v>1.7563</v>
      </c>
      <c r="TL156" s="23">
        <v>1.7614</v>
      </c>
      <c r="TM156" s="23">
        <v>1.7743</v>
      </c>
      <c r="TN156" s="23">
        <v>1.7731</v>
      </c>
      <c r="TO156" s="23"/>
      <c r="TP156" s="23"/>
      <c r="TQ156" s="23">
        <v>1.7731</v>
      </c>
      <c r="TR156" s="23">
        <v>1.7714</v>
      </c>
      <c r="TS156" s="23">
        <v>1.7626</v>
      </c>
      <c r="TT156" s="23">
        <v>1.7554</v>
      </c>
      <c r="TU156" s="23"/>
      <c r="TV156" s="23"/>
      <c r="TW156" s="23"/>
      <c r="TX156" s="23">
        <v>1.7632</v>
      </c>
      <c r="TY156" s="23">
        <v>1.7706</v>
      </c>
      <c r="TZ156" s="23">
        <v>1.7689</v>
      </c>
      <c r="UA156" s="23">
        <v>1.7632</v>
      </c>
      <c r="UB156" s="23">
        <v>1.7598</v>
      </c>
      <c r="UC156" s="23"/>
      <c r="UD156" s="23"/>
      <c r="UE156" s="23">
        <v>1.7482</v>
      </c>
      <c r="UF156" s="23">
        <v>1.7523</v>
      </c>
      <c r="UG156" s="23">
        <v>1.7425</v>
      </c>
      <c r="UH156" s="23">
        <v>1.7369</v>
      </c>
      <c r="UI156" s="23">
        <v>1.7423</v>
      </c>
      <c r="UJ156" s="23"/>
      <c r="UK156" s="23"/>
      <c r="UL156" s="23"/>
      <c r="UM156" s="23"/>
      <c r="UN156" s="23"/>
      <c r="UO156" s="23"/>
      <c r="UP156" s="23"/>
      <c r="UQ156" s="23"/>
      <c r="UR156" s="23"/>
      <c r="US156" s="23"/>
      <c r="UT156" s="23"/>
    </row>
    <row r="157" spans="4:566">
      <c r="D157" t="s">
        <v>238</v>
      </c>
      <c r="E157" t="s">
        <v>239</v>
      </c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>
        <v>3.4</v>
      </c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>
        <v>4.2</v>
      </c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  <c r="DI157" s="31"/>
      <c r="DJ157" s="31"/>
      <c r="DK157" s="31"/>
      <c r="DL157" s="31"/>
      <c r="DM157" s="31"/>
      <c r="DN157" s="31"/>
      <c r="DO157" s="31"/>
      <c r="DP157" s="31"/>
      <c r="DQ157" s="31"/>
      <c r="DR157" s="31"/>
      <c r="DS157" s="31"/>
      <c r="DT157" s="31"/>
      <c r="DU157" s="31"/>
      <c r="DV157" s="31">
        <v>4.6</v>
      </c>
      <c r="DW157" s="31"/>
      <c r="DX157" s="31"/>
      <c r="DY157" s="31"/>
      <c r="DZ157" s="31"/>
      <c r="EA157" s="31"/>
      <c r="EB157" s="31"/>
      <c r="EC157" s="31"/>
      <c r="ED157" s="31"/>
      <c r="EE157" s="31"/>
      <c r="EF157" s="31"/>
      <c r="EG157" s="31"/>
      <c r="EH157" s="31"/>
      <c r="EI157" s="31"/>
      <c r="EJ157" s="31"/>
      <c r="EK157" s="31"/>
      <c r="EL157" s="31"/>
      <c r="EM157" s="31"/>
      <c r="EN157" s="31"/>
      <c r="EO157" s="31"/>
      <c r="EP157" s="31"/>
      <c r="EQ157" s="31"/>
      <c r="ER157" s="31"/>
      <c r="ES157" s="31"/>
      <c r="ET157" s="31"/>
      <c r="EU157" s="31"/>
      <c r="EV157" s="31"/>
      <c r="EW157" s="31"/>
      <c r="EX157" s="31"/>
      <c r="EY157" s="31"/>
      <c r="EZ157" s="31"/>
      <c r="FA157" s="31">
        <v>4.2</v>
      </c>
      <c r="FB157" s="31"/>
      <c r="FC157" s="31"/>
      <c r="FD157" s="31"/>
      <c r="FE157" s="31"/>
      <c r="FF157" s="31"/>
      <c r="FG157" s="31"/>
      <c r="FH157" s="31"/>
      <c r="FI157" s="31"/>
      <c r="FJ157" s="31"/>
      <c r="FK157" s="31"/>
      <c r="FL157" s="31"/>
      <c r="FM157" s="31"/>
      <c r="FN157" s="31"/>
      <c r="FO157" s="31"/>
      <c r="FP157" s="31"/>
      <c r="FQ157" s="31"/>
      <c r="FR157" s="31"/>
      <c r="FS157" s="31"/>
      <c r="FT157" s="31"/>
      <c r="FU157" s="31"/>
      <c r="FV157" s="31"/>
      <c r="FW157" s="31"/>
      <c r="FX157" s="31"/>
      <c r="FY157" s="31"/>
      <c r="FZ157" s="31"/>
      <c r="GA157" s="31"/>
      <c r="GB157" s="31"/>
      <c r="GC157" s="31"/>
      <c r="GD157" s="31"/>
      <c r="GE157" s="31">
        <v>3.4</v>
      </c>
      <c r="GF157" s="31"/>
      <c r="GG157" s="31"/>
      <c r="GH157" s="31"/>
      <c r="GI157" s="31"/>
      <c r="GJ157" s="31"/>
      <c r="GK157" s="31"/>
      <c r="GL157" s="31"/>
      <c r="GM157" s="31"/>
      <c r="GN157" s="31"/>
      <c r="GO157" s="31"/>
      <c r="GP157" s="31"/>
      <c r="GQ157" s="31"/>
      <c r="GR157" s="31"/>
      <c r="GS157" s="31"/>
      <c r="GT157" s="31"/>
      <c r="GU157" s="31"/>
      <c r="GV157" s="31"/>
      <c r="GW157" s="31"/>
      <c r="GX157" s="31"/>
      <c r="GY157" s="31"/>
      <c r="GZ157" s="31"/>
      <c r="HA157" s="31"/>
      <c r="HB157" s="31"/>
      <c r="HC157" s="31"/>
      <c r="HD157" s="31"/>
      <c r="HE157" s="31"/>
      <c r="HF157" s="31"/>
      <c r="HG157" s="31"/>
      <c r="HH157" s="31"/>
      <c r="HI157" s="31"/>
      <c r="HJ157" s="31">
        <v>3.4</v>
      </c>
      <c r="HK157" s="31"/>
      <c r="HL157" s="31"/>
      <c r="HM157" s="31"/>
      <c r="HN157" s="31"/>
      <c r="HO157" s="31"/>
      <c r="HP157" s="31"/>
      <c r="HQ157" s="31"/>
      <c r="HR157" s="31"/>
      <c r="HS157" s="31"/>
      <c r="HT157" s="31"/>
      <c r="HU157" s="31"/>
      <c r="HV157" s="31"/>
      <c r="HW157" s="31"/>
      <c r="HX157" s="31"/>
      <c r="HY157" s="31"/>
      <c r="HZ157" s="31"/>
      <c r="IA157" s="31"/>
      <c r="IB157" s="31"/>
      <c r="IC157" s="31"/>
      <c r="ID157" s="31"/>
      <c r="IE157" s="31"/>
      <c r="IF157" s="31"/>
      <c r="IG157" s="31"/>
      <c r="IH157" s="31"/>
      <c r="II157" s="31"/>
      <c r="IJ157" s="31"/>
      <c r="IK157" s="31"/>
      <c r="IL157" s="31"/>
      <c r="IM157" s="31"/>
      <c r="IN157" s="31"/>
      <c r="IO157" s="31">
        <v>3.1</v>
      </c>
      <c r="IP157" s="31"/>
      <c r="IQ157" s="31"/>
      <c r="IR157" s="31"/>
      <c r="IS157" s="31"/>
      <c r="IT157" s="31"/>
      <c r="IU157" s="31"/>
      <c r="IV157" s="31"/>
      <c r="IW157" s="31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  <c r="JN157" s="31"/>
      <c r="JO157" s="31"/>
      <c r="JP157" s="31"/>
      <c r="JQ157" s="31"/>
      <c r="JR157" s="31"/>
      <c r="JS157" s="31">
        <v>3.1</v>
      </c>
      <c r="JT157" s="31"/>
      <c r="JU157" s="31"/>
      <c r="JV157" s="31"/>
      <c r="JW157" s="31"/>
      <c r="JX157" s="31"/>
      <c r="JY157" s="31"/>
      <c r="JZ157" s="31"/>
      <c r="KA157" s="31"/>
      <c r="KB157" s="31"/>
      <c r="KC157" s="31"/>
      <c r="KD157" s="31"/>
      <c r="KE157" s="31"/>
      <c r="KF157" s="31"/>
      <c r="KG157" s="31"/>
      <c r="KH157" s="31"/>
      <c r="KI157" s="31"/>
      <c r="KJ157" s="31"/>
      <c r="KK157" s="31"/>
      <c r="KL157" s="31"/>
      <c r="KM157" s="31"/>
      <c r="KN157" s="31"/>
      <c r="KO157" s="31"/>
      <c r="KP157" s="31"/>
      <c r="KQ157" s="31"/>
      <c r="KR157" s="31"/>
      <c r="KS157" s="31"/>
      <c r="KT157" s="31"/>
      <c r="KU157" s="31"/>
      <c r="KV157" s="31"/>
      <c r="KW157" s="31"/>
      <c r="KX157" s="31">
        <v>2</v>
      </c>
      <c r="KY157" s="31"/>
      <c r="KZ157" s="31"/>
      <c r="LA157" s="31"/>
      <c r="LB157" s="31"/>
      <c r="LC157" s="31"/>
      <c r="LD157" s="31"/>
      <c r="LE157" s="31"/>
      <c r="LF157" s="31"/>
      <c r="LG157" s="31"/>
      <c r="LH157" s="31"/>
      <c r="LI157" s="31"/>
      <c r="LJ157" s="31"/>
      <c r="LK157" s="31"/>
      <c r="LL157" s="31"/>
      <c r="LM157" s="31"/>
      <c r="LN157" s="31"/>
      <c r="LO157" s="31"/>
      <c r="LP157" s="31"/>
      <c r="LQ157" s="31"/>
      <c r="LR157" s="31"/>
      <c r="LS157" s="31"/>
      <c r="LT157" s="31"/>
      <c r="LU157" s="31"/>
      <c r="LV157" s="31"/>
      <c r="LW157" s="31"/>
      <c r="LX157" s="31"/>
      <c r="LY157" s="31"/>
      <c r="LZ157" s="31"/>
      <c r="MA157" s="31"/>
      <c r="MB157" s="31">
        <v>1.4</v>
      </c>
      <c r="MC157" s="31"/>
      <c r="MD157" s="31"/>
      <c r="ME157" s="31"/>
      <c r="MF157" s="31"/>
      <c r="MG157" s="31"/>
      <c r="MH157" s="31"/>
      <c r="MI157" s="31"/>
      <c r="MJ157" s="31"/>
      <c r="MK157" s="31"/>
      <c r="ML157" s="31"/>
      <c r="MM157" s="31"/>
      <c r="MN157" s="31"/>
      <c r="MO157" s="31"/>
      <c r="MP157" s="31"/>
      <c r="MQ157" s="31"/>
      <c r="MR157" s="31"/>
      <c r="MS157" s="31"/>
      <c r="MT157" s="31"/>
      <c r="MU157" s="31"/>
      <c r="MV157" s="31"/>
      <c r="MW157" s="31"/>
      <c r="MX157" s="31"/>
      <c r="MY157" s="31"/>
      <c r="MZ157" s="31"/>
      <c r="NA157" s="31"/>
      <c r="NB157" s="31"/>
      <c r="NC157" s="31"/>
      <c r="ND157" s="31"/>
      <c r="NE157" s="31"/>
      <c r="NF157" s="31"/>
      <c r="NG157" s="31">
        <v>1</v>
      </c>
      <c r="NH157" s="31"/>
      <c r="NI157" s="31"/>
      <c r="NJ157" s="31"/>
      <c r="NK157" s="31"/>
      <c r="NL157" s="31"/>
      <c r="NM157" s="31"/>
      <c r="NN157" s="31"/>
      <c r="NO157" s="31"/>
      <c r="NP157" s="31"/>
      <c r="NQ157" s="31"/>
      <c r="NR157" s="31"/>
      <c r="NS157" s="31"/>
      <c r="NT157" s="31"/>
      <c r="NU157" s="31"/>
      <c r="NV157" s="31"/>
      <c r="NW157" s="31"/>
      <c r="NX157" s="31"/>
      <c r="NY157" s="31"/>
      <c r="NZ157" s="31"/>
      <c r="OA157" s="31"/>
      <c r="OB157" s="31"/>
      <c r="OC157" s="31"/>
      <c r="OD157" s="31"/>
      <c r="OE157" s="31"/>
      <c r="OF157" s="31"/>
      <c r="OG157" s="31"/>
      <c r="OH157" s="31"/>
      <c r="OI157" s="31"/>
      <c r="OJ157" s="31"/>
      <c r="OK157" s="31"/>
      <c r="OL157" s="31"/>
      <c r="OM157" s="31"/>
      <c r="ON157" s="31"/>
      <c r="OO157" s="31"/>
      <c r="OP157" s="31"/>
      <c r="OQ157" s="31"/>
      <c r="OR157" s="31"/>
      <c r="OS157" s="31"/>
      <c r="OT157" s="31"/>
      <c r="OU157" s="31"/>
      <c r="OV157" s="31"/>
      <c r="OW157" s="31"/>
      <c r="OX157" s="31"/>
      <c r="OY157" s="31"/>
      <c r="OZ157" s="31"/>
      <c r="PA157" s="31"/>
      <c r="PB157" s="31"/>
      <c r="PC157" s="31"/>
      <c r="PD157" s="31"/>
      <c r="PE157" s="31"/>
      <c r="PF157" s="31"/>
      <c r="PG157" s="31"/>
      <c r="PH157" s="31"/>
      <c r="PI157" s="31"/>
      <c r="PJ157" s="31"/>
      <c r="PK157" s="31"/>
      <c r="PL157" s="31"/>
      <c r="PM157" s="31"/>
      <c r="PN157" s="31">
        <v>3.6</v>
      </c>
      <c r="PO157" s="31"/>
      <c r="PP157" s="31"/>
      <c r="PQ157" s="31"/>
      <c r="PR157" s="31"/>
      <c r="PS157" s="31"/>
      <c r="PT157" s="31"/>
      <c r="PU157" s="31"/>
      <c r="PV157" s="31"/>
      <c r="PW157" s="31"/>
      <c r="PX157" s="31"/>
      <c r="PY157" s="31"/>
      <c r="PZ157" s="31"/>
      <c r="QA157" s="31"/>
      <c r="QB157" s="31"/>
      <c r="QC157" s="31"/>
      <c r="QD157" s="31"/>
      <c r="QE157" s="31"/>
      <c r="QF157" s="31"/>
      <c r="QG157" s="31"/>
      <c r="QH157" s="31"/>
      <c r="QI157" s="31"/>
      <c r="QJ157" s="31"/>
      <c r="QK157" s="31"/>
      <c r="QL157" s="31"/>
      <c r="QM157" s="31"/>
      <c r="QN157" s="31"/>
      <c r="QO157" s="31"/>
      <c r="QP157" s="31"/>
      <c r="QQ157" s="31"/>
      <c r="QR157" s="31"/>
      <c r="QS157" s="31">
        <v>2.6</v>
      </c>
      <c r="QT157" s="31"/>
      <c r="QU157" s="31"/>
      <c r="QV157" s="31"/>
      <c r="QW157" s="31"/>
      <c r="QX157" s="31"/>
      <c r="QY157" s="31"/>
      <c r="QZ157" s="31"/>
      <c r="RA157" s="31"/>
      <c r="RB157" s="31"/>
      <c r="RC157" s="31"/>
      <c r="RD157" s="31"/>
      <c r="RE157" s="31"/>
      <c r="RF157" s="31"/>
      <c r="RG157" s="31"/>
      <c r="RH157" s="31"/>
      <c r="RI157" s="31"/>
      <c r="RJ157" s="31"/>
      <c r="RK157" s="31"/>
      <c r="RL157" s="31"/>
      <c r="RM157" s="31"/>
      <c r="RN157" s="31"/>
      <c r="RO157" s="31"/>
      <c r="RP157" s="31"/>
      <c r="RQ157" s="31"/>
      <c r="RR157" s="31"/>
      <c r="RS157" s="31"/>
      <c r="RT157" s="31"/>
      <c r="RU157" s="31"/>
      <c r="RV157" s="31"/>
      <c r="RW157" s="31">
        <v>1.3</v>
      </c>
      <c r="RX157" s="31"/>
      <c r="RY157" s="31"/>
      <c r="RZ157" s="31"/>
      <c r="SA157" s="31"/>
      <c r="SB157" s="31"/>
      <c r="SC157" s="31"/>
      <c r="SD157" s="31"/>
      <c r="SE157" s="31"/>
      <c r="SF157" s="31"/>
      <c r="SG157" s="31"/>
      <c r="SH157" s="31"/>
      <c r="SI157" s="31"/>
      <c r="SJ157" s="31"/>
      <c r="SK157" s="31"/>
      <c r="SL157" s="31"/>
      <c r="SM157" s="31"/>
      <c r="SN157" s="31"/>
      <c r="SO157" s="31"/>
      <c r="SP157" s="31"/>
      <c r="SQ157" s="31"/>
      <c r="SR157" s="31"/>
      <c r="SS157" s="31"/>
      <c r="ST157" s="23"/>
      <c r="SU157" s="23"/>
      <c r="SV157" s="23"/>
      <c r="SW157" s="23"/>
      <c r="SX157" s="23"/>
      <c r="SY157" s="23"/>
      <c r="SZ157" s="23"/>
      <c r="TA157" s="23"/>
      <c r="TB157" s="23">
        <v>0.8</v>
      </c>
      <c r="TC157" s="23"/>
      <c r="TD157" s="23"/>
      <c r="TE157" s="23"/>
      <c r="TF157" s="23"/>
      <c r="TG157" s="23"/>
      <c r="TH157" s="23"/>
      <c r="TI157" s="23"/>
      <c r="TJ157" s="23"/>
      <c r="TK157" s="23"/>
      <c r="TL157" s="23"/>
      <c r="TM157" s="23"/>
      <c r="TN157" s="23"/>
      <c r="TO157" s="23"/>
      <c r="TP157" s="23"/>
      <c r="TQ157" s="23"/>
      <c r="TR157" s="23"/>
      <c r="TS157" s="23"/>
      <c r="TT157" s="23"/>
      <c r="TU157" s="23"/>
      <c r="TV157" s="23"/>
      <c r="TW157" s="23"/>
      <c r="TX157" s="23"/>
      <c r="TY157" s="23"/>
      <c r="TZ157" s="23"/>
      <c r="UA157" s="23"/>
      <c r="UB157" s="23"/>
      <c r="UC157" s="23"/>
      <c r="UD157" s="23"/>
      <c r="UE157" s="23"/>
      <c r="UF157" s="23"/>
      <c r="UG157" s="23"/>
      <c r="UH157" s="23"/>
      <c r="UI157" s="23"/>
      <c r="UJ157" s="23"/>
      <c r="UK157" s="23"/>
      <c r="UL157" s="23"/>
      <c r="UM157" s="23"/>
      <c r="UN157" s="23"/>
      <c r="UO157" s="23"/>
      <c r="UP157" s="23"/>
      <c r="UQ157" s="23"/>
      <c r="UR157" s="23"/>
      <c r="US157" s="23"/>
      <c r="UT157" s="23"/>
    </row>
    <row r="158" spans="4:566">
      <c r="D158" t="s">
        <v>240</v>
      </c>
      <c r="E158" t="s">
        <v>241</v>
      </c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>
        <v>-15.7</v>
      </c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>
        <v>-15.9</v>
      </c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  <c r="DI158" s="31"/>
      <c r="DJ158" s="31"/>
      <c r="DK158" s="31"/>
      <c r="DL158" s="31"/>
      <c r="DM158" s="31"/>
      <c r="DN158" s="31"/>
      <c r="DO158" s="31"/>
      <c r="DP158" s="31"/>
      <c r="DQ158" s="31"/>
      <c r="DR158" s="31"/>
      <c r="DS158" s="31"/>
      <c r="DT158" s="31"/>
      <c r="DU158" s="31"/>
      <c r="DV158" s="31">
        <v>-11.4</v>
      </c>
      <c r="DW158" s="31"/>
      <c r="DX158" s="31"/>
      <c r="DY158" s="31"/>
      <c r="DZ158" s="31"/>
      <c r="EA158" s="31"/>
      <c r="EB158" s="31"/>
      <c r="EC158" s="31"/>
      <c r="ED158" s="31"/>
      <c r="EE158" s="31"/>
      <c r="EF158" s="31"/>
      <c r="EG158" s="31"/>
      <c r="EH158" s="31"/>
      <c r="EI158" s="31"/>
      <c r="EJ158" s="31"/>
      <c r="EK158" s="31"/>
      <c r="EL158" s="31"/>
      <c r="EM158" s="31"/>
      <c r="EN158" s="31"/>
      <c r="EO158" s="31"/>
      <c r="EP158" s="31"/>
      <c r="EQ158" s="31"/>
      <c r="ER158" s="31"/>
      <c r="ES158" s="31"/>
      <c r="ET158" s="31"/>
      <c r="EU158" s="31"/>
      <c r="EV158" s="31"/>
      <c r="EW158" s="31"/>
      <c r="EX158" s="31"/>
      <c r="EY158" s="31"/>
      <c r="EZ158" s="31"/>
      <c r="FA158" s="31">
        <v>-11.9</v>
      </c>
      <c r="FB158" s="31"/>
      <c r="FC158" s="31"/>
      <c r="FD158" s="31"/>
      <c r="FE158" s="31"/>
      <c r="FF158" s="31"/>
      <c r="FG158" s="31"/>
      <c r="FH158" s="31"/>
      <c r="FI158" s="31"/>
      <c r="FJ158" s="31"/>
      <c r="FK158" s="31"/>
      <c r="FL158" s="31"/>
      <c r="FM158" s="31"/>
      <c r="FN158" s="31"/>
      <c r="FO158" s="31"/>
      <c r="FP158" s="31"/>
      <c r="FQ158" s="31"/>
      <c r="FR158" s="31"/>
      <c r="FS158" s="31"/>
      <c r="FT158" s="31"/>
      <c r="FU158" s="31"/>
      <c r="FV158" s="31"/>
      <c r="FW158" s="31"/>
      <c r="FX158" s="31"/>
      <c r="FY158" s="31"/>
      <c r="FZ158" s="31"/>
      <c r="GA158" s="31"/>
      <c r="GB158" s="31"/>
      <c r="GC158" s="31"/>
      <c r="GD158" s="31"/>
      <c r="GE158" s="31">
        <v>-6.5</v>
      </c>
      <c r="GF158" s="31"/>
      <c r="GG158" s="31"/>
      <c r="GH158" s="31"/>
      <c r="GI158" s="31"/>
      <c r="GJ158" s="31"/>
      <c r="GK158" s="31"/>
      <c r="GL158" s="31"/>
      <c r="GM158" s="31"/>
      <c r="GN158" s="31"/>
      <c r="GO158" s="31"/>
      <c r="GP158" s="31"/>
      <c r="GQ158" s="31"/>
      <c r="GR158" s="31"/>
      <c r="GS158" s="31"/>
      <c r="GT158" s="31"/>
      <c r="GU158" s="31"/>
      <c r="GV158" s="31"/>
      <c r="GW158" s="31"/>
      <c r="GX158" s="31"/>
      <c r="GY158" s="31"/>
      <c r="GZ158" s="31"/>
      <c r="HA158" s="31"/>
      <c r="HB158" s="31"/>
      <c r="HC158" s="31"/>
      <c r="HD158" s="31"/>
      <c r="HE158" s="31"/>
      <c r="HF158" s="31"/>
      <c r="HG158" s="31"/>
      <c r="HH158" s="31"/>
      <c r="HI158" s="31"/>
      <c r="HJ158" s="31">
        <v>-4.6</v>
      </c>
      <c r="HK158" s="31"/>
      <c r="HL158" s="31"/>
      <c r="HM158" s="31"/>
      <c r="HN158" s="31"/>
      <c r="HO158" s="31"/>
      <c r="HP158" s="31"/>
      <c r="HQ158" s="31"/>
      <c r="HR158" s="31"/>
      <c r="HS158" s="31"/>
      <c r="HT158" s="31"/>
      <c r="HU158" s="31"/>
      <c r="HV158" s="31"/>
      <c r="HW158" s="31"/>
      <c r="HX158" s="31"/>
      <c r="HY158" s="31"/>
      <c r="HZ158" s="31"/>
      <c r="IA158" s="31"/>
      <c r="IB158" s="31"/>
      <c r="IC158" s="31"/>
      <c r="ID158" s="31"/>
      <c r="IE158" s="31"/>
      <c r="IF158" s="31"/>
      <c r="IG158" s="31"/>
      <c r="IH158" s="31"/>
      <c r="II158" s="31"/>
      <c r="IJ158" s="31"/>
      <c r="IK158" s="31"/>
      <c r="IL158" s="31"/>
      <c r="IM158" s="31"/>
      <c r="IN158" s="31"/>
      <c r="IO158" s="31">
        <v>-4.7</v>
      </c>
      <c r="IP158" s="31"/>
      <c r="IQ158" s="31"/>
      <c r="IR158" s="31"/>
      <c r="IS158" s="31"/>
      <c r="IT158" s="31"/>
      <c r="IU158" s="31"/>
      <c r="IV158" s="31"/>
      <c r="IW158" s="31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  <c r="JN158" s="31"/>
      <c r="JO158" s="31"/>
      <c r="JP158" s="31"/>
      <c r="JQ158" s="31"/>
      <c r="JR158" s="31"/>
      <c r="JS158" s="31">
        <v>-4.2</v>
      </c>
      <c r="JT158" s="31"/>
      <c r="JU158" s="31"/>
      <c r="JV158" s="31"/>
      <c r="JW158" s="31"/>
      <c r="JX158" s="31"/>
      <c r="JY158" s="31"/>
      <c r="JZ158" s="31"/>
      <c r="KA158" s="31"/>
      <c r="KB158" s="31"/>
      <c r="KC158" s="31"/>
      <c r="KD158" s="31"/>
      <c r="KE158" s="31"/>
      <c r="KF158" s="31"/>
      <c r="KG158" s="31"/>
      <c r="KH158" s="31"/>
      <c r="KI158" s="31"/>
      <c r="KJ158" s="31"/>
      <c r="KK158" s="31"/>
      <c r="KL158" s="31"/>
      <c r="KM158" s="31"/>
      <c r="KN158" s="31"/>
      <c r="KO158" s="31"/>
      <c r="KP158" s="31"/>
      <c r="KQ158" s="31"/>
      <c r="KR158" s="31"/>
      <c r="KS158" s="31"/>
      <c r="KT158" s="31"/>
      <c r="KU158" s="31"/>
      <c r="KV158" s="31"/>
      <c r="KW158" s="31"/>
      <c r="KX158" s="31">
        <v>-7.4</v>
      </c>
      <c r="KY158" s="31"/>
      <c r="KZ158" s="31"/>
      <c r="LA158" s="31"/>
      <c r="LB158" s="31"/>
      <c r="LC158" s="31"/>
      <c r="LD158" s="31"/>
      <c r="LE158" s="31"/>
      <c r="LF158" s="31"/>
      <c r="LG158" s="31"/>
      <c r="LH158" s="31"/>
      <c r="LI158" s="31"/>
      <c r="LJ158" s="31"/>
      <c r="LK158" s="31"/>
      <c r="LL158" s="31"/>
      <c r="LM158" s="31"/>
      <c r="LN158" s="31"/>
      <c r="LO158" s="31"/>
      <c r="LP158" s="31"/>
      <c r="LQ158" s="31"/>
      <c r="LR158" s="31"/>
      <c r="LS158" s="31"/>
      <c r="LT158" s="31"/>
      <c r="LU158" s="31"/>
      <c r="LV158" s="31"/>
      <c r="LW158" s="31"/>
      <c r="LX158" s="31"/>
      <c r="LY158" s="31"/>
      <c r="LZ158" s="31"/>
      <c r="MA158" s="31"/>
      <c r="MB158" s="31">
        <v>-10.7</v>
      </c>
      <c r="MC158" s="31"/>
      <c r="MD158" s="31"/>
      <c r="ME158" s="31"/>
      <c r="MF158" s="31"/>
      <c r="MG158" s="31"/>
      <c r="MH158" s="31"/>
      <c r="MI158" s="31"/>
      <c r="MJ158" s="31"/>
      <c r="MK158" s="31"/>
      <c r="ML158" s="31"/>
      <c r="MM158" s="31"/>
      <c r="MN158" s="31"/>
      <c r="MO158" s="31"/>
      <c r="MP158" s="31"/>
      <c r="MQ158" s="31"/>
      <c r="MR158" s="31"/>
      <c r="MS158" s="31"/>
      <c r="MT158" s="31"/>
      <c r="MU158" s="31"/>
      <c r="MV158" s="31"/>
      <c r="MW158" s="31"/>
      <c r="MX158" s="31"/>
      <c r="MY158" s="31"/>
      <c r="MZ158" s="31"/>
      <c r="NA158" s="31"/>
      <c r="NB158" s="31"/>
      <c r="NC158" s="31"/>
      <c r="ND158" s="31"/>
      <c r="NE158" s="31"/>
      <c r="NF158" s="31"/>
      <c r="NG158" s="31">
        <v>-14.7</v>
      </c>
      <c r="NH158" s="31"/>
      <c r="NI158" s="31"/>
      <c r="NJ158" s="31"/>
      <c r="NK158" s="31"/>
      <c r="NL158" s="31"/>
      <c r="NM158" s="31"/>
      <c r="NN158" s="31"/>
      <c r="NO158" s="31"/>
      <c r="NP158" s="31"/>
      <c r="NQ158" s="31"/>
      <c r="NR158" s="31"/>
      <c r="NS158" s="31"/>
      <c r="NT158" s="31"/>
      <c r="NU158" s="31"/>
      <c r="NV158" s="31"/>
      <c r="NW158" s="31"/>
      <c r="NX158" s="31"/>
      <c r="NY158" s="31"/>
      <c r="NZ158" s="31"/>
      <c r="OA158" s="31"/>
      <c r="OB158" s="31"/>
      <c r="OC158" s="31"/>
      <c r="OD158" s="31"/>
      <c r="OE158" s="31"/>
      <c r="OF158" s="31"/>
      <c r="OG158" s="31"/>
      <c r="OH158" s="31"/>
      <c r="OI158" s="31"/>
      <c r="OJ158" s="31"/>
      <c r="OK158" s="31"/>
      <c r="OL158" s="31"/>
      <c r="OM158" s="31"/>
      <c r="ON158" s="31"/>
      <c r="OO158" s="31"/>
      <c r="OP158" s="31"/>
      <c r="OQ158" s="31"/>
      <c r="OR158" s="31"/>
      <c r="OS158" s="31"/>
      <c r="OT158" s="31"/>
      <c r="OU158" s="31"/>
      <c r="OV158" s="31"/>
      <c r="OW158" s="31"/>
      <c r="OX158" s="31"/>
      <c r="OY158" s="31"/>
      <c r="OZ158" s="31"/>
      <c r="PA158" s="31"/>
      <c r="PB158" s="31"/>
      <c r="PC158" s="31"/>
      <c r="PD158" s="31"/>
      <c r="PE158" s="31"/>
      <c r="PF158" s="31"/>
      <c r="PG158" s="31"/>
      <c r="PH158" s="31"/>
      <c r="PI158" s="31"/>
      <c r="PJ158" s="31"/>
      <c r="PK158" s="31"/>
      <c r="PL158" s="31"/>
      <c r="PM158" s="31"/>
      <c r="PN158" s="31">
        <v>-25.2</v>
      </c>
      <c r="PO158" s="31"/>
      <c r="PP158" s="31"/>
      <c r="PQ158" s="31"/>
      <c r="PR158" s="31"/>
      <c r="PS158" s="31"/>
      <c r="PT158" s="31"/>
      <c r="PU158" s="31"/>
      <c r="PV158" s="31"/>
      <c r="PW158" s="31"/>
      <c r="PX158" s="31"/>
      <c r="PY158" s="31"/>
      <c r="PZ158" s="31"/>
      <c r="QA158" s="31"/>
      <c r="QB158" s="31"/>
      <c r="QC158" s="31"/>
      <c r="QD158" s="31"/>
      <c r="QE158" s="31"/>
      <c r="QF158" s="31"/>
      <c r="QG158" s="31"/>
      <c r="QH158" s="31"/>
      <c r="QI158" s="31"/>
      <c r="QJ158" s="31"/>
      <c r="QK158" s="31"/>
      <c r="QL158" s="31"/>
      <c r="QM158" s="31"/>
      <c r="QN158" s="31"/>
      <c r="QO158" s="31"/>
      <c r="QP158" s="31"/>
      <c r="QQ158" s="31"/>
      <c r="QR158" s="31"/>
      <c r="QS158" s="31">
        <v>-24.4</v>
      </c>
      <c r="QT158" s="31"/>
      <c r="QU158" s="31"/>
      <c r="QV158" s="31"/>
      <c r="QW158" s="31"/>
      <c r="QX158" s="31"/>
      <c r="QY158" s="31"/>
      <c r="QZ158" s="31"/>
      <c r="RA158" s="31"/>
      <c r="RB158" s="31"/>
      <c r="RC158" s="31"/>
      <c r="RD158" s="31"/>
      <c r="RE158" s="31"/>
      <c r="RF158" s="31"/>
      <c r="RG158" s="31"/>
      <c r="RH158" s="31"/>
      <c r="RI158" s="31"/>
      <c r="RJ158" s="31"/>
      <c r="RK158" s="31"/>
      <c r="RL158" s="31"/>
      <c r="RM158" s="31"/>
      <c r="RN158" s="31"/>
      <c r="RO158" s="31"/>
      <c r="RP158" s="31"/>
      <c r="RQ158" s="31"/>
      <c r="RR158" s="31"/>
      <c r="RS158" s="31"/>
      <c r="RT158" s="31"/>
      <c r="RU158" s="31"/>
      <c r="RV158" s="31"/>
      <c r="RW158" s="31">
        <v>-27.2</v>
      </c>
      <c r="RX158" s="31"/>
      <c r="RY158" s="31"/>
      <c r="RZ158" s="31"/>
      <c r="SA158" s="31"/>
      <c r="SB158" s="31"/>
      <c r="SC158" s="31"/>
      <c r="SD158" s="31"/>
      <c r="SE158" s="31"/>
      <c r="SF158" s="31"/>
      <c r="SG158" s="31"/>
      <c r="SH158" s="31"/>
      <c r="SI158" s="31"/>
      <c r="SJ158" s="31"/>
      <c r="SK158" s="31"/>
      <c r="SL158" s="31"/>
      <c r="SM158" s="31"/>
      <c r="SN158" s="31"/>
      <c r="SO158" s="31"/>
      <c r="SP158" s="31"/>
      <c r="SQ158" s="31"/>
      <c r="SR158" s="31"/>
      <c r="SS158" s="31"/>
      <c r="ST158" s="23"/>
      <c r="SU158" s="23"/>
      <c r="SV158" s="23"/>
      <c r="SW158" s="23"/>
      <c r="SX158" s="23"/>
      <c r="SY158" s="23"/>
      <c r="SZ158" s="23"/>
      <c r="TA158" s="23"/>
      <c r="TB158" s="23">
        <v>-28.7</v>
      </c>
      <c r="TC158" s="23"/>
      <c r="TD158" s="23"/>
      <c r="TE158" s="23"/>
      <c r="TF158" s="23"/>
      <c r="TG158" s="23"/>
      <c r="TH158" s="23"/>
      <c r="TI158" s="23"/>
      <c r="TJ158" s="23"/>
      <c r="TK158" s="23"/>
      <c r="TL158" s="23"/>
      <c r="TM158" s="23"/>
      <c r="TN158" s="23"/>
      <c r="TO158" s="23"/>
      <c r="TP158" s="23"/>
      <c r="TQ158" s="23"/>
      <c r="TR158" s="23"/>
      <c r="TS158" s="23"/>
      <c r="TT158" s="23"/>
      <c r="TU158" s="23"/>
      <c r="TV158" s="23"/>
      <c r="TW158" s="23"/>
      <c r="TX158" s="23"/>
      <c r="TY158" s="23"/>
      <c r="TZ158" s="23"/>
      <c r="UA158" s="23"/>
      <c r="UB158" s="23"/>
      <c r="UC158" s="23"/>
      <c r="UD158" s="23"/>
      <c r="UE158" s="23"/>
      <c r="UF158" s="23"/>
      <c r="UG158" s="23"/>
      <c r="UH158" s="23"/>
      <c r="UI158" s="23"/>
      <c r="UJ158" s="23"/>
      <c r="UK158" s="23"/>
      <c r="UL158" s="23"/>
      <c r="UM158" s="23"/>
      <c r="UN158" s="23"/>
      <c r="UO158" s="23"/>
      <c r="UP158" s="23"/>
      <c r="UQ158" s="23"/>
      <c r="UR158" s="23"/>
      <c r="US158" s="23"/>
      <c r="UT158" s="23"/>
    </row>
    <row r="159" spans="4:566">
      <c r="D159" t="s">
        <v>242</v>
      </c>
      <c r="E159" t="s">
        <v>243</v>
      </c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>
        <v>36055.7</v>
      </c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  <c r="DI159" s="31"/>
      <c r="DJ159" s="31"/>
      <c r="DK159" s="31"/>
      <c r="DL159" s="31"/>
      <c r="DM159" s="31"/>
      <c r="DN159" s="31"/>
      <c r="DO159" s="31"/>
      <c r="DP159" s="31"/>
      <c r="DQ159" s="31"/>
      <c r="DR159" s="31"/>
      <c r="DS159" s="31"/>
      <c r="DT159" s="31"/>
      <c r="DU159" s="31"/>
      <c r="DV159" s="31"/>
      <c r="DW159" s="31"/>
      <c r="DX159" s="31"/>
      <c r="DY159" s="31"/>
      <c r="DZ159" s="31"/>
      <c r="EA159" s="31"/>
      <c r="EB159" s="31"/>
      <c r="EC159" s="31"/>
      <c r="ED159" s="31"/>
      <c r="EE159" s="31"/>
      <c r="EF159" s="31"/>
      <c r="EG159" s="31"/>
      <c r="EH159" s="31"/>
      <c r="EI159" s="31"/>
      <c r="EJ159" s="31"/>
      <c r="EK159" s="31"/>
      <c r="EL159" s="31"/>
      <c r="EM159" s="31"/>
      <c r="EN159" s="31"/>
      <c r="EO159" s="31"/>
      <c r="EP159" s="31"/>
      <c r="EQ159" s="31"/>
      <c r="ER159" s="31"/>
      <c r="ES159" s="31"/>
      <c r="ET159" s="31"/>
      <c r="EU159" s="31"/>
      <c r="EV159" s="31"/>
      <c r="EW159" s="31"/>
      <c r="EX159" s="31"/>
      <c r="EY159" s="31"/>
      <c r="EZ159" s="31"/>
      <c r="FA159" s="31"/>
      <c r="FB159" s="31"/>
      <c r="FC159" s="31"/>
      <c r="FD159" s="31"/>
      <c r="FE159" s="31"/>
      <c r="FF159" s="31"/>
      <c r="FG159" s="31"/>
      <c r="FH159" s="31"/>
      <c r="FI159" s="31"/>
      <c r="FJ159" s="31"/>
      <c r="FK159" s="31"/>
      <c r="FL159" s="31"/>
      <c r="FM159" s="31"/>
      <c r="FN159" s="31"/>
      <c r="FO159" s="31"/>
      <c r="FP159" s="31"/>
      <c r="FQ159" s="31"/>
      <c r="FR159" s="31"/>
      <c r="FS159" s="31"/>
      <c r="FT159" s="31"/>
      <c r="FU159" s="31"/>
      <c r="FV159" s="31"/>
      <c r="FW159" s="31"/>
      <c r="FX159" s="31"/>
      <c r="FY159" s="31"/>
      <c r="FZ159" s="31"/>
      <c r="GA159" s="31"/>
      <c r="GB159" s="31"/>
      <c r="GC159" s="31"/>
      <c r="GD159" s="31"/>
      <c r="GE159" s="31">
        <v>37963.8</v>
      </c>
      <c r="GF159" s="31"/>
      <c r="GG159" s="31"/>
      <c r="GH159" s="31"/>
      <c r="GI159" s="31"/>
      <c r="GJ159" s="31"/>
      <c r="GK159" s="31"/>
      <c r="GL159" s="31"/>
      <c r="GM159" s="31"/>
      <c r="GN159" s="31"/>
      <c r="GO159" s="31"/>
      <c r="GP159" s="31"/>
      <c r="GQ159" s="31"/>
      <c r="GR159" s="31"/>
      <c r="GS159" s="31"/>
      <c r="GT159" s="31"/>
      <c r="GU159" s="31"/>
      <c r="GV159" s="31"/>
      <c r="GW159" s="31"/>
      <c r="GX159" s="31"/>
      <c r="GY159" s="31"/>
      <c r="GZ159" s="31"/>
      <c r="HA159" s="31"/>
      <c r="HB159" s="31"/>
      <c r="HC159" s="31"/>
      <c r="HD159" s="31"/>
      <c r="HE159" s="31"/>
      <c r="HF159" s="31"/>
      <c r="HG159" s="31"/>
      <c r="HH159" s="31"/>
      <c r="HI159" s="31"/>
      <c r="HJ159" s="31"/>
      <c r="HK159" s="31"/>
      <c r="HL159" s="31"/>
      <c r="HM159" s="31"/>
      <c r="HN159" s="31"/>
      <c r="HO159" s="31"/>
      <c r="HP159" s="31"/>
      <c r="HQ159" s="31"/>
      <c r="HR159" s="31"/>
      <c r="HS159" s="31"/>
      <c r="HT159" s="31"/>
      <c r="HU159" s="31"/>
      <c r="HV159" s="31"/>
      <c r="HW159" s="31"/>
      <c r="HX159" s="31"/>
      <c r="HY159" s="31"/>
      <c r="HZ159" s="31"/>
      <c r="IA159" s="31"/>
      <c r="IB159" s="31"/>
      <c r="IC159" s="31"/>
      <c r="ID159" s="31"/>
      <c r="IE159" s="31"/>
      <c r="IF159" s="31"/>
      <c r="IG159" s="31"/>
      <c r="IH159" s="31"/>
      <c r="II159" s="31"/>
      <c r="IJ159" s="31"/>
      <c r="IK159" s="31"/>
      <c r="IL159" s="31"/>
      <c r="IM159" s="31"/>
      <c r="IN159" s="31"/>
      <c r="IO159" s="31"/>
      <c r="IP159" s="31"/>
      <c r="IQ159" s="31"/>
      <c r="IR159" s="31"/>
      <c r="IS159" s="31"/>
      <c r="IT159" s="31"/>
      <c r="IU159" s="31"/>
      <c r="IV159" s="31"/>
      <c r="IW159" s="31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  <c r="JH159" s="31"/>
      <c r="JI159" s="31"/>
      <c r="JJ159" s="31"/>
      <c r="JK159" s="31"/>
      <c r="JL159" s="31"/>
      <c r="JM159" s="31"/>
      <c r="JN159" s="31"/>
      <c r="JO159" s="31"/>
      <c r="JP159" s="31"/>
      <c r="JQ159" s="31"/>
      <c r="JR159" s="31"/>
      <c r="JS159" s="31">
        <v>40007.1</v>
      </c>
      <c r="JT159" s="31"/>
      <c r="JU159" s="31"/>
      <c r="JV159" s="31"/>
      <c r="JW159" s="31"/>
      <c r="JX159" s="31"/>
      <c r="JY159" s="31"/>
      <c r="JZ159" s="31"/>
      <c r="KA159" s="31"/>
      <c r="KB159" s="31"/>
      <c r="KC159" s="31"/>
      <c r="KD159" s="31"/>
      <c r="KE159" s="31"/>
      <c r="KF159" s="31"/>
      <c r="KG159" s="31"/>
      <c r="KH159" s="31"/>
      <c r="KI159" s="31"/>
      <c r="KJ159" s="31"/>
      <c r="KK159" s="31"/>
      <c r="KL159" s="31"/>
      <c r="KM159" s="31"/>
      <c r="KN159" s="31"/>
      <c r="KO159" s="31"/>
      <c r="KP159" s="31"/>
      <c r="KQ159" s="31"/>
      <c r="KR159" s="31"/>
      <c r="KS159" s="31"/>
      <c r="KT159" s="31"/>
      <c r="KU159" s="31"/>
      <c r="KV159" s="31"/>
      <c r="KW159" s="31"/>
      <c r="KX159" s="31"/>
      <c r="KY159" s="31"/>
      <c r="KZ159" s="31"/>
      <c r="LA159" s="31"/>
      <c r="LB159" s="31"/>
      <c r="LC159" s="31"/>
      <c r="LD159" s="31"/>
      <c r="LE159" s="31"/>
      <c r="LF159" s="31"/>
      <c r="LG159" s="31"/>
      <c r="LH159" s="31"/>
      <c r="LI159" s="31"/>
      <c r="LJ159" s="31"/>
      <c r="LK159" s="31"/>
      <c r="LL159" s="31"/>
      <c r="LM159" s="31"/>
      <c r="LN159" s="31"/>
      <c r="LO159" s="31"/>
      <c r="LP159" s="31"/>
      <c r="LQ159" s="31"/>
      <c r="LR159" s="31"/>
      <c r="LS159" s="31"/>
      <c r="LT159" s="31"/>
      <c r="LU159" s="31"/>
      <c r="LV159" s="31"/>
      <c r="LW159" s="31"/>
      <c r="LX159" s="31"/>
      <c r="LY159" s="31"/>
      <c r="LZ159" s="31"/>
      <c r="MA159" s="31"/>
      <c r="MB159" s="31"/>
      <c r="MC159" s="31"/>
      <c r="MD159" s="31"/>
      <c r="ME159" s="31"/>
      <c r="MF159" s="31"/>
      <c r="MG159" s="31"/>
      <c r="MH159" s="31"/>
      <c r="MI159" s="31"/>
      <c r="MJ159" s="31"/>
      <c r="MK159" s="31"/>
      <c r="ML159" s="31"/>
      <c r="MM159" s="31"/>
      <c r="MN159" s="31"/>
      <c r="MO159" s="31"/>
      <c r="MP159" s="31"/>
      <c r="MQ159" s="31"/>
      <c r="MR159" s="31"/>
      <c r="MS159" s="31"/>
      <c r="MT159" s="31"/>
      <c r="MU159" s="31"/>
      <c r="MV159" s="31"/>
      <c r="MW159" s="31"/>
      <c r="MX159" s="31"/>
      <c r="MY159" s="31"/>
      <c r="MZ159" s="31"/>
      <c r="NA159" s="31"/>
      <c r="NB159" s="31"/>
      <c r="NC159" s="31"/>
      <c r="ND159" s="31"/>
      <c r="NE159" s="31"/>
      <c r="NF159" s="31"/>
      <c r="NG159" s="31">
        <v>41231.8</v>
      </c>
      <c r="NH159" s="31"/>
      <c r="NI159" s="31"/>
      <c r="NJ159" s="31"/>
      <c r="NK159" s="31"/>
      <c r="NL159" s="31"/>
      <c r="NM159" s="31"/>
      <c r="NN159" s="31"/>
      <c r="NO159" s="31"/>
      <c r="NP159" s="31"/>
      <c r="NQ159" s="31"/>
      <c r="NR159" s="31"/>
      <c r="NS159" s="31"/>
      <c r="NT159" s="31"/>
      <c r="NU159" s="31"/>
      <c r="NV159" s="31"/>
      <c r="NW159" s="31"/>
      <c r="NX159" s="31"/>
      <c r="NY159" s="31"/>
      <c r="NZ159" s="31"/>
      <c r="OA159" s="31"/>
      <c r="OB159" s="31"/>
      <c r="OC159" s="31"/>
      <c r="OD159" s="31"/>
      <c r="OE159" s="31"/>
      <c r="OF159" s="31"/>
      <c r="OG159" s="31"/>
      <c r="OH159" s="31"/>
      <c r="OI159" s="31"/>
      <c r="OJ159" s="31"/>
      <c r="OK159" s="31"/>
      <c r="OL159" s="31"/>
      <c r="OM159" s="31"/>
      <c r="ON159" s="31"/>
      <c r="OO159" s="31"/>
      <c r="OP159" s="31"/>
      <c r="OQ159" s="31"/>
      <c r="OR159" s="31"/>
      <c r="OS159" s="31"/>
      <c r="OT159" s="31"/>
      <c r="OU159" s="31"/>
      <c r="OV159" s="31"/>
      <c r="OW159" s="31"/>
      <c r="OX159" s="31"/>
      <c r="OY159" s="31"/>
      <c r="OZ159" s="31"/>
      <c r="PA159" s="31"/>
      <c r="PB159" s="31"/>
      <c r="PC159" s="31"/>
      <c r="PD159" s="31"/>
      <c r="PE159" s="31"/>
      <c r="PF159" s="31"/>
      <c r="PG159" s="31"/>
      <c r="PH159" s="31"/>
      <c r="PI159" s="31"/>
      <c r="PJ159" s="31"/>
      <c r="PK159" s="31"/>
      <c r="PL159" s="31"/>
      <c r="PM159" s="31"/>
      <c r="PN159" s="31"/>
      <c r="PO159" s="31"/>
      <c r="PP159" s="31"/>
      <c r="PQ159" s="31"/>
      <c r="PR159" s="31"/>
      <c r="PS159" s="31"/>
      <c r="PT159" s="31"/>
      <c r="PU159" s="31"/>
      <c r="PV159" s="31"/>
      <c r="PW159" s="31"/>
      <c r="PX159" s="31"/>
      <c r="PY159" s="31"/>
      <c r="PZ159" s="31"/>
      <c r="QA159" s="31"/>
      <c r="QB159" s="31"/>
      <c r="QC159" s="31"/>
      <c r="QD159" s="31"/>
      <c r="QE159" s="31"/>
      <c r="QF159" s="31"/>
      <c r="QG159" s="31"/>
      <c r="QH159" s="31"/>
      <c r="QI159" s="31"/>
      <c r="QJ159" s="31"/>
      <c r="QK159" s="31"/>
      <c r="QL159" s="31"/>
      <c r="QM159" s="31"/>
      <c r="QN159" s="31"/>
      <c r="QO159" s="31"/>
      <c r="QP159" s="31"/>
      <c r="QQ159" s="31"/>
      <c r="QR159" s="31"/>
      <c r="QS159" s="31">
        <v>42349.8</v>
      </c>
      <c r="QT159" s="31"/>
      <c r="QU159" s="31"/>
      <c r="QV159" s="31"/>
      <c r="QW159" s="31"/>
      <c r="QX159" s="31"/>
      <c r="QY159" s="31"/>
      <c r="QZ159" s="31"/>
      <c r="RA159" s="31"/>
      <c r="RB159" s="31"/>
      <c r="RC159" s="31"/>
      <c r="RD159" s="31"/>
      <c r="RE159" s="31"/>
      <c r="RF159" s="31"/>
      <c r="RG159" s="31"/>
      <c r="RH159" s="31"/>
      <c r="RI159" s="31"/>
      <c r="RJ159" s="31"/>
      <c r="RK159" s="31"/>
      <c r="RL159" s="31"/>
      <c r="RM159" s="31"/>
      <c r="RN159" s="31"/>
      <c r="RO159" s="31"/>
      <c r="RP159" s="31"/>
      <c r="RQ159" s="31"/>
      <c r="RR159" s="31"/>
      <c r="RS159" s="31"/>
      <c r="RT159" s="31"/>
      <c r="RU159" s="31"/>
      <c r="RV159" s="31"/>
      <c r="RW159" s="31"/>
      <c r="RX159" s="31"/>
      <c r="RY159" s="31"/>
      <c r="RZ159" s="31"/>
      <c r="SA159" s="31"/>
      <c r="SB159" s="31"/>
      <c r="SC159" s="31"/>
      <c r="SD159" s="31"/>
      <c r="SE159" s="31"/>
      <c r="SF159" s="31"/>
      <c r="SG159" s="31"/>
      <c r="SH159" s="31"/>
      <c r="SI159" s="31"/>
      <c r="SJ159" s="31"/>
      <c r="SK159" s="31"/>
      <c r="SL159" s="31"/>
      <c r="SM159" s="31"/>
      <c r="SN159" s="31"/>
      <c r="SO159" s="31"/>
      <c r="SP159" s="31"/>
      <c r="SQ159" s="31"/>
      <c r="SR159" s="31"/>
      <c r="SS159" s="31"/>
      <c r="ST159" s="23"/>
      <c r="SU159" s="23"/>
      <c r="SV159" s="23"/>
      <c r="SW159" s="23"/>
      <c r="SX159" s="23"/>
      <c r="SY159" s="23"/>
      <c r="SZ159" s="23"/>
      <c r="TA159" s="23"/>
      <c r="TB159" s="23"/>
      <c r="TC159" s="23"/>
      <c r="TD159" s="23"/>
      <c r="TE159" s="23"/>
      <c r="TF159" s="23"/>
      <c r="TG159" s="23"/>
      <c r="TH159" s="23"/>
      <c r="TI159" s="23"/>
      <c r="TJ159" s="23"/>
      <c r="TK159" s="23"/>
      <c r="TL159" s="23"/>
      <c r="TM159" s="23"/>
      <c r="TN159" s="23"/>
      <c r="TO159" s="23"/>
      <c r="TP159" s="23"/>
      <c r="TQ159" s="23"/>
      <c r="TR159" s="23"/>
      <c r="TS159" s="23"/>
      <c r="TT159" s="23"/>
      <c r="TU159" s="23"/>
      <c r="TV159" s="23"/>
      <c r="TW159" s="23"/>
      <c r="TX159" s="23"/>
      <c r="TY159" s="23"/>
      <c r="TZ159" s="23"/>
      <c r="UA159" s="23"/>
      <c r="UB159" s="23"/>
      <c r="UC159" s="23"/>
      <c r="UD159" s="23"/>
      <c r="UE159" s="23"/>
      <c r="UF159" s="23"/>
      <c r="UG159" s="23"/>
      <c r="UH159" s="23"/>
      <c r="UI159" s="23"/>
      <c r="UJ159" s="23"/>
      <c r="UK159" s="23"/>
      <c r="UL159" s="23"/>
      <c r="UM159" s="23"/>
      <c r="UN159" s="23"/>
      <c r="UO159" s="23"/>
      <c r="UP159" s="23"/>
      <c r="UQ159" s="23"/>
      <c r="UR159" s="23"/>
      <c r="US159" s="23"/>
      <c r="UT159" s="23"/>
    </row>
    <row r="160" spans="4:566">
      <c r="D160" t="s">
        <v>244</v>
      </c>
      <c r="E160" t="s">
        <v>246</v>
      </c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  <c r="DI160" s="31"/>
      <c r="DJ160" s="31"/>
      <c r="DK160" s="31"/>
      <c r="DL160" s="31"/>
      <c r="DM160" s="31"/>
      <c r="DN160" s="31"/>
      <c r="DO160" s="31"/>
      <c r="DP160" s="31"/>
      <c r="DQ160" s="31"/>
      <c r="DR160" s="31"/>
      <c r="DS160" s="31"/>
      <c r="DT160" s="31"/>
      <c r="DU160" s="31"/>
      <c r="DV160" s="31"/>
      <c r="DW160" s="31"/>
      <c r="DX160" s="31"/>
      <c r="DY160" s="31"/>
      <c r="DZ160" s="31"/>
      <c r="EA160" s="31"/>
      <c r="EB160" s="31"/>
      <c r="EC160" s="31"/>
      <c r="ED160" s="31"/>
      <c r="EE160" s="31"/>
      <c r="EF160" s="31"/>
      <c r="EG160" s="31"/>
      <c r="EH160" s="31"/>
      <c r="EI160" s="31"/>
      <c r="EJ160" s="31"/>
      <c r="EK160" s="31"/>
      <c r="EL160" s="31"/>
      <c r="EM160" s="31"/>
      <c r="EN160" s="31"/>
      <c r="EO160" s="31"/>
      <c r="EP160" s="31"/>
      <c r="EQ160" s="31"/>
      <c r="ER160" s="31"/>
      <c r="ES160" s="31"/>
      <c r="ET160" s="31"/>
      <c r="EU160" s="31"/>
      <c r="EV160" s="31"/>
      <c r="EW160" s="31"/>
      <c r="EX160" s="31"/>
      <c r="EY160" s="31"/>
      <c r="EZ160" s="31"/>
      <c r="FA160" s="31"/>
      <c r="FB160" s="31"/>
      <c r="FC160" s="31"/>
      <c r="FD160" s="31"/>
      <c r="FE160" s="31"/>
      <c r="FF160" s="31"/>
      <c r="FG160" s="31"/>
      <c r="FH160" s="31"/>
      <c r="FI160" s="31"/>
      <c r="FJ160" s="31"/>
      <c r="FK160" s="31"/>
      <c r="FL160" s="31"/>
      <c r="FM160" s="31"/>
      <c r="FN160" s="31"/>
      <c r="FO160" s="31"/>
      <c r="FP160" s="31"/>
      <c r="FQ160" s="31"/>
      <c r="FR160" s="31"/>
      <c r="FS160" s="31"/>
      <c r="FT160" s="31"/>
      <c r="FU160" s="31"/>
      <c r="FV160" s="31"/>
      <c r="FW160" s="31"/>
      <c r="FX160" s="31"/>
      <c r="FY160" s="31"/>
      <c r="FZ160" s="31"/>
      <c r="GA160" s="31"/>
      <c r="GB160" s="31"/>
      <c r="GC160" s="31"/>
      <c r="GD160" s="31"/>
      <c r="GE160" s="31"/>
      <c r="GF160" s="31"/>
      <c r="GG160" s="31"/>
      <c r="GH160" s="31"/>
      <c r="GI160" s="31"/>
      <c r="GJ160" s="31"/>
      <c r="GK160" s="31"/>
      <c r="GL160" s="31"/>
      <c r="GM160" s="31"/>
      <c r="GN160" s="31"/>
      <c r="GO160" s="31"/>
      <c r="GP160" s="31"/>
      <c r="GQ160" s="31"/>
      <c r="GR160" s="31"/>
      <c r="GS160" s="31"/>
      <c r="GT160" s="31"/>
      <c r="GU160" s="31"/>
      <c r="GV160" s="31"/>
      <c r="GW160" s="31"/>
      <c r="GX160" s="31"/>
      <c r="GY160" s="31"/>
      <c r="GZ160" s="31"/>
      <c r="HA160" s="31"/>
      <c r="HB160" s="31"/>
      <c r="HC160" s="31"/>
      <c r="HD160" s="31"/>
      <c r="HE160" s="31"/>
      <c r="HF160" s="31"/>
      <c r="HG160" s="31"/>
      <c r="HH160" s="31"/>
      <c r="HI160" s="31"/>
      <c r="HJ160" s="31"/>
      <c r="HK160" s="31"/>
      <c r="HL160" s="31"/>
      <c r="HM160" s="31"/>
      <c r="HN160" s="31"/>
      <c r="HO160" s="31"/>
      <c r="HP160" s="31"/>
      <c r="HQ160" s="31"/>
      <c r="HR160" s="31"/>
      <c r="HS160" s="31"/>
      <c r="HT160" s="31"/>
      <c r="HU160" s="31"/>
      <c r="HV160" s="31"/>
      <c r="HW160" s="31"/>
      <c r="HX160" s="31"/>
      <c r="HY160" s="31"/>
      <c r="HZ160" s="31"/>
      <c r="IA160" s="31"/>
      <c r="IB160" s="31"/>
      <c r="IC160" s="31"/>
      <c r="ID160" s="31"/>
      <c r="IE160" s="31"/>
      <c r="IF160" s="31"/>
      <c r="IG160" s="31"/>
      <c r="IH160" s="31"/>
      <c r="II160" s="31"/>
      <c r="IJ160" s="31"/>
      <c r="IK160" s="31"/>
      <c r="IL160" s="31"/>
      <c r="IM160" s="31"/>
      <c r="IN160" s="31"/>
      <c r="IO160" s="31"/>
      <c r="IP160" s="31"/>
      <c r="IQ160" s="31"/>
      <c r="IR160" s="31"/>
      <c r="IS160" s="31"/>
      <c r="IT160" s="31"/>
      <c r="IU160" s="31"/>
      <c r="IV160" s="31"/>
      <c r="IW160" s="31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  <c r="JH160" s="31"/>
      <c r="JI160" s="31"/>
      <c r="JJ160" s="31"/>
      <c r="JK160" s="31"/>
      <c r="JL160" s="31"/>
      <c r="JM160" s="31"/>
      <c r="JN160" s="31"/>
      <c r="JO160" s="31"/>
      <c r="JP160" s="31"/>
      <c r="JQ160" s="31"/>
      <c r="JR160" s="31"/>
      <c r="JS160" s="31"/>
      <c r="JT160" s="31"/>
      <c r="JU160" s="31"/>
      <c r="JV160" s="31"/>
      <c r="JW160" s="31"/>
      <c r="JX160" s="31"/>
      <c r="JY160" s="31"/>
      <c r="JZ160" s="31"/>
      <c r="KA160" s="31"/>
      <c r="KB160" s="31"/>
      <c r="KC160" s="31"/>
      <c r="KD160" s="31"/>
      <c r="KE160" s="31"/>
      <c r="KF160" s="31"/>
      <c r="KG160" s="31"/>
      <c r="KH160" s="31"/>
      <c r="KI160" s="31"/>
      <c r="KJ160" s="31"/>
      <c r="KK160" s="31"/>
      <c r="KL160" s="31"/>
      <c r="KM160" s="31"/>
      <c r="KN160" s="31"/>
      <c r="KO160" s="31"/>
      <c r="KP160" s="31"/>
      <c r="KQ160" s="31"/>
      <c r="KR160" s="31"/>
      <c r="KS160" s="31"/>
      <c r="KT160" s="31"/>
      <c r="KU160" s="31"/>
      <c r="KV160" s="31"/>
      <c r="KW160" s="31"/>
      <c r="KX160" s="31"/>
      <c r="KY160" s="31"/>
      <c r="KZ160" s="31"/>
      <c r="LA160" s="31"/>
      <c r="LB160" s="31"/>
      <c r="LC160" s="31"/>
      <c r="LD160" s="31"/>
      <c r="LE160" s="31"/>
      <c r="LF160" s="31"/>
      <c r="LG160" s="31"/>
      <c r="LH160" s="31"/>
      <c r="LI160" s="31"/>
      <c r="LJ160" s="31"/>
      <c r="LK160" s="31"/>
      <c r="LL160" s="31"/>
      <c r="LM160" s="31"/>
      <c r="LN160" s="31"/>
      <c r="LO160" s="31"/>
      <c r="LP160" s="31"/>
      <c r="LQ160" s="31"/>
      <c r="LR160" s="31"/>
      <c r="LS160" s="31"/>
      <c r="LT160" s="31"/>
      <c r="LU160" s="31"/>
      <c r="LV160" s="31"/>
      <c r="LW160" s="31"/>
      <c r="LX160" s="31"/>
      <c r="LY160" s="31"/>
      <c r="LZ160" s="31"/>
      <c r="MA160" s="31"/>
      <c r="MB160" s="31"/>
      <c r="MC160" s="31"/>
      <c r="MD160" s="31"/>
      <c r="ME160" s="31"/>
      <c r="MF160" s="31"/>
      <c r="MG160" s="31"/>
      <c r="MH160" s="31"/>
      <c r="MI160" s="31"/>
      <c r="MJ160" s="31"/>
      <c r="MK160" s="31"/>
      <c r="ML160" s="31"/>
      <c r="MM160" s="31"/>
      <c r="MN160" s="31"/>
      <c r="MO160" s="31"/>
      <c r="MP160" s="31"/>
      <c r="MQ160" s="31"/>
      <c r="MR160" s="31"/>
      <c r="MS160" s="31"/>
      <c r="MT160" s="31"/>
      <c r="MU160" s="31"/>
      <c r="MV160" s="31"/>
      <c r="MW160" s="31"/>
      <c r="MX160" s="31"/>
      <c r="MY160" s="31"/>
      <c r="MZ160" s="31"/>
      <c r="NA160" s="31"/>
      <c r="NB160" s="31"/>
      <c r="NC160" s="31"/>
      <c r="ND160" s="31"/>
      <c r="NE160" s="31"/>
      <c r="NF160" s="31"/>
      <c r="NG160" s="31">
        <v>4</v>
      </c>
      <c r="NH160" s="31"/>
      <c r="NI160" s="31"/>
      <c r="NJ160" s="31"/>
      <c r="NK160" s="31"/>
      <c r="NL160" s="31"/>
      <c r="NM160" s="31"/>
      <c r="NN160" s="31"/>
      <c r="NO160" s="31"/>
      <c r="NP160" s="31"/>
      <c r="NQ160" s="31"/>
      <c r="NR160" s="31"/>
      <c r="NS160" s="31"/>
      <c r="NT160" s="31"/>
      <c r="NU160" s="31"/>
      <c r="NV160" s="31"/>
      <c r="NW160" s="31"/>
      <c r="NX160" s="31"/>
      <c r="NY160" s="31"/>
      <c r="NZ160" s="31"/>
      <c r="OA160" s="31"/>
      <c r="OB160" s="31"/>
      <c r="OC160" s="31"/>
      <c r="OD160" s="31"/>
      <c r="OE160" s="31"/>
      <c r="OF160" s="31"/>
      <c r="OG160" s="31"/>
      <c r="OH160" s="31"/>
      <c r="OI160" s="31"/>
      <c r="OJ160" s="31"/>
      <c r="OK160" s="31"/>
      <c r="OL160" s="31"/>
      <c r="OM160" s="31"/>
      <c r="ON160" s="31"/>
      <c r="OO160" s="31"/>
      <c r="OP160" s="31"/>
      <c r="OQ160" s="31"/>
      <c r="OR160" s="31"/>
      <c r="OS160" s="31"/>
      <c r="OT160" s="31"/>
      <c r="OU160" s="31"/>
      <c r="OV160" s="31"/>
      <c r="OW160" s="31"/>
      <c r="OX160" s="31"/>
      <c r="OY160" s="31"/>
      <c r="OZ160" s="31"/>
      <c r="PA160" s="31"/>
      <c r="PB160" s="31"/>
      <c r="PC160" s="31"/>
      <c r="PD160" s="31"/>
      <c r="PE160" s="31"/>
      <c r="PF160" s="31"/>
      <c r="PG160" s="31"/>
      <c r="PH160" s="31"/>
      <c r="PI160" s="31"/>
      <c r="PJ160" s="31"/>
      <c r="PK160" s="31"/>
      <c r="PL160" s="31"/>
      <c r="PM160" s="31"/>
      <c r="PN160" s="31"/>
      <c r="PO160" s="31"/>
      <c r="PP160" s="31"/>
      <c r="PQ160" s="31"/>
      <c r="PR160" s="31"/>
      <c r="PS160" s="31"/>
      <c r="PT160" s="31"/>
      <c r="PU160" s="31"/>
      <c r="PV160" s="31"/>
      <c r="PW160" s="31"/>
      <c r="PX160" s="31"/>
      <c r="PY160" s="31"/>
      <c r="PZ160" s="31"/>
      <c r="QA160" s="31"/>
      <c r="QB160" s="31"/>
      <c r="QC160" s="31"/>
      <c r="QD160" s="31"/>
      <c r="QE160" s="31"/>
      <c r="QF160" s="31"/>
      <c r="QG160" s="31"/>
      <c r="QH160" s="31"/>
      <c r="QI160" s="31"/>
      <c r="QJ160" s="31"/>
      <c r="QK160" s="31"/>
      <c r="QL160" s="31"/>
      <c r="QM160" s="31"/>
      <c r="QN160" s="31"/>
      <c r="QO160" s="31"/>
      <c r="QP160" s="31"/>
      <c r="QQ160" s="31"/>
      <c r="QR160" s="31"/>
      <c r="QS160" s="31"/>
      <c r="QT160" s="31"/>
      <c r="QU160" s="31"/>
      <c r="QV160" s="31"/>
      <c r="QW160" s="31"/>
      <c r="QX160" s="31"/>
      <c r="QY160" s="31"/>
      <c r="QZ160" s="31"/>
      <c r="RA160" s="31"/>
      <c r="RB160" s="31"/>
      <c r="RC160" s="31"/>
      <c r="RD160" s="31"/>
      <c r="RE160" s="31"/>
      <c r="RF160" s="31"/>
      <c r="RG160" s="31"/>
      <c r="RH160" s="31"/>
      <c r="RI160" s="31"/>
      <c r="RJ160" s="31"/>
      <c r="RK160" s="31"/>
      <c r="RL160" s="31"/>
      <c r="RM160" s="31"/>
      <c r="RN160" s="31"/>
      <c r="RO160" s="31"/>
      <c r="RP160" s="31"/>
      <c r="RQ160" s="31"/>
      <c r="RR160" s="31"/>
      <c r="RS160" s="31"/>
      <c r="RT160" s="31"/>
      <c r="RU160" s="31"/>
      <c r="RV160" s="31"/>
      <c r="RW160" s="31"/>
      <c r="RX160" s="31"/>
      <c r="RY160" s="31"/>
      <c r="RZ160" s="31"/>
      <c r="SA160" s="31"/>
      <c r="SB160" s="31"/>
      <c r="SC160" s="31"/>
      <c r="SD160" s="31"/>
      <c r="SE160" s="31"/>
      <c r="SF160" s="31"/>
      <c r="SG160" s="31"/>
      <c r="SH160" s="31"/>
      <c r="SI160" s="31"/>
      <c r="SJ160" s="31"/>
      <c r="SK160" s="31"/>
      <c r="SL160" s="31"/>
      <c r="SM160" s="31"/>
      <c r="SN160" s="31"/>
      <c r="SO160" s="31"/>
      <c r="SP160" s="31"/>
      <c r="SQ160" s="31"/>
      <c r="SR160" s="31"/>
      <c r="SS160" s="31"/>
      <c r="ST160" s="23"/>
      <c r="SU160" s="23"/>
      <c r="SV160" s="23"/>
      <c r="SW160" s="23"/>
      <c r="SX160" s="23"/>
      <c r="SY160" s="23"/>
      <c r="SZ160" s="23"/>
      <c r="TA160" s="23"/>
      <c r="TB160" s="23"/>
      <c r="TC160" s="23"/>
      <c r="TD160" s="23"/>
      <c r="TE160" s="23"/>
      <c r="TF160" s="23"/>
      <c r="TG160" s="23"/>
      <c r="TH160" s="23"/>
      <c r="TI160" s="23"/>
      <c r="TJ160" s="23"/>
      <c r="TK160" s="23"/>
      <c r="TL160" s="23"/>
      <c r="TM160" s="23"/>
      <c r="TN160" s="23"/>
      <c r="TO160" s="23"/>
      <c r="TP160" s="23"/>
      <c r="TQ160" s="23"/>
      <c r="TR160" s="23"/>
      <c r="TS160" s="23"/>
      <c r="TT160" s="23"/>
      <c r="TU160" s="23"/>
      <c r="TV160" s="23"/>
      <c r="TW160" s="23"/>
      <c r="TX160" s="23"/>
      <c r="TY160" s="23"/>
      <c r="TZ160" s="23"/>
      <c r="UA160" s="23"/>
      <c r="UB160" s="23"/>
      <c r="UC160" s="23"/>
      <c r="UD160" s="23"/>
      <c r="UE160" s="23"/>
      <c r="UF160" s="23"/>
      <c r="UG160" s="23"/>
      <c r="UH160" s="23"/>
      <c r="UI160" s="23"/>
      <c r="UJ160" s="23"/>
      <c r="UK160" s="23"/>
      <c r="UL160" s="23"/>
      <c r="UM160" s="23"/>
      <c r="UN160" s="23"/>
      <c r="UO160" s="23"/>
      <c r="UP160" s="23"/>
      <c r="UQ160" s="23"/>
      <c r="UR160" s="23">
        <v>4</v>
      </c>
      <c r="US160" s="23"/>
      <c r="UT160" s="23"/>
    </row>
    <row r="161" spans="4:566">
      <c r="D161" t="s">
        <v>397</v>
      </c>
      <c r="E161" t="s">
        <v>398</v>
      </c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  <c r="DI161" s="31"/>
      <c r="DJ161" s="31"/>
      <c r="DK161" s="31"/>
      <c r="DL161" s="31"/>
      <c r="DM161" s="31"/>
      <c r="DN161" s="31"/>
      <c r="DO161" s="31"/>
      <c r="DP161" s="31"/>
      <c r="DQ161" s="31"/>
      <c r="DR161" s="31"/>
      <c r="DS161" s="31"/>
      <c r="DT161" s="31"/>
      <c r="DU161" s="31"/>
      <c r="DV161" s="31"/>
      <c r="DW161" s="31"/>
      <c r="DX161" s="31"/>
      <c r="DY161" s="31"/>
      <c r="DZ161" s="31"/>
      <c r="EA161" s="31"/>
      <c r="EB161" s="31"/>
      <c r="EC161" s="31"/>
      <c r="ED161" s="31"/>
      <c r="EE161" s="31"/>
      <c r="EF161" s="31"/>
      <c r="EG161" s="31"/>
      <c r="EH161" s="31"/>
      <c r="EI161" s="31"/>
      <c r="EJ161" s="31"/>
      <c r="EK161" s="31"/>
      <c r="EL161" s="31"/>
      <c r="EM161" s="31"/>
      <c r="EN161" s="31"/>
      <c r="EO161" s="31"/>
      <c r="EP161" s="31"/>
      <c r="EQ161" s="31"/>
      <c r="ER161" s="31"/>
      <c r="ES161" s="31"/>
      <c r="ET161" s="31"/>
      <c r="EU161" s="31"/>
      <c r="EV161" s="31"/>
      <c r="EW161" s="31"/>
      <c r="EX161" s="31"/>
      <c r="EY161" s="31"/>
      <c r="EZ161" s="31"/>
      <c r="FA161" s="31"/>
      <c r="FB161" s="31"/>
      <c r="FC161" s="31"/>
      <c r="FD161" s="31"/>
      <c r="FE161" s="31"/>
      <c r="FF161" s="31"/>
      <c r="FG161" s="31"/>
      <c r="FH161" s="31"/>
      <c r="FI161" s="31"/>
      <c r="FJ161" s="31"/>
      <c r="FK161" s="31"/>
      <c r="FL161" s="31"/>
      <c r="FM161" s="31"/>
      <c r="FN161" s="31"/>
      <c r="FO161" s="31"/>
      <c r="FP161" s="31"/>
      <c r="FQ161" s="31"/>
      <c r="FR161" s="31"/>
      <c r="FS161" s="31"/>
      <c r="FT161" s="31"/>
      <c r="FU161" s="31"/>
      <c r="FV161" s="31"/>
      <c r="FW161" s="31"/>
      <c r="FX161" s="31"/>
      <c r="FY161" s="31"/>
      <c r="FZ161" s="31"/>
      <c r="GA161" s="31"/>
      <c r="GB161" s="31"/>
      <c r="GC161" s="31"/>
      <c r="GD161" s="31"/>
      <c r="GE161" s="31"/>
      <c r="GF161" s="31"/>
      <c r="GG161" s="31"/>
      <c r="GH161" s="31"/>
      <c r="GI161" s="31"/>
      <c r="GJ161" s="31"/>
      <c r="GK161" s="31"/>
      <c r="GL161" s="31"/>
      <c r="GM161" s="31"/>
      <c r="GN161" s="31"/>
      <c r="GO161" s="31"/>
      <c r="GP161" s="31"/>
      <c r="GQ161" s="31"/>
      <c r="GR161" s="31"/>
      <c r="GS161" s="31"/>
      <c r="GT161" s="31"/>
      <c r="GU161" s="31"/>
      <c r="GV161" s="31"/>
      <c r="GW161" s="31"/>
      <c r="GX161" s="31"/>
      <c r="GY161" s="31"/>
      <c r="GZ161" s="31"/>
      <c r="HA161" s="31"/>
      <c r="HB161" s="31"/>
      <c r="HC161" s="31"/>
      <c r="HD161" s="31"/>
      <c r="HE161" s="31"/>
      <c r="HF161" s="31"/>
      <c r="HG161" s="31"/>
      <c r="HH161" s="31"/>
      <c r="HI161" s="31"/>
      <c r="HJ161" s="31"/>
      <c r="HK161" s="31"/>
      <c r="HL161" s="31"/>
      <c r="HM161" s="31"/>
      <c r="HN161" s="31"/>
      <c r="HO161" s="31"/>
      <c r="HP161" s="31"/>
      <c r="HQ161" s="31"/>
      <c r="HR161" s="31"/>
      <c r="HS161" s="31"/>
      <c r="HT161" s="31"/>
      <c r="HU161" s="31"/>
      <c r="HV161" s="31"/>
      <c r="HW161" s="31"/>
      <c r="HX161" s="31"/>
      <c r="HY161" s="31"/>
      <c r="HZ161" s="31"/>
      <c r="IA161" s="31"/>
      <c r="IB161" s="31"/>
      <c r="IC161" s="31"/>
      <c r="ID161" s="31"/>
      <c r="IE161" s="31"/>
      <c r="IF161" s="31"/>
      <c r="IG161" s="31"/>
      <c r="IH161" s="31"/>
      <c r="II161" s="31"/>
      <c r="IJ161" s="31"/>
      <c r="IK161" s="31"/>
      <c r="IL161" s="31"/>
      <c r="IM161" s="31"/>
      <c r="IN161" s="31"/>
      <c r="IO161" s="31"/>
      <c r="IP161" s="31"/>
      <c r="IQ161" s="31"/>
      <c r="IR161" s="31"/>
      <c r="IS161" s="31"/>
      <c r="IT161" s="31"/>
      <c r="IU161" s="31"/>
      <c r="IV161" s="31"/>
      <c r="IW161" s="31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  <c r="JH161" s="31"/>
      <c r="JI161" s="31"/>
      <c r="JJ161" s="31"/>
      <c r="JK161" s="31"/>
      <c r="JL161" s="31"/>
      <c r="JM161" s="31"/>
      <c r="JN161" s="31"/>
      <c r="JO161" s="31"/>
      <c r="JP161" s="31"/>
      <c r="JQ161" s="31"/>
      <c r="JR161" s="31"/>
      <c r="JS161" s="31"/>
      <c r="JT161" s="31"/>
      <c r="JU161" s="31"/>
      <c r="JV161" s="31"/>
      <c r="JW161" s="31"/>
      <c r="JX161" s="31"/>
      <c r="JY161" s="31"/>
      <c r="JZ161" s="31"/>
      <c r="KA161" s="31"/>
      <c r="KB161" s="31"/>
      <c r="KC161" s="31"/>
      <c r="KD161" s="31"/>
      <c r="KE161" s="31"/>
      <c r="KF161" s="31"/>
      <c r="KG161" s="31"/>
      <c r="KH161" s="31"/>
      <c r="KI161" s="31"/>
      <c r="KJ161" s="31"/>
      <c r="KK161" s="31"/>
      <c r="KL161" s="31"/>
      <c r="KM161" s="31"/>
      <c r="KN161" s="31"/>
      <c r="KO161" s="31"/>
      <c r="KP161" s="31"/>
      <c r="KQ161" s="31"/>
      <c r="KR161" s="31"/>
      <c r="KS161" s="31"/>
      <c r="KT161" s="31"/>
      <c r="KU161" s="31"/>
      <c r="KV161" s="31"/>
      <c r="KW161" s="31"/>
      <c r="KX161" s="31"/>
      <c r="KY161" s="31"/>
      <c r="KZ161" s="31"/>
      <c r="LA161" s="31"/>
      <c r="LB161" s="31"/>
      <c r="LC161" s="31"/>
      <c r="LD161" s="31"/>
      <c r="LE161" s="31"/>
      <c r="LF161" s="31"/>
      <c r="LG161" s="31"/>
      <c r="LH161" s="31"/>
      <c r="LI161" s="31"/>
      <c r="LJ161" s="31"/>
      <c r="LK161" s="31"/>
      <c r="LL161" s="31"/>
      <c r="LM161" s="31"/>
      <c r="LN161" s="31"/>
      <c r="LO161" s="31"/>
      <c r="LP161" s="31"/>
      <c r="LQ161" s="31"/>
      <c r="LR161" s="31"/>
      <c r="LS161" s="31"/>
      <c r="LT161" s="31"/>
      <c r="LU161" s="31"/>
      <c r="LV161" s="31"/>
      <c r="LW161" s="31"/>
      <c r="LX161" s="31"/>
      <c r="LY161" s="31"/>
      <c r="LZ161" s="31"/>
      <c r="MA161" s="31"/>
      <c r="MB161" s="31"/>
      <c r="MC161" s="31"/>
      <c r="MD161" s="31"/>
      <c r="ME161" s="31"/>
      <c r="MF161" s="31"/>
      <c r="MG161" s="31"/>
      <c r="MH161" s="31"/>
      <c r="MI161" s="31"/>
      <c r="MJ161" s="31"/>
      <c r="MK161" s="31"/>
      <c r="ML161" s="31"/>
      <c r="MM161" s="31"/>
      <c r="MN161" s="31"/>
      <c r="MO161" s="31"/>
      <c r="MP161" s="31"/>
      <c r="MQ161" s="31"/>
      <c r="MR161" s="31"/>
      <c r="MS161" s="31"/>
      <c r="MT161" s="31"/>
      <c r="MU161" s="31"/>
      <c r="MV161" s="31"/>
      <c r="MW161" s="31"/>
      <c r="MX161" s="31"/>
      <c r="MY161" s="31"/>
      <c r="MZ161" s="31"/>
      <c r="NA161" s="31"/>
      <c r="NB161" s="31"/>
      <c r="NC161" s="31"/>
      <c r="ND161" s="31"/>
      <c r="NE161" s="31"/>
      <c r="NF161" s="31"/>
      <c r="NG161" s="31">
        <v>6.1</v>
      </c>
      <c r="NH161" s="31"/>
      <c r="NI161" s="31"/>
      <c r="NJ161" s="31"/>
      <c r="NK161" s="31"/>
      <c r="NL161" s="31"/>
      <c r="NM161" s="31"/>
      <c r="NN161" s="31"/>
      <c r="NO161" s="31"/>
      <c r="NP161" s="31"/>
      <c r="NQ161" s="31"/>
      <c r="NR161" s="31"/>
      <c r="NS161" s="31"/>
      <c r="NT161" s="31"/>
      <c r="NU161" s="31"/>
      <c r="NV161" s="31"/>
      <c r="NW161" s="31"/>
      <c r="NX161" s="31"/>
      <c r="NY161" s="31"/>
      <c r="NZ161" s="31"/>
      <c r="OA161" s="31"/>
      <c r="OB161" s="31"/>
      <c r="OC161" s="31"/>
      <c r="OD161" s="31"/>
      <c r="OE161" s="31"/>
      <c r="OF161" s="31"/>
      <c r="OG161" s="31"/>
      <c r="OH161" s="31"/>
      <c r="OI161" s="31"/>
      <c r="OJ161" s="31"/>
      <c r="OK161" s="31"/>
      <c r="OL161" s="31"/>
      <c r="OM161" s="31"/>
      <c r="ON161" s="31"/>
      <c r="OO161" s="31"/>
      <c r="OP161" s="31"/>
      <c r="OQ161" s="31"/>
      <c r="OR161" s="31"/>
      <c r="OS161" s="31"/>
      <c r="OT161" s="31"/>
      <c r="OU161" s="31"/>
      <c r="OV161" s="31"/>
      <c r="OW161" s="31"/>
      <c r="OX161" s="31"/>
      <c r="OY161" s="31"/>
      <c r="OZ161" s="31"/>
      <c r="PA161" s="31"/>
      <c r="PB161" s="31"/>
      <c r="PC161" s="31"/>
      <c r="PD161" s="31"/>
      <c r="PE161" s="31"/>
      <c r="PF161" s="31"/>
      <c r="PG161" s="31"/>
      <c r="PH161" s="31"/>
      <c r="PI161" s="31"/>
      <c r="PJ161" s="31"/>
      <c r="PK161" s="31"/>
      <c r="PL161" s="31"/>
      <c r="PM161" s="31"/>
      <c r="PN161" s="31"/>
      <c r="PO161" s="31"/>
      <c r="PP161" s="31"/>
      <c r="PQ161" s="31"/>
      <c r="PR161" s="31"/>
      <c r="PS161" s="31"/>
      <c r="PT161" s="31"/>
      <c r="PU161" s="31"/>
      <c r="PV161" s="31"/>
      <c r="PW161" s="31"/>
      <c r="PX161" s="31"/>
      <c r="PY161" s="31"/>
      <c r="PZ161" s="31"/>
      <c r="QA161" s="31"/>
      <c r="QB161" s="31"/>
      <c r="QC161" s="31"/>
      <c r="QD161" s="31"/>
      <c r="QE161" s="31"/>
      <c r="QF161" s="31"/>
      <c r="QG161" s="31"/>
      <c r="QH161" s="31"/>
      <c r="QI161" s="31"/>
      <c r="QJ161" s="31"/>
      <c r="QK161" s="31"/>
      <c r="QL161" s="31"/>
      <c r="QM161" s="31"/>
      <c r="QN161" s="31"/>
      <c r="QO161" s="31"/>
      <c r="QP161" s="31"/>
      <c r="QQ161" s="31"/>
      <c r="QR161" s="31"/>
      <c r="QS161" s="31"/>
      <c r="QT161" s="31"/>
      <c r="QU161" s="31"/>
      <c r="QV161" s="31"/>
      <c r="QW161" s="31"/>
      <c r="QX161" s="31"/>
      <c r="QY161" s="31"/>
      <c r="QZ161" s="31"/>
      <c r="RA161" s="31"/>
      <c r="RB161" s="31"/>
      <c r="RC161" s="31"/>
      <c r="RD161" s="31"/>
      <c r="RE161" s="31"/>
      <c r="RF161" s="31"/>
      <c r="RG161" s="31"/>
      <c r="RH161" s="31"/>
      <c r="RI161" s="31"/>
      <c r="RJ161" s="31"/>
      <c r="RK161" s="31"/>
      <c r="RL161" s="31"/>
      <c r="RM161" s="31"/>
      <c r="RN161" s="31"/>
      <c r="RO161" s="31"/>
      <c r="RP161" s="31"/>
      <c r="RQ161" s="31"/>
      <c r="RR161" s="31"/>
      <c r="RS161" s="31"/>
      <c r="RT161" s="31"/>
      <c r="RU161" s="31"/>
      <c r="RV161" s="31"/>
      <c r="RW161" s="31"/>
      <c r="RX161" s="31"/>
      <c r="RY161" s="31"/>
      <c r="RZ161" s="31"/>
      <c r="SA161" s="31"/>
      <c r="SB161" s="31"/>
      <c r="SC161" s="31"/>
      <c r="SD161" s="31"/>
      <c r="SE161" s="31"/>
      <c r="SF161" s="31"/>
      <c r="SG161" s="31"/>
      <c r="SH161" s="31"/>
      <c r="SI161" s="31"/>
      <c r="SJ161" s="31"/>
      <c r="SK161" s="31"/>
      <c r="SL161" s="31"/>
      <c r="SM161" s="31"/>
      <c r="SN161" s="31"/>
      <c r="SO161" s="31"/>
      <c r="SP161" s="31"/>
      <c r="SQ161" s="31"/>
      <c r="SR161" s="31"/>
      <c r="SS161" s="31"/>
      <c r="ST161" s="23"/>
      <c r="SU161" s="23"/>
      <c r="SV161" s="23"/>
      <c r="SW161" s="23"/>
      <c r="SX161" s="23"/>
      <c r="SY161" s="23"/>
      <c r="SZ161" s="23"/>
      <c r="TA161" s="23"/>
      <c r="TB161" s="23"/>
      <c r="TC161" s="23"/>
      <c r="TD161" s="23"/>
      <c r="TE161" s="23"/>
      <c r="TF161" s="23"/>
      <c r="TG161" s="23"/>
      <c r="TH161" s="23"/>
      <c r="TI161" s="23"/>
      <c r="TJ161" s="23"/>
      <c r="TK161" s="23"/>
      <c r="TL161" s="23"/>
      <c r="TM161" s="23"/>
      <c r="TN161" s="23"/>
      <c r="TO161" s="23"/>
      <c r="TP161" s="23"/>
      <c r="TQ161" s="23"/>
      <c r="TR161" s="23"/>
      <c r="TS161" s="23"/>
      <c r="TT161" s="23"/>
      <c r="TU161" s="23"/>
      <c r="TV161" s="23"/>
      <c r="TW161" s="23"/>
      <c r="TX161" s="23"/>
      <c r="TY161" s="23"/>
      <c r="TZ161" s="23"/>
      <c r="UA161" s="23"/>
      <c r="UB161" s="23"/>
      <c r="UC161" s="23"/>
      <c r="UD161" s="23"/>
      <c r="UE161" s="23"/>
      <c r="UF161" s="23"/>
      <c r="UG161" s="23"/>
      <c r="UH161" s="23"/>
      <c r="UI161" s="23"/>
      <c r="UJ161" s="23"/>
      <c r="UK161" s="23"/>
      <c r="UL161" s="23"/>
      <c r="UM161" s="23"/>
      <c r="UN161" s="23"/>
      <c r="UO161" s="23"/>
      <c r="UP161" s="23"/>
      <c r="UQ161" s="23"/>
      <c r="UR161" s="23">
        <v>5.1</v>
      </c>
      <c r="US161" s="23"/>
      <c r="UT161" s="23">
        <v>4.7</v>
      </c>
    </row>
    <row r="162" spans="4:566">
      <c r="D162" t="s">
        <v>247</v>
      </c>
      <c r="E162" t="s">
        <v>248</v>
      </c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>
        <v>318466.4</v>
      </c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  <c r="DI162" s="31"/>
      <c r="DJ162" s="31"/>
      <c r="DK162" s="31"/>
      <c r="DL162" s="31"/>
      <c r="DM162" s="31"/>
      <c r="DN162" s="31"/>
      <c r="DO162" s="31"/>
      <c r="DP162" s="31"/>
      <c r="DQ162" s="31"/>
      <c r="DR162" s="31"/>
      <c r="DS162" s="31"/>
      <c r="DT162" s="31"/>
      <c r="DU162" s="31"/>
      <c r="DV162" s="31"/>
      <c r="DW162" s="31"/>
      <c r="DX162" s="31"/>
      <c r="DY162" s="31"/>
      <c r="DZ162" s="31"/>
      <c r="EA162" s="31"/>
      <c r="EB162" s="31"/>
      <c r="EC162" s="31"/>
      <c r="ED162" s="31"/>
      <c r="EE162" s="31"/>
      <c r="EF162" s="31"/>
      <c r="EG162" s="31"/>
      <c r="EH162" s="31"/>
      <c r="EI162" s="31"/>
      <c r="EJ162" s="31"/>
      <c r="EK162" s="31"/>
      <c r="EL162" s="31"/>
      <c r="EM162" s="31"/>
      <c r="EN162" s="31"/>
      <c r="EO162" s="31"/>
      <c r="EP162" s="31"/>
      <c r="EQ162" s="31"/>
      <c r="ER162" s="31"/>
      <c r="ES162" s="31"/>
      <c r="ET162" s="31"/>
      <c r="EU162" s="31"/>
      <c r="EV162" s="31"/>
      <c r="EW162" s="31"/>
      <c r="EX162" s="31"/>
      <c r="EY162" s="31"/>
      <c r="EZ162" s="31"/>
      <c r="FA162" s="31"/>
      <c r="FB162" s="31"/>
      <c r="FC162" s="31"/>
      <c r="FD162" s="31"/>
      <c r="FE162" s="31"/>
      <c r="FF162" s="31"/>
      <c r="FG162" s="31"/>
      <c r="FH162" s="31"/>
      <c r="FI162" s="31"/>
      <c r="FJ162" s="31"/>
      <c r="FK162" s="31"/>
      <c r="FL162" s="31"/>
      <c r="FM162" s="31"/>
      <c r="FN162" s="31"/>
      <c r="FO162" s="31"/>
      <c r="FP162" s="31"/>
      <c r="FQ162" s="31"/>
      <c r="FR162" s="31"/>
      <c r="FS162" s="31"/>
      <c r="FT162" s="31"/>
      <c r="FU162" s="31"/>
      <c r="FV162" s="31"/>
      <c r="FW162" s="31"/>
      <c r="FX162" s="31"/>
      <c r="FY162" s="31"/>
      <c r="FZ162" s="31"/>
      <c r="GA162" s="31"/>
      <c r="GB162" s="31"/>
      <c r="GC162" s="31"/>
      <c r="GD162" s="31"/>
      <c r="GE162" s="31">
        <v>341395.3</v>
      </c>
      <c r="GF162" s="31"/>
      <c r="GG162" s="31"/>
      <c r="GH162" s="31"/>
      <c r="GI162" s="31"/>
      <c r="GJ162" s="31"/>
      <c r="GK162" s="31"/>
      <c r="GL162" s="31"/>
      <c r="GM162" s="31"/>
      <c r="GN162" s="31"/>
      <c r="GO162" s="31"/>
      <c r="GP162" s="31"/>
      <c r="GQ162" s="31"/>
      <c r="GR162" s="31"/>
      <c r="GS162" s="31"/>
      <c r="GT162" s="31"/>
      <c r="GU162" s="31"/>
      <c r="GV162" s="31"/>
      <c r="GW162" s="31"/>
      <c r="GX162" s="31"/>
      <c r="GY162" s="31"/>
      <c r="GZ162" s="31"/>
      <c r="HA162" s="31"/>
      <c r="HB162" s="31"/>
      <c r="HC162" s="31"/>
      <c r="HD162" s="31"/>
      <c r="HE162" s="31"/>
      <c r="HF162" s="31"/>
      <c r="HG162" s="31"/>
      <c r="HH162" s="31"/>
      <c r="HI162" s="31"/>
      <c r="HJ162" s="31"/>
      <c r="HK162" s="31"/>
      <c r="HL162" s="31"/>
      <c r="HM162" s="31"/>
      <c r="HN162" s="31"/>
      <c r="HO162" s="31"/>
      <c r="HP162" s="31"/>
      <c r="HQ162" s="31"/>
      <c r="HR162" s="31"/>
      <c r="HS162" s="31"/>
      <c r="HT162" s="31"/>
      <c r="HU162" s="31"/>
      <c r="HV162" s="31"/>
      <c r="HW162" s="31"/>
      <c r="HX162" s="31"/>
      <c r="HY162" s="31"/>
      <c r="HZ162" s="31"/>
      <c r="IA162" s="31"/>
      <c r="IB162" s="31"/>
      <c r="IC162" s="31"/>
      <c r="ID162" s="31"/>
      <c r="IE162" s="31"/>
      <c r="IF162" s="31"/>
      <c r="IG162" s="31"/>
      <c r="IH162" s="31"/>
      <c r="II162" s="31"/>
      <c r="IJ162" s="31"/>
      <c r="IK162" s="31"/>
      <c r="IL162" s="31"/>
      <c r="IM162" s="31"/>
      <c r="IN162" s="31"/>
      <c r="IO162" s="31"/>
      <c r="IP162" s="31"/>
      <c r="IQ162" s="31"/>
      <c r="IR162" s="31"/>
      <c r="IS162" s="31"/>
      <c r="IT162" s="31"/>
      <c r="IU162" s="31"/>
      <c r="IV162" s="31"/>
      <c r="IW162" s="31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  <c r="JN162" s="31"/>
      <c r="JO162" s="31"/>
      <c r="JP162" s="31"/>
      <c r="JQ162" s="31"/>
      <c r="JR162" s="31"/>
      <c r="JS162" s="31">
        <v>354106.2</v>
      </c>
      <c r="JT162" s="31"/>
      <c r="JU162" s="31"/>
      <c r="JV162" s="31"/>
      <c r="JW162" s="31"/>
      <c r="JX162" s="31"/>
      <c r="JY162" s="31"/>
      <c r="JZ162" s="31"/>
      <c r="KA162" s="31"/>
      <c r="KB162" s="31"/>
      <c r="KC162" s="31"/>
      <c r="KD162" s="31"/>
      <c r="KE162" s="31"/>
      <c r="KF162" s="31"/>
      <c r="KG162" s="31"/>
      <c r="KH162" s="31"/>
      <c r="KI162" s="31"/>
      <c r="KJ162" s="31"/>
      <c r="KK162" s="31"/>
      <c r="KL162" s="31"/>
      <c r="KM162" s="31"/>
      <c r="KN162" s="31"/>
      <c r="KO162" s="31"/>
      <c r="KP162" s="31"/>
      <c r="KQ162" s="31"/>
      <c r="KR162" s="31"/>
      <c r="KS162" s="31"/>
      <c r="KT162" s="31"/>
      <c r="KU162" s="31"/>
      <c r="KV162" s="31"/>
      <c r="KW162" s="31"/>
      <c r="KX162" s="31"/>
      <c r="KY162" s="31"/>
      <c r="KZ162" s="31"/>
      <c r="LA162" s="31"/>
      <c r="LB162" s="31"/>
      <c r="LC162" s="31"/>
      <c r="LD162" s="31"/>
      <c r="LE162" s="31"/>
      <c r="LF162" s="31"/>
      <c r="LG162" s="31"/>
      <c r="LH162" s="31"/>
      <c r="LI162" s="31"/>
      <c r="LJ162" s="31"/>
      <c r="LK162" s="31"/>
      <c r="LL162" s="31"/>
      <c r="LM162" s="31"/>
      <c r="LN162" s="31"/>
      <c r="LO162" s="31"/>
      <c r="LP162" s="31"/>
      <c r="LQ162" s="31"/>
      <c r="LR162" s="31"/>
      <c r="LS162" s="31"/>
      <c r="LT162" s="31"/>
      <c r="LU162" s="31"/>
      <c r="LV162" s="31"/>
      <c r="LW162" s="31"/>
      <c r="LX162" s="31"/>
      <c r="LY162" s="31"/>
      <c r="LZ162" s="31"/>
      <c r="MA162" s="31"/>
      <c r="MB162" s="31"/>
      <c r="MC162" s="31"/>
      <c r="MD162" s="31"/>
      <c r="ME162" s="31"/>
      <c r="MF162" s="31"/>
      <c r="MG162" s="31"/>
      <c r="MH162" s="31"/>
      <c r="MI162" s="31"/>
      <c r="MJ162" s="31"/>
      <c r="MK162" s="31"/>
      <c r="ML162" s="31"/>
      <c r="MM162" s="31"/>
      <c r="MN162" s="31"/>
      <c r="MO162" s="31"/>
      <c r="MP162" s="31"/>
      <c r="MQ162" s="31"/>
      <c r="MR162" s="31"/>
      <c r="MS162" s="31"/>
      <c r="MT162" s="31"/>
      <c r="MU162" s="31"/>
      <c r="MV162" s="31"/>
      <c r="MW162" s="31"/>
      <c r="MX162" s="31"/>
      <c r="MY162" s="31"/>
      <c r="MZ162" s="31"/>
      <c r="NA162" s="31"/>
      <c r="NB162" s="31"/>
      <c r="NC162" s="31"/>
      <c r="ND162" s="31"/>
      <c r="NE162" s="31"/>
      <c r="NF162" s="31"/>
      <c r="NG162" s="31">
        <v>387911.3</v>
      </c>
      <c r="NH162" s="31"/>
      <c r="NI162" s="31"/>
      <c r="NJ162" s="31"/>
      <c r="NK162" s="31"/>
      <c r="NL162" s="31"/>
      <c r="NM162" s="31"/>
      <c r="NN162" s="31"/>
      <c r="NO162" s="31"/>
      <c r="NP162" s="31"/>
      <c r="NQ162" s="31"/>
      <c r="NR162" s="31"/>
      <c r="NS162" s="31"/>
      <c r="NT162" s="31"/>
      <c r="NU162" s="31"/>
      <c r="NV162" s="31"/>
      <c r="NW162" s="31"/>
      <c r="NX162" s="31"/>
      <c r="NY162" s="31"/>
      <c r="NZ162" s="31"/>
      <c r="OA162" s="31"/>
      <c r="OB162" s="31"/>
      <c r="OC162" s="31"/>
      <c r="OD162" s="31"/>
      <c r="OE162" s="31"/>
      <c r="OF162" s="31"/>
      <c r="OG162" s="31"/>
      <c r="OH162" s="31"/>
      <c r="OI162" s="31"/>
      <c r="OJ162" s="31"/>
      <c r="OK162" s="31"/>
      <c r="OL162" s="31"/>
      <c r="OM162" s="31"/>
      <c r="ON162" s="31"/>
      <c r="OO162" s="31"/>
      <c r="OP162" s="31"/>
      <c r="OQ162" s="31"/>
      <c r="OR162" s="31"/>
      <c r="OS162" s="31"/>
      <c r="OT162" s="31"/>
      <c r="OU162" s="31"/>
      <c r="OV162" s="31"/>
      <c r="OW162" s="31"/>
      <c r="OX162" s="31"/>
      <c r="OY162" s="31"/>
      <c r="OZ162" s="31"/>
      <c r="PA162" s="31"/>
      <c r="PB162" s="31"/>
      <c r="PC162" s="31"/>
      <c r="PD162" s="31"/>
      <c r="PE162" s="31"/>
      <c r="PF162" s="31"/>
      <c r="PG162" s="31"/>
      <c r="PH162" s="31"/>
      <c r="PI162" s="31"/>
      <c r="PJ162" s="31"/>
      <c r="PK162" s="31"/>
      <c r="PL162" s="31"/>
      <c r="PM162" s="31"/>
      <c r="PN162" s="31"/>
      <c r="PO162" s="31"/>
      <c r="PP162" s="31"/>
      <c r="PQ162" s="31"/>
      <c r="PR162" s="31"/>
      <c r="PS162" s="31"/>
      <c r="PT162" s="31"/>
      <c r="PU162" s="31"/>
      <c r="PV162" s="31"/>
      <c r="PW162" s="31"/>
      <c r="PX162" s="31"/>
      <c r="PY162" s="31"/>
      <c r="PZ162" s="31"/>
      <c r="QA162" s="31"/>
      <c r="QB162" s="31"/>
      <c r="QC162" s="31"/>
      <c r="QD162" s="31"/>
      <c r="QE162" s="31"/>
      <c r="QF162" s="31"/>
      <c r="QG162" s="31"/>
      <c r="QH162" s="31"/>
      <c r="QI162" s="31"/>
      <c r="QJ162" s="31"/>
      <c r="QK162" s="31"/>
      <c r="QL162" s="31"/>
      <c r="QM162" s="31"/>
      <c r="QN162" s="31"/>
      <c r="QO162" s="31"/>
      <c r="QP162" s="31"/>
      <c r="QQ162" s="31"/>
      <c r="QR162" s="31"/>
      <c r="QS162" s="31">
        <v>334192.9</v>
      </c>
      <c r="QT162" s="31"/>
      <c r="QU162" s="31"/>
      <c r="QV162" s="31"/>
      <c r="QW162" s="31"/>
      <c r="QX162" s="31"/>
      <c r="QY162" s="31"/>
      <c r="QZ162" s="31"/>
      <c r="RA162" s="31"/>
      <c r="RB162" s="31"/>
      <c r="RC162" s="31"/>
      <c r="RD162" s="31"/>
      <c r="RE162" s="31"/>
      <c r="RF162" s="31"/>
      <c r="RG162" s="31"/>
      <c r="RH162" s="31"/>
      <c r="RI162" s="31"/>
      <c r="RJ162" s="31"/>
      <c r="RK162" s="31"/>
      <c r="RL162" s="31"/>
      <c r="RM162" s="31"/>
      <c r="RN162" s="31"/>
      <c r="RO162" s="31"/>
      <c r="RP162" s="31"/>
      <c r="RQ162" s="31"/>
      <c r="RR162" s="31"/>
      <c r="RS162" s="31"/>
      <c r="RT162" s="31"/>
      <c r="RU162" s="31"/>
      <c r="RV162" s="31"/>
      <c r="RW162" s="31"/>
      <c r="RX162" s="31"/>
      <c r="RY162" s="31"/>
      <c r="RZ162" s="31"/>
      <c r="SA162" s="31"/>
      <c r="SB162" s="31"/>
      <c r="SC162" s="31"/>
      <c r="SD162" s="31"/>
      <c r="SE162" s="31"/>
      <c r="SF162" s="31"/>
      <c r="SG162" s="31"/>
      <c r="SH162" s="31"/>
      <c r="SI162" s="31"/>
      <c r="SJ162" s="31"/>
      <c r="SK162" s="31"/>
      <c r="SL162" s="31"/>
      <c r="SM162" s="31"/>
      <c r="SN162" s="31"/>
      <c r="SO162" s="31"/>
      <c r="SP162" s="31"/>
      <c r="SQ162" s="31"/>
      <c r="SR162" s="31"/>
      <c r="SS162" s="31"/>
      <c r="ST162" s="23"/>
      <c r="SU162" s="23"/>
      <c r="SV162" s="23"/>
      <c r="SW162" s="23"/>
      <c r="SX162" s="23"/>
      <c r="SY162" s="23"/>
      <c r="SZ162" s="23"/>
      <c r="TA162" s="23"/>
      <c r="TB162" s="23"/>
      <c r="TC162" s="23"/>
      <c r="TD162" s="23"/>
      <c r="TE162" s="23"/>
      <c r="TF162" s="23"/>
      <c r="TG162" s="23"/>
      <c r="TH162" s="23"/>
      <c r="TI162" s="23"/>
      <c r="TJ162" s="23"/>
      <c r="TK162" s="23"/>
      <c r="TL162" s="23"/>
      <c r="TM162" s="23"/>
      <c r="TN162" s="23"/>
      <c r="TO162" s="23"/>
      <c r="TP162" s="23"/>
      <c r="TQ162" s="23"/>
      <c r="TR162" s="23"/>
      <c r="TS162" s="23"/>
      <c r="TT162" s="23"/>
      <c r="TU162" s="23"/>
      <c r="TV162" s="23"/>
      <c r="TW162" s="23"/>
      <c r="TX162" s="23"/>
      <c r="TY162" s="23"/>
      <c r="TZ162" s="23"/>
      <c r="UA162" s="23"/>
      <c r="UB162" s="23"/>
      <c r="UC162" s="23"/>
      <c r="UD162" s="23"/>
      <c r="UE162" s="23"/>
      <c r="UF162" s="23"/>
      <c r="UG162" s="23"/>
      <c r="UH162" s="23"/>
      <c r="UI162" s="23"/>
      <c r="UJ162" s="23"/>
      <c r="UK162" s="23"/>
      <c r="UL162" s="23"/>
      <c r="UM162" s="23"/>
      <c r="UN162" s="23"/>
      <c r="UO162" s="23"/>
      <c r="UP162" s="23"/>
      <c r="UQ162" s="23"/>
      <c r="UR162" s="23"/>
      <c r="US162" s="23"/>
      <c r="UT162" s="23"/>
    </row>
    <row r="163" spans="4:566">
      <c r="D163" t="s">
        <v>249</v>
      </c>
      <c r="E163" t="s">
        <v>250</v>
      </c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>
        <v>50.1</v>
      </c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  <c r="DI163" s="31"/>
      <c r="DJ163" s="31"/>
      <c r="DK163" s="31"/>
      <c r="DL163" s="31"/>
      <c r="DM163" s="31"/>
      <c r="DN163" s="31"/>
      <c r="DO163" s="31"/>
      <c r="DP163" s="31"/>
      <c r="DQ163" s="31"/>
      <c r="DR163" s="31"/>
      <c r="DS163" s="31"/>
      <c r="DT163" s="31"/>
      <c r="DU163" s="31"/>
      <c r="DV163" s="31"/>
      <c r="DW163" s="31"/>
      <c r="DX163" s="31"/>
      <c r="DY163" s="31"/>
      <c r="DZ163" s="31"/>
      <c r="EA163" s="31"/>
      <c r="EB163" s="31"/>
      <c r="EC163" s="31"/>
      <c r="ED163" s="31"/>
      <c r="EE163" s="31"/>
      <c r="EF163" s="31"/>
      <c r="EG163" s="31"/>
      <c r="EH163" s="31"/>
      <c r="EI163" s="31"/>
      <c r="EJ163" s="31"/>
      <c r="EK163" s="31"/>
      <c r="EL163" s="31"/>
      <c r="EM163" s="31"/>
      <c r="EN163" s="31"/>
      <c r="EO163" s="31"/>
      <c r="EP163" s="31"/>
      <c r="EQ163" s="31"/>
      <c r="ER163" s="31"/>
      <c r="ES163" s="31"/>
      <c r="ET163" s="31"/>
      <c r="EU163" s="31"/>
      <c r="EV163" s="31"/>
      <c r="EW163" s="31"/>
      <c r="EX163" s="31"/>
      <c r="EY163" s="31"/>
      <c r="EZ163" s="31"/>
      <c r="FA163" s="31"/>
      <c r="FB163" s="31"/>
      <c r="FC163" s="31"/>
      <c r="FD163" s="31"/>
      <c r="FE163" s="31"/>
      <c r="FF163" s="31"/>
      <c r="FG163" s="31"/>
      <c r="FH163" s="31"/>
      <c r="FI163" s="31"/>
      <c r="FJ163" s="31"/>
      <c r="FK163" s="31"/>
      <c r="FL163" s="31"/>
      <c r="FM163" s="31"/>
      <c r="FN163" s="31"/>
      <c r="FO163" s="31"/>
      <c r="FP163" s="31"/>
      <c r="FQ163" s="31"/>
      <c r="FR163" s="31"/>
      <c r="FS163" s="31"/>
      <c r="FT163" s="31"/>
      <c r="FU163" s="31"/>
      <c r="FV163" s="31"/>
      <c r="FW163" s="31"/>
      <c r="FX163" s="31"/>
      <c r="FY163" s="31"/>
      <c r="FZ163" s="31"/>
      <c r="GA163" s="31"/>
      <c r="GB163" s="31"/>
      <c r="GC163" s="31"/>
      <c r="GD163" s="31"/>
      <c r="GE163" s="31">
        <v>50.5</v>
      </c>
      <c r="GF163" s="31"/>
      <c r="GG163" s="31"/>
      <c r="GH163" s="31"/>
      <c r="GI163" s="31"/>
      <c r="GJ163" s="31"/>
      <c r="GK163" s="31"/>
      <c r="GL163" s="31"/>
      <c r="GM163" s="31"/>
      <c r="GN163" s="31"/>
      <c r="GO163" s="31"/>
      <c r="GP163" s="31"/>
      <c r="GQ163" s="31"/>
      <c r="GR163" s="31"/>
      <c r="GS163" s="31"/>
      <c r="GT163" s="31"/>
      <c r="GU163" s="31"/>
      <c r="GV163" s="31"/>
      <c r="GW163" s="31"/>
      <c r="GX163" s="31"/>
      <c r="GY163" s="31"/>
      <c r="GZ163" s="31"/>
      <c r="HA163" s="31"/>
      <c r="HB163" s="31"/>
      <c r="HC163" s="31"/>
      <c r="HD163" s="31"/>
      <c r="HE163" s="31"/>
      <c r="HF163" s="31"/>
      <c r="HG163" s="31"/>
      <c r="HH163" s="31"/>
      <c r="HI163" s="31"/>
      <c r="HJ163" s="31"/>
      <c r="HK163" s="31"/>
      <c r="HL163" s="31"/>
      <c r="HM163" s="31"/>
      <c r="HN163" s="31"/>
      <c r="HO163" s="31"/>
      <c r="HP163" s="31"/>
      <c r="HQ163" s="31"/>
      <c r="HR163" s="31"/>
      <c r="HS163" s="31"/>
      <c r="HT163" s="31"/>
      <c r="HU163" s="31"/>
      <c r="HV163" s="31"/>
      <c r="HW163" s="31"/>
      <c r="HX163" s="31"/>
      <c r="HY163" s="31"/>
      <c r="HZ163" s="31"/>
      <c r="IA163" s="31"/>
      <c r="IB163" s="31"/>
      <c r="IC163" s="31"/>
      <c r="ID163" s="31"/>
      <c r="IE163" s="31"/>
      <c r="IF163" s="31"/>
      <c r="IG163" s="31"/>
      <c r="IH163" s="31"/>
      <c r="II163" s="31"/>
      <c r="IJ163" s="31"/>
      <c r="IK163" s="31"/>
      <c r="IL163" s="31"/>
      <c r="IM163" s="31"/>
      <c r="IN163" s="31"/>
      <c r="IO163" s="31"/>
      <c r="IP163" s="31"/>
      <c r="IQ163" s="31"/>
      <c r="IR163" s="31"/>
      <c r="IS163" s="31"/>
      <c r="IT163" s="31"/>
      <c r="IU163" s="31"/>
      <c r="IV163" s="31"/>
      <c r="IW163" s="31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  <c r="JH163" s="31"/>
      <c r="JI163" s="31"/>
      <c r="JJ163" s="31"/>
      <c r="JK163" s="31"/>
      <c r="JL163" s="31"/>
      <c r="JM163" s="31"/>
      <c r="JN163" s="31"/>
      <c r="JO163" s="31"/>
      <c r="JP163" s="31"/>
      <c r="JQ163" s="31"/>
      <c r="JR163" s="31"/>
      <c r="JS163" s="31">
        <v>51.7</v>
      </c>
      <c r="JT163" s="31"/>
      <c r="JU163" s="31"/>
      <c r="JV163" s="31"/>
      <c r="JW163" s="31"/>
      <c r="JX163" s="31"/>
      <c r="JY163" s="31"/>
      <c r="JZ163" s="31"/>
      <c r="KA163" s="31"/>
      <c r="KB163" s="31"/>
      <c r="KC163" s="31"/>
      <c r="KD163" s="31"/>
      <c r="KE163" s="31"/>
      <c r="KF163" s="31"/>
      <c r="KG163" s="31"/>
      <c r="KH163" s="31"/>
      <c r="KI163" s="31"/>
      <c r="KJ163" s="31"/>
      <c r="KK163" s="31"/>
      <c r="KL163" s="31"/>
      <c r="KM163" s="31"/>
      <c r="KN163" s="31"/>
      <c r="KO163" s="31"/>
      <c r="KP163" s="31"/>
      <c r="KQ163" s="31"/>
      <c r="KR163" s="31"/>
      <c r="KS163" s="31"/>
      <c r="KT163" s="31"/>
      <c r="KU163" s="31"/>
      <c r="KV163" s="31"/>
      <c r="KW163" s="31"/>
      <c r="KX163" s="31"/>
      <c r="KY163" s="31"/>
      <c r="KZ163" s="31"/>
      <c r="LA163" s="31"/>
      <c r="LB163" s="31"/>
      <c r="LC163" s="31"/>
      <c r="LD163" s="31"/>
      <c r="LE163" s="31"/>
      <c r="LF163" s="31"/>
      <c r="LG163" s="31"/>
      <c r="LH163" s="31"/>
      <c r="LI163" s="31"/>
      <c r="LJ163" s="31"/>
      <c r="LK163" s="31"/>
      <c r="LL163" s="31"/>
      <c r="LM163" s="31"/>
      <c r="LN163" s="31"/>
      <c r="LO163" s="31"/>
      <c r="LP163" s="31"/>
      <c r="LQ163" s="31"/>
      <c r="LR163" s="31"/>
      <c r="LS163" s="31"/>
      <c r="LT163" s="31"/>
      <c r="LU163" s="31"/>
      <c r="LV163" s="31"/>
      <c r="LW163" s="31"/>
      <c r="LX163" s="31"/>
      <c r="LY163" s="31"/>
      <c r="LZ163" s="31"/>
      <c r="MA163" s="31"/>
      <c r="MB163" s="31"/>
      <c r="MC163" s="31"/>
      <c r="MD163" s="31"/>
      <c r="ME163" s="31"/>
      <c r="MF163" s="31"/>
      <c r="MG163" s="31"/>
      <c r="MH163" s="31"/>
      <c r="MI163" s="31"/>
      <c r="MJ163" s="31"/>
      <c r="MK163" s="31"/>
      <c r="ML163" s="31"/>
      <c r="MM163" s="31"/>
      <c r="MN163" s="31"/>
      <c r="MO163" s="31"/>
      <c r="MP163" s="31"/>
      <c r="MQ163" s="31"/>
      <c r="MR163" s="31"/>
      <c r="MS163" s="31"/>
      <c r="MT163" s="31"/>
      <c r="MU163" s="31"/>
      <c r="MV163" s="31"/>
      <c r="MW163" s="31"/>
      <c r="MX163" s="31"/>
      <c r="MY163" s="31"/>
      <c r="MZ163" s="31"/>
      <c r="NA163" s="31"/>
      <c r="NB163" s="31"/>
      <c r="NC163" s="31"/>
      <c r="ND163" s="31"/>
      <c r="NE163" s="31"/>
      <c r="NF163" s="31"/>
      <c r="NG163" s="31">
        <v>52</v>
      </c>
      <c r="NH163" s="31"/>
      <c r="NI163" s="31"/>
      <c r="NJ163" s="31"/>
      <c r="NK163" s="31"/>
      <c r="NL163" s="31"/>
      <c r="NM163" s="31"/>
      <c r="NN163" s="31"/>
      <c r="NO163" s="31"/>
      <c r="NP163" s="31"/>
      <c r="NQ163" s="31"/>
      <c r="NR163" s="31"/>
      <c r="NS163" s="31"/>
      <c r="NT163" s="31"/>
      <c r="NU163" s="31"/>
      <c r="NV163" s="31"/>
      <c r="NW163" s="31"/>
      <c r="NX163" s="31"/>
      <c r="NY163" s="31"/>
      <c r="NZ163" s="31"/>
      <c r="OA163" s="31"/>
      <c r="OB163" s="31"/>
      <c r="OC163" s="31"/>
      <c r="OD163" s="31"/>
      <c r="OE163" s="31"/>
      <c r="OF163" s="31"/>
      <c r="OG163" s="31"/>
      <c r="OH163" s="31"/>
      <c r="OI163" s="31"/>
      <c r="OJ163" s="31"/>
      <c r="OK163" s="31"/>
      <c r="OL163" s="31"/>
      <c r="OM163" s="31"/>
      <c r="ON163" s="31"/>
      <c r="OO163" s="31"/>
      <c r="OP163" s="31"/>
      <c r="OQ163" s="31"/>
      <c r="OR163" s="31"/>
      <c r="OS163" s="31"/>
      <c r="OT163" s="31"/>
      <c r="OU163" s="31"/>
      <c r="OV163" s="31"/>
      <c r="OW163" s="31"/>
      <c r="OX163" s="31"/>
      <c r="OY163" s="31"/>
      <c r="OZ163" s="31"/>
      <c r="PA163" s="31"/>
      <c r="PB163" s="31"/>
      <c r="PC163" s="31"/>
      <c r="PD163" s="31"/>
      <c r="PE163" s="31"/>
      <c r="PF163" s="31"/>
      <c r="PG163" s="31"/>
      <c r="PH163" s="31"/>
      <c r="PI163" s="31"/>
      <c r="PJ163" s="31"/>
      <c r="PK163" s="31"/>
      <c r="PL163" s="31"/>
      <c r="PM163" s="31"/>
      <c r="PN163" s="31"/>
      <c r="PO163" s="31"/>
      <c r="PP163" s="31"/>
      <c r="PQ163" s="31"/>
      <c r="PR163" s="31"/>
      <c r="PS163" s="31"/>
      <c r="PT163" s="31"/>
      <c r="PU163" s="31"/>
      <c r="PV163" s="31"/>
      <c r="PW163" s="31"/>
      <c r="PX163" s="31"/>
      <c r="PY163" s="31"/>
      <c r="PZ163" s="31"/>
      <c r="QA163" s="31"/>
      <c r="QB163" s="31"/>
      <c r="QC163" s="31"/>
      <c r="QD163" s="31"/>
      <c r="QE163" s="31"/>
      <c r="QF163" s="31"/>
      <c r="QG163" s="31"/>
      <c r="QH163" s="31"/>
      <c r="QI163" s="31"/>
      <c r="QJ163" s="31"/>
      <c r="QK163" s="31"/>
      <c r="QL163" s="31"/>
      <c r="QM163" s="31"/>
      <c r="QN163" s="31"/>
      <c r="QO163" s="31"/>
      <c r="QP163" s="31"/>
      <c r="QQ163" s="31"/>
      <c r="QR163" s="31"/>
      <c r="QS163" s="31">
        <v>46.7</v>
      </c>
      <c r="QT163" s="31"/>
      <c r="QU163" s="31"/>
      <c r="QV163" s="31"/>
      <c r="QW163" s="31"/>
      <c r="QX163" s="31"/>
      <c r="QY163" s="31"/>
      <c r="QZ163" s="31"/>
      <c r="RA163" s="31"/>
      <c r="RB163" s="31"/>
      <c r="RC163" s="31"/>
      <c r="RD163" s="31"/>
      <c r="RE163" s="31"/>
      <c r="RF163" s="31"/>
      <c r="RG163" s="31"/>
      <c r="RH163" s="31"/>
      <c r="RI163" s="31"/>
      <c r="RJ163" s="31"/>
      <c r="RK163" s="31"/>
      <c r="RL163" s="31"/>
      <c r="RM163" s="31"/>
      <c r="RN163" s="31"/>
      <c r="RO163" s="31"/>
      <c r="RP163" s="31"/>
      <c r="RQ163" s="31"/>
      <c r="RR163" s="31"/>
      <c r="RS163" s="31"/>
      <c r="RT163" s="31"/>
      <c r="RU163" s="31"/>
      <c r="RV163" s="31"/>
      <c r="RW163" s="31"/>
      <c r="RX163" s="31"/>
      <c r="RY163" s="31"/>
      <c r="RZ163" s="31"/>
      <c r="SA163" s="31"/>
      <c r="SB163" s="31"/>
      <c r="SC163" s="31"/>
      <c r="SD163" s="31"/>
      <c r="SE163" s="31"/>
      <c r="SF163" s="31"/>
      <c r="SG163" s="31"/>
      <c r="SH163" s="31"/>
      <c r="SI163" s="31"/>
      <c r="SJ163" s="31"/>
      <c r="SK163" s="31"/>
      <c r="SL163" s="31"/>
      <c r="SM163" s="31"/>
      <c r="SN163" s="31"/>
      <c r="SO163" s="31"/>
      <c r="SP163" s="31"/>
      <c r="SQ163" s="31"/>
      <c r="SR163" s="31"/>
      <c r="SS163" s="31"/>
      <c r="ST163" s="23"/>
      <c r="SU163" s="23"/>
      <c r="SV163" s="23"/>
      <c r="SW163" s="23"/>
      <c r="SX163" s="23"/>
      <c r="SY163" s="23"/>
      <c r="SZ163" s="23"/>
      <c r="TA163" s="23"/>
      <c r="TB163" s="23"/>
      <c r="TC163" s="23"/>
      <c r="TD163" s="23"/>
      <c r="TE163" s="23"/>
      <c r="TF163" s="23"/>
      <c r="TG163" s="23"/>
      <c r="TH163" s="23"/>
      <c r="TI163" s="23"/>
      <c r="TJ163" s="23"/>
      <c r="TK163" s="23"/>
      <c r="TL163" s="23"/>
      <c r="TM163" s="23"/>
      <c r="TN163" s="23"/>
      <c r="TO163" s="23"/>
      <c r="TP163" s="23"/>
      <c r="TQ163" s="23"/>
      <c r="TR163" s="23"/>
      <c r="TS163" s="23"/>
      <c r="TT163" s="23"/>
      <c r="TU163" s="23"/>
      <c r="TV163" s="23"/>
      <c r="TW163" s="23"/>
      <c r="TX163" s="23"/>
      <c r="TY163" s="23"/>
      <c r="TZ163" s="23"/>
      <c r="UA163" s="23"/>
      <c r="UB163" s="23"/>
      <c r="UC163" s="23"/>
      <c r="UD163" s="23"/>
      <c r="UE163" s="23"/>
      <c r="UF163" s="23"/>
      <c r="UG163" s="23"/>
      <c r="UH163" s="23"/>
      <c r="UI163" s="23"/>
      <c r="UJ163" s="23"/>
      <c r="UK163" s="23"/>
      <c r="UL163" s="23"/>
      <c r="UM163" s="23"/>
      <c r="UN163" s="23"/>
      <c r="UO163" s="23"/>
      <c r="UP163" s="23"/>
      <c r="UQ163" s="23"/>
      <c r="UR163" s="23"/>
      <c r="US163" s="23"/>
      <c r="UT163" s="23"/>
    </row>
    <row r="164" spans="4:566">
      <c r="D164" t="s">
        <v>251</v>
      </c>
      <c r="E164" t="s">
        <v>252</v>
      </c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>
        <v>4.7</v>
      </c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  <c r="DI164" s="31"/>
      <c r="DJ164" s="31"/>
      <c r="DK164" s="31"/>
      <c r="DL164" s="31"/>
      <c r="DM164" s="31"/>
      <c r="DN164" s="31"/>
      <c r="DO164" s="31"/>
      <c r="DP164" s="31"/>
      <c r="DQ164" s="31"/>
      <c r="DR164" s="31"/>
      <c r="DS164" s="31"/>
      <c r="DT164" s="31"/>
      <c r="DU164" s="31"/>
      <c r="DV164" s="31"/>
      <c r="DW164" s="31"/>
      <c r="DX164" s="31"/>
      <c r="DY164" s="31"/>
      <c r="DZ164" s="31"/>
      <c r="EA164" s="31"/>
      <c r="EB164" s="31"/>
      <c r="EC164" s="31"/>
      <c r="ED164" s="31"/>
      <c r="EE164" s="31"/>
      <c r="EF164" s="31"/>
      <c r="EG164" s="31"/>
      <c r="EH164" s="31"/>
      <c r="EI164" s="31"/>
      <c r="EJ164" s="31"/>
      <c r="EK164" s="31"/>
      <c r="EL164" s="31"/>
      <c r="EM164" s="31"/>
      <c r="EN164" s="31"/>
      <c r="EO164" s="31"/>
      <c r="EP164" s="31"/>
      <c r="EQ164" s="31"/>
      <c r="ER164" s="31"/>
      <c r="ES164" s="31"/>
      <c r="ET164" s="31"/>
      <c r="EU164" s="31"/>
      <c r="EV164" s="31"/>
      <c r="EW164" s="31"/>
      <c r="EX164" s="31"/>
      <c r="EY164" s="31"/>
      <c r="EZ164" s="31"/>
      <c r="FA164" s="31"/>
      <c r="FB164" s="31"/>
      <c r="FC164" s="31"/>
      <c r="FD164" s="31"/>
      <c r="FE164" s="31"/>
      <c r="FF164" s="31"/>
      <c r="FG164" s="31"/>
      <c r="FH164" s="31"/>
      <c r="FI164" s="31"/>
      <c r="FJ164" s="31"/>
      <c r="FK164" s="31"/>
      <c r="FL164" s="31"/>
      <c r="FM164" s="31"/>
      <c r="FN164" s="31"/>
      <c r="FO164" s="31"/>
      <c r="FP164" s="31"/>
      <c r="FQ164" s="31"/>
      <c r="FR164" s="31"/>
      <c r="FS164" s="31"/>
      <c r="FT164" s="31"/>
      <c r="FU164" s="31"/>
      <c r="FV164" s="31"/>
      <c r="FW164" s="31"/>
      <c r="FX164" s="31"/>
      <c r="FY164" s="31"/>
      <c r="FZ164" s="31"/>
      <c r="GA164" s="31"/>
      <c r="GB164" s="31"/>
      <c r="GC164" s="31"/>
      <c r="GD164" s="31"/>
      <c r="GE164" s="31">
        <v>14.6</v>
      </c>
      <c r="GF164" s="31"/>
      <c r="GG164" s="31"/>
      <c r="GH164" s="31"/>
      <c r="GI164" s="31"/>
      <c r="GJ164" s="31"/>
      <c r="GK164" s="31"/>
      <c r="GL164" s="31"/>
      <c r="GM164" s="31"/>
      <c r="GN164" s="31"/>
      <c r="GO164" s="31"/>
      <c r="GP164" s="31"/>
      <c r="GQ164" s="31"/>
      <c r="GR164" s="31"/>
      <c r="GS164" s="31"/>
      <c r="GT164" s="31"/>
      <c r="GU164" s="31"/>
      <c r="GV164" s="31"/>
      <c r="GW164" s="31"/>
      <c r="GX164" s="31"/>
      <c r="GY164" s="31"/>
      <c r="GZ164" s="31"/>
      <c r="HA164" s="31"/>
      <c r="HB164" s="31"/>
      <c r="HC164" s="31"/>
      <c r="HD164" s="31"/>
      <c r="HE164" s="31"/>
      <c r="HF164" s="31"/>
      <c r="HG164" s="31"/>
      <c r="HH164" s="31"/>
      <c r="HI164" s="31"/>
      <c r="HJ164" s="31"/>
      <c r="HK164" s="31"/>
      <c r="HL164" s="31"/>
      <c r="HM164" s="31"/>
      <c r="HN164" s="31"/>
      <c r="HO164" s="31"/>
      <c r="HP164" s="31"/>
      <c r="HQ164" s="31"/>
      <c r="HR164" s="31"/>
      <c r="HS164" s="31"/>
      <c r="HT164" s="31"/>
      <c r="HU164" s="31"/>
      <c r="HV164" s="31"/>
      <c r="HW164" s="31"/>
      <c r="HX164" s="31"/>
      <c r="HY164" s="31"/>
      <c r="HZ164" s="31"/>
      <c r="IA164" s="31"/>
      <c r="IB164" s="31"/>
      <c r="IC164" s="31"/>
      <c r="ID164" s="31"/>
      <c r="IE164" s="31"/>
      <c r="IF164" s="31"/>
      <c r="IG164" s="31"/>
      <c r="IH164" s="31"/>
      <c r="II164" s="31"/>
      <c r="IJ164" s="31"/>
      <c r="IK164" s="31"/>
      <c r="IL164" s="31"/>
      <c r="IM164" s="31"/>
      <c r="IN164" s="31"/>
      <c r="IO164" s="31"/>
      <c r="IP164" s="31"/>
      <c r="IQ164" s="31"/>
      <c r="IR164" s="31"/>
      <c r="IS164" s="31"/>
      <c r="IT164" s="31"/>
      <c r="IU164" s="31"/>
      <c r="IV164" s="31"/>
      <c r="IW164" s="31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  <c r="JN164" s="31"/>
      <c r="JO164" s="31"/>
      <c r="JP164" s="31"/>
      <c r="JQ164" s="31"/>
      <c r="JR164" s="31"/>
      <c r="JS164" s="31">
        <v>15</v>
      </c>
      <c r="JT164" s="31"/>
      <c r="JU164" s="31"/>
      <c r="JV164" s="31"/>
      <c r="JW164" s="31"/>
      <c r="JX164" s="31"/>
      <c r="JY164" s="31"/>
      <c r="JZ164" s="31"/>
      <c r="KA164" s="31"/>
      <c r="KB164" s="31"/>
      <c r="KC164" s="31"/>
      <c r="KD164" s="31"/>
      <c r="KE164" s="31"/>
      <c r="KF164" s="31"/>
      <c r="KG164" s="31"/>
      <c r="KH164" s="31"/>
      <c r="KI164" s="31"/>
      <c r="KJ164" s="31"/>
      <c r="KK164" s="31"/>
      <c r="KL164" s="31"/>
      <c r="KM164" s="31"/>
      <c r="KN164" s="31"/>
      <c r="KO164" s="31"/>
      <c r="KP164" s="31"/>
      <c r="KQ164" s="31"/>
      <c r="KR164" s="31"/>
      <c r="KS164" s="31"/>
      <c r="KT164" s="31"/>
      <c r="KU164" s="31"/>
      <c r="KV164" s="31"/>
      <c r="KW164" s="31"/>
      <c r="KX164" s="31"/>
      <c r="KY164" s="31"/>
      <c r="KZ164" s="31"/>
      <c r="LA164" s="31"/>
      <c r="LB164" s="31"/>
      <c r="LC164" s="31"/>
      <c r="LD164" s="31"/>
      <c r="LE164" s="31"/>
      <c r="LF164" s="31"/>
      <c r="LG164" s="31"/>
      <c r="LH164" s="31"/>
      <c r="LI164" s="31"/>
      <c r="LJ164" s="31"/>
      <c r="LK164" s="31"/>
      <c r="LL164" s="31"/>
      <c r="LM164" s="31"/>
      <c r="LN164" s="31"/>
      <c r="LO164" s="31"/>
      <c r="LP164" s="31"/>
      <c r="LQ164" s="31"/>
      <c r="LR164" s="31"/>
      <c r="LS164" s="31"/>
      <c r="LT164" s="31"/>
      <c r="LU164" s="31"/>
      <c r="LV164" s="31"/>
      <c r="LW164" s="31"/>
      <c r="LX164" s="31"/>
      <c r="LY164" s="31"/>
      <c r="LZ164" s="31"/>
      <c r="MA164" s="31"/>
      <c r="MB164" s="31"/>
      <c r="MC164" s="31"/>
      <c r="MD164" s="31"/>
      <c r="ME164" s="31"/>
      <c r="MF164" s="31"/>
      <c r="MG164" s="31"/>
      <c r="MH164" s="31"/>
      <c r="MI164" s="31"/>
      <c r="MJ164" s="31"/>
      <c r="MK164" s="31"/>
      <c r="ML164" s="31"/>
      <c r="MM164" s="31"/>
      <c r="MN164" s="31"/>
      <c r="MO164" s="31"/>
      <c r="MP164" s="31"/>
      <c r="MQ164" s="31"/>
      <c r="MR164" s="31"/>
      <c r="MS164" s="31"/>
      <c r="MT164" s="31"/>
      <c r="MU164" s="31"/>
      <c r="MV164" s="31"/>
      <c r="MW164" s="31"/>
      <c r="MX164" s="31"/>
      <c r="MY164" s="31"/>
      <c r="MZ164" s="31"/>
      <c r="NA164" s="31"/>
      <c r="NB164" s="31"/>
      <c r="NC164" s="31"/>
      <c r="ND164" s="31"/>
      <c r="NE164" s="31"/>
      <c r="NF164" s="31"/>
      <c r="NG164" s="31">
        <v>15.3</v>
      </c>
      <c r="NH164" s="31"/>
      <c r="NI164" s="31"/>
      <c r="NJ164" s="31"/>
      <c r="NK164" s="31"/>
      <c r="NL164" s="31"/>
      <c r="NM164" s="31"/>
      <c r="NN164" s="31"/>
      <c r="NO164" s="31"/>
      <c r="NP164" s="31"/>
      <c r="NQ164" s="31"/>
      <c r="NR164" s="31"/>
      <c r="NS164" s="31"/>
      <c r="NT164" s="31"/>
      <c r="NU164" s="31"/>
      <c r="NV164" s="31"/>
      <c r="NW164" s="31"/>
      <c r="NX164" s="31"/>
      <c r="NY164" s="31"/>
      <c r="NZ164" s="31"/>
      <c r="OA164" s="31"/>
      <c r="OB164" s="31"/>
      <c r="OC164" s="31"/>
      <c r="OD164" s="31"/>
      <c r="OE164" s="31"/>
      <c r="OF164" s="31"/>
      <c r="OG164" s="31"/>
      <c r="OH164" s="31"/>
      <c r="OI164" s="31"/>
      <c r="OJ164" s="31"/>
      <c r="OK164" s="31"/>
      <c r="OL164" s="31"/>
      <c r="OM164" s="31"/>
      <c r="ON164" s="31"/>
      <c r="OO164" s="31"/>
      <c r="OP164" s="31"/>
      <c r="OQ164" s="31"/>
      <c r="OR164" s="31"/>
      <c r="OS164" s="31"/>
      <c r="OT164" s="31"/>
      <c r="OU164" s="31"/>
      <c r="OV164" s="31"/>
      <c r="OW164" s="31"/>
      <c r="OX164" s="31"/>
      <c r="OY164" s="31"/>
      <c r="OZ164" s="31"/>
      <c r="PA164" s="31"/>
      <c r="PB164" s="31"/>
      <c r="PC164" s="31"/>
      <c r="PD164" s="31"/>
      <c r="PE164" s="31"/>
      <c r="PF164" s="31"/>
      <c r="PG164" s="31"/>
      <c r="PH164" s="31"/>
      <c r="PI164" s="31"/>
      <c r="PJ164" s="31"/>
      <c r="PK164" s="31"/>
      <c r="PL164" s="31"/>
      <c r="PM164" s="31"/>
      <c r="PN164" s="31"/>
      <c r="PO164" s="31"/>
      <c r="PP164" s="31"/>
      <c r="PQ164" s="31"/>
      <c r="PR164" s="31"/>
      <c r="PS164" s="31"/>
      <c r="PT164" s="31"/>
      <c r="PU164" s="31"/>
      <c r="PV164" s="31"/>
      <c r="PW164" s="31"/>
      <c r="PX164" s="31"/>
      <c r="PY164" s="31"/>
      <c r="PZ164" s="31"/>
      <c r="QA164" s="31"/>
      <c r="QB164" s="31"/>
      <c r="QC164" s="31"/>
      <c r="QD164" s="31"/>
      <c r="QE164" s="31"/>
      <c r="QF164" s="31"/>
      <c r="QG164" s="31"/>
      <c r="QH164" s="31"/>
      <c r="QI164" s="31"/>
      <c r="QJ164" s="31"/>
      <c r="QK164" s="31"/>
      <c r="QL164" s="31"/>
      <c r="QM164" s="31"/>
      <c r="QN164" s="31"/>
      <c r="QO164" s="31"/>
      <c r="QP164" s="31"/>
      <c r="QQ164" s="31"/>
      <c r="QR164" s="31"/>
      <c r="QS164" s="31">
        <v>38</v>
      </c>
      <c r="QT164" s="31"/>
      <c r="QU164" s="31"/>
      <c r="QV164" s="31"/>
      <c r="QW164" s="31"/>
      <c r="QX164" s="31"/>
      <c r="QY164" s="31"/>
      <c r="QZ164" s="31"/>
      <c r="RA164" s="31"/>
      <c r="RB164" s="31"/>
      <c r="RC164" s="31"/>
      <c r="RD164" s="31"/>
      <c r="RE164" s="31"/>
      <c r="RF164" s="31"/>
      <c r="RG164" s="31"/>
      <c r="RH164" s="31"/>
      <c r="RI164" s="31"/>
      <c r="RJ164" s="31"/>
      <c r="RK164" s="31"/>
      <c r="RL164" s="31"/>
      <c r="RM164" s="31"/>
      <c r="RN164" s="31"/>
      <c r="RO164" s="31"/>
      <c r="RP164" s="31"/>
      <c r="RQ164" s="31"/>
      <c r="RR164" s="31"/>
      <c r="RS164" s="31"/>
      <c r="RT164" s="31"/>
      <c r="RU164" s="31"/>
      <c r="RV164" s="31"/>
      <c r="RW164" s="31"/>
      <c r="RX164" s="31"/>
      <c r="RY164" s="31"/>
      <c r="RZ164" s="31"/>
      <c r="SA164" s="31"/>
      <c r="SB164" s="31"/>
      <c r="SC164" s="31"/>
      <c r="SD164" s="31"/>
      <c r="SE164" s="31"/>
      <c r="SF164" s="31"/>
      <c r="SG164" s="31"/>
      <c r="SH164" s="31"/>
      <c r="SI164" s="31"/>
      <c r="SJ164" s="31"/>
      <c r="SK164" s="31"/>
      <c r="SL164" s="31"/>
      <c r="SM164" s="31"/>
      <c r="SN164" s="31"/>
      <c r="SO164" s="31"/>
      <c r="SP164" s="31"/>
      <c r="SQ164" s="31"/>
      <c r="SR164" s="31"/>
      <c r="SS164" s="31"/>
      <c r="ST164" s="23"/>
      <c r="SU164" s="23"/>
      <c r="SV164" s="23"/>
      <c r="SW164" s="23"/>
      <c r="SX164" s="23"/>
      <c r="SY164" s="23"/>
      <c r="SZ164" s="23"/>
      <c r="TA164" s="23"/>
      <c r="TB164" s="23"/>
      <c r="TC164" s="23"/>
      <c r="TD164" s="23"/>
      <c r="TE164" s="23"/>
      <c r="TF164" s="23"/>
      <c r="TG164" s="23"/>
      <c r="TH164" s="23"/>
      <c r="TI164" s="23"/>
      <c r="TJ164" s="23"/>
      <c r="TK164" s="23"/>
      <c r="TL164" s="23"/>
      <c r="TM164" s="23"/>
      <c r="TN164" s="23"/>
      <c r="TO164" s="23"/>
      <c r="TP164" s="23"/>
      <c r="TQ164" s="23"/>
      <c r="TR164" s="23"/>
      <c r="TS164" s="23"/>
      <c r="TT164" s="23"/>
      <c r="TU164" s="23"/>
      <c r="TV164" s="23"/>
      <c r="TW164" s="23"/>
      <c r="TX164" s="23"/>
      <c r="TY164" s="23"/>
      <c r="TZ164" s="23"/>
      <c r="UA164" s="23"/>
      <c r="UB164" s="23"/>
      <c r="UC164" s="23"/>
      <c r="UD164" s="23"/>
      <c r="UE164" s="23"/>
      <c r="UF164" s="23"/>
      <c r="UG164" s="23"/>
      <c r="UH164" s="23"/>
      <c r="UI164" s="23"/>
      <c r="UJ164" s="23"/>
      <c r="UK164" s="23"/>
      <c r="UL164" s="23"/>
      <c r="UM164" s="23"/>
      <c r="UN164" s="23"/>
      <c r="UO164" s="23"/>
      <c r="UP164" s="23"/>
      <c r="UQ164" s="23"/>
      <c r="UR164" s="23"/>
      <c r="US164" s="23"/>
      <c r="UT164" s="23"/>
    </row>
    <row r="165" spans="4:566">
      <c r="D165" t="s">
        <v>253</v>
      </c>
      <c r="E165" t="s">
        <v>254</v>
      </c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>
        <v>45.2</v>
      </c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  <c r="DI165" s="31"/>
      <c r="DJ165" s="31"/>
      <c r="DK165" s="31"/>
      <c r="DL165" s="31"/>
      <c r="DM165" s="31"/>
      <c r="DN165" s="31"/>
      <c r="DO165" s="31"/>
      <c r="DP165" s="31"/>
      <c r="DQ165" s="31"/>
      <c r="DR165" s="31"/>
      <c r="DS165" s="31"/>
      <c r="DT165" s="31"/>
      <c r="DU165" s="31"/>
      <c r="DV165" s="31"/>
      <c r="DW165" s="31"/>
      <c r="DX165" s="31"/>
      <c r="DY165" s="31"/>
      <c r="DZ165" s="31"/>
      <c r="EA165" s="31"/>
      <c r="EB165" s="31"/>
      <c r="EC165" s="31"/>
      <c r="ED165" s="31"/>
      <c r="EE165" s="31"/>
      <c r="EF165" s="31"/>
      <c r="EG165" s="31"/>
      <c r="EH165" s="31"/>
      <c r="EI165" s="31"/>
      <c r="EJ165" s="31"/>
      <c r="EK165" s="31"/>
      <c r="EL165" s="31"/>
      <c r="EM165" s="31"/>
      <c r="EN165" s="31"/>
      <c r="EO165" s="31"/>
      <c r="EP165" s="31"/>
      <c r="EQ165" s="31"/>
      <c r="ER165" s="31"/>
      <c r="ES165" s="31"/>
      <c r="ET165" s="31"/>
      <c r="EU165" s="31"/>
      <c r="EV165" s="31"/>
      <c r="EW165" s="31"/>
      <c r="EX165" s="31"/>
      <c r="EY165" s="31"/>
      <c r="EZ165" s="31"/>
      <c r="FA165" s="31"/>
      <c r="FB165" s="31"/>
      <c r="FC165" s="31"/>
      <c r="FD165" s="31"/>
      <c r="FE165" s="31"/>
      <c r="FF165" s="31"/>
      <c r="FG165" s="31"/>
      <c r="FH165" s="31"/>
      <c r="FI165" s="31"/>
      <c r="FJ165" s="31"/>
      <c r="FK165" s="31"/>
      <c r="FL165" s="31"/>
      <c r="FM165" s="31"/>
      <c r="FN165" s="31"/>
      <c r="FO165" s="31"/>
      <c r="FP165" s="31"/>
      <c r="FQ165" s="31"/>
      <c r="FR165" s="31"/>
      <c r="FS165" s="31"/>
      <c r="FT165" s="31"/>
      <c r="FU165" s="31"/>
      <c r="FV165" s="31"/>
      <c r="FW165" s="31"/>
      <c r="FX165" s="31"/>
      <c r="FY165" s="31"/>
      <c r="FZ165" s="31"/>
      <c r="GA165" s="31"/>
      <c r="GB165" s="31"/>
      <c r="GC165" s="31"/>
      <c r="GD165" s="31"/>
      <c r="GE165" s="31">
        <v>34.9</v>
      </c>
      <c r="GF165" s="31"/>
      <c r="GG165" s="31"/>
      <c r="GH165" s="31"/>
      <c r="GI165" s="31"/>
      <c r="GJ165" s="31"/>
      <c r="GK165" s="31"/>
      <c r="GL165" s="31"/>
      <c r="GM165" s="31"/>
      <c r="GN165" s="31"/>
      <c r="GO165" s="31"/>
      <c r="GP165" s="31"/>
      <c r="GQ165" s="31"/>
      <c r="GR165" s="31"/>
      <c r="GS165" s="31"/>
      <c r="GT165" s="31"/>
      <c r="GU165" s="31"/>
      <c r="GV165" s="31"/>
      <c r="GW165" s="31"/>
      <c r="GX165" s="31"/>
      <c r="GY165" s="31"/>
      <c r="GZ165" s="31"/>
      <c r="HA165" s="31"/>
      <c r="HB165" s="31"/>
      <c r="HC165" s="31"/>
      <c r="HD165" s="31"/>
      <c r="HE165" s="31"/>
      <c r="HF165" s="31"/>
      <c r="HG165" s="31"/>
      <c r="HH165" s="31"/>
      <c r="HI165" s="31"/>
      <c r="HJ165" s="31"/>
      <c r="HK165" s="31"/>
      <c r="HL165" s="31"/>
      <c r="HM165" s="31"/>
      <c r="HN165" s="31"/>
      <c r="HO165" s="31"/>
      <c r="HP165" s="31"/>
      <c r="HQ165" s="31"/>
      <c r="HR165" s="31"/>
      <c r="HS165" s="31"/>
      <c r="HT165" s="31"/>
      <c r="HU165" s="31"/>
      <c r="HV165" s="31"/>
      <c r="HW165" s="31"/>
      <c r="HX165" s="31"/>
      <c r="HY165" s="31"/>
      <c r="HZ165" s="31"/>
      <c r="IA165" s="31"/>
      <c r="IB165" s="31"/>
      <c r="IC165" s="31"/>
      <c r="ID165" s="31"/>
      <c r="IE165" s="31"/>
      <c r="IF165" s="31"/>
      <c r="IG165" s="31"/>
      <c r="IH165" s="31"/>
      <c r="II165" s="31"/>
      <c r="IJ165" s="31"/>
      <c r="IK165" s="31"/>
      <c r="IL165" s="31"/>
      <c r="IM165" s="31"/>
      <c r="IN165" s="31"/>
      <c r="IO165" s="31"/>
      <c r="IP165" s="31"/>
      <c r="IQ165" s="31"/>
      <c r="IR165" s="31"/>
      <c r="IS165" s="31"/>
      <c r="IT165" s="31"/>
      <c r="IU165" s="31"/>
      <c r="IV165" s="31"/>
      <c r="IW165" s="31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  <c r="JN165" s="31"/>
      <c r="JO165" s="31"/>
      <c r="JP165" s="31"/>
      <c r="JQ165" s="31"/>
      <c r="JR165" s="31"/>
      <c r="JS165" s="31">
        <v>33.3</v>
      </c>
      <c r="JT165" s="31"/>
      <c r="JU165" s="31"/>
      <c r="JV165" s="31"/>
      <c r="JW165" s="31"/>
      <c r="JX165" s="31"/>
      <c r="JY165" s="31"/>
      <c r="JZ165" s="31"/>
      <c r="KA165" s="31"/>
      <c r="KB165" s="31"/>
      <c r="KC165" s="31"/>
      <c r="KD165" s="31"/>
      <c r="KE165" s="31"/>
      <c r="KF165" s="31"/>
      <c r="KG165" s="31"/>
      <c r="KH165" s="31"/>
      <c r="KI165" s="31"/>
      <c r="KJ165" s="31"/>
      <c r="KK165" s="31"/>
      <c r="KL165" s="31"/>
      <c r="KM165" s="31"/>
      <c r="KN165" s="31"/>
      <c r="KO165" s="31"/>
      <c r="KP165" s="31"/>
      <c r="KQ165" s="31"/>
      <c r="KR165" s="31"/>
      <c r="KS165" s="31"/>
      <c r="KT165" s="31"/>
      <c r="KU165" s="31"/>
      <c r="KV165" s="31"/>
      <c r="KW165" s="31"/>
      <c r="KX165" s="31"/>
      <c r="KY165" s="31"/>
      <c r="KZ165" s="31"/>
      <c r="LA165" s="31"/>
      <c r="LB165" s="31"/>
      <c r="LC165" s="31"/>
      <c r="LD165" s="31"/>
      <c r="LE165" s="31"/>
      <c r="LF165" s="31"/>
      <c r="LG165" s="31"/>
      <c r="LH165" s="31"/>
      <c r="LI165" s="31"/>
      <c r="LJ165" s="31"/>
      <c r="LK165" s="31"/>
      <c r="LL165" s="31"/>
      <c r="LM165" s="31"/>
      <c r="LN165" s="31"/>
      <c r="LO165" s="31"/>
      <c r="LP165" s="31"/>
      <c r="LQ165" s="31"/>
      <c r="LR165" s="31"/>
      <c r="LS165" s="31"/>
      <c r="LT165" s="31"/>
      <c r="LU165" s="31"/>
      <c r="LV165" s="31"/>
      <c r="LW165" s="31"/>
      <c r="LX165" s="31"/>
      <c r="LY165" s="31"/>
      <c r="LZ165" s="31"/>
      <c r="MA165" s="31"/>
      <c r="MB165" s="31"/>
      <c r="MC165" s="31"/>
      <c r="MD165" s="31"/>
      <c r="ME165" s="31"/>
      <c r="MF165" s="31"/>
      <c r="MG165" s="31"/>
      <c r="MH165" s="31"/>
      <c r="MI165" s="31"/>
      <c r="MJ165" s="31"/>
      <c r="MK165" s="31"/>
      <c r="ML165" s="31"/>
      <c r="MM165" s="31"/>
      <c r="MN165" s="31"/>
      <c r="MO165" s="31"/>
      <c r="MP165" s="31"/>
      <c r="MQ165" s="31"/>
      <c r="MR165" s="31"/>
      <c r="MS165" s="31"/>
      <c r="MT165" s="31"/>
      <c r="MU165" s="31"/>
      <c r="MV165" s="31"/>
      <c r="MW165" s="31"/>
      <c r="MX165" s="31"/>
      <c r="MY165" s="31"/>
      <c r="MZ165" s="31"/>
      <c r="NA165" s="31"/>
      <c r="NB165" s="31"/>
      <c r="NC165" s="31"/>
      <c r="ND165" s="31"/>
      <c r="NE165" s="31"/>
      <c r="NF165" s="31"/>
      <c r="NG165" s="31">
        <v>32.7</v>
      </c>
      <c r="NH165" s="31"/>
      <c r="NI165" s="31"/>
      <c r="NJ165" s="31"/>
      <c r="NK165" s="31"/>
      <c r="NL165" s="31"/>
      <c r="NM165" s="31"/>
      <c r="NN165" s="31"/>
      <c r="NO165" s="31"/>
      <c r="NP165" s="31"/>
      <c r="NQ165" s="31"/>
      <c r="NR165" s="31"/>
      <c r="NS165" s="31"/>
      <c r="NT165" s="31"/>
      <c r="NU165" s="31"/>
      <c r="NV165" s="31"/>
      <c r="NW165" s="31"/>
      <c r="NX165" s="31"/>
      <c r="NY165" s="31"/>
      <c r="NZ165" s="31"/>
      <c r="OA165" s="31"/>
      <c r="OB165" s="31"/>
      <c r="OC165" s="31"/>
      <c r="OD165" s="31"/>
      <c r="OE165" s="31"/>
      <c r="OF165" s="31"/>
      <c r="OG165" s="31"/>
      <c r="OH165" s="31"/>
      <c r="OI165" s="31"/>
      <c r="OJ165" s="31"/>
      <c r="OK165" s="31"/>
      <c r="OL165" s="31"/>
      <c r="OM165" s="31"/>
      <c r="ON165" s="31"/>
      <c r="OO165" s="31"/>
      <c r="OP165" s="31"/>
      <c r="OQ165" s="31"/>
      <c r="OR165" s="31"/>
      <c r="OS165" s="31"/>
      <c r="OT165" s="31"/>
      <c r="OU165" s="31"/>
      <c r="OV165" s="31"/>
      <c r="OW165" s="31"/>
      <c r="OX165" s="31"/>
      <c r="OY165" s="31"/>
      <c r="OZ165" s="31"/>
      <c r="PA165" s="31"/>
      <c r="PB165" s="31"/>
      <c r="PC165" s="31"/>
      <c r="PD165" s="31"/>
      <c r="PE165" s="31"/>
      <c r="PF165" s="31"/>
      <c r="PG165" s="31"/>
      <c r="PH165" s="31"/>
      <c r="PI165" s="31"/>
      <c r="PJ165" s="31"/>
      <c r="PK165" s="31"/>
      <c r="PL165" s="31"/>
      <c r="PM165" s="31"/>
      <c r="PN165" s="31"/>
      <c r="PO165" s="31"/>
      <c r="PP165" s="31"/>
      <c r="PQ165" s="31"/>
      <c r="PR165" s="31"/>
      <c r="PS165" s="31"/>
      <c r="PT165" s="31"/>
      <c r="PU165" s="31"/>
      <c r="PV165" s="31"/>
      <c r="PW165" s="31"/>
      <c r="PX165" s="31"/>
      <c r="PY165" s="31"/>
      <c r="PZ165" s="31"/>
      <c r="QA165" s="31"/>
      <c r="QB165" s="31"/>
      <c r="QC165" s="31"/>
      <c r="QD165" s="31"/>
      <c r="QE165" s="31"/>
      <c r="QF165" s="31"/>
      <c r="QG165" s="31"/>
      <c r="QH165" s="31"/>
      <c r="QI165" s="31"/>
      <c r="QJ165" s="31"/>
      <c r="QK165" s="31"/>
      <c r="QL165" s="31"/>
      <c r="QM165" s="31"/>
      <c r="QN165" s="31"/>
      <c r="QO165" s="31"/>
      <c r="QP165" s="31"/>
      <c r="QQ165" s="31"/>
      <c r="QR165" s="31"/>
      <c r="QS165" s="31">
        <v>15.3</v>
      </c>
      <c r="QT165" s="31"/>
      <c r="QU165" s="31"/>
      <c r="QV165" s="31"/>
      <c r="QW165" s="31"/>
      <c r="QX165" s="31"/>
      <c r="QY165" s="31"/>
      <c r="QZ165" s="31"/>
      <c r="RA165" s="31"/>
      <c r="RB165" s="31"/>
      <c r="RC165" s="31"/>
      <c r="RD165" s="31"/>
      <c r="RE165" s="31"/>
      <c r="RF165" s="31"/>
      <c r="RG165" s="31"/>
      <c r="RH165" s="31"/>
      <c r="RI165" s="31"/>
      <c r="RJ165" s="31"/>
      <c r="RK165" s="31"/>
      <c r="RL165" s="31"/>
      <c r="RM165" s="31"/>
      <c r="RN165" s="31"/>
      <c r="RO165" s="31"/>
      <c r="RP165" s="31"/>
      <c r="RQ165" s="31"/>
      <c r="RR165" s="31"/>
      <c r="RS165" s="31"/>
      <c r="RT165" s="31"/>
      <c r="RU165" s="31"/>
      <c r="RV165" s="31"/>
      <c r="RW165" s="31"/>
      <c r="RX165" s="31"/>
      <c r="RY165" s="31"/>
      <c r="RZ165" s="31"/>
      <c r="SA165" s="31"/>
      <c r="SB165" s="31"/>
      <c r="SC165" s="31"/>
      <c r="SD165" s="31"/>
      <c r="SE165" s="31"/>
      <c r="SF165" s="31"/>
      <c r="SG165" s="31"/>
      <c r="SH165" s="31"/>
      <c r="SI165" s="31"/>
      <c r="SJ165" s="31"/>
      <c r="SK165" s="31"/>
      <c r="SL165" s="31"/>
      <c r="SM165" s="31"/>
      <c r="SN165" s="31"/>
      <c r="SO165" s="31"/>
      <c r="SP165" s="31"/>
      <c r="SQ165" s="31"/>
      <c r="SR165" s="31"/>
      <c r="SS165" s="31"/>
      <c r="ST165" s="23"/>
      <c r="SU165" s="23"/>
      <c r="SV165" s="23"/>
      <c r="SW165" s="23"/>
      <c r="SX165" s="23"/>
      <c r="SY165" s="23"/>
      <c r="SZ165" s="23"/>
      <c r="TA165" s="23"/>
      <c r="TB165" s="23"/>
      <c r="TC165" s="23"/>
      <c r="TD165" s="23"/>
      <c r="TE165" s="23"/>
      <c r="TF165" s="23"/>
      <c r="TG165" s="23"/>
      <c r="TH165" s="23"/>
      <c r="TI165" s="23"/>
      <c r="TJ165" s="23"/>
      <c r="TK165" s="23"/>
      <c r="TL165" s="23"/>
      <c r="TM165" s="23"/>
      <c r="TN165" s="23"/>
      <c r="TO165" s="23"/>
      <c r="TP165" s="23"/>
      <c r="TQ165" s="23"/>
      <c r="TR165" s="23"/>
      <c r="TS165" s="23"/>
      <c r="TT165" s="23"/>
      <c r="TU165" s="23"/>
      <c r="TV165" s="23"/>
      <c r="TW165" s="23"/>
      <c r="TX165" s="23"/>
      <c r="TY165" s="23"/>
      <c r="TZ165" s="23"/>
      <c r="UA165" s="23"/>
      <c r="UB165" s="23"/>
      <c r="UC165" s="23"/>
      <c r="UD165" s="23"/>
      <c r="UE165" s="23"/>
      <c r="UF165" s="23"/>
      <c r="UG165" s="23"/>
      <c r="UH165" s="23"/>
      <c r="UI165" s="23"/>
      <c r="UJ165" s="23"/>
      <c r="UK165" s="23"/>
      <c r="UL165" s="23"/>
      <c r="UM165" s="23"/>
      <c r="UN165" s="23"/>
      <c r="UO165" s="23"/>
      <c r="UP165" s="23"/>
      <c r="UQ165" s="23"/>
      <c r="UR165" s="23"/>
      <c r="US165" s="23"/>
      <c r="UT165" s="23"/>
    </row>
    <row r="166" spans="4:566">
      <c r="D166" t="s">
        <v>255</v>
      </c>
      <c r="E166" t="s">
        <v>256</v>
      </c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>
        <v>-9.8</v>
      </c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>
        <v>-9.9</v>
      </c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1"/>
      <c r="DL166" s="31"/>
      <c r="DM166" s="31"/>
      <c r="DN166" s="31"/>
      <c r="DO166" s="31"/>
      <c r="DP166" s="31"/>
      <c r="DQ166" s="31"/>
      <c r="DR166" s="31"/>
      <c r="DS166" s="31"/>
      <c r="DT166" s="31"/>
      <c r="DU166" s="31"/>
      <c r="DV166" s="31">
        <v>-10.3</v>
      </c>
      <c r="DW166" s="31"/>
      <c r="DX166" s="31"/>
      <c r="DY166" s="31"/>
      <c r="DZ166" s="31"/>
      <c r="EA166" s="31"/>
      <c r="EB166" s="31"/>
      <c r="EC166" s="31"/>
      <c r="ED166" s="31"/>
      <c r="EE166" s="31"/>
      <c r="EF166" s="31"/>
      <c r="EG166" s="31"/>
      <c r="EH166" s="31"/>
      <c r="EI166" s="31"/>
      <c r="EJ166" s="31"/>
      <c r="EK166" s="31"/>
      <c r="EL166" s="31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1"/>
      <c r="EZ166" s="31"/>
      <c r="FA166" s="31">
        <v>-10.7</v>
      </c>
      <c r="FB166" s="31"/>
      <c r="FC166" s="31"/>
      <c r="FD166" s="31"/>
      <c r="FE166" s="31"/>
      <c r="FF166" s="31"/>
      <c r="FG166" s="31"/>
      <c r="FH166" s="31"/>
      <c r="FI166" s="31"/>
      <c r="FJ166" s="31"/>
      <c r="FK166" s="31"/>
      <c r="FL166" s="31"/>
      <c r="FM166" s="31"/>
      <c r="FN166" s="31"/>
      <c r="FO166" s="31"/>
      <c r="FP166" s="31"/>
      <c r="FQ166" s="31"/>
      <c r="FR166" s="31"/>
      <c r="FS166" s="31"/>
      <c r="FT166" s="31"/>
      <c r="FU166" s="31"/>
      <c r="FV166" s="31"/>
      <c r="FW166" s="31"/>
      <c r="FX166" s="31"/>
      <c r="FY166" s="31"/>
      <c r="FZ166" s="31"/>
      <c r="GA166" s="31"/>
      <c r="GB166" s="31"/>
      <c r="GC166" s="31"/>
      <c r="GD166" s="31"/>
      <c r="GE166" s="31">
        <v>-11.2</v>
      </c>
      <c r="GF166" s="31"/>
      <c r="GG166" s="31"/>
      <c r="GH166" s="31"/>
      <c r="GI166" s="31"/>
      <c r="GJ166" s="31"/>
      <c r="GK166" s="31"/>
      <c r="GL166" s="31"/>
      <c r="GM166" s="31"/>
      <c r="GN166" s="31"/>
      <c r="GO166" s="31"/>
      <c r="GP166" s="31"/>
      <c r="GQ166" s="31"/>
      <c r="GR166" s="31"/>
      <c r="GS166" s="31"/>
      <c r="GT166" s="31"/>
      <c r="GU166" s="31"/>
      <c r="GV166" s="31"/>
      <c r="GW166" s="31"/>
      <c r="GX166" s="31"/>
      <c r="GY166" s="31"/>
      <c r="GZ166" s="31"/>
      <c r="HA166" s="31"/>
      <c r="HB166" s="31"/>
      <c r="HC166" s="31"/>
      <c r="HD166" s="31"/>
      <c r="HE166" s="31"/>
      <c r="HF166" s="31"/>
      <c r="HG166" s="31"/>
      <c r="HH166" s="31"/>
      <c r="HI166" s="31"/>
      <c r="HJ166" s="31">
        <v>-12</v>
      </c>
      <c r="HK166" s="31"/>
      <c r="HL166" s="31"/>
      <c r="HM166" s="31"/>
      <c r="HN166" s="31"/>
      <c r="HO166" s="31"/>
      <c r="HP166" s="31"/>
      <c r="HQ166" s="31"/>
      <c r="HR166" s="31"/>
      <c r="HS166" s="31"/>
      <c r="HT166" s="31"/>
      <c r="HU166" s="31"/>
      <c r="HV166" s="31"/>
      <c r="HW166" s="31"/>
      <c r="HX166" s="31"/>
      <c r="HY166" s="31"/>
      <c r="HZ166" s="31"/>
      <c r="IA166" s="31"/>
      <c r="IB166" s="31"/>
      <c r="IC166" s="31"/>
      <c r="ID166" s="31"/>
      <c r="IE166" s="31"/>
      <c r="IF166" s="31"/>
      <c r="IG166" s="31"/>
      <c r="IH166" s="31"/>
      <c r="II166" s="31"/>
      <c r="IJ166" s="31"/>
      <c r="IK166" s="31"/>
      <c r="IL166" s="31"/>
      <c r="IM166" s="31"/>
      <c r="IN166" s="31"/>
      <c r="IO166" s="31">
        <v>-12.9</v>
      </c>
      <c r="IP166" s="31"/>
      <c r="IQ166" s="31"/>
      <c r="IR166" s="31"/>
      <c r="IS166" s="31"/>
      <c r="IT166" s="31"/>
      <c r="IU166" s="31"/>
      <c r="IV166" s="31"/>
      <c r="IW166" s="31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  <c r="JN166" s="31"/>
      <c r="JO166" s="31"/>
      <c r="JP166" s="31"/>
      <c r="JQ166" s="31"/>
      <c r="JR166" s="31"/>
      <c r="JS166" s="31">
        <v>-13.9</v>
      </c>
      <c r="JT166" s="31"/>
      <c r="JU166" s="31"/>
      <c r="JV166" s="31"/>
      <c r="JW166" s="31"/>
      <c r="JX166" s="31"/>
      <c r="JY166" s="31"/>
      <c r="JZ166" s="31"/>
      <c r="KA166" s="31"/>
      <c r="KB166" s="31"/>
      <c r="KC166" s="31"/>
      <c r="KD166" s="31"/>
      <c r="KE166" s="31"/>
      <c r="KF166" s="31"/>
      <c r="KG166" s="31"/>
      <c r="KH166" s="31"/>
      <c r="KI166" s="31"/>
      <c r="KJ166" s="31"/>
      <c r="KK166" s="31"/>
      <c r="KL166" s="31"/>
      <c r="KM166" s="31"/>
      <c r="KN166" s="31"/>
      <c r="KO166" s="31"/>
      <c r="KP166" s="31"/>
      <c r="KQ166" s="31"/>
      <c r="KR166" s="31"/>
      <c r="KS166" s="31"/>
      <c r="KT166" s="31"/>
      <c r="KU166" s="31"/>
      <c r="KV166" s="31"/>
      <c r="KW166" s="31"/>
      <c r="KX166" s="31">
        <v>-14.7</v>
      </c>
      <c r="KY166" s="31"/>
      <c r="KZ166" s="31"/>
      <c r="LA166" s="31"/>
      <c r="LB166" s="31"/>
      <c r="LC166" s="31"/>
      <c r="LD166" s="31"/>
      <c r="LE166" s="31"/>
      <c r="LF166" s="31"/>
      <c r="LG166" s="31"/>
      <c r="LH166" s="31"/>
      <c r="LI166" s="31"/>
      <c r="LJ166" s="31"/>
      <c r="LK166" s="31"/>
      <c r="LL166" s="31"/>
      <c r="LM166" s="31"/>
      <c r="LN166" s="31"/>
      <c r="LO166" s="31"/>
      <c r="LP166" s="31"/>
      <c r="LQ166" s="31"/>
      <c r="LR166" s="31"/>
      <c r="LS166" s="31"/>
      <c r="LT166" s="31"/>
      <c r="LU166" s="31"/>
      <c r="LV166" s="31"/>
      <c r="LW166" s="31"/>
      <c r="LX166" s="31"/>
      <c r="LY166" s="31"/>
      <c r="LZ166" s="31"/>
      <c r="MA166" s="31"/>
      <c r="MB166" s="31">
        <v>-15.9</v>
      </c>
      <c r="MC166" s="31"/>
      <c r="MD166" s="31"/>
      <c r="ME166" s="31"/>
      <c r="MF166" s="31"/>
      <c r="MG166" s="31"/>
      <c r="MH166" s="31"/>
      <c r="MI166" s="31"/>
      <c r="MJ166" s="31"/>
      <c r="MK166" s="31"/>
      <c r="ML166" s="31"/>
      <c r="MM166" s="31"/>
      <c r="MN166" s="31"/>
      <c r="MO166" s="31"/>
      <c r="MP166" s="31"/>
      <c r="MQ166" s="31"/>
      <c r="MR166" s="31"/>
      <c r="MS166" s="31"/>
      <c r="MT166" s="31"/>
      <c r="MU166" s="31"/>
      <c r="MV166" s="31"/>
      <c r="MW166" s="31"/>
      <c r="MX166" s="31"/>
      <c r="MY166" s="31"/>
      <c r="MZ166" s="31"/>
      <c r="NA166" s="31"/>
      <c r="NB166" s="31"/>
      <c r="NC166" s="31"/>
      <c r="ND166" s="31"/>
      <c r="NE166" s="31"/>
      <c r="NF166" s="31"/>
      <c r="NG166" s="31">
        <v>-17.2</v>
      </c>
      <c r="NH166" s="31"/>
      <c r="NI166" s="31"/>
      <c r="NJ166" s="31"/>
      <c r="NK166" s="31"/>
      <c r="NL166" s="31"/>
      <c r="NM166" s="31"/>
      <c r="NN166" s="31"/>
      <c r="NO166" s="31"/>
      <c r="NP166" s="31"/>
      <c r="NQ166" s="31"/>
      <c r="NR166" s="31"/>
      <c r="NS166" s="31"/>
      <c r="NT166" s="31"/>
      <c r="NU166" s="31"/>
      <c r="NV166" s="31"/>
      <c r="NW166" s="31"/>
      <c r="NX166" s="31"/>
      <c r="NY166" s="31"/>
      <c r="NZ166" s="31"/>
      <c r="OA166" s="31"/>
      <c r="OB166" s="31"/>
      <c r="OC166" s="31"/>
      <c r="OD166" s="31"/>
      <c r="OE166" s="31"/>
      <c r="OF166" s="31"/>
      <c r="OG166" s="31"/>
      <c r="OH166" s="31"/>
      <c r="OI166" s="31"/>
      <c r="OJ166" s="31"/>
      <c r="OK166" s="31"/>
      <c r="OL166" s="31"/>
      <c r="OM166" s="31"/>
      <c r="ON166" s="31"/>
      <c r="OO166" s="31"/>
      <c r="OP166" s="31"/>
      <c r="OQ166" s="31"/>
      <c r="OR166" s="31"/>
      <c r="OS166" s="31"/>
      <c r="OT166" s="31"/>
      <c r="OU166" s="31"/>
      <c r="OV166" s="31"/>
      <c r="OW166" s="31"/>
      <c r="OX166" s="31"/>
      <c r="OY166" s="31"/>
      <c r="OZ166" s="31"/>
      <c r="PA166" s="31"/>
      <c r="PB166" s="31"/>
      <c r="PC166" s="31"/>
      <c r="PD166" s="31"/>
      <c r="PE166" s="31"/>
      <c r="PF166" s="31"/>
      <c r="PG166" s="31"/>
      <c r="PH166" s="31"/>
      <c r="PI166" s="31"/>
      <c r="PJ166" s="31"/>
      <c r="PK166" s="31"/>
      <c r="PL166" s="31"/>
      <c r="PM166" s="31"/>
      <c r="PN166" s="31">
        <v>-11.1</v>
      </c>
      <c r="PO166" s="31"/>
      <c r="PP166" s="31"/>
      <c r="PQ166" s="31"/>
      <c r="PR166" s="31"/>
      <c r="PS166" s="31"/>
      <c r="PT166" s="31"/>
      <c r="PU166" s="31"/>
      <c r="PV166" s="31"/>
      <c r="PW166" s="31"/>
      <c r="PX166" s="31"/>
      <c r="PY166" s="31"/>
      <c r="PZ166" s="31"/>
      <c r="QA166" s="31"/>
      <c r="QB166" s="31"/>
      <c r="QC166" s="31"/>
      <c r="QD166" s="31"/>
      <c r="QE166" s="31"/>
      <c r="QF166" s="31"/>
      <c r="QG166" s="31"/>
      <c r="QH166" s="31"/>
      <c r="QI166" s="31"/>
      <c r="QJ166" s="31"/>
      <c r="QK166" s="31"/>
      <c r="QL166" s="31"/>
      <c r="QM166" s="31"/>
      <c r="QN166" s="31"/>
      <c r="QO166" s="31"/>
      <c r="QP166" s="31"/>
      <c r="QQ166" s="31"/>
      <c r="QR166" s="31"/>
      <c r="QS166" s="31">
        <v>-11.2</v>
      </c>
      <c r="QT166" s="31"/>
      <c r="QU166" s="31"/>
      <c r="QV166" s="31"/>
      <c r="QW166" s="31"/>
      <c r="QX166" s="31"/>
      <c r="QY166" s="31"/>
      <c r="QZ166" s="31"/>
      <c r="RA166" s="31"/>
      <c r="RB166" s="31"/>
      <c r="RC166" s="31"/>
      <c r="RD166" s="31"/>
      <c r="RE166" s="31"/>
      <c r="RF166" s="31"/>
      <c r="RG166" s="31"/>
      <c r="RH166" s="31"/>
      <c r="RI166" s="31"/>
      <c r="RJ166" s="31"/>
      <c r="RK166" s="31"/>
      <c r="RL166" s="31"/>
      <c r="RM166" s="31"/>
      <c r="RN166" s="31"/>
      <c r="RO166" s="31"/>
      <c r="RP166" s="31"/>
      <c r="RQ166" s="31"/>
      <c r="RR166" s="31"/>
      <c r="RS166" s="31"/>
      <c r="RT166" s="31"/>
      <c r="RU166" s="31"/>
      <c r="RV166" s="31"/>
      <c r="RW166" s="31">
        <v>-13.7</v>
      </c>
      <c r="RX166" s="31"/>
      <c r="RY166" s="31"/>
      <c r="RZ166" s="31"/>
      <c r="SA166" s="31"/>
      <c r="SB166" s="31"/>
      <c r="SC166" s="31"/>
      <c r="SD166" s="31"/>
      <c r="SE166" s="31"/>
      <c r="SF166" s="31"/>
      <c r="SG166" s="31"/>
      <c r="SH166" s="31"/>
      <c r="SI166" s="31"/>
      <c r="SJ166" s="31"/>
      <c r="SK166" s="31"/>
      <c r="SL166" s="31"/>
      <c r="SM166" s="31"/>
      <c r="SN166" s="31"/>
      <c r="SO166" s="31"/>
      <c r="SP166" s="31"/>
      <c r="SQ166" s="31"/>
      <c r="SR166" s="31"/>
      <c r="SS166" s="31"/>
      <c r="ST166" s="23"/>
      <c r="SU166" s="23"/>
      <c r="SV166" s="23"/>
      <c r="SW166" s="23"/>
      <c r="SX166" s="23"/>
      <c r="SY166" s="23"/>
      <c r="SZ166" s="23"/>
      <c r="TA166" s="23"/>
      <c r="TB166" s="23">
        <v>-16.2</v>
      </c>
      <c r="TC166" s="23"/>
      <c r="TD166" s="23"/>
      <c r="TE166" s="23"/>
      <c r="TF166" s="23"/>
      <c r="TG166" s="23"/>
      <c r="TH166" s="23"/>
      <c r="TI166" s="23"/>
      <c r="TJ166" s="23"/>
      <c r="TK166" s="23"/>
      <c r="TL166" s="23"/>
      <c r="TM166" s="23"/>
      <c r="TN166" s="23"/>
      <c r="TO166" s="23"/>
      <c r="TP166" s="23"/>
      <c r="TQ166" s="23"/>
      <c r="TR166" s="23"/>
      <c r="TS166" s="23"/>
      <c r="TT166" s="23"/>
      <c r="TU166" s="23"/>
      <c r="TV166" s="23"/>
      <c r="TW166" s="23"/>
      <c r="TX166" s="23"/>
      <c r="TY166" s="23"/>
      <c r="TZ166" s="23"/>
      <c r="UA166" s="23"/>
      <c r="UB166" s="23"/>
      <c r="UC166" s="23"/>
      <c r="UD166" s="23"/>
      <c r="UE166" s="23"/>
      <c r="UF166" s="23"/>
      <c r="UG166" s="23"/>
      <c r="UH166" s="23"/>
      <c r="UI166" s="23"/>
      <c r="UJ166" s="23"/>
      <c r="UK166" s="23"/>
      <c r="UL166" s="23"/>
      <c r="UM166" s="23"/>
      <c r="UN166" s="23"/>
      <c r="UO166" s="23"/>
      <c r="UP166" s="23"/>
      <c r="UQ166" s="23"/>
      <c r="UR166" s="23"/>
      <c r="US166" s="23"/>
      <c r="UT166" s="23"/>
    </row>
    <row r="167" spans="4:566">
      <c r="D167" t="s">
        <v>257</v>
      </c>
      <c r="E167" t="s">
        <v>258</v>
      </c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>
        <v>12.4</v>
      </c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>
        <v>2.3</v>
      </c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>
        <v>4.5</v>
      </c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  <c r="DI167" s="31"/>
      <c r="DJ167" s="31"/>
      <c r="DK167" s="31"/>
      <c r="DL167" s="31"/>
      <c r="DM167" s="31"/>
      <c r="DN167" s="31"/>
      <c r="DO167" s="31"/>
      <c r="DP167" s="31"/>
      <c r="DQ167" s="31"/>
      <c r="DR167" s="31"/>
      <c r="DS167" s="31"/>
      <c r="DT167" s="31"/>
      <c r="DU167" s="31"/>
      <c r="DV167" s="31">
        <v>-2.5</v>
      </c>
      <c r="DW167" s="31"/>
      <c r="DX167" s="31"/>
      <c r="DY167" s="31"/>
      <c r="DZ167" s="31"/>
      <c r="EA167" s="31"/>
      <c r="EB167" s="31"/>
      <c r="EC167" s="31"/>
      <c r="ED167" s="31"/>
      <c r="EE167" s="31"/>
      <c r="EF167" s="31"/>
      <c r="EG167" s="31"/>
      <c r="EH167" s="31"/>
      <c r="EI167" s="31"/>
      <c r="EJ167" s="31"/>
      <c r="EK167" s="31"/>
      <c r="EL167" s="31"/>
      <c r="EM167" s="31"/>
      <c r="EN167" s="31"/>
      <c r="EO167" s="31"/>
      <c r="EP167" s="31"/>
      <c r="EQ167" s="31"/>
      <c r="ER167" s="31"/>
      <c r="ES167" s="31"/>
      <c r="ET167" s="31"/>
      <c r="EU167" s="31"/>
      <c r="EV167" s="31"/>
      <c r="EW167" s="31"/>
      <c r="EX167" s="31"/>
      <c r="EY167" s="31"/>
      <c r="EZ167" s="31"/>
      <c r="FA167" s="31">
        <v>-9.7</v>
      </c>
      <c r="FB167" s="31"/>
      <c r="FC167" s="31"/>
      <c r="FD167" s="31"/>
      <c r="FE167" s="31"/>
      <c r="FF167" s="31"/>
      <c r="FG167" s="31"/>
      <c r="FH167" s="31"/>
      <c r="FI167" s="31"/>
      <c r="FJ167" s="31"/>
      <c r="FK167" s="31"/>
      <c r="FL167" s="31"/>
      <c r="FM167" s="31"/>
      <c r="FN167" s="31"/>
      <c r="FO167" s="31"/>
      <c r="FP167" s="31"/>
      <c r="FQ167" s="31"/>
      <c r="FR167" s="31"/>
      <c r="FS167" s="31"/>
      <c r="FT167" s="31"/>
      <c r="FU167" s="31"/>
      <c r="FV167" s="31"/>
      <c r="FW167" s="31"/>
      <c r="FX167" s="31"/>
      <c r="FY167" s="31"/>
      <c r="FZ167" s="31"/>
      <c r="GA167" s="31"/>
      <c r="GB167" s="31"/>
      <c r="GC167" s="31"/>
      <c r="GD167" s="31"/>
      <c r="GE167" s="31">
        <v>-10.9</v>
      </c>
      <c r="GF167" s="31"/>
      <c r="GG167" s="31"/>
      <c r="GH167" s="31"/>
      <c r="GI167" s="31"/>
      <c r="GJ167" s="31"/>
      <c r="GK167" s="31"/>
      <c r="GL167" s="31"/>
      <c r="GM167" s="31"/>
      <c r="GN167" s="31"/>
      <c r="GO167" s="31"/>
      <c r="GP167" s="31"/>
      <c r="GQ167" s="31"/>
      <c r="GR167" s="31"/>
      <c r="GS167" s="31"/>
      <c r="GT167" s="31"/>
      <c r="GU167" s="31"/>
      <c r="GV167" s="31"/>
      <c r="GW167" s="31"/>
      <c r="GX167" s="31"/>
      <c r="GY167" s="31"/>
      <c r="GZ167" s="31"/>
      <c r="HA167" s="31"/>
      <c r="HB167" s="31"/>
      <c r="HC167" s="31"/>
      <c r="HD167" s="31"/>
      <c r="HE167" s="31"/>
      <c r="HF167" s="31"/>
      <c r="HG167" s="31"/>
      <c r="HH167" s="31"/>
      <c r="HI167" s="31"/>
      <c r="HJ167" s="31">
        <v>-12.6</v>
      </c>
      <c r="HK167" s="31"/>
      <c r="HL167" s="31"/>
      <c r="HM167" s="31"/>
      <c r="HN167" s="31"/>
      <c r="HO167" s="31"/>
      <c r="HP167" s="31"/>
      <c r="HQ167" s="31"/>
      <c r="HR167" s="31"/>
      <c r="HS167" s="31"/>
      <c r="HT167" s="31"/>
      <c r="HU167" s="31"/>
      <c r="HV167" s="31"/>
      <c r="HW167" s="31"/>
      <c r="HX167" s="31"/>
      <c r="HY167" s="31"/>
      <c r="HZ167" s="31"/>
      <c r="IA167" s="31"/>
      <c r="IB167" s="31"/>
      <c r="IC167" s="31"/>
      <c r="ID167" s="31"/>
      <c r="IE167" s="31"/>
      <c r="IF167" s="31"/>
      <c r="IG167" s="31"/>
      <c r="IH167" s="31"/>
      <c r="II167" s="31"/>
      <c r="IJ167" s="31"/>
      <c r="IK167" s="31"/>
      <c r="IL167" s="31"/>
      <c r="IM167" s="31"/>
      <c r="IN167" s="31"/>
      <c r="IO167" s="31">
        <v>-15.5</v>
      </c>
      <c r="IP167" s="31"/>
      <c r="IQ167" s="31"/>
      <c r="IR167" s="31"/>
      <c r="IS167" s="31"/>
      <c r="IT167" s="31"/>
      <c r="IU167" s="31"/>
      <c r="IV167" s="31"/>
      <c r="IW167" s="31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  <c r="JH167" s="31"/>
      <c r="JI167" s="31"/>
      <c r="JJ167" s="31"/>
      <c r="JK167" s="31"/>
      <c r="JL167" s="31"/>
      <c r="JM167" s="31"/>
      <c r="JN167" s="31"/>
      <c r="JO167" s="31"/>
      <c r="JP167" s="31"/>
      <c r="JQ167" s="31"/>
      <c r="JR167" s="31"/>
      <c r="JS167" s="31">
        <v>-16.9</v>
      </c>
      <c r="JT167" s="31"/>
      <c r="JU167" s="31"/>
      <c r="JV167" s="31"/>
      <c r="JW167" s="31"/>
      <c r="JX167" s="31"/>
      <c r="JY167" s="31"/>
      <c r="JZ167" s="31"/>
      <c r="KA167" s="31"/>
      <c r="KB167" s="31"/>
      <c r="KC167" s="31"/>
      <c r="KD167" s="31"/>
      <c r="KE167" s="31"/>
      <c r="KF167" s="31"/>
      <c r="KG167" s="31"/>
      <c r="KH167" s="31"/>
      <c r="KI167" s="31"/>
      <c r="KJ167" s="31"/>
      <c r="KK167" s="31"/>
      <c r="KL167" s="31"/>
      <c r="KM167" s="31"/>
      <c r="KN167" s="31"/>
      <c r="KO167" s="31"/>
      <c r="KP167" s="31"/>
      <c r="KQ167" s="31"/>
      <c r="KR167" s="31"/>
      <c r="KS167" s="31"/>
      <c r="KT167" s="31"/>
      <c r="KU167" s="31"/>
      <c r="KV167" s="31"/>
      <c r="KW167" s="31"/>
      <c r="KX167" s="31">
        <v>-17.8</v>
      </c>
      <c r="KY167" s="31"/>
      <c r="KZ167" s="31"/>
      <c r="LA167" s="31"/>
      <c r="LB167" s="31"/>
      <c r="LC167" s="31"/>
      <c r="LD167" s="31"/>
      <c r="LE167" s="31"/>
      <c r="LF167" s="31"/>
      <c r="LG167" s="31"/>
      <c r="LH167" s="31"/>
      <c r="LI167" s="31"/>
      <c r="LJ167" s="31"/>
      <c r="LK167" s="31"/>
      <c r="LL167" s="31"/>
      <c r="LM167" s="31"/>
      <c r="LN167" s="31"/>
      <c r="LO167" s="31"/>
      <c r="LP167" s="31"/>
      <c r="LQ167" s="31"/>
      <c r="LR167" s="31"/>
      <c r="LS167" s="31"/>
      <c r="LT167" s="31"/>
      <c r="LU167" s="31"/>
      <c r="LV167" s="31"/>
      <c r="LW167" s="31"/>
      <c r="LX167" s="31"/>
      <c r="LY167" s="31"/>
      <c r="LZ167" s="31"/>
      <c r="MA167" s="31"/>
      <c r="MB167" s="31">
        <v>-18.9</v>
      </c>
      <c r="MC167" s="31"/>
      <c r="MD167" s="31"/>
      <c r="ME167" s="31"/>
      <c r="MF167" s="31"/>
      <c r="MG167" s="31"/>
      <c r="MH167" s="31"/>
      <c r="MI167" s="31"/>
      <c r="MJ167" s="31"/>
      <c r="MK167" s="31"/>
      <c r="ML167" s="31"/>
      <c r="MM167" s="31"/>
      <c r="MN167" s="31"/>
      <c r="MO167" s="31"/>
      <c r="MP167" s="31"/>
      <c r="MQ167" s="31"/>
      <c r="MR167" s="31"/>
      <c r="MS167" s="31"/>
      <c r="MT167" s="31"/>
      <c r="MU167" s="31"/>
      <c r="MV167" s="31"/>
      <c r="MW167" s="31"/>
      <c r="MX167" s="31"/>
      <c r="MY167" s="31"/>
      <c r="MZ167" s="31"/>
      <c r="NA167" s="31"/>
      <c r="NB167" s="31"/>
      <c r="NC167" s="31"/>
      <c r="ND167" s="31"/>
      <c r="NE167" s="31"/>
      <c r="NF167" s="31"/>
      <c r="NG167" s="31">
        <v>-20</v>
      </c>
      <c r="NH167" s="31"/>
      <c r="NI167" s="31"/>
      <c r="NJ167" s="31"/>
      <c r="NK167" s="31"/>
      <c r="NL167" s="31"/>
      <c r="NM167" s="31"/>
      <c r="NN167" s="31"/>
      <c r="NO167" s="31"/>
      <c r="NP167" s="31"/>
      <c r="NQ167" s="31"/>
      <c r="NR167" s="31"/>
      <c r="NS167" s="31"/>
      <c r="NT167" s="31"/>
      <c r="NU167" s="31"/>
      <c r="NV167" s="31"/>
      <c r="NW167" s="31"/>
      <c r="NX167" s="31"/>
      <c r="NY167" s="31"/>
      <c r="NZ167" s="31"/>
      <c r="OA167" s="31"/>
      <c r="OB167" s="31"/>
      <c r="OC167" s="31"/>
      <c r="OD167" s="31"/>
      <c r="OE167" s="31"/>
      <c r="OF167" s="31"/>
      <c r="OG167" s="31"/>
      <c r="OH167" s="31"/>
      <c r="OI167" s="31"/>
      <c r="OJ167" s="31"/>
      <c r="OK167" s="31"/>
      <c r="OL167" s="31">
        <v>-23</v>
      </c>
      <c r="OM167" s="31"/>
      <c r="ON167" s="31"/>
      <c r="OO167" s="31"/>
      <c r="OP167" s="31"/>
      <c r="OQ167" s="31"/>
      <c r="OR167" s="31"/>
      <c r="OS167" s="31"/>
      <c r="OT167" s="31"/>
      <c r="OU167" s="31"/>
      <c r="OV167" s="31"/>
      <c r="OW167" s="31"/>
      <c r="OX167" s="31"/>
      <c r="OY167" s="31"/>
      <c r="OZ167" s="31"/>
      <c r="PA167" s="31"/>
      <c r="PB167" s="31"/>
      <c r="PC167" s="31"/>
      <c r="PD167" s="31"/>
      <c r="PE167" s="31"/>
      <c r="PF167" s="31"/>
      <c r="PG167" s="31"/>
      <c r="PH167" s="31"/>
      <c r="PI167" s="31"/>
      <c r="PJ167" s="31"/>
      <c r="PK167" s="31"/>
      <c r="PL167" s="31"/>
      <c r="PM167" s="31"/>
      <c r="PN167" s="31">
        <v>-11</v>
      </c>
      <c r="PO167" s="31"/>
      <c r="PP167" s="31"/>
      <c r="PQ167" s="31"/>
      <c r="PR167" s="31"/>
      <c r="PS167" s="31"/>
      <c r="PT167" s="31"/>
      <c r="PU167" s="31"/>
      <c r="PV167" s="31"/>
      <c r="PW167" s="31"/>
      <c r="PX167" s="31"/>
      <c r="PY167" s="31"/>
      <c r="PZ167" s="31"/>
      <c r="QA167" s="31"/>
      <c r="QB167" s="31"/>
      <c r="QC167" s="31"/>
      <c r="QD167" s="31"/>
      <c r="QE167" s="31"/>
      <c r="QF167" s="31"/>
      <c r="QG167" s="31"/>
      <c r="QH167" s="31"/>
      <c r="QI167" s="31"/>
      <c r="QJ167" s="31"/>
      <c r="QK167" s="31"/>
      <c r="QL167" s="31"/>
      <c r="QM167" s="31"/>
      <c r="QN167" s="31"/>
      <c r="QO167" s="31"/>
      <c r="QP167" s="31"/>
      <c r="QQ167" s="31"/>
      <c r="QR167" s="31"/>
      <c r="QS167" s="31">
        <v>-16.3</v>
      </c>
      <c r="QT167" s="31"/>
      <c r="QU167" s="31"/>
      <c r="QV167" s="31"/>
      <c r="QW167" s="31"/>
      <c r="QX167" s="31"/>
      <c r="QY167" s="31"/>
      <c r="QZ167" s="31"/>
      <c r="RA167" s="31"/>
      <c r="RB167" s="31"/>
      <c r="RC167" s="31"/>
      <c r="RD167" s="31"/>
      <c r="RE167" s="31"/>
      <c r="RF167" s="31"/>
      <c r="RG167" s="31"/>
      <c r="RH167" s="31"/>
      <c r="RI167" s="31"/>
      <c r="RJ167" s="31"/>
      <c r="RK167" s="31"/>
      <c r="RL167" s="31"/>
      <c r="RM167" s="31"/>
      <c r="RN167" s="31"/>
      <c r="RO167" s="31"/>
      <c r="RP167" s="31"/>
      <c r="RQ167" s="31"/>
      <c r="RR167" s="31"/>
      <c r="RS167" s="31"/>
      <c r="RT167" s="31"/>
      <c r="RU167" s="31"/>
      <c r="RV167" s="31"/>
      <c r="RW167" s="31">
        <v>-10.2</v>
      </c>
      <c r="RX167" s="31"/>
      <c r="RY167" s="31"/>
      <c r="RZ167" s="31"/>
      <c r="SA167" s="31"/>
      <c r="SB167" s="31"/>
      <c r="SC167" s="31"/>
      <c r="SD167" s="31"/>
      <c r="SE167" s="31"/>
      <c r="SF167" s="31"/>
      <c r="SG167" s="31"/>
      <c r="SH167" s="31"/>
      <c r="SI167" s="31"/>
      <c r="SJ167" s="31"/>
      <c r="SK167" s="31"/>
      <c r="SL167" s="31"/>
      <c r="SM167" s="31"/>
      <c r="SN167" s="31"/>
      <c r="SO167" s="31"/>
      <c r="SP167" s="31"/>
      <c r="SQ167" s="31"/>
      <c r="SR167" s="31"/>
      <c r="SS167" s="31"/>
      <c r="ST167" s="23"/>
      <c r="SU167" s="23"/>
      <c r="SV167" s="23"/>
      <c r="SW167" s="23"/>
      <c r="SX167" s="23"/>
      <c r="SY167" s="23"/>
      <c r="SZ167" s="23"/>
      <c r="TA167" s="23"/>
      <c r="TB167" s="23">
        <v>-2.7</v>
      </c>
      <c r="TC167" s="23"/>
      <c r="TD167" s="23"/>
      <c r="TE167" s="23"/>
      <c r="TF167" s="23"/>
      <c r="TG167" s="23"/>
      <c r="TH167" s="23"/>
      <c r="TI167" s="23"/>
      <c r="TJ167" s="23"/>
      <c r="TK167" s="23"/>
      <c r="TL167" s="23"/>
      <c r="TM167" s="23"/>
      <c r="TN167" s="23"/>
      <c r="TO167" s="23"/>
      <c r="TP167" s="23"/>
      <c r="TQ167" s="23"/>
      <c r="TR167" s="23"/>
      <c r="TS167" s="23"/>
      <c r="TT167" s="23"/>
      <c r="TU167" s="23"/>
      <c r="TV167" s="23"/>
      <c r="TW167" s="23"/>
      <c r="TX167" s="23"/>
      <c r="TY167" s="23"/>
      <c r="TZ167" s="23"/>
      <c r="UA167" s="23"/>
      <c r="UB167" s="23"/>
      <c r="UC167" s="23"/>
      <c r="UD167" s="23"/>
      <c r="UE167" s="23"/>
      <c r="UF167" s="23"/>
      <c r="UG167" s="23"/>
      <c r="UH167" s="23"/>
      <c r="UI167" s="23"/>
      <c r="UJ167" s="23"/>
      <c r="UK167" s="23"/>
      <c r="UL167" s="23"/>
      <c r="UM167" s="23"/>
      <c r="UN167" s="23"/>
      <c r="UO167" s="23"/>
      <c r="UP167" s="23"/>
      <c r="UQ167" s="23"/>
      <c r="UR167" s="23"/>
      <c r="US167" s="23"/>
      <c r="UT167" s="23"/>
    </row>
    <row r="168" spans="4:566">
      <c r="D168" t="s">
        <v>259</v>
      </c>
      <c r="E168" t="s">
        <v>260</v>
      </c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>
        <v>4.1</v>
      </c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>
        <v>5.7</v>
      </c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>
        <v>8.1</v>
      </c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  <c r="DI168" s="31"/>
      <c r="DJ168" s="31"/>
      <c r="DK168" s="31"/>
      <c r="DL168" s="31"/>
      <c r="DM168" s="31"/>
      <c r="DN168" s="31"/>
      <c r="DO168" s="31"/>
      <c r="DP168" s="31"/>
      <c r="DQ168" s="31"/>
      <c r="DR168" s="31"/>
      <c r="DS168" s="31"/>
      <c r="DT168" s="31"/>
      <c r="DU168" s="31"/>
      <c r="DV168" s="31">
        <v>11.5</v>
      </c>
      <c r="DW168" s="31"/>
      <c r="DX168" s="31"/>
      <c r="DY168" s="31"/>
      <c r="DZ168" s="31"/>
      <c r="EA168" s="31"/>
      <c r="EB168" s="31"/>
      <c r="EC168" s="31"/>
      <c r="ED168" s="31"/>
      <c r="EE168" s="31"/>
      <c r="EF168" s="31"/>
      <c r="EG168" s="31"/>
      <c r="EH168" s="31"/>
      <c r="EI168" s="31"/>
      <c r="EJ168" s="31"/>
      <c r="EK168" s="31"/>
      <c r="EL168" s="31"/>
      <c r="EM168" s="31"/>
      <c r="EN168" s="31"/>
      <c r="EO168" s="31"/>
      <c r="EP168" s="31"/>
      <c r="EQ168" s="31"/>
      <c r="ER168" s="31"/>
      <c r="ES168" s="31"/>
      <c r="ET168" s="31"/>
      <c r="EU168" s="31"/>
      <c r="EV168" s="31"/>
      <c r="EW168" s="31"/>
      <c r="EX168" s="31"/>
      <c r="EY168" s="31"/>
      <c r="EZ168" s="31"/>
      <c r="FA168" s="31">
        <v>12.2</v>
      </c>
      <c r="FB168" s="31"/>
      <c r="FC168" s="31"/>
      <c r="FD168" s="31"/>
      <c r="FE168" s="31"/>
      <c r="FF168" s="31"/>
      <c r="FG168" s="31"/>
      <c r="FH168" s="31"/>
      <c r="FI168" s="31"/>
      <c r="FJ168" s="31"/>
      <c r="FK168" s="31"/>
      <c r="FL168" s="31"/>
      <c r="FM168" s="31"/>
      <c r="FN168" s="31"/>
      <c r="FO168" s="31"/>
      <c r="FP168" s="31"/>
      <c r="FQ168" s="31"/>
      <c r="FR168" s="31"/>
      <c r="FS168" s="31"/>
      <c r="FT168" s="31"/>
      <c r="FU168" s="31"/>
      <c r="FV168" s="31"/>
      <c r="FW168" s="31"/>
      <c r="FX168" s="31"/>
      <c r="FY168" s="31"/>
      <c r="FZ168" s="31"/>
      <c r="GA168" s="31"/>
      <c r="GB168" s="31"/>
      <c r="GC168" s="31"/>
      <c r="GD168" s="31"/>
      <c r="GE168" s="31">
        <v>13</v>
      </c>
      <c r="GF168" s="31"/>
      <c r="GG168" s="31"/>
      <c r="GH168" s="31"/>
      <c r="GI168" s="31"/>
      <c r="GJ168" s="31"/>
      <c r="GK168" s="31"/>
      <c r="GL168" s="31"/>
      <c r="GM168" s="31"/>
      <c r="GN168" s="31"/>
      <c r="GO168" s="31"/>
      <c r="GP168" s="31"/>
      <c r="GQ168" s="31"/>
      <c r="GR168" s="31"/>
      <c r="GS168" s="31"/>
      <c r="GT168" s="31"/>
      <c r="GU168" s="31"/>
      <c r="GV168" s="31"/>
      <c r="GW168" s="31"/>
      <c r="GX168" s="31"/>
      <c r="GY168" s="31"/>
      <c r="GZ168" s="31"/>
      <c r="HA168" s="31"/>
      <c r="HB168" s="31"/>
      <c r="HC168" s="31"/>
      <c r="HD168" s="31"/>
      <c r="HE168" s="31"/>
      <c r="HF168" s="31"/>
      <c r="HG168" s="31"/>
      <c r="HH168" s="31"/>
      <c r="HI168" s="31"/>
      <c r="HJ168" s="31">
        <v>13.5</v>
      </c>
      <c r="HK168" s="31"/>
      <c r="HL168" s="31"/>
      <c r="HM168" s="31"/>
      <c r="HN168" s="31"/>
      <c r="HO168" s="31"/>
      <c r="HP168" s="31"/>
      <c r="HQ168" s="31"/>
      <c r="HR168" s="31"/>
      <c r="HS168" s="31"/>
      <c r="HT168" s="31"/>
      <c r="HU168" s="31"/>
      <c r="HV168" s="31"/>
      <c r="HW168" s="31"/>
      <c r="HX168" s="31"/>
      <c r="HY168" s="31"/>
      <c r="HZ168" s="31"/>
      <c r="IA168" s="31"/>
      <c r="IB168" s="31"/>
      <c r="IC168" s="31"/>
      <c r="ID168" s="31"/>
      <c r="IE168" s="31"/>
      <c r="IF168" s="31"/>
      <c r="IG168" s="31"/>
      <c r="IH168" s="31"/>
      <c r="II168" s="31"/>
      <c r="IJ168" s="31"/>
      <c r="IK168" s="31"/>
      <c r="IL168" s="31"/>
      <c r="IM168" s="31"/>
      <c r="IN168" s="31"/>
      <c r="IO168" s="31">
        <v>14.6</v>
      </c>
      <c r="IP168" s="31"/>
      <c r="IQ168" s="31"/>
      <c r="IR168" s="31"/>
      <c r="IS168" s="31"/>
      <c r="IT168" s="31"/>
      <c r="IU168" s="31"/>
      <c r="IV168" s="31"/>
      <c r="IW168" s="31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  <c r="JH168" s="31"/>
      <c r="JI168" s="31"/>
      <c r="JJ168" s="31"/>
      <c r="JK168" s="31"/>
      <c r="JL168" s="31"/>
      <c r="JM168" s="31"/>
      <c r="JN168" s="31"/>
      <c r="JO168" s="31"/>
      <c r="JP168" s="31"/>
      <c r="JQ168" s="31"/>
      <c r="JR168" s="31"/>
      <c r="JS168" s="31">
        <v>14.7</v>
      </c>
      <c r="JT168" s="31"/>
      <c r="JU168" s="31"/>
      <c r="JV168" s="31"/>
      <c r="JW168" s="31"/>
      <c r="JX168" s="31"/>
      <c r="JY168" s="31"/>
      <c r="JZ168" s="31"/>
      <c r="KA168" s="31"/>
      <c r="KB168" s="31"/>
      <c r="KC168" s="31"/>
      <c r="KD168" s="31"/>
      <c r="KE168" s="31"/>
      <c r="KF168" s="31"/>
      <c r="KG168" s="31"/>
      <c r="KH168" s="31"/>
      <c r="KI168" s="31"/>
      <c r="KJ168" s="31"/>
      <c r="KK168" s="31"/>
      <c r="KL168" s="31"/>
      <c r="KM168" s="31"/>
      <c r="KN168" s="31"/>
      <c r="KO168" s="31"/>
      <c r="KP168" s="31"/>
      <c r="KQ168" s="31"/>
      <c r="KR168" s="31"/>
      <c r="KS168" s="31"/>
      <c r="KT168" s="31"/>
      <c r="KU168" s="31"/>
      <c r="KV168" s="31"/>
      <c r="KW168" s="31"/>
      <c r="KX168" s="31">
        <v>14.3</v>
      </c>
      <c r="KY168" s="31"/>
      <c r="KZ168" s="31"/>
      <c r="LA168" s="31"/>
      <c r="LB168" s="31"/>
      <c r="LC168" s="31"/>
      <c r="LD168" s="31"/>
      <c r="LE168" s="31"/>
      <c r="LF168" s="31"/>
      <c r="LG168" s="31"/>
      <c r="LH168" s="31"/>
      <c r="LI168" s="31"/>
      <c r="LJ168" s="31"/>
      <c r="LK168" s="31"/>
      <c r="LL168" s="31"/>
      <c r="LM168" s="31"/>
      <c r="LN168" s="31"/>
      <c r="LO168" s="31"/>
      <c r="LP168" s="31"/>
      <c r="LQ168" s="31"/>
      <c r="LR168" s="31"/>
      <c r="LS168" s="31"/>
      <c r="LT168" s="31"/>
      <c r="LU168" s="31"/>
      <c r="LV168" s="31"/>
      <c r="LW168" s="31"/>
      <c r="LX168" s="31"/>
      <c r="LY168" s="31"/>
      <c r="LZ168" s="31"/>
      <c r="MA168" s="31"/>
      <c r="MB168" s="31">
        <v>13.7</v>
      </c>
      <c r="MC168" s="31"/>
      <c r="MD168" s="31"/>
      <c r="ME168" s="31"/>
      <c r="MF168" s="31"/>
      <c r="MG168" s="31"/>
      <c r="MH168" s="31"/>
      <c r="MI168" s="31"/>
      <c r="MJ168" s="31"/>
      <c r="MK168" s="31"/>
      <c r="ML168" s="31"/>
      <c r="MM168" s="31"/>
      <c r="MN168" s="31"/>
      <c r="MO168" s="31"/>
      <c r="MP168" s="31"/>
      <c r="MQ168" s="31"/>
      <c r="MR168" s="31"/>
      <c r="MS168" s="31"/>
      <c r="MT168" s="31"/>
      <c r="MU168" s="31"/>
      <c r="MV168" s="31"/>
      <c r="MW168" s="31"/>
      <c r="MX168" s="31"/>
      <c r="MY168" s="31"/>
      <c r="MZ168" s="31"/>
      <c r="NA168" s="31"/>
      <c r="NB168" s="31"/>
      <c r="NC168" s="31"/>
      <c r="ND168" s="31"/>
      <c r="NE168" s="31"/>
      <c r="NF168" s="31"/>
      <c r="NG168" s="31">
        <v>13.4</v>
      </c>
      <c r="NH168" s="31"/>
      <c r="NI168" s="31"/>
      <c r="NJ168" s="31"/>
      <c r="NK168" s="31"/>
      <c r="NL168" s="31"/>
      <c r="NM168" s="31"/>
      <c r="NN168" s="31"/>
      <c r="NO168" s="31"/>
      <c r="NP168" s="31"/>
      <c r="NQ168" s="31"/>
      <c r="NR168" s="31"/>
      <c r="NS168" s="31"/>
      <c r="NT168" s="31"/>
      <c r="NU168" s="31"/>
      <c r="NV168" s="31"/>
      <c r="NW168" s="31"/>
      <c r="NX168" s="31"/>
      <c r="NY168" s="31"/>
      <c r="NZ168" s="31"/>
      <c r="OA168" s="31"/>
      <c r="OB168" s="31"/>
      <c r="OC168" s="31"/>
      <c r="OD168" s="31"/>
      <c r="OE168" s="31"/>
      <c r="OF168" s="31"/>
      <c r="OG168" s="31"/>
      <c r="OH168" s="31"/>
      <c r="OI168" s="31"/>
      <c r="OJ168" s="31"/>
      <c r="OK168" s="31"/>
      <c r="OL168" s="31">
        <v>22.7</v>
      </c>
      <c r="OM168" s="31"/>
      <c r="ON168" s="31"/>
      <c r="OO168" s="31"/>
      <c r="OP168" s="31"/>
      <c r="OQ168" s="31"/>
      <c r="OR168" s="31"/>
      <c r="OS168" s="31"/>
      <c r="OT168" s="31"/>
      <c r="OU168" s="31"/>
      <c r="OV168" s="31"/>
      <c r="OW168" s="31"/>
      <c r="OX168" s="31"/>
      <c r="OY168" s="31"/>
      <c r="OZ168" s="31"/>
      <c r="PA168" s="31"/>
      <c r="PB168" s="31"/>
      <c r="PC168" s="31"/>
      <c r="PD168" s="31"/>
      <c r="PE168" s="31"/>
      <c r="PF168" s="31"/>
      <c r="PG168" s="31"/>
      <c r="PH168" s="31"/>
      <c r="PI168" s="31"/>
      <c r="PJ168" s="31"/>
      <c r="PK168" s="31"/>
      <c r="PL168" s="31"/>
      <c r="PM168" s="31"/>
      <c r="PN168" s="31">
        <v>29.4</v>
      </c>
      <c r="PO168" s="31"/>
      <c r="PP168" s="31"/>
      <c r="PQ168" s="31"/>
      <c r="PR168" s="31"/>
      <c r="PS168" s="31"/>
      <c r="PT168" s="31"/>
      <c r="PU168" s="31"/>
      <c r="PV168" s="31"/>
      <c r="PW168" s="31"/>
      <c r="PX168" s="31"/>
      <c r="PY168" s="31"/>
      <c r="PZ168" s="31"/>
      <c r="QA168" s="31"/>
      <c r="QB168" s="31"/>
      <c r="QC168" s="31"/>
      <c r="QD168" s="31"/>
      <c r="QE168" s="31"/>
      <c r="QF168" s="31"/>
      <c r="QG168" s="31"/>
      <c r="QH168" s="31"/>
      <c r="QI168" s="31"/>
      <c r="QJ168" s="31"/>
      <c r="QK168" s="31"/>
      <c r="QL168" s="31"/>
      <c r="QM168" s="31"/>
      <c r="QN168" s="31"/>
      <c r="QO168" s="31"/>
      <c r="QP168" s="31"/>
      <c r="QQ168" s="31"/>
      <c r="QR168" s="31"/>
      <c r="QS168" s="31">
        <v>20.5</v>
      </c>
      <c r="QT168" s="31"/>
      <c r="QU168" s="31"/>
      <c r="QV168" s="31"/>
      <c r="QW168" s="31"/>
      <c r="QX168" s="31"/>
      <c r="QY168" s="31"/>
      <c r="QZ168" s="31"/>
      <c r="RA168" s="31"/>
      <c r="RB168" s="31"/>
      <c r="RC168" s="31"/>
      <c r="RD168" s="31"/>
      <c r="RE168" s="31"/>
      <c r="RF168" s="31"/>
      <c r="RG168" s="31"/>
      <c r="RH168" s="31"/>
      <c r="RI168" s="31"/>
      <c r="RJ168" s="31"/>
      <c r="RK168" s="31"/>
      <c r="RL168" s="31"/>
      <c r="RM168" s="31"/>
      <c r="RN168" s="31"/>
      <c r="RO168" s="31"/>
      <c r="RP168" s="31"/>
      <c r="RQ168" s="31"/>
      <c r="RR168" s="31"/>
      <c r="RS168" s="31"/>
      <c r="RT168" s="31"/>
      <c r="RU168" s="31"/>
      <c r="RV168" s="31"/>
      <c r="RW168" s="31">
        <v>19.1</v>
      </c>
      <c r="RX168" s="31"/>
      <c r="RY168" s="31"/>
      <c r="RZ168" s="31"/>
      <c r="SA168" s="31"/>
      <c r="SB168" s="31"/>
      <c r="SC168" s="31"/>
      <c r="SD168" s="31"/>
      <c r="SE168" s="31"/>
      <c r="SF168" s="31"/>
      <c r="SG168" s="31"/>
      <c r="SH168" s="31"/>
      <c r="SI168" s="31"/>
      <c r="SJ168" s="31"/>
      <c r="SK168" s="31"/>
      <c r="SL168" s="31"/>
      <c r="SM168" s="31"/>
      <c r="SN168" s="31"/>
      <c r="SO168" s="31"/>
      <c r="SP168" s="31"/>
      <c r="SQ168" s="31"/>
      <c r="SR168" s="31"/>
      <c r="SS168" s="31"/>
      <c r="ST168" s="23"/>
      <c r="SU168" s="23"/>
      <c r="SV168" s="23"/>
      <c r="SW168" s="23"/>
      <c r="SX168" s="23"/>
      <c r="SY168" s="23"/>
      <c r="SZ168" s="23"/>
      <c r="TA168" s="23"/>
      <c r="TB168" s="23">
        <v>20.3</v>
      </c>
      <c r="TC168" s="23"/>
      <c r="TD168" s="23"/>
      <c r="TE168" s="23"/>
      <c r="TF168" s="23"/>
      <c r="TG168" s="23"/>
      <c r="TH168" s="23"/>
      <c r="TI168" s="23"/>
      <c r="TJ168" s="23"/>
      <c r="TK168" s="23"/>
      <c r="TL168" s="23"/>
      <c r="TM168" s="23"/>
      <c r="TN168" s="23"/>
      <c r="TO168" s="23"/>
      <c r="TP168" s="23"/>
      <c r="TQ168" s="23"/>
      <c r="TR168" s="23"/>
      <c r="TS168" s="23"/>
      <c r="TT168" s="23"/>
      <c r="TU168" s="23"/>
      <c r="TV168" s="23"/>
      <c r="TW168" s="23"/>
      <c r="TX168" s="23"/>
      <c r="TY168" s="23"/>
      <c r="TZ168" s="23"/>
      <c r="UA168" s="23"/>
      <c r="UB168" s="23"/>
      <c r="UC168" s="23"/>
      <c r="UD168" s="23"/>
      <c r="UE168" s="23"/>
      <c r="UF168" s="23"/>
      <c r="UG168" s="23"/>
      <c r="UH168" s="23"/>
      <c r="UI168" s="23"/>
      <c r="UJ168" s="23"/>
      <c r="UK168" s="23"/>
      <c r="UL168" s="23"/>
      <c r="UM168" s="23"/>
      <c r="UN168" s="23"/>
      <c r="UO168" s="23"/>
      <c r="UP168" s="23"/>
      <c r="UQ168" s="23"/>
      <c r="UR168" s="23"/>
      <c r="US168" s="23"/>
      <c r="UT168" s="23"/>
    </row>
    <row r="169" spans="4:566">
      <c r="D169" t="s">
        <v>261</v>
      </c>
      <c r="E169" t="s">
        <v>262</v>
      </c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>
        <v>1379.111273</v>
      </c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>
        <v>311.891386</v>
      </c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>
        <v>1019.010772</v>
      </c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  <c r="DI169" s="31"/>
      <c r="DJ169" s="31"/>
      <c r="DK169" s="31"/>
      <c r="DL169" s="31"/>
      <c r="DM169" s="31"/>
      <c r="DN169" s="31"/>
      <c r="DO169" s="31"/>
      <c r="DP169" s="31"/>
      <c r="DQ169" s="31"/>
      <c r="DR169" s="31"/>
      <c r="DS169" s="31"/>
      <c r="DT169" s="31"/>
      <c r="DU169" s="31"/>
      <c r="DV169" s="31">
        <v>958.68334</v>
      </c>
      <c r="DW169" s="31"/>
      <c r="DX169" s="31"/>
      <c r="DY169" s="31"/>
      <c r="DZ169" s="31"/>
      <c r="EA169" s="31"/>
      <c r="EB169" s="31"/>
      <c r="EC169" s="31"/>
      <c r="ED169" s="31"/>
      <c r="EE169" s="31"/>
      <c r="EF169" s="31"/>
      <c r="EG169" s="31"/>
      <c r="EH169" s="31"/>
      <c r="EI169" s="31"/>
      <c r="EJ169" s="31"/>
      <c r="EK169" s="31"/>
      <c r="EL169" s="31"/>
      <c r="EM169" s="31"/>
      <c r="EN169" s="31"/>
      <c r="EO169" s="31"/>
      <c r="EP169" s="31"/>
      <c r="EQ169" s="31"/>
      <c r="ER169" s="31"/>
      <c r="ES169" s="31"/>
      <c r="ET169" s="31"/>
      <c r="EU169" s="31"/>
      <c r="EV169" s="31"/>
      <c r="EW169" s="31"/>
      <c r="EX169" s="31"/>
      <c r="EY169" s="31"/>
      <c r="EZ169" s="31"/>
      <c r="FA169" s="31">
        <v>1027.148378</v>
      </c>
      <c r="FB169" s="31"/>
      <c r="FC169" s="31"/>
      <c r="FD169" s="31"/>
      <c r="FE169" s="31"/>
      <c r="FF169" s="31"/>
      <c r="FG169" s="31"/>
      <c r="FH169" s="31"/>
      <c r="FI169" s="31"/>
      <c r="FJ169" s="31"/>
      <c r="FK169" s="31"/>
      <c r="FL169" s="31"/>
      <c r="FM169" s="31"/>
      <c r="FN169" s="31"/>
      <c r="FO169" s="31"/>
      <c r="FP169" s="31"/>
      <c r="FQ169" s="31"/>
      <c r="FR169" s="31"/>
      <c r="FS169" s="31"/>
      <c r="FT169" s="31"/>
      <c r="FU169" s="31"/>
      <c r="FV169" s="31"/>
      <c r="FW169" s="31"/>
      <c r="FX169" s="31"/>
      <c r="FY169" s="31"/>
      <c r="FZ169" s="31"/>
      <c r="GA169" s="31"/>
      <c r="GB169" s="31"/>
      <c r="GC169" s="31"/>
      <c r="GD169" s="31"/>
      <c r="GE169" s="31">
        <v>1138.401184</v>
      </c>
      <c r="GF169" s="31"/>
      <c r="GG169" s="31"/>
      <c r="GH169" s="31"/>
      <c r="GI169" s="31"/>
      <c r="GJ169" s="31"/>
      <c r="GK169" s="31"/>
      <c r="GL169" s="31"/>
      <c r="GM169" s="31"/>
      <c r="GN169" s="31"/>
      <c r="GO169" s="31"/>
      <c r="GP169" s="31"/>
      <c r="GQ169" s="31"/>
      <c r="GR169" s="31"/>
      <c r="GS169" s="31"/>
      <c r="GT169" s="31"/>
      <c r="GU169" s="31"/>
      <c r="GV169" s="31"/>
      <c r="GW169" s="31"/>
      <c r="GX169" s="31"/>
      <c r="GY169" s="31"/>
      <c r="GZ169" s="31"/>
      <c r="HA169" s="31"/>
      <c r="HB169" s="31"/>
      <c r="HC169" s="31"/>
      <c r="HD169" s="31"/>
      <c r="HE169" s="31"/>
      <c r="HF169" s="31"/>
      <c r="HG169" s="31"/>
      <c r="HH169" s="31"/>
      <c r="HI169" s="31"/>
      <c r="HJ169" s="31">
        <v>974.005908</v>
      </c>
      <c r="HK169" s="31"/>
      <c r="HL169" s="31"/>
      <c r="HM169" s="31"/>
      <c r="HN169" s="31"/>
      <c r="HO169" s="31"/>
      <c r="HP169" s="31"/>
      <c r="HQ169" s="31"/>
      <c r="HR169" s="31"/>
      <c r="HS169" s="31"/>
      <c r="HT169" s="31"/>
      <c r="HU169" s="31"/>
      <c r="HV169" s="31"/>
      <c r="HW169" s="31"/>
      <c r="HX169" s="31"/>
      <c r="HY169" s="31"/>
      <c r="HZ169" s="31"/>
      <c r="IA169" s="31"/>
      <c r="IB169" s="31"/>
      <c r="IC169" s="31"/>
      <c r="ID169" s="31"/>
      <c r="IE169" s="31"/>
      <c r="IF169" s="31"/>
      <c r="IG169" s="31"/>
      <c r="IH169" s="31"/>
      <c r="II169" s="31"/>
      <c r="IJ169" s="31"/>
      <c r="IK169" s="31"/>
      <c r="IL169" s="31"/>
      <c r="IM169" s="31"/>
      <c r="IN169" s="31"/>
      <c r="IO169" s="31">
        <v>1010.875872</v>
      </c>
      <c r="IP169" s="31"/>
      <c r="IQ169" s="31"/>
      <c r="IR169" s="31"/>
      <c r="IS169" s="31"/>
      <c r="IT169" s="31"/>
      <c r="IU169" s="31"/>
      <c r="IV169" s="31"/>
      <c r="IW169" s="31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  <c r="JH169" s="31"/>
      <c r="JI169" s="31"/>
      <c r="JJ169" s="31"/>
      <c r="JK169" s="31"/>
      <c r="JL169" s="31"/>
      <c r="JM169" s="31"/>
      <c r="JN169" s="31"/>
      <c r="JO169" s="31"/>
      <c r="JP169" s="31"/>
      <c r="JQ169" s="31"/>
      <c r="JR169" s="31"/>
      <c r="JS169" s="31">
        <v>887.83009</v>
      </c>
      <c r="JT169" s="31"/>
      <c r="JU169" s="31"/>
      <c r="JV169" s="31"/>
      <c r="JW169" s="31"/>
      <c r="JX169" s="31"/>
      <c r="JY169" s="31"/>
      <c r="JZ169" s="31"/>
      <c r="KA169" s="31"/>
      <c r="KB169" s="31"/>
      <c r="KC169" s="31"/>
      <c r="KD169" s="31"/>
      <c r="KE169" s="31"/>
      <c r="KF169" s="31"/>
      <c r="KG169" s="31"/>
      <c r="KH169" s="31"/>
      <c r="KI169" s="31"/>
      <c r="KJ169" s="31"/>
      <c r="KK169" s="31"/>
      <c r="KL169" s="31"/>
      <c r="KM169" s="31"/>
      <c r="KN169" s="31"/>
      <c r="KO169" s="31"/>
      <c r="KP169" s="31"/>
      <c r="KQ169" s="31"/>
      <c r="KR169" s="31"/>
      <c r="KS169" s="31"/>
      <c r="KT169" s="31"/>
      <c r="KU169" s="31"/>
      <c r="KV169" s="31"/>
      <c r="KW169" s="31"/>
      <c r="KX169" s="31">
        <v>881.348425</v>
      </c>
      <c r="KY169" s="31"/>
      <c r="KZ169" s="31"/>
      <c r="LA169" s="31"/>
      <c r="LB169" s="31"/>
      <c r="LC169" s="31"/>
      <c r="LD169" s="31"/>
      <c r="LE169" s="31"/>
      <c r="LF169" s="31"/>
      <c r="LG169" s="31"/>
      <c r="LH169" s="31"/>
      <c r="LI169" s="31"/>
      <c r="LJ169" s="31"/>
      <c r="LK169" s="31"/>
      <c r="LL169" s="31"/>
      <c r="LM169" s="31"/>
      <c r="LN169" s="31"/>
      <c r="LO169" s="31"/>
      <c r="LP169" s="31"/>
      <c r="LQ169" s="31"/>
      <c r="LR169" s="31"/>
      <c r="LS169" s="31"/>
      <c r="LT169" s="31"/>
      <c r="LU169" s="31"/>
      <c r="LV169" s="31"/>
      <c r="LW169" s="31"/>
      <c r="LX169" s="31"/>
      <c r="LY169" s="31"/>
      <c r="LZ169" s="31"/>
      <c r="MA169" s="31"/>
      <c r="MB169" s="31">
        <v>1100.402882</v>
      </c>
      <c r="MC169" s="31"/>
      <c r="MD169" s="31"/>
      <c r="ME169" s="31"/>
      <c r="MF169" s="31"/>
      <c r="MG169" s="31"/>
      <c r="MH169" s="31"/>
      <c r="MI169" s="31"/>
      <c r="MJ169" s="31"/>
      <c r="MK169" s="31"/>
      <c r="ML169" s="31"/>
      <c r="MM169" s="31"/>
      <c r="MN169" s="31"/>
      <c r="MO169" s="31"/>
      <c r="MP169" s="31"/>
      <c r="MQ169" s="31"/>
      <c r="MR169" s="31"/>
      <c r="MS169" s="31"/>
      <c r="MT169" s="31"/>
      <c r="MU169" s="31"/>
      <c r="MV169" s="31"/>
      <c r="MW169" s="31"/>
      <c r="MX169" s="31"/>
      <c r="MY169" s="31"/>
      <c r="MZ169" s="31"/>
      <c r="NA169" s="31"/>
      <c r="NB169" s="31"/>
      <c r="NC169" s="31"/>
      <c r="ND169" s="31"/>
      <c r="NE169" s="31"/>
      <c r="NF169" s="31"/>
      <c r="NG169" s="31">
        <v>1124.370332</v>
      </c>
      <c r="NH169" s="31"/>
      <c r="NI169" s="31"/>
      <c r="NJ169" s="31"/>
      <c r="NK169" s="31"/>
      <c r="NL169" s="31"/>
      <c r="NM169" s="31"/>
      <c r="NN169" s="31"/>
      <c r="NO169" s="31"/>
      <c r="NP169" s="31"/>
      <c r="NQ169" s="31"/>
      <c r="NR169" s="31"/>
      <c r="NS169" s="31"/>
      <c r="NT169" s="31"/>
      <c r="NU169" s="31"/>
      <c r="NV169" s="31"/>
      <c r="NW169" s="31"/>
      <c r="NX169" s="31"/>
      <c r="NY169" s="31"/>
      <c r="NZ169" s="31"/>
      <c r="OA169" s="31"/>
      <c r="OB169" s="31"/>
      <c r="OC169" s="31"/>
      <c r="OD169" s="31"/>
      <c r="OE169" s="31"/>
      <c r="OF169" s="31"/>
      <c r="OG169" s="31"/>
      <c r="OH169" s="31"/>
      <c r="OI169" s="31"/>
      <c r="OJ169" s="31"/>
      <c r="OK169" s="31"/>
      <c r="OL169" s="31">
        <v>1211.877474</v>
      </c>
      <c r="OM169" s="31"/>
      <c r="ON169" s="31"/>
      <c r="OO169" s="31"/>
      <c r="OP169" s="31"/>
      <c r="OQ169" s="31"/>
      <c r="OR169" s="31"/>
      <c r="OS169" s="31"/>
      <c r="OT169" s="31"/>
      <c r="OU169" s="31"/>
      <c r="OV169" s="31"/>
      <c r="OW169" s="31"/>
      <c r="OX169" s="31"/>
      <c r="OY169" s="31"/>
      <c r="OZ169" s="31"/>
      <c r="PA169" s="31"/>
      <c r="PB169" s="31"/>
      <c r="PC169" s="31"/>
      <c r="PD169" s="31"/>
      <c r="PE169" s="31"/>
      <c r="PF169" s="31"/>
      <c r="PG169" s="31"/>
      <c r="PH169" s="31"/>
      <c r="PI169" s="31"/>
      <c r="PJ169" s="31"/>
      <c r="PK169" s="31"/>
      <c r="PL169" s="31"/>
      <c r="PM169" s="31"/>
      <c r="PN169" s="31">
        <v>902.40835</v>
      </c>
      <c r="PO169" s="31"/>
      <c r="PP169" s="31"/>
      <c r="PQ169" s="31"/>
      <c r="PR169" s="31"/>
      <c r="PS169" s="31"/>
      <c r="PT169" s="31"/>
      <c r="PU169" s="31"/>
      <c r="PV169" s="31"/>
      <c r="PW169" s="31"/>
      <c r="PX169" s="31"/>
      <c r="PY169" s="31"/>
      <c r="PZ169" s="31"/>
      <c r="QA169" s="31"/>
      <c r="QB169" s="31"/>
      <c r="QC169" s="31"/>
      <c r="QD169" s="31"/>
      <c r="QE169" s="31"/>
      <c r="QF169" s="31"/>
      <c r="QG169" s="31"/>
      <c r="QH169" s="31"/>
      <c r="QI169" s="31"/>
      <c r="QJ169" s="31"/>
      <c r="QK169" s="31"/>
      <c r="QL169" s="31"/>
      <c r="QM169" s="31"/>
      <c r="QN169" s="31"/>
      <c r="QO169" s="31"/>
      <c r="QP169" s="31"/>
      <c r="QQ169" s="31"/>
      <c r="QR169" s="31"/>
      <c r="QS169" s="31">
        <v>501.57858</v>
      </c>
      <c r="QT169" s="31"/>
      <c r="QU169" s="31"/>
      <c r="QV169" s="31"/>
      <c r="QW169" s="31"/>
      <c r="QX169" s="31"/>
      <c r="QY169" s="31"/>
      <c r="QZ169" s="31"/>
      <c r="RA169" s="31"/>
      <c r="RB169" s="31"/>
      <c r="RC169" s="31"/>
      <c r="RD169" s="31"/>
      <c r="RE169" s="31"/>
      <c r="RF169" s="31"/>
      <c r="RG169" s="31"/>
      <c r="RH169" s="31"/>
      <c r="RI169" s="31"/>
      <c r="RJ169" s="31"/>
      <c r="RK169" s="31"/>
      <c r="RL169" s="31"/>
      <c r="RM169" s="31"/>
      <c r="RN169" s="31"/>
      <c r="RO169" s="31"/>
      <c r="RP169" s="31"/>
      <c r="RQ169" s="31"/>
      <c r="RR169" s="31"/>
      <c r="RS169" s="31"/>
      <c r="RT169" s="31"/>
      <c r="RU169" s="31"/>
      <c r="RV169" s="31"/>
      <c r="RW169" s="31">
        <v>846.857715</v>
      </c>
      <c r="RX169" s="31"/>
      <c r="RY169" s="31"/>
      <c r="RZ169" s="31"/>
      <c r="SA169" s="31"/>
      <c r="SB169" s="31"/>
      <c r="SC169" s="31"/>
      <c r="SD169" s="31"/>
      <c r="SE169" s="31"/>
      <c r="SF169" s="31"/>
      <c r="SG169" s="31"/>
      <c r="SH169" s="31"/>
      <c r="SI169" s="31"/>
      <c r="SJ169" s="31"/>
      <c r="SK169" s="31"/>
      <c r="SL169" s="31"/>
      <c r="SM169" s="31"/>
      <c r="SN169" s="31"/>
      <c r="SO169" s="31"/>
      <c r="SP169" s="31"/>
      <c r="SQ169" s="31"/>
      <c r="SR169" s="31"/>
      <c r="SS169" s="31"/>
      <c r="ST169" s="23"/>
      <c r="SU169" s="23"/>
      <c r="SV169" s="23"/>
      <c r="SW169" s="23"/>
      <c r="SX169" s="23"/>
      <c r="SY169" s="23"/>
      <c r="SZ169" s="23"/>
      <c r="TA169" s="23"/>
      <c r="TB169" s="23">
        <v>1054.335842</v>
      </c>
      <c r="TC169" s="23"/>
      <c r="TD169" s="23"/>
      <c r="TE169" s="23"/>
      <c r="TF169" s="23"/>
      <c r="TG169" s="23"/>
      <c r="TH169" s="23"/>
      <c r="TI169" s="23"/>
      <c r="TJ169" s="23"/>
      <c r="TK169" s="23"/>
      <c r="TL169" s="23"/>
      <c r="TM169" s="23"/>
      <c r="TN169" s="23"/>
      <c r="TO169" s="23"/>
      <c r="TP169" s="23"/>
      <c r="TQ169" s="23"/>
      <c r="TR169" s="23"/>
      <c r="TS169" s="23"/>
      <c r="TT169" s="23"/>
      <c r="TU169" s="23"/>
      <c r="TV169" s="23"/>
      <c r="TW169" s="23"/>
      <c r="TX169" s="23"/>
      <c r="TY169" s="23"/>
      <c r="TZ169" s="23"/>
      <c r="UA169" s="23"/>
      <c r="UB169" s="23"/>
      <c r="UC169" s="23"/>
      <c r="UD169" s="23"/>
      <c r="UE169" s="23"/>
      <c r="UF169" s="23"/>
      <c r="UG169" s="23"/>
      <c r="UH169" s="23"/>
      <c r="UI169" s="23"/>
      <c r="UJ169" s="23"/>
      <c r="UK169" s="23"/>
      <c r="UL169" s="23"/>
      <c r="UM169" s="23"/>
      <c r="UN169" s="23"/>
      <c r="UO169" s="23"/>
      <c r="UP169" s="23"/>
      <c r="UQ169" s="23"/>
      <c r="UR169" s="23"/>
      <c r="US169" s="23"/>
      <c r="UT169" s="23"/>
    </row>
    <row r="170" spans="4:566">
      <c r="D170" t="s">
        <v>263</v>
      </c>
      <c r="E170" t="s">
        <v>264</v>
      </c>
      <c r="F170" s="31"/>
      <c r="G170" s="31">
        <v>110.21</v>
      </c>
      <c r="H170" s="31">
        <v>110.47</v>
      </c>
      <c r="I170" s="31">
        <v>110.49</v>
      </c>
      <c r="J170" s="31">
        <v>110.6</v>
      </c>
      <c r="K170" s="31">
        <v>110.67</v>
      </c>
      <c r="L170" s="31">
        <v>111.65</v>
      </c>
      <c r="M170" s="31">
        <v>112.07</v>
      </c>
      <c r="N170" s="31">
        <v>111.92</v>
      </c>
      <c r="O170" s="31">
        <v>112.02</v>
      </c>
      <c r="P170" s="31">
        <v>111.75</v>
      </c>
      <c r="Q170" s="31">
        <v>111.77</v>
      </c>
      <c r="R170" s="31">
        <v>111.46</v>
      </c>
      <c r="S170" s="31">
        <v>111.44</v>
      </c>
      <c r="T170" s="31">
        <v>111.36</v>
      </c>
      <c r="U170" s="31">
        <v>111.15</v>
      </c>
      <c r="V170" s="31">
        <v>111.28</v>
      </c>
      <c r="W170" s="31">
        <v>111.42</v>
      </c>
      <c r="X170" s="31">
        <v>111.4</v>
      </c>
      <c r="Y170" s="31">
        <v>111.35</v>
      </c>
      <c r="Z170" s="31">
        <v>111.47</v>
      </c>
      <c r="AA170" s="31">
        <v>111.7</v>
      </c>
      <c r="AB170" s="31">
        <v>111.8</v>
      </c>
      <c r="AC170" s="31">
        <v>112.07</v>
      </c>
      <c r="AD170" s="31">
        <v>112.66</v>
      </c>
      <c r="AE170" s="31">
        <v>113.06</v>
      </c>
      <c r="AF170" s="31">
        <v>114.01</v>
      </c>
      <c r="AG170" s="31">
        <v>114.22</v>
      </c>
      <c r="AH170" s="31">
        <v>114.55</v>
      </c>
      <c r="AI170" s="31">
        <v>114.54</v>
      </c>
      <c r="AJ170" s="31">
        <v>114.66</v>
      </c>
      <c r="AK170" s="31">
        <v>114.4</v>
      </c>
      <c r="AL170" s="31">
        <v>114.42</v>
      </c>
      <c r="AM170" s="31">
        <v>114.28</v>
      </c>
      <c r="AN170" s="31">
        <v>114.37</v>
      </c>
      <c r="AO170" s="31">
        <v>114.18</v>
      </c>
      <c r="AP170" s="31">
        <v>113.83</v>
      </c>
      <c r="AQ170" s="31">
        <v>113.42</v>
      </c>
      <c r="AR170" s="31">
        <v>112.48</v>
      </c>
      <c r="AS170" s="31">
        <v>112.17</v>
      </c>
      <c r="AT170" s="31">
        <v>111.79</v>
      </c>
      <c r="AU170" s="31">
        <v>110.71</v>
      </c>
      <c r="AV170" s="31">
        <v>109.53</v>
      </c>
      <c r="AW170" s="31">
        <v>109.47</v>
      </c>
      <c r="AX170" s="31">
        <v>108.9</v>
      </c>
      <c r="AY170" s="31">
        <v>108.72</v>
      </c>
      <c r="AZ170" s="31">
        <v>108.5</v>
      </c>
      <c r="BA170" s="31">
        <v>108.12</v>
      </c>
      <c r="BB170" s="31">
        <v>108.17</v>
      </c>
      <c r="BC170" s="31">
        <v>108.07</v>
      </c>
      <c r="BD170" s="31">
        <v>107.88</v>
      </c>
      <c r="BE170" s="31">
        <v>107.52</v>
      </c>
      <c r="BF170" s="31">
        <v>107.65</v>
      </c>
      <c r="BG170" s="31">
        <v>107.68</v>
      </c>
      <c r="BH170" s="31">
        <v>107.48</v>
      </c>
      <c r="BI170" s="31">
        <v>107.24</v>
      </c>
      <c r="BJ170" s="31">
        <v>107.27</v>
      </c>
      <c r="BK170" s="31">
        <v>107.06</v>
      </c>
      <c r="BL170" s="31">
        <v>107.02</v>
      </c>
      <c r="BM170" s="31">
        <v>105.59</v>
      </c>
      <c r="BN170" s="31">
        <v>105.88</v>
      </c>
      <c r="BO170" s="31">
        <v>105.69</v>
      </c>
      <c r="BP170" s="31">
        <v>104.16</v>
      </c>
      <c r="BQ170" s="31">
        <v>101.68</v>
      </c>
      <c r="BR170" s="31">
        <v>104.24</v>
      </c>
      <c r="BS170" s="31">
        <v>103.89</v>
      </c>
      <c r="BT170" s="31">
        <v>103.87</v>
      </c>
      <c r="BU170" s="31">
        <v>103.96</v>
      </c>
      <c r="BV170" s="31">
        <v>104.1</v>
      </c>
      <c r="BW170" s="31">
        <v>103.91</v>
      </c>
      <c r="BX170" s="31">
        <v>103.73</v>
      </c>
      <c r="BY170" s="31">
        <v>103.75</v>
      </c>
      <c r="BZ170" s="31">
        <v>103.88</v>
      </c>
      <c r="CA170" s="31">
        <v>103.79</v>
      </c>
      <c r="CB170" s="31">
        <v>103.75</v>
      </c>
      <c r="CC170" s="31">
        <v>103.86</v>
      </c>
      <c r="CD170" s="31">
        <v>103.9</v>
      </c>
      <c r="CE170" s="31">
        <v>103.99</v>
      </c>
      <c r="CF170" s="31">
        <v>103.85</v>
      </c>
      <c r="CG170" s="31">
        <v>103.76</v>
      </c>
      <c r="CH170" s="31">
        <v>103.88</v>
      </c>
      <c r="CI170" s="31">
        <v>103.82</v>
      </c>
      <c r="CJ170" s="31">
        <v>104.02</v>
      </c>
      <c r="CK170" s="31">
        <v>104.25</v>
      </c>
      <c r="CL170" s="31">
        <v>104.18</v>
      </c>
      <c r="CM170" s="31">
        <v>104.01</v>
      </c>
      <c r="CN170" s="31">
        <v>103.9</v>
      </c>
      <c r="CO170" s="31">
        <v>103.7</v>
      </c>
      <c r="CP170" s="31">
        <v>103.94</v>
      </c>
      <c r="CQ170" s="31">
        <v>104.03</v>
      </c>
      <c r="CR170" s="31">
        <v>103.88</v>
      </c>
      <c r="CS170" s="31">
        <v>103.74</v>
      </c>
      <c r="CT170" s="31">
        <v>103.79</v>
      </c>
      <c r="CU170" s="31">
        <v>103.88</v>
      </c>
      <c r="CV170" s="31">
        <v>103.58</v>
      </c>
      <c r="CW170" s="31">
        <v>103.53</v>
      </c>
      <c r="CX170" s="31">
        <v>103.67</v>
      </c>
      <c r="CY170" s="31">
        <v>104.26</v>
      </c>
      <c r="CZ170" s="31">
        <v>103.89</v>
      </c>
      <c r="DA170" s="31">
        <v>103.66</v>
      </c>
      <c r="DB170" s="31">
        <v>103.9</v>
      </c>
      <c r="DC170" s="31">
        <v>103.94</v>
      </c>
      <c r="DD170" s="31">
        <v>103.78</v>
      </c>
      <c r="DE170" s="31">
        <v>103.87</v>
      </c>
      <c r="DF170" s="31">
        <v>104.05</v>
      </c>
      <c r="DG170" s="31">
        <v>104.33</v>
      </c>
      <c r="DH170" s="31">
        <v>104.32</v>
      </c>
      <c r="DI170" s="31">
        <v>104</v>
      </c>
      <c r="DJ170" s="31">
        <v>104.27</v>
      </c>
      <c r="DK170" s="31">
        <v>104.41</v>
      </c>
      <c r="DL170" s="31">
        <v>104.29</v>
      </c>
      <c r="DM170" s="31">
        <v>104.18</v>
      </c>
      <c r="DN170" s="31">
        <v>104.28</v>
      </c>
      <c r="DO170" s="31">
        <v>104.33</v>
      </c>
      <c r="DP170" s="31">
        <v>104.16</v>
      </c>
      <c r="DQ170" s="31">
        <v>104.07</v>
      </c>
      <c r="DR170" s="31">
        <v>104.09</v>
      </c>
      <c r="DS170" s="31">
        <v>104.17</v>
      </c>
      <c r="DT170" s="31">
        <v>104.13</v>
      </c>
      <c r="DU170" s="31">
        <v>104.29</v>
      </c>
      <c r="DV170" s="31">
        <v>104.54</v>
      </c>
      <c r="DW170" s="31">
        <v>104.38</v>
      </c>
      <c r="DX170" s="31">
        <v>104.32</v>
      </c>
      <c r="DY170" s="31">
        <v>104.46</v>
      </c>
      <c r="DZ170" s="31">
        <v>101.78</v>
      </c>
      <c r="EA170" s="31">
        <v>104.56</v>
      </c>
      <c r="EB170" s="31">
        <v>104.56</v>
      </c>
      <c r="EC170" s="31">
        <v>104.82</v>
      </c>
      <c r="ED170" s="31">
        <v>104.47</v>
      </c>
      <c r="EE170" s="31">
        <v>104.27</v>
      </c>
      <c r="EF170" s="31">
        <v>104.57</v>
      </c>
      <c r="EG170" s="31">
        <v>104.73</v>
      </c>
      <c r="EH170" s="31">
        <v>104.62</v>
      </c>
      <c r="EI170" s="31">
        <v>104.4</v>
      </c>
      <c r="EJ170" s="31">
        <v>104.44</v>
      </c>
      <c r="EK170" s="31">
        <v>104.63</v>
      </c>
      <c r="EL170" s="31">
        <v>104.39</v>
      </c>
      <c r="EM170" s="31">
        <v>104.51</v>
      </c>
      <c r="EN170" s="31">
        <v>104.41</v>
      </c>
      <c r="EO170" s="31">
        <v>104.62</v>
      </c>
      <c r="EP170" s="31">
        <v>104.28</v>
      </c>
      <c r="EQ170" s="31">
        <v>104.14</v>
      </c>
      <c r="ER170" s="31">
        <v>104.26</v>
      </c>
      <c r="ES170" s="31">
        <v>104.4</v>
      </c>
      <c r="ET170" s="31">
        <v>104.11</v>
      </c>
      <c r="EU170" s="31">
        <v>103.91</v>
      </c>
      <c r="EV170" s="31">
        <v>104.01</v>
      </c>
      <c r="EW170" s="31">
        <v>104.07</v>
      </c>
      <c r="EX170" s="31">
        <v>103.56</v>
      </c>
      <c r="EY170" s="31">
        <v>103.59</v>
      </c>
      <c r="EZ170" s="31">
        <v>103.69</v>
      </c>
      <c r="FA170" s="31">
        <v>103.72</v>
      </c>
      <c r="FB170" s="31">
        <v>103.49</v>
      </c>
      <c r="FC170" s="31">
        <v>103.39</v>
      </c>
      <c r="FD170" s="31">
        <v>103.57</v>
      </c>
      <c r="FE170" s="31">
        <v>103.46</v>
      </c>
      <c r="FF170" s="31">
        <v>103.21</v>
      </c>
      <c r="FG170" s="31">
        <v>102.89</v>
      </c>
      <c r="FH170" s="31">
        <v>102.96</v>
      </c>
      <c r="FI170" s="31">
        <v>103.03</v>
      </c>
      <c r="FJ170" s="31">
        <v>102.68</v>
      </c>
      <c r="FK170" s="31">
        <v>102.47</v>
      </c>
      <c r="FL170" s="31">
        <v>102.63</v>
      </c>
      <c r="FM170" s="31">
        <v>102.46</v>
      </c>
      <c r="FN170" s="31">
        <v>102.27</v>
      </c>
      <c r="FO170" s="31">
        <v>102.15</v>
      </c>
      <c r="FP170" s="31">
        <v>102.43</v>
      </c>
      <c r="FQ170" s="31">
        <v>102.59</v>
      </c>
      <c r="FR170" s="31">
        <v>102.31</v>
      </c>
      <c r="FS170" s="31">
        <v>101.85</v>
      </c>
      <c r="FT170" s="31">
        <v>102.09</v>
      </c>
      <c r="FU170" s="31">
        <v>102.12</v>
      </c>
      <c r="FV170" s="31">
        <v>101.95</v>
      </c>
      <c r="FW170" s="31">
        <v>101.78</v>
      </c>
      <c r="FX170" s="31">
        <v>101.84</v>
      </c>
      <c r="FY170" s="31">
        <v>102.01</v>
      </c>
      <c r="FZ170" s="31">
        <v>101.92</v>
      </c>
      <c r="GA170" s="31">
        <v>101.72</v>
      </c>
      <c r="GB170" s="31">
        <v>101.93</v>
      </c>
      <c r="GC170" s="31">
        <v>102.09</v>
      </c>
      <c r="GD170" s="31">
        <v>102.07</v>
      </c>
      <c r="GE170" s="31">
        <v>102.37</v>
      </c>
      <c r="GF170" s="31">
        <v>102.46</v>
      </c>
      <c r="GG170" s="31">
        <v>102.82</v>
      </c>
      <c r="GH170" s="31">
        <v>102.85</v>
      </c>
      <c r="GI170" s="31">
        <v>103.27</v>
      </c>
      <c r="GJ170" s="31">
        <v>103.32</v>
      </c>
      <c r="GK170" s="31">
        <v>103.51</v>
      </c>
      <c r="GL170" s="31">
        <v>103.29</v>
      </c>
      <c r="GM170" s="31">
        <v>103.37</v>
      </c>
      <c r="GN170" s="31">
        <v>103.44</v>
      </c>
      <c r="GO170" s="31">
        <v>103.85</v>
      </c>
      <c r="GP170" s="31">
        <v>103.78</v>
      </c>
      <c r="GQ170" s="31">
        <v>103.65</v>
      </c>
      <c r="GR170" s="31">
        <v>103.77</v>
      </c>
      <c r="GS170" s="31">
        <v>103.95</v>
      </c>
      <c r="GT170" s="31">
        <v>103.81</v>
      </c>
      <c r="GU170" s="31">
        <v>103.85</v>
      </c>
      <c r="GV170" s="31">
        <v>103.78</v>
      </c>
      <c r="GW170" s="31">
        <v>103.67</v>
      </c>
      <c r="GX170" s="31">
        <v>103.65</v>
      </c>
      <c r="GY170" s="31">
        <v>103.45</v>
      </c>
      <c r="GZ170" s="31">
        <v>103.54</v>
      </c>
      <c r="HA170" s="31">
        <v>103.62</v>
      </c>
      <c r="HB170" s="31">
        <v>103.75</v>
      </c>
      <c r="HC170" s="31">
        <v>103.84</v>
      </c>
      <c r="HD170" s="31">
        <v>103.87</v>
      </c>
      <c r="HE170" s="31">
        <v>103.73</v>
      </c>
      <c r="HF170" s="31">
        <v>103.6</v>
      </c>
      <c r="HG170" s="31">
        <v>103.43</v>
      </c>
      <c r="HH170" s="31">
        <v>103.14</v>
      </c>
      <c r="HI170" s="31">
        <v>103.05</v>
      </c>
      <c r="HJ170" s="31">
        <v>102.86</v>
      </c>
      <c r="HK170" s="31">
        <v>103.01</v>
      </c>
      <c r="HL170" s="31">
        <v>103.16</v>
      </c>
      <c r="HM170" s="31">
        <v>103.37</v>
      </c>
      <c r="HN170" s="31">
        <v>103.15</v>
      </c>
      <c r="HO170" s="31">
        <v>102.78</v>
      </c>
      <c r="HP170" s="31">
        <v>102.85</v>
      </c>
      <c r="HQ170" s="31">
        <v>102.86</v>
      </c>
      <c r="HR170" s="31">
        <v>102.57</v>
      </c>
      <c r="HS170" s="31">
        <v>102.64</v>
      </c>
      <c r="HT170" s="31">
        <v>102.63</v>
      </c>
      <c r="HU170" s="31">
        <v>102.35</v>
      </c>
      <c r="HV170" s="31">
        <v>102.35</v>
      </c>
      <c r="HW170" s="31">
        <v>102.06</v>
      </c>
      <c r="HX170" s="31">
        <v>102.22</v>
      </c>
      <c r="HY170" s="31">
        <v>102.32</v>
      </c>
      <c r="HZ170" s="31">
        <v>102.17</v>
      </c>
      <c r="IA170" s="31">
        <v>102.04</v>
      </c>
      <c r="IB170" s="31">
        <v>102.17</v>
      </c>
      <c r="IC170" s="31">
        <v>102.29</v>
      </c>
      <c r="ID170" s="31">
        <v>102.06</v>
      </c>
      <c r="IE170" s="31">
        <v>101.82</v>
      </c>
      <c r="IF170" s="31">
        <v>102.05</v>
      </c>
      <c r="IG170" s="31">
        <v>102.18</v>
      </c>
      <c r="IH170" s="31">
        <v>102.13</v>
      </c>
      <c r="II170" s="31">
        <v>102.02</v>
      </c>
      <c r="IJ170" s="31">
        <v>101.96</v>
      </c>
      <c r="IK170" s="31">
        <v>101.82</v>
      </c>
      <c r="IL170" s="31">
        <v>101.68</v>
      </c>
      <c r="IM170" s="31">
        <v>101.73</v>
      </c>
      <c r="IN170" s="31">
        <v>101.89</v>
      </c>
      <c r="IO170" s="31">
        <v>101.63</v>
      </c>
      <c r="IP170" s="31">
        <v>101.5</v>
      </c>
      <c r="IQ170" s="31">
        <v>101.31</v>
      </c>
      <c r="IR170" s="31">
        <v>101.49</v>
      </c>
      <c r="IS170" s="31">
        <v>101.53</v>
      </c>
      <c r="IT170" s="31">
        <v>101.45</v>
      </c>
      <c r="IU170" s="31">
        <v>101.38</v>
      </c>
      <c r="IV170" s="31">
        <v>101.49</v>
      </c>
      <c r="IW170" s="31">
        <v>101.76</v>
      </c>
      <c r="IX170" s="31">
        <v>101.61</v>
      </c>
      <c r="IY170" s="31">
        <v>101.44</v>
      </c>
      <c r="IZ170" s="31">
        <v>101.43</v>
      </c>
      <c r="JA170" s="31">
        <v>101.59</v>
      </c>
      <c r="JB170" s="31">
        <v>101.36</v>
      </c>
      <c r="JC170" s="31">
        <v>101.17</v>
      </c>
      <c r="JD170" s="31">
        <v>101.18</v>
      </c>
      <c r="JE170" s="31">
        <v>101.21</v>
      </c>
      <c r="JF170" s="31">
        <v>100.85</v>
      </c>
      <c r="JG170" s="31">
        <v>100.64</v>
      </c>
      <c r="JH170" s="31">
        <v>100.35</v>
      </c>
      <c r="JI170" s="31">
        <v>100.48</v>
      </c>
      <c r="JJ170" s="31">
        <v>100.26</v>
      </c>
      <c r="JK170" s="31">
        <v>99.99</v>
      </c>
      <c r="JL170" s="31">
        <v>99.97</v>
      </c>
      <c r="JM170" s="31">
        <v>100.19</v>
      </c>
      <c r="JN170" s="31">
        <v>99.97</v>
      </c>
      <c r="JO170" s="31">
        <v>99.65</v>
      </c>
      <c r="JP170" s="31">
        <v>99.8</v>
      </c>
      <c r="JQ170" s="31">
        <v>99.45</v>
      </c>
      <c r="JR170" s="31">
        <v>99.18</v>
      </c>
      <c r="JS170" s="31">
        <v>99.33</v>
      </c>
      <c r="JT170" s="31">
        <v>99.27</v>
      </c>
      <c r="JU170" s="31">
        <v>99.09</v>
      </c>
      <c r="JV170" s="31">
        <v>98.85</v>
      </c>
      <c r="JW170" s="31">
        <v>98.87</v>
      </c>
      <c r="JX170" s="31">
        <v>99.15</v>
      </c>
      <c r="JY170" s="31">
        <v>99.14</v>
      </c>
      <c r="JZ170" s="31">
        <v>98.97</v>
      </c>
      <c r="KA170" s="31">
        <v>98.71</v>
      </c>
      <c r="KB170" s="31">
        <v>98.43</v>
      </c>
      <c r="KC170" s="31">
        <v>97.59</v>
      </c>
      <c r="KD170" s="31">
        <v>97.42</v>
      </c>
      <c r="KE170" s="31">
        <v>97.32</v>
      </c>
      <c r="KF170" s="31">
        <v>96.76</v>
      </c>
      <c r="KG170" s="31">
        <v>96.22</v>
      </c>
      <c r="KH170" s="31">
        <v>96.11</v>
      </c>
      <c r="KI170" s="31">
        <v>95.8</v>
      </c>
      <c r="KJ170" s="31">
        <v>95.78</v>
      </c>
      <c r="KK170" s="31">
        <v>95.68</v>
      </c>
      <c r="KL170" s="31">
        <v>95.43</v>
      </c>
      <c r="KM170" s="31">
        <v>95.39</v>
      </c>
      <c r="KN170" s="31">
        <v>95.24</v>
      </c>
      <c r="KO170" s="31">
        <v>95.17</v>
      </c>
      <c r="KP170" s="31">
        <v>95.26</v>
      </c>
      <c r="KQ170" s="31">
        <v>95.38</v>
      </c>
      <c r="KR170" s="31">
        <v>95.49</v>
      </c>
      <c r="KS170" s="31">
        <v>95.66</v>
      </c>
      <c r="KT170" s="31">
        <v>96.2</v>
      </c>
      <c r="KU170" s="31">
        <v>95.93</v>
      </c>
      <c r="KV170" s="31">
        <v>96.45</v>
      </c>
      <c r="KW170" s="31">
        <v>96.69</v>
      </c>
      <c r="KX170" s="31">
        <v>96.49</v>
      </c>
      <c r="KY170" s="31">
        <v>96.37</v>
      </c>
      <c r="KZ170" s="31">
        <v>96.74</v>
      </c>
      <c r="LA170" s="31">
        <v>96.88</v>
      </c>
      <c r="LB170" s="31">
        <v>96.58</v>
      </c>
      <c r="LC170" s="31">
        <v>96.38</v>
      </c>
      <c r="LD170" s="31">
        <v>96.46</v>
      </c>
      <c r="LE170" s="31">
        <v>96.58</v>
      </c>
      <c r="LF170" s="31">
        <v>96.35</v>
      </c>
      <c r="LG170" s="31">
        <v>96.23</v>
      </c>
      <c r="LH170" s="31">
        <v>96.28</v>
      </c>
      <c r="LI170" s="31">
        <v>96.56</v>
      </c>
      <c r="LJ170" s="31">
        <v>96.27</v>
      </c>
      <c r="LK170" s="31">
        <v>95.99</v>
      </c>
      <c r="LL170" s="31">
        <v>95.99</v>
      </c>
      <c r="LM170" s="31">
        <v>96.03</v>
      </c>
      <c r="LN170" s="31">
        <v>95.83</v>
      </c>
      <c r="LO170" s="31">
        <v>95.79</v>
      </c>
      <c r="LP170" s="31">
        <v>95.93</v>
      </c>
      <c r="LQ170" s="31">
        <v>95.96</v>
      </c>
      <c r="LR170" s="31">
        <v>95.65</v>
      </c>
      <c r="LS170" s="31">
        <v>95.44</v>
      </c>
      <c r="LT170" s="31">
        <v>95.57</v>
      </c>
      <c r="LU170" s="31">
        <v>95.71</v>
      </c>
      <c r="LV170" s="31">
        <v>95.49</v>
      </c>
      <c r="LW170" s="31">
        <v>95.41</v>
      </c>
      <c r="LX170" s="31">
        <v>95.6</v>
      </c>
      <c r="LY170" s="31">
        <v>95.77</v>
      </c>
      <c r="LZ170" s="31">
        <v>95.46</v>
      </c>
      <c r="MA170" s="31">
        <v>95.21</v>
      </c>
      <c r="MB170" s="31">
        <v>95.3</v>
      </c>
      <c r="MC170" s="31">
        <v>95.33</v>
      </c>
      <c r="MD170" s="31">
        <v>95.14</v>
      </c>
      <c r="ME170" s="31">
        <v>94.98</v>
      </c>
      <c r="MF170" s="31">
        <v>95.07</v>
      </c>
      <c r="MG170" s="31">
        <v>94.95</v>
      </c>
      <c r="MH170" s="31">
        <v>94.82</v>
      </c>
      <c r="MI170" s="31">
        <v>94.73</v>
      </c>
      <c r="MJ170" s="31">
        <v>94.88</v>
      </c>
      <c r="MK170" s="31">
        <v>94.83</v>
      </c>
      <c r="ML170" s="31">
        <v>94.94</v>
      </c>
      <c r="MM170" s="31">
        <v>94.96</v>
      </c>
      <c r="MN170" s="31">
        <v>94.76</v>
      </c>
      <c r="MO170" s="31">
        <v>94.64</v>
      </c>
      <c r="MP170" s="31">
        <v>94.83</v>
      </c>
      <c r="MQ170" s="31">
        <v>94.92</v>
      </c>
      <c r="MR170" s="31">
        <v>94.86</v>
      </c>
      <c r="MS170" s="31">
        <v>94.86</v>
      </c>
      <c r="MT170" s="31">
        <v>94.87</v>
      </c>
      <c r="MU170" s="31">
        <v>94.95</v>
      </c>
      <c r="MV170" s="31">
        <v>95.06</v>
      </c>
      <c r="MW170" s="31">
        <v>94.8</v>
      </c>
      <c r="MX170" s="31">
        <v>94.97</v>
      </c>
      <c r="MY170" s="31">
        <v>94.96</v>
      </c>
      <c r="MZ170" s="31">
        <v>94.76</v>
      </c>
      <c r="NA170" s="31">
        <v>94.95</v>
      </c>
      <c r="NB170" s="31">
        <v>95.06</v>
      </c>
      <c r="NC170" s="31">
        <v>95.31</v>
      </c>
      <c r="ND170" s="31">
        <v>95.33</v>
      </c>
      <c r="NE170" s="31">
        <v>95.55</v>
      </c>
      <c r="NF170" s="31">
        <v>95.75</v>
      </c>
      <c r="NG170" s="31">
        <v>95.83</v>
      </c>
      <c r="NH170" s="31">
        <v>96.3</v>
      </c>
      <c r="NI170" s="31">
        <v>96.33</v>
      </c>
      <c r="NJ170" s="31">
        <v>96.38</v>
      </c>
      <c r="NK170" s="31">
        <v>96.56</v>
      </c>
      <c r="NL170" s="31">
        <v>96.52</v>
      </c>
      <c r="NM170" s="31">
        <v>96.44</v>
      </c>
      <c r="NN170" s="31">
        <v>96.45</v>
      </c>
      <c r="NO170" s="31">
        <v>96.28</v>
      </c>
      <c r="NP170" s="31">
        <v>96.7</v>
      </c>
      <c r="NQ170" s="31">
        <v>96.75</v>
      </c>
      <c r="NR170" s="31">
        <v>96.63</v>
      </c>
      <c r="NS170" s="31">
        <v>96.68</v>
      </c>
      <c r="NT170" s="31">
        <v>96.8</v>
      </c>
      <c r="NU170" s="31">
        <v>97.03</v>
      </c>
      <c r="NV170" s="31">
        <v>96.76</v>
      </c>
      <c r="NW170" s="31">
        <v>96.98</v>
      </c>
      <c r="NX170" s="31">
        <v>97.34</v>
      </c>
      <c r="NY170" s="31">
        <v>97.64</v>
      </c>
      <c r="NZ170" s="31">
        <v>97.96</v>
      </c>
      <c r="OA170" s="31">
        <v>98.09</v>
      </c>
      <c r="OB170" s="31">
        <v>98.36</v>
      </c>
      <c r="OC170" s="31">
        <v>98.51</v>
      </c>
      <c r="OD170" s="31">
        <v>98.41</v>
      </c>
      <c r="OE170" s="31">
        <v>98.35</v>
      </c>
      <c r="OF170" s="31">
        <v>98.66</v>
      </c>
      <c r="OG170" s="31">
        <v>98.99</v>
      </c>
      <c r="OH170" s="31">
        <v>98.99</v>
      </c>
      <c r="OI170" s="31">
        <v>98.81</v>
      </c>
      <c r="OJ170" s="31">
        <v>98.62</v>
      </c>
      <c r="OK170" s="31">
        <v>98.99</v>
      </c>
      <c r="OL170" s="31">
        <v>98.96</v>
      </c>
      <c r="OM170" s="31">
        <v>99.01</v>
      </c>
      <c r="ON170" s="31">
        <v>98.48</v>
      </c>
      <c r="OO170" s="31">
        <v>98.49</v>
      </c>
      <c r="OP170" s="31">
        <v>98.2</v>
      </c>
      <c r="OQ170" s="31">
        <v>98.22</v>
      </c>
      <c r="OR170" s="31">
        <v>97.87</v>
      </c>
      <c r="OS170" s="31">
        <v>98.18</v>
      </c>
      <c r="OT170" s="31">
        <v>97.99</v>
      </c>
      <c r="OU170" s="31">
        <v>97.94</v>
      </c>
      <c r="OV170" s="31">
        <v>97.81</v>
      </c>
      <c r="OW170" s="31">
        <v>97.55</v>
      </c>
      <c r="OX170" s="31">
        <v>97.26</v>
      </c>
      <c r="OY170" s="31">
        <v>97.08</v>
      </c>
      <c r="OZ170" s="31">
        <v>97.26</v>
      </c>
      <c r="PA170" s="31">
        <v>97.69</v>
      </c>
      <c r="PB170" s="31">
        <v>97.93</v>
      </c>
      <c r="PC170" s="31">
        <v>97.79</v>
      </c>
      <c r="PD170" s="31">
        <v>97.99</v>
      </c>
      <c r="PE170" s="31">
        <v>97.97</v>
      </c>
      <c r="PF170" s="31">
        <v>97.67</v>
      </c>
      <c r="PG170" s="31">
        <v>97.76</v>
      </c>
      <c r="PH170" s="31">
        <v>97.54</v>
      </c>
      <c r="PI170" s="31">
        <v>97.6</v>
      </c>
      <c r="PJ170" s="31">
        <v>97.54</v>
      </c>
      <c r="PK170" s="31">
        <v>96.9</v>
      </c>
      <c r="PL170" s="31">
        <v>96.21</v>
      </c>
      <c r="PM170" s="31">
        <v>95.14</v>
      </c>
      <c r="PN170" s="31">
        <v>95.08</v>
      </c>
      <c r="PO170" s="31">
        <v>94.77</v>
      </c>
      <c r="PP170" s="31">
        <v>94.58</v>
      </c>
      <c r="PQ170" s="31">
        <v>94.62</v>
      </c>
      <c r="PR170" s="31">
        <v>93.9</v>
      </c>
      <c r="PS170" s="31">
        <v>93.46</v>
      </c>
      <c r="PT170" s="31">
        <v>93.25</v>
      </c>
      <c r="PU170" s="31">
        <v>92.84</v>
      </c>
      <c r="PV170" s="31">
        <v>92.88</v>
      </c>
      <c r="PW170" s="31">
        <v>92.77</v>
      </c>
      <c r="PX170" s="31">
        <v>92.65</v>
      </c>
      <c r="PY170" s="31">
        <v>92.69</v>
      </c>
      <c r="PZ170" s="31">
        <v>91.96</v>
      </c>
      <c r="QA170" s="31">
        <v>91.41</v>
      </c>
      <c r="QB170" s="31">
        <v>91.27</v>
      </c>
      <c r="QC170" s="31">
        <v>91.33</v>
      </c>
      <c r="QD170" s="31">
        <v>91.33</v>
      </c>
      <c r="QE170" s="31">
        <v>91.05</v>
      </c>
      <c r="QF170" s="31">
        <v>90.88</v>
      </c>
      <c r="QG170" s="31">
        <v>90.75</v>
      </c>
      <c r="QH170" s="31">
        <v>90.35</v>
      </c>
      <c r="QI170" s="31">
        <v>90.42</v>
      </c>
      <c r="QJ170" s="31">
        <v>90.54</v>
      </c>
      <c r="QK170" s="31">
        <v>90.36</v>
      </c>
      <c r="QL170" s="31">
        <v>90.45</v>
      </c>
      <c r="QM170" s="31">
        <v>83.02</v>
      </c>
      <c r="QN170" s="31">
        <v>82.64</v>
      </c>
      <c r="QO170" s="31">
        <v>82.4</v>
      </c>
      <c r="QP170" s="31">
        <v>82.05</v>
      </c>
      <c r="QQ170" s="31">
        <v>82.17</v>
      </c>
      <c r="QR170" s="31">
        <v>82</v>
      </c>
      <c r="QS170" s="31">
        <v>81.8</v>
      </c>
      <c r="QT170" s="31">
        <v>81.55</v>
      </c>
      <c r="QU170" s="31">
        <v>81.16</v>
      </c>
      <c r="QV170" s="31">
        <v>81</v>
      </c>
      <c r="QW170" s="31">
        <v>81.11</v>
      </c>
      <c r="QX170" s="31">
        <v>81.15</v>
      </c>
      <c r="QY170" s="31">
        <v>81.02</v>
      </c>
      <c r="QZ170" s="31">
        <v>80.86</v>
      </c>
      <c r="RA170" s="31">
        <v>80.23</v>
      </c>
      <c r="RB170" s="31">
        <v>80</v>
      </c>
      <c r="RC170" s="31">
        <v>79.7</v>
      </c>
      <c r="RD170" s="31">
        <v>79.69</v>
      </c>
      <c r="RE170" s="31">
        <v>79.77</v>
      </c>
      <c r="RF170" s="31">
        <v>79.66</v>
      </c>
      <c r="RG170" s="31">
        <v>79.12</v>
      </c>
      <c r="RH170" s="31">
        <v>79.04</v>
      </c>
      <c r="RI170" s="31">
        <v>78.51</v>
      </c>
      <c r="RJ170" s="31">
        <v>78.59</v>
      </c>
      <c r="RK170" s="31">
        <v>78.78</v>
      </c>
      <c r="RL170" s="31">
        <v>79.28</v>
      </c>
      <c r="RM170" s="31">
        <v>79.5</v>
      </c>
      <c r="RN170" s="31">
        <v>79.45</v>
      </c>
      <c r="RO170" s="31">
        <v>79.3</v>
      </c>
      <c r="RP170" s="31">
        <v>79.52</v>
      </c>
      <c r="RQ170" s="31">
        <v>80.03</v>
      </c>
      <c r="RR170" s="31">
        <v>80.47</v>
      </c>
      <c r="RS170" s="31">
        <v>80.59</v>
      </c>
      <c r="RT170" s="31">
        <v>80.83</v>
      </c>
      <c r="RU170" s="31">
        <v>80.8</v>
      </c>
      <c r="RV170" s="31">
        <v>80.46</v>
      </c>
      <c r="RW170" s="31">
        <v>80.83</v>
      </c>
      <c r="RX170" s="31">
        <v>80.81</v>
      </c>
      <c r="RY170" s="31">
        <v>80.68</v>
      </c>
      <c r="RZ170" s="31">
        <v>80.72</v>
      </c>
      <c r="SA170" s="31">
        <v>80.63</v>
      </c>
      <c r="SB170" s="31">
        <v>80.48</v>
      </c>
      <c r="SC170" s="31">
        <v>80.35</v>
      </c>
      <c r="SD170" s="31">
        <v>80.35</v>
      </c>
      <c r="SE170" s="31">
        <v>80.46</v>
      </c>
      <c r="SF170" s="31">
        <v>80.44</v>
      </c>
      <c r="SG170" s="31">
        <v>80.25</v>
      </c>
      <c r="SH170" s="31">
        <v>79.96</v>
      </c>
      <c r="SI170" s="31">
        <v>79.91</v>
      </c>
      <c r="SJ170" s="31">
        <v>79.72</v>
      </c>
      <c r="SK170" s="31">
        <v>79.91</v>
      </c>
      <c r="SL170" s="31">
        <v>80.05</v>
      </c>
      <c r="SM170" s="31">
        <v>79.98</v>
      </c>
      <c r="SN170" s="31">
        <v>79.9</v>
      </c>
      <c r="SO170" s="31">
        <v>79.74</v>
      </c>
      <c r="SP170" s="31">
        <v>79.69</v>
      </c>
      <c r="SQ170" s="31">
        <v>79.63</v>
      </c>
      <c r="SR170" s="31">
        <v>79.71</v>
      </c>
      <c r="SS170" s="31">
        <v>79.91</v>
      </c>
      <c r="ST170" s="23">
        <v>80.04</v>
      </c>
      <c r="SU170" s="23">
        <v>79.97</v>
      </c>
      <c r="SV170" s="23">
        <v>79.68</v>
      </c>
      <c r="SW170" s="23">
        <v>79.59</v>
      </c>
      <c r="SX170" s="23">
        <v>79.68</v>
      </c>
      <c r="SY170" s="23">
        <v>79.71</v>
      </c>
      <c r="SZ170" s="23">
        <v>79.74</v>
      </c>
      <c r="TA170" s="23">
        <v>79.66</v>
      </c>
      <c r="TB170" s="23">
        <v>79.43</v>
      </c>
      <c r="TC170" s="23">
        <v>79.38</v>
      </c>
      <c r="TD170" s="23">
        <v>79.16</v>
      </c>
      <c r="TE170" s="23">
        <v>78.79</v>
      </c>
      <c r="TF170" s="23">
        <v>78.98</v>
      </c>
      <c r="TG170" s="23">
        <v>78.95</v>
      </c>
      <c r="TH170" s="23">
        <v>79.05</v>
      </c>
      <c r="TI170" s="23">
        <v>78.85</v>
      </c>
      <c r="TJ170" s="23">
        <v>78.94</v>
      </c>
      <c r="TK170" s="23">
        <v>78.8</v>
      </c>
      <c r="TL170" s="23">
        <v>78.87</v>
      </c>
      <c r="TM170" s="23">
        <v>78.71</v>
      </c>
      <c r="TN170" s="23">
        <v>78.7</v>
      </c>
      <c r="TO170" s="23">
        <v>78.42</v>
      </c>
      <c r="TP170" s="23">
        <v>78.51</v>
      </c>
      <c r="TQ170" s="23">
        <v>78.49</v>
      </c>
      <c r="TR170" s="23">
        <v>78.51</v>
      </c>
      <c r="TS170" s="23">
        <v>78.55</v>
      </c>
      <c r="TT170" s="23">
        <v>78.49</v>
      </c>
      <c r="TU170" s="23">
        <v>78.55</v>
      </c>
      <c r="TV170" s="23">
        <v>78.3</v>
      </c>
      <c r="TW170" s="23">
        <v>78.23</v>
      </c>
      <c r="TX170" s="23">
        <v>78.28</v>
      </c>
      <c r="TY170" s="23">
        <v>78.12</v>
      </c>
      <c r="TZ170" s="23">
        <v>78.18</v>
      </c>
      <c r="UA170" s="23">
        <v>78.27</v>
      </c>
      <c r="UB170" s="23">
        <v>78.4</v>
      </c>
      <c r="UC170" s="23">
        <v>78.3</v>
      </c>
      <c r="UD170" s="23">
        <v>78.23</v>
      </c>
      <c r="UE170" s="23">
        <v>78</v>
      </c>
      <c r="UF170" s="23">
        <v>78.03</v>
      </c>
      <c r="UG170" s="23">
        <v>78.38</v>
      </c>
      <c r="UH170" s="23">
        <v>78.46</v>
      </c>
      <c r="UI170" s="23">
        <v>79.58</v>
      </c>
      <c r="UJ170" s="23"/>
      <c r="UK170" s="23"/>
      <c r="UL170" s="23"/>
      <c r="UM170" s="23"/>
      <c r="UN170" s="23"/>
      <c r="UO170" s="23"/>
      <c r="UP170" s="23"/>
      <c r="UQ170" s="23"/>
      <c r="UR170" s="23"/>
      <c r="US170" s="23"/>
      <c r="UT170" s="23"/>
    </row>
    <row r="171" spans="4:566">
      <c r="D171" t="s">
        <v>265</v>
      </c>
      <c r="E171" t="s">
        <v>266</v>
      </c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>
        <v>4.2</v>
      </c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>
        <v>4.2</v>
      </c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  <c r="DI171" s="31"/>
      <c r="DJ171" s="31"/>
      <c r="DK171" s="31"/>
      <c r="DL171" s="31"/>
      <c r="DM171" s="31"/>
      <c r="DN171" s="31"/>
      <c r="DO171" s="31"/>
      <c r="DP171" s="31"/>
      <c r="DQ171" s="31"/>
      <c r="DR171" s="31"/>
      <c r="DS171" s="31"/>
      <c r="DT171" s="31"/>
      <c r="DU171" s="31"/>
      <c r="DV171" s="31">
        <v>3.9</v>
      </c>
      <c r="DW171" s="31"/>
      <c r="DX171" s="31"/>
      <c r="DY171" s="31"/>
      <c r="DZ171" s="31"/>
      <c r="EA171" s="31"/>
      <c r="EB171" s="31"/>
      <c r="EC171" s="31"/>
      <c r="ED171" s="31"/>
      <c r="EE171" s="31"/>
      <c r="EF171" s="31"/>
      <c r="EG171" s="31"/>
      <c r="EH171" s="31"/>
      <c r="EI171" s="31"/>
      <c r="EJ171" s="31"/>
      <c r="EK171" s="31"/>
      <c r="EL171" s="31"/>
      <c r="EM171" s="31"/>
      <c r="EN171" s="31"/>
      <c r="EO171" s="31"/>
      <c r="EP171" s="31"/>
      <c r="EQ171" s="31"/>
      <c r="ER171" s="31"/>
      <c r="ES171" s="31"/>
      <c r="ET171" s="31"/>
      <c r="EU171" s="31"/>
      <c r="EV171" s="31"/>
      <c r="EW171" s="31"/>
      <c r="EX171" s="31"/>
      <c r="EY171" s="31"/>
      <c r="EZ171" s="31"/>
      <c r="FA171" s="31">
        <v>3.5</v>
      </c>
      <c r="FB171" s="31"/>
      <c r="FC171" s="31"/>
      <c r="FD171" s="31"/>
      <c r="FE171" s="31"/>
      <c r="FF171" s="31"/>
      <c r="FG171" s="31"/>
      <c r="FH171" s="31"/>
      <c r="FI171" s="31"/>
      <c r="FJ171" s="31"/>
      <c r="FK171" s="31"/>
      <c r="FL171" s="31"/>
      <c r="FM171" s="31"/>
      <c r="FN171" s="31"/>
      <c r="FO171" s="31"/>
      <c r="FP171" s="31"/>
      <c r="FQ171" s="31"/>
      <c r="FR171" s="31"/>
      <c r="FS171" s="31"/>
      <c r="FT171" s="31"/>
      <c r="FU171" s="31"/>
      <c r="FV171" s="31"/>
      <c r="FW171" s="31"/>
      <c r="FX171" s="31"/>
      <c r="FY171" s="31"/>
      <c r="FZ171" s="31"/>
      <c r="GA171" s="31"/>
      <c r="GB171" s="31"/>
      <c r="GC171" s="31"/>
      <c r="GD171" s="31"/>
      <c r="GE171" s="31">
        <v>3.1</v>
      </c>
      <c r="GF171" s="31"/>
      <c r="GG171" s="31"/>
      <c r="GH171" s="31"/>
      <c r="GI171" s="31"/>
      <c r="GJ171" s="31"/>
      <c r="GK171" s="31"/>
      <c r="GL171" s="31"/>
      <c r="GM171" s="31"/>
      <c r="GN171" s="31"/>
      <c r="GO171" s="31"/>
      <c r="GP171" s="31"/>
      <c r="GQ171" s="31"/>
      <c r="GR171" s="31"/>
      <c r="GS171" s="31"/>
      <c r="GT171" s="31"/>
      <c r="GU171" s="31"/>
      <c r="GV171" s="31"/>
      <c r="GW171" s="31"/>
      <c r="GX171" s="31"/>
      <c r="GY171" s="31"/>
      <c r="GZ171" s="31"/>
      <c r="HA171" s="31"/>
      <c r="HB171" s="31"/>
      <c r="HC171" s="31"/>
      <c r="HD171" s="31"/>
      <c r="HE171" s="31"/>
      <c r="HF171" s="31"/>
      <c r="HG171" s="31"/>
      <c r="HH171" s="31"/>
      <c r="HI171" s="31"/>
      <c r="HJ171" s="31">
        <v>2.4</v>
      </c>
      <c r="HK171" s="31"/>
      <c r="HL171" s="31"/>
      <c r="HM171" s="31"/>
      <c r="HN171" s="31"/>
      <c r="HO171" s="31"/>
      <c r="HP171" s="31"/>
      <c r="HQ171" s="31"/>
      <c r="HR171" s="31"/>
      <c r="HS171" s="31"/>
      <c r="HT171" s="31"/>
      <c r="HU171" s="31"/>
      <c r="HV171" s="31"/>
      <c r="HW171" s="31"/>
      <c r="HX171" s="31"/>
      <c r="HY171" s="31"/>
      <c r="HZ171" s="31"/>
      <c r="IA171" s="31"/>
      <c r="IB171" s="31"/>
      <c r="IC171" s="31"/>
      <c r="ID171" s="31"/>
      <c r="IE171" s="31"/>
      <c r="IF171" s="31"/>
      <c r="IG171" s="31"/>
      <c r="IH171" s="31"/>
      <c r="II171" s="31"/>
      <c r="IJ171" s="31"/>
      <c r="IK171" s="31"/>
      <c r="IL171" s="31"/>
      <c r="IM171" s="31"/>
      <c r="IN171" s="31"/>
      <c r="IO171" s="31">
        <v>2.3</v>
      </c>
      <c r="IP171" s="31"/>
      <c r="IQ171" s="31"/>
      <c r="IR171" s="31"/>
      <c r="IS171" s="31"/>
      <c r="IT171" s="31"/>
      <c r="IU171" s="31"/>
      <c r="IV171" s="31"/>
      <c r="IW171" s="31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  <c r="JH171" s="31"/>
      <c r="JI171" s="31"/>
      <c r="JJ171" s="31"/>
      <c r="JK171" s="31"/>
      <c r="JL171" s="31"/>
      <c r="JM171" s="31"/>
      <c r="JN171" s="31"/>
      <c r="JO171" s="31"/>
      <c r="JP171" s="31"/>
      <c r="JQ171" s="31"/>
      <c r="JR171" s="31"/>
      <c r="JS171" s="31">
        <v>2.8</v>
      </c>
      <c r="JT171" s="31"/>
      <c r="JU171" s="31"/>
      <c r="JV171" s="31"/>
      <c r="JW171" s="31"/>
      <c r="JX171" s="31"/>
      <c r="JY171" s="31"/>
      <c r="JZ171" s="31"/>
      <c r="KA171" s="31"/>
      <c r="KB171" s="31"/>
      <c r="KC171" s="31"/>
      <c r="KD171" s="31"/>
      <c r="KE171" s="31"/>
      <c r="KF171" s="31"/>
      <c r="KG171" s="31"/>
      <c r="KH171" s="31"/>
      <c r="KI171" s="31"/>
      <c r="KJ171" s="31"/>
      <c r="KK171" s="31"/>
      <c r="KL171" s="31"/>
      <c r="KM171" s="31"/>
      <c r="KN171" s="31"/>
      <c r="KO171" s="31"/>
      <c r="KP171" s="31"/>
      <c r="KQ171" s="31"/>
      <c r="KR171" s="31"/>
      <c r="KS171" s="31"/>
      <c r="KT171" s="31"/>
      <c r="KU171" s="31"/>
      <c r="KV171" s="31"/>
      <c r="KW171" s="31"/>
      <c r="KX171" s="31">
        <v>3.7</v>
      </c>
      <c r="KY171" s="31"/>
      <c r="KZ171" s="31"/>
      <c r="LA171" s="31"/>
      <c r="LB171" s="31"/>
      <c r="LC171" s="31"/>
      <c r="LD171" s="31"/>
      <c r="LE171" s="31"/>
      <c r="LF171" s="31"/>
      <c r="LG171" s="31"/>
      <c r="LH171" s="31"/>
      <c r="LI171" s="31"/>
      <c r="LJ171" s="31"/>
      <c r="LK171" s="31"/>
      <c r="LL171" s="31"/>
      <c r="LM171" s="31"/>
      <c r="LN171" s="31"/>
      <c r="LO171" s="31"/>
      <c r="LP171" s="31"/>
      <c r="LQ171" s="31"/>
      <c r="LR171" s="31"/>
      <c r="LS171" s="31"/>
      <c r="LT171" s="31"/>
      <c r="LU171" s="31"/>
      <c r="LV171" s="31"/>
      <c r="LW171" s="31"/>
      <c r="LX171" s="31"/>
      <c r="LY171" s="31"/>
      <c r="LZ171" s="31"/>
      <c r="MA171" s="31"/>
      <c r="MB171" s="31">
        <v>4.6</v>
      </c>
      <c r="MC171" s="31"/>
      <c r="MD171" s="31"/>
      <c r="ME171" s="31"/>
      <c r="MF171" s="31"/>
      <c r="MG171" s="31"/>
      <c r="MH171" s="31"/>
      <c r="MI171" s="31"/>
      <c r="MJ171" s="31"/>
      <c r="MK171" s="31"/>
      <c r="ML171" s="31"/>
      <c r="MM171" s="31"/>
      <c r="MN171" s="31"/>
      <c r="MO171" s="31"/>
      <c r="MP171" s="31"/>
      <c r="MQ171" s="31"/>
      <c r="MR171" s="31"/>
      <c r="MS171" s="31"/>
      <c r="MT171" s="31"/>
      <c r="MU171" s="31"/>
      <c r="MV171" s="31"/>
      <c r="MW171" s="31"/>
      <c r="MX171" s="31"/>
      <c r="MY171" s="31"/>
      <c r="MZ171" s="31"/>
      <c r="NA171" s="31"/>
      <c r="NB171" s="31"/>
      <c r="NC171" s="31"/>
      <c r="ND171" s="31"/>
      <c r="NE171" s="31"/>
      <c r="NF171" s="31"/>
      <c r="NG171" s="31">
        <v>3.9</v>
      </c>
      <c r="NH171" s="31"/>
      <c r="NI171" s="31"/>
      <c r="NJ171" s="31"/>
      <c r="NK171" s="31"/>
      <c r="NL171" s="31"/>
      <c r="NM171" s="31"/>
      <c r="NN171" s="31"/>
      <c r="NO171" s="31"/>
      <c r="NP171" s="31"/>
      <c r="NQ171" s="31"/>
      <c r="NR171" s="31"/>
      <c r="NS171" s="31"/>
      <c r="NT171" s="31"/>
      <c r="NU171" s="31"/>
      <c r="NV171" s="31"/>
      <c r="NW171" s="31"/>
      <c r="NX171" s="31"/>
      <c r="NY171" s="31"/>
      <c r="NZ171" s="31"/>
      <c r="OA171" s="31"/>
      <c r="OB171" s="31"/>
      <c r="OC171" s="31"/>
      <c r="OD171" s="31"/>
      <c r="OE171" s="31"/>
      <c r="OF171" s="31"/>
      <c r="OG171" s="31"/>
      <c r="OH171" s="31"/>
      <c r="OI171" s="31"/>
      <c r="OJ171" s="31"/>
      <c r="OK171" s="31"/>
      <c r="OL171" s="31"/>
      <c r="OM171" s="31"/>
      <c r="ON171" s="31"/>
      <c r="OO171" s="31"/>
      <c r="OP171" s="31"/>
      <c r="OQ171" s="31"/>
      <c r="OR171" s="31"/>
      <c r="OS171" s="31"/>
      <c r="OT171" s="31"/>
      <c r="OU171" s="31"/>
      <c r="OV171" s="31"/>
      <c r="OW171" s="31"/>
      <c r="OX171" s="31"/>
      <c r="OY171" s="31"/>
      <c r="OZ171" s="31"/>
      <c r="PA171" s="31"/>
      <c r="PB171" s="31"/>
      <c r="PC171" s="31"/>
      <c r="PD171" s="31"/>
      <c r="PE171" s="31"/>
      <c r="PF171" s="31"/>
      <c r="PG171" s="31"/>
      <c r="PH171" s="31"/>
      <c r="PI171" s="31"/>
      <c r="PJ171" s="31"/>
      <c r="PK171" s="31"/>
      <c r="PL171" s="31"/>
      <c r="PM171" s="31"/>
      <c r="PN171" s="31">
        <v>6.6</v>
      </c>
      <c r="PO171" s="31"/>
      <c r="PP171" s="31"/>
      <c r="PQ171" s="31"/>
      <c r="PR171" s="31"/>
      <c r="PS171" s="31"/>
      <c r="PT171" s="31"/>
      <c r="PU171" s="31"/>
      <c r="PV171" s="31"/>
      <c r="PW171" s="31"/>
      <c r="PX171" s="31"/>
      <c r="PY171" s="31"/>
      <c r="PZ171" s="31"/>
      <c r="QA171" s="31"/>
      <c r="QB171" s="31"/>
      <c r="QC171" s="31"/>
      <c r="QD171" s="31"/>
      <c r="QE171" s="31"/>
      <c r="QF171" s="31"/>
      <c r="QG171" s="31"/>
      <c r="QH171" s="31"/>
      <c r="QI171" s="31"/>
      <c r="QJ171" s="31"/>
      <c r="QK171" s="31"/>
      <c r="QL171" s="31"/>
      <c r="QM171" s="31"/>
      <c r="QN171" s="31"/>
      <c r="QO171" s="31"/>
      <c r="QP171" s="31"/>
      <c r="QQ171" s="31"/>
      <c r="QR171" s="31"/>
      <c r="QS171" s="31">
        <v>5.2</v>
      </c>
      <c r="QT171" s="31"/>
      <c r="QU171" s="31"/>
      <c r="QV171" s="31"/>
      <c r="QW171" s="31"/>
      <c r="QX171" s="31"/>
      <c r="QY171" s="31"/>
      <c r="QZ171" s="31"/>
      <c r="RA171" s="31"/>
      <c r="RB171" s="31"/>
      <c r="RC171" s="31"/>
      <c r="RD171" s="31"/>
      <c r="RE171" s="31"/>
      <c r="RF171" s="31"/>
      <c r="RG171" s="31"/>
      <c r="RH171" s="31"/>
      <c r="RI171" s="31"/>
      <c r="RJ171" s="31"/>
      <c r="RK171" s="31"/>
      <c r="RL171" s="31"/>
      <c r="RM171" s="31"/>
      <c r="RN171" s="31"/>
      <c r="RO171" s="31"/>
      <c r="RP171" s="31"/>
      <c r="RQ171" s="31"/>
      <c r="RR171" s="31"/>
      <c r="RS171" s="31"/>
      <c r="RT171" s="31"/>
      <c r="RU171" s="31"/>
      <c r="RV171" s="31"/>
      <c r="RW171" s="31">
        <v>6.7</v>
      </c>
      <c r="RX171" s="31"/>
      <c r="RY171" s="31"/>
      <c r="RZ171" s="31"/>
      <c r="SA171" s="31"/>
      <c r="SB171" s="31"/>
      <c r="SC171" s="31"/>
      <c r="SD171" s="31"/>
      <c r="SE171" s="31"/>
      <c r="SF171" s="31"/>
      <c r="SG171" s="31"/>
      <c r="SH171" s="31"/>
      <c r="SI171" s="31"/>
      <c r="SJ171" s="31"/>
      <c r="SK171" s="31"/>
      <c r="SL171" s="31"/>
      <c r="SM171" s="31"/>
      <c r="SN171" s="31"/>
      <c r="SO171" s="31"/>
      <c r="SP171" s="31"/>
      <c r="SQ171" s="31"/>
      <c r="SR171" s="31"/>
      <c r="SS171" s="31"/>
      <c r="ST171" s="23"/>
      <c r="SU171" s="23"/>
      <c r="SV171" s="23"/>
      <c r="SW171" s="23"/>
      <c r="SX171" s="23"/>
      <c r="SY171" s="23"/>
      <c r="SZ171" s="23"/>
      <c r="TA171" s="23"/>
      <c r="TB171" s="23">
        <v>8.8</v>
      </c>
      <c r="TC171" s="23"/>
      <c r="TD171" s="23"/>
      <c r="TE171" s="23"/>
      <c r="TF171" s="23"/>
      <c r="TG171" s="23"/>
      <c r="TH171" s="23"/>
      <c r="TI171" s="23"/>
      <c r="TJ171" s="23"/>
      <c r="TK171" s="23"/>
      <c r="TL171" s="23"/>
      <c r="TM171" s="23"/>
      <c r="TN171" s="23"/>
      <c r="TO171" s="23"/>
      <c r="TP171" s="23"/>
      <c r="TQ171" s="23"/>
      <c r="TR171" s="23"/>
      <c r="TS171" s="23"/>
      <c r="TT171" s="23"/>
      <c r="TU171" s="23"/>
      <c r="TV171" s="23"/>
      <c r="TW171" s="23"/>
      <c r="TX171" s="23"/>
      <c r="TY171" s="23"/>
      <c r="TZ171" s="23"/>
      <c r="UA171" s="23"/>
      <c r="UB171" s="23"/>
      <c r="UC171" s="23"/>
      <c r="UD171" s="23"/>
      <c r="UE171" s="23"/>
      <c r="UF171" s="23"/>
      <c r="UG171" s="23"/>
      <c r="UH171" s="23"/>
      <c r="UI171" s="23"/>
      <c r="UJ171" s="23"/>
      <c r="UK171" s="23"/>
      <c r="UL171" s="23"/>
      <c r="UM171" s="23"/>
      <c r="UN171" s="23"/>
      <c r="UO171" s="23"/>
      <c r="UP171" s="23"/>
      <c r="UQ171" s="23"/>
      <c r="UR171" s="23"/>
      <c r="US171" s="23"/>
      <c r="UT171" s="23"/>
    </row>
    <row r="172" spans="4:566">
      <c r="D172" t="s">
        <v>267</v>
      </c>
      <c r="E172" t="s">
        <v>268</v>
      </c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>
        <v>4.8</v>
      </c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>
        <v>7.6</v>
      </c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  <c r="DI172" s="31"/>
      <c r="DJ172" s="31"/>
      <c r="DK172" s="31"/>
      <c r="DL172" s="31"/>
      <c r="DM172" s="31"/>
      <c r="DN172" s="31"/>
      <c r="DO172" s="31"/>
      <c r="DP172" s="31"/>
      <c r="DQ172" s="31"/>
      <c r="DR172" s="31"/>
      <c r="DS172" s="31"/>
      <c r="DT172" s="31"/>
      <c r="DU172" s="31"/>
      <c r="DV172" s="31">
        <v>8.6</v>
      </c>
      <c r="DW172" s="31"/>
      <c r="DX172" s="31"/>
      <c r="DY172" s="31"/>
      <c r="DZ172" s="31"/>
      <c r="EA172" s="31"/>
      <c r="EB172" s="31"/>
      <c r="EC172" s="31"/>
      <c r="ED172" s="31"/>
      <c r="EE172" s="31"/>
      <c r="EF172" s="31"/>
      <c r="EG172" s="31"/>
      <c r="EH172" s="31"/>
      <c r="EI172" s="31"/>
      <c r="EJ172" s="31"/>
      <c r="EK172" s="31"/>
      <c r="EL172" s="31"/>
      <c r="EM172" s="31"/>
      <c r="EN172" s="31"/>
      <c r="EO172" s="31"/>
      <c r="EP172" s="31"/>
      <c r="EQ172" s="31"/>
      <c r="ER172" s="31"/>
      <c r="ES172" s="31"/>
      <c r="ET172" s="31"/>
      <c r="EU172" s="31"/>
      <c r="EV172" s="31"/>
      <c r="EW172" s="31"/>
      <c r="EX172" s="31"/>
      <c r="EY172" s="31"/>
      <c r="EZ172" s="31"/>
      <c r="FA172" s="31">
        <v>5.4</v>
      </c>
      <c r="FB172" s="31"/>
      <c r="FC172" s="31"/>
      <c r="FD172" s="31"/>
      <c r="FE172" s="31"/>
      <c r="FF172" s="31"/>
      <c r="FG172" s="31"/>
      <c r="FH172" s="31"/>
      <c r="FI172" s="31"/>
      <c r="FJ172" s="31"/>
      <c r="FK172" s="31"/>
      <c r="FL172" s="31"/>
      <c r="FM172" s="31"/>
      <c r="FN172" s="31"/>
      <c r="FO172" s="31"/>
      <c r="FP172" s="31"/>
      <c r="FQ172" s="31"/>
      <c r="FR172" s="31"/>
      <c r="FS172" s="31"/>
      <c r="FT172" s="31"/>
      <c r="FU172" s="31"/>
      <c r="FV172" s="31"/>
      <c r="FW172" s="31"/>
      <c r="FX172" s="31"/>
      <c r="FY172" s="31"/>
      <c r="FZ172" s="31"/>
      <c r="GA172" s="31"/>
      <c r="GB172" s="31"/>
      <c r="GC172" s="31"/>
      <c r="GD172" s="31"/>
      <c r="GE172" s="31">
        <v>4.5</v>
      </c>
      <c r="GF172" s="31"/>
      <c r="GG172" s="31"/>
      <c r="GH172" s="31"/>
      <c r="GI172" s="31"/>
      <c r="GJ172" s="31"/>
      <c r="GK172" s="31"/>
      <c r="GL172" s="31"/>
      <c r="GM172" s="31"/>
      <c r="GN172" s="31"/>
      <c r="GO172" s="31"/>
      <c r="GP172" s="31"/>
      <c r="GQ172" s="31"/>
      <c r="GR172" s="31"/>
      <c r="GS172" s="31"/>
      <c r="GT172" s="31"/>
      <c r="GU172" s="31"/>
      <c r="GV172" s="31"/>
      <c r="GW172" s="31"/>
      <c r="GX172" s="31"/>
      <c r="GY172" s="31"/>
      <c r="GZ172" s="31"/>
      <c r="HA172" s="31"/>
      <c r="HB172" s="31"/>
      <c r="HC172" s="31"/>
      <c r="HD172" s="31"/>
      <c r="HE172" s="31"/>
      <c r="HF172" s="31"/>
      <c r="HG172" s="31"/>
      <c r="HH172" s="31"/>
      <c r="HI172" s="31"/>
      <c r="HJ172" s="31">
        <v>4.8</v>
      </c>
      <c r="HK172" s="31"/>
      <c r="HL172" s="31"/>
      <c r="HM172" s="31"/>
      <c r="HN172" s="31"/>
      <c r="HO172" s="31"/>
      <c r="HP172" s="31"/>
      <c r="HQ172" s="31"/>
      <c r="HR172" s="31"/>
      <c r="HS172" s="31"/>
      <c r="HT172" s="31"/>
      <c r="HU172" s="31"/>
      <c r="HV172" s="31"/>
      <c r="HW172" s="31"/>
      <c r="HX172" s="31"/>
      <c r="HY172" s="31"/>
      <c r="HZ172" s="31"/>
      <c r="IA172" s="31"/>
      <c r="IB172" s="31"/>
      <c r="IC172" s="31"/>
      <c r="ID172" s="31"/>
      <c r="IE172" s="31"/>
      <c r="IF172" s="31"/>
      <c r="IG172" s="31"/>
      <c r="IH172" s="31"/>
      <c r="II172" s="31"/>
      <c r="IJ172" s="31"/>
      <c r="IK172" s="31"/>
      <c r="IL172" s="31"/>
      <c r="IM172" s="31"/>
      <c r="IN172" s="31"/>
      <c r="IO172" s="31">
        <v>7.4</v>
      </c>
      <c r="IP172" s="31"/>
      <c r="IQ172" s="31"/>
      <c r="IR172" s="31"/>
      <c r="IS172" s="31"/>
      <c r="IT172" s="31"/>
      <c r="IU172" s="31"/>
      <c r="IV172" s="31"/>
      <c r="IW172" s="31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  <c r="JN172" s="31"/>
      <c r="JO172" s="31"/>
      <c r="JP172" s="31"/>
      <c r="JQ172" s="31"/>
      <c r="JR172" s="31"/>
      <c r="JS172" s="31">
        <v>9.9</v>
      </c>
      <c r="JT172" s="31"/>
      <c r="JU172" s="31"/>
      <c r="JV172" s="31"/>
      <c r="JW172" s="31"/>
      <c r="JX172" s="31"/>
      <c r="JY172" s="31"/>
      <c r="JZ172" s="31"/>
      <c r="KA172" s="31"/>
      <c r="KB172" s="31"/>
      <c r="KC172" s="31"/>
      <c r="KD172" s="31"/>
      <c r="KE172" s="31"/>
      <c r="KF172" s="31"/>
      <c r="KG172" s="31"/>
      <c r="KH172" s="31"/>
      <c r="KI172" s="31"/>
      <c r="KJ172" s="31"/>
      <c r="KK172" s="31"/>
      <c r="KL172" s="31"/>
      <c r="KM172" s="31"/>
      <c r="KN172" s="31"/>
      <c r="KO172" s="31"/>
      <c r="KP172" s="31"/>
      <c r="KQ172" s="31"/>
      <c r="KR172" s="31"/>
      <c r="KS172" s="31"/>
      <c r="KT172" s="31"/>
      <c r="KU172" s="31"/>
      <c r="KV172" s="31"/>
      <c r="KW172" s="31"/>
      <c r="KX172" s="31">
        <v>7.7</v>
      </c>
      <c r="KY172" s="31"/>
      <c r="KZ172" s="31"/>
      <c r="LA172" s="31"/>
      <c r="LB172" s="31"/>
      <c r="LC172" s="31"/>
      <c r="LD172" s="31"/>
      <c r="LE172" s="31"/>
      <c r="LF172" s="31"/>
      <c r="LG172" s="31"/>
      <c r="LH172" s="31"/>
      <c r="LI172" s="31"/>
      <c r="LJ172" s="31"/>
      <c r="LK172" s="31"/>
      <c r="LL172" s="31"/>
      <c r="LM172" s="31"/>
      <c r="LN172" s="31"/>
      <c r="LO172" s="31"/>
      <c r="LP172" s="31"/>
      <c r="LQ172" s="31"/>
      <c r="LR172" s="31"/>
      <c r="LS172" s="31"/>
      <c r="LT172" s="31"/>
      <c r="LU172" s="31"/>
      <c r="LV172" s="31"/>
      <c r="LW172" s="31"/>
      <c r="LX172" s="31"/>
      <c r="LY172" s="31"/>
      <c r="LZ172" s="31"/>
      <c r="MA172" s="31"/>
      <c r="MB172" s="31">
        <v>5</v>
      </c>
      <c r="MC172" s="31"/>
      <c r="MD172" s="31"/>
      <c r="ME172" s="31"/>
      <c r="MF172" s="31"/>
      <c r="MG172" s="31"/>
      <c r="MH172" s="31"/>
      <c r="MI172" s="31"/>
      <c r="MJ172" s="31"/>
      <c r="MK172" s="31"/>
      <c r="ML172" s="31"/>
      <c r="MM172" s="31"/>
      <c r="MN172" s="31"/>
      <c r="MO172" s="31"/>
      <c r="MP172" s="31"/>
      <c r="MQ172" s="31"/>
      <c r="MR172" s="31"/>
      <c r="MS172" s="31"/>
      <c r="MT172" s="31"/>
      <c r="MU172" s="31"/>
      <c r="MV172" s="31"/>
      <c r="MW172" s="31"/>
      <c r="MX172" s="31"/>
      <c r="MY172" s="31"/>
      <c r="MZ172" s="31"/>
      <c r="NA172" s="31"/>
      <c r="NB172" s="31"/>
      <c r="NC172" s="31"/>
      <c r="ND172" s="31"/>
      <c r="NE172" s="31"/>
      <c r="NF172" s="31"/>
      <c r="NG172" s="31">
        <v>5</v>
      </c>
      <c r="NH172" s="31"/>
      <c r="NI172" s="31"/>
      <c r="NJ172" s="31"/>
      <c r="NK172" s="31"/>
      <c r="NL172" s="31"/>
      <c r="NM172" s="31"/>
      <c r="NN172" s="31"/>
      <c r="NO172" s="31"/>
      <c r="NP172" s="31"/>
      <c r="NQ172" s="31"/>
      <c r="NR172" s="31"/>
      <c r="NS172" s="31"/>
      <c r="NT172" s="31"/>
      <c r="NU172" s="31"/>
      <c r="NV172" s="31"/>
      <c r="NW172" s="31"/>
      <c r="NX172" s="31"/>
      <c r="NY172" s="31"/>
      <c r="NZ172" s="31"/>
      <c r="OA172" s="31"/>
      <c r="OB172" s="31"/>
      <c r="OC172" s="31"/>
      <c r="OD172" s="31"/>
      <c r="OE172" s="31"/>
      <c r="OF172" s="31"/>
      <c r="OG172" s="31"/>
      <c r="OH172" s="31"/>
      <c r="OI172" s="31"/>
      <c r="OJ172" s="31"/>
      <c r="OK172" s="31"/>
      <c r="OL172" s="31"/>
      <c r="OM172" s="31"/>
      <c r="ON172" s="31"/>
      <c r="OO172" s="31"/>
      <c r="OP172" s="31"/>
      <c r="OQ172" s="31"/>
      <c r="OR172" s="31"/>
      <c r="OS172" s="31"/>
      <c r="OT172" s="31"/>
      <c r="OU172" s="31"/>
      <c r="OV172" s="31"/>
      <c r="OW172" s="31"/>
      <c r="OX172" s="31"/>
      <c r="OY172" s="31"/>
      <c r="OZ172" s="31"/>
      <c r="PA172" s="31"/>
      <c r="PB172" s="31"/>
      <c r="PC172" s="31"/>
      <c r="PD172" s="31"/>
      <c r="PE172" s="31"/>
      <c r="PF172" s="31"/>
      <c r="PG172" s="31"/>
      <c r="PH172" s="31"/>
      <c r="PI172" s="31"/>
      <c r="PJ172" s="31"/>
      <c r="PK172" s="31"/>
      <c r="PL172" s="31"/>
      <c r="PM172" s="31"/>
      <c r="PN172" s="31">
        <v>18.9</v>
      </c>
      <c r="PO172" s="31"/>
      <c r="PP172" s="31"/>
      <c r="PQ172" s="31"/>
      <c r="PR172" s="31"/>
      <c r="PS172" s="31"/>
      <c r="PT172" s="31"/>
      <c r="PU172" s="31"/>
      <c r="PV172" s="31"/>
      <c r="PW172" s="31"/>
      <c r="PX172" s="31"/>
      <c r="PY172" s="31"/>
      <c r="PZ172" s="31"/>
      <c r="QA172" s="31"/>
      <c r="QB172" s="31"/>
      <c r="QC172" s="31"/>
      <c r="QD172" s="31"/>
      <c r="QE172" s="31"/>
      <c r="QF172" s="31"/>
      <c r="QG172" s="31"/>
      <c r="QH172" s="31"/>
      <c r="QI172" s="31"/>
      <c r="QJ172" s="31"/>
      <c r="QK172" s="31"/>
      <c r="QL172" s="31"/>
      <c r="QM172" s="31"/>
      <c r="QN172" s="31"/>
      <c r="QO172" s="31"/>
      <c r="QP172" s="31"/>
      <c r="QQ172" s="31"/>
      <c r="QR172" s="31"/>
      <c r="QS172" s="31">
        <v>19.1</v>
      </c>
      <c r="QT172" s="31"/>
      <c r="QU172" s="31"/>
      <c r="QV172" s="31"/>
      <c r="QW172" s="31"/>
      <c r="QX172" s="31"/>
      <c r="QY172" s="31"/>
      <c r="QZ172" s="31"/>
      <c r="RA172" s="31"/>
      <c r="RB172" s="31"/>
      <c r="RC172" s="31"/>
      <c r="RD172" s="31"/>
      <c r="RE172" s="31"/>
      <c r="RF172" s="31"/>
      <c r="RG172" s="31"/>
      <c r="RH172" s="31"/>
      <c r="RI172" s="31"/>
      <c r="RJ172" s="31"/>
      <c r="RK172" s="31"/>
      <c r="RL172" s="31"/>
      <c r="RM172" s="31"/>
      <c r="RN172" s="31"/>
      <c r="RO172" s="31"/>
      <c r="RP172" s="31"/>
      <c r="RQ172" s="31"/>
      <c r="RR172" s="31"/>
      <c r="RS172" s="31"/>
      <c r="RT172" s="31"/>
      <c r="RU172" s="31"/>
      <c r="RV172" s="31"/>
      <c r="RW172" s="31">
        <v>20.4</v>
      </c>
      <c r="RX172" s="31"/>
      <c r="RY172" s="31"/>
      <c r="RZ172" s="31"/>
      <c r="SA172" s="31"/>
      <c r="SB172" s="31"/>
      <c r="SC172" s="31"/>
      <c r="SD172" s="31"/>
      <c r="SE172" s="31"/>
      <c r="SF172" s="31"/>
      <c r="SG172" s="31"/>
      <c r="SH172" s="31"/>
      <c r="SI172" s="31"/>
      <c r="SJ172" s="31"/>
      <c r="SK172" s="31"/>
      <c r="SL172" s="31"/>
      <c r="SM172" s="31"/>
      <c r="SN172" s="31"/>
      <c r="SO172" s="31"/>
      <c r="SP172" s="31"/>
      <c r="SQ172" s="31"/>
      <c r="SR172" s="31"/>
      <c r="SS172" s="31"/>
      <c r="ST172" s="23"/>
      <c r="SU172" s="23"/>
      <c r="SV172" s="23"/>
      <c r="SW172" s="23"/>
      <c r="SX172" s="23"/>
      <c r="SY172" s="23"/>
      <c r="SZ172" s="23"/>
      <c r="TA172" s="23"/>
      <c r="TB172" s="23">
        <v>20</v>
      </c>
      <c r="TC172" s="23"/>
      <c r="TD172" s="23"/>
      <c r="TE172" s="23"/>
      <c r="TF172" s="23"/>
      <c r="TG172" s="23"/>
      <c r="TH172" s="23"/>
      <c r="TI172" s="23"/>
      <c r="TJ172" s="23"/>
      <c r="TK172" s="23"/>
      <c r="TL172" s="23"/>
      <c r="TM172" s="23"/>
      <c r="TN172" s="23"/>
      <c r="TO172" s="23"/>
      <c r="TP172" s="23"/>
      <c r="TQ172" s="23"/>
      <c r="TR172" s="23"/>
      <c r="TS172" s="23"/>
      <c r="TT172" s="23"/>
      <c r="TU172" s="23"/>
      <c r="TV172" s="23"/>
      <c r="TW172" s="23"/>
      <c r="TX172" s="23"/>
      <c r="TY172" s="23"/>
      <c r="TZ172" s="23"/>
      <c r="UA172" s="23"/>
      <c r="UB172" s="23"/>
      <c r="UC172" s="23"/>
      <c r="UD172" s="23"/>
      <c r="UE172" s="23"/>
      <c r="UF172" s="23"/>
      <c r="UG172" s="23"/>
      <c r="UH172" s="23"/>
      <c r="UI172" s="23"/>
      <c r="UJ172" s="23"/>
      <c r="UK172" s="23"/>
      <c r="UL172" s="23"/>
      <c r="UM172" s="23"/>
      <c r="UN172" s="23"/>
      <c r="UO172" s="23"/>
      <c r="UP172" s="23"/>
      <c r="UQ172" s="23"/>
      <c r="UR172" s="23"/>
      <c r="US172" s="23"/>
      <c r="UT172" s="23"/>
    </row>
    <row r="173" spans="4:566">
      <c r="D173" t="s">
        <v>269</v>
      </c>
      <c r="E173" t="s">
        <v>270</v>
      </c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>
        <v>3324</v>
      </c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>
        <v>15900</v>
      </c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>
        <v>8190</v>
      </c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  <c r="DI173" s="31"/>
      <c r="DJ173" s="31"/>
      <c r="DK173" s="31"/>
      <c r="DL173" s="31"/>
      <c r="DM173" s="31"/>
      <c r="DN173" s="31"/>
      <c r="DO173" s="31"/>
      <c r="DP173" s="31"/>
      <c r="DQ173" s="31"/>
      <c r="DR173" s="31"/>
      <c r="DS173" s="31"/>
      <c r="DT173" s="31"/>
      <c r="DU173" s="31"/>
      <c r="DV173" s="31">
        <v>11900</v>
      </c>
      <c r="DW173" s="31"/>
      <c r="DX173" s="31"/>
      <c r="DY173" s="31"/>
      <c r="DZ173" s="31"/>
      <c r="EA173" s="31"/>
      <c r="EB173" s="31"/>
      <c r="EC173" s="31"/>
      <c r="ED173" s="31"/>
      <c r="EE173" s="31"/>
      <c r="EF173" s="31"/>
      <c r="EG173" s="31"/>
      <c r="EH173" s="31"/>
      <c r="EI173" s="31"/>
      <c r="EJ173" s="31"/>
      <c r="EK173" s="31"/>
      <c r="EL173" s="31"/>
      <c r="EM173" s="31"/>
      <c r="EN173" s="31"/>
      <c r="EO173" s="31"/>
      <c r="EP173" s="31"/>
      <c r="EQ173" s="31"/>
      <c r="ER173" s="31"/>
      <c r="ES173" s="31"/>
      <c r="ET173" s="31"/>
      <c r="EU173" s="31"/>
      <c r="EV173" s="31"/>
      <c r="EW173" s="31"/>
      <c r="EX173" s="31"/>
      <c r="EY173" s="31"/>
      <c r="EZ173" s="31"/>
      <c r="FA173" s="31">
        <v>20700</v>
      </c>
      <c r="FB173" s="31"/>
      <c r="FC173" s="31"/>
      <c r="FD173" s="31"/>
      <c r="FE173" s="31"/>
      <c r="FF173" s="31"/>
      <c r="FG173" s="31"/>
      <c r="FH173" s="31"/>
      <c r="FI173" s="31"/>
      <c r="FJ173" s="31"/>
      <c r="FK173" s="31"/>
      <c r="FL173" s="31"/>
      <c r="FM173" s="31"/>
      <c r="FN173" s="31"/>
      <c r="FO173" s="31"/>
      <c r="FP173" s="31"/>
      <c r="FQ173" s="31"/>
      <c r="FR173" s="31"/>
      <c r="FS173" s="31"/>
      <c r="FT173" s="31"/>
      <c r="FU173" s="31"/>
      <c r="FV173" s="31"/>
      <c r="FW173" s="31"/>
      <c r="FX173" s="31"/>
      <c r="FY173" s="31"/>
      <c r="FZ173" s="31"/>
      <c r="GA173" s="31"/>
      <c r="GB173" s="31"/>
      <c r="GC173" s="31"/>
      <c r="GD173" s="31"/>
      <c r="GE173" s="31">
        <v>12500</v>
      </c>
      <c r="GF173" s="31"/>
      <c r="GG173" s="31"/>
      <c r="GH173" s="31"/>
      <c r="GI173" s="31"/>
      <c r="GJ173" s="31"/>
      <c r="GK173" s="31"/>
      <c r="GL173" s="31"/>
      <c r="GM173" s="31"/>
      <c r="GN173" s="31"/>
      <c r="GO173" s="31"/>
      <c r="GP173" s="31"/>
      <c r="GQ173" s="31"/>
      <c r="GR173" s="31"/>
      <c r="GS173" s="31"/>
      <c r="GT173" s="31"/>
      <c r="GU173" s="31"/>
      <c r="GV173" s="31"/>
      <c r="GW173" s="31"/>
      <c r="GX173" s="31"/>
      <c r="GY173" s="31"/>
      <c r="GZ173" s="31"/>
      <c r="HA173" s="31"/>
      <c r="HB173" s="31"/>
      <c r="HC173" s="31"/>
      <c r="HD173" s="31"/>
      <c r="HE173" s="31"/>
      <c r="HF173" s="31"/>
      <c r="HG173" s="31"/>
      <c r="HH173" s="31"/>
      <c r="HI173" s="31"/>
      <c r="HJ173" s="31">
        <v>20200</v>
      </c>
      <c r="HK173" s="31"/>
      <c r="HL173" s="31"/>
      <c r="HM173" s="31"/>
      <c r="HN173" s="31"/>
      <c r="HO173" s="31"/>
      <c r="HP173" s="31"/>
      <c r="HQ173" s="31"/>
      <c r="HR173" s="31"/>
      <c r="HS173" s="31"/>
      <c r="HT173" s="31"/>
      <c r="HU173" s="31"/>
      <c r="HV173" s="31"/>
      <c r="HW173" s="31"/>
      <c r="HX173" s="31"/>
      <c r="HY173" s="31"/>
      <c r="HZ173" s="31"/>
      <c r="IA173" s="31"/>
      <c r="IB173" s="31"/>
      <c r="IC173" s="31"/>
      <c r="ID173" s="31"/>
      <c r="IE173" s="31"/>
      <c r="IF173" s="31"/>
      <c r="IG173" s="31"/>
      <c r="IH173" s="31"/>
      <c r="II173" s="31"/>
      <c r="IJ173" s="31"/>
      <c r="IK173" s="31"/>
      <c r="IL173" s="31"/>
      <c r="IM173" s="31"/>
      <c r="IN173" s="31"/>
      <c r="IO173" s="31">
        <v>22100</v>
      </c>
      <c r="IP173" s="31"/>
      <c r="IQ173" s="31"/>
      <c r="IR173" s="31"/>
      <c r="IS173" s="31"/>
      <c r="IT173" s="31"/>
      <c r="IU173" s="31"/>
      <c r="IV173" s="31"/>
      <c r="IW173" s="31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  <c r="JH173" s="31"/>
      <c r="JI173" s="31"/>
      <c r="JJ173" s="31"/>
      <c r="JK173" s="31"/>
      <c r="JL173" s="31"/>
      <c r="JM173" s="31"/>
      <c r="JN173" s="31"/>
      <c r="JO173" s="31"/>
      <c r="JP173" s="31"/>
      <c r="JQ173" s="31"/>
      <c r="JR173" s="31"/>
      <c r="JS173" s="31">
        <v>13700</v>
      </c>
      <c r="JT173" s="31"/>
      <c r="JU173" s="31"/>
      <c r="JV173" s="31"/>
      <c r="JW173" s="31"/>
      <c r="JX173" s="31"/>
      <c r="JY173" s="31"/>
      <c r="JZ173" s="31"/>
      <c r="KA173" s="31"/>
      <c r="KB173" s="31"/>
      <c r="KC173" s="31"/>
      <c r="KD173" s="31"/>
      <c r="KE173" s="31"/>
      <c r="KF173" s="31"/>
      <c r="KG173" s="31"/>
      <c r="KH173" s="31"/>
      <c r="KI173" s="31"/>
      <c r="KJ173" s="31"/>
      <c r="KK173" s="31"/>
      <c r="KL173" s="31"/>
      <c r="KM173" s="31"/>
      <c r="KN173" s="31"/>
      <c r="KO173" s="31"/>
      <c r="KP173" s="31"/>
      <c r="KQ173" s="31"/>
      <c r="KR173" s="31"/>
      <c r="KS173" s="31"/>
      <c r="KT173" s="31"/>
      <c r="KU173" s="31"/>
      <c r="KV173" s="31"/>
      <c r="KW173" s="31"/>
      <c r="KX173" s="31">
        <v>20900</v>
      </c>
      <c r="KY173" s="31"/>
      <c r="KZ173" s="31"/>
      <c r="LA173" s="31"/>
      <c r="LB173" s="31"/>
      <c r="LC173" s="31"/>
      <c r="LD173" s="31"/>
      <c r="LE173" s="31"/>
      <c r="LF173" s="31"/>
      <c r="LG173" s="31"/>
      <c r="LH173" s="31"/>
      <c r="LI173" s="31"/>
      <c r="LJ173" s="31"/>
      <c r="LK173" s="31"/>
      <c r="LL173" s="31"/>
      <c r="LM173" s="31"/>
      <c r="LN173" s="31"/>
      <c r="LO173" s="31"/>
      <c r="LP173" s="31"/>
      <c r="LQ173" s="31"/>
      <c r="LR173" s="31"/>
      <c r="LS173" s="31"/>
      <c r="LT173" s="31"/>
      <c r="LU173" s="31"/>
      <c r="LV173" s="31"/>
      <c r="LW173" s="31"/>
      <c r="LX173" s="31"/>
      <c r="LY173" s="31"/>
      <c r="LZ173" s="31"/>
      <c r="MA173" s="31"/>
      <c r="MB173" s="31">
        <v>20400</v>
      </c>
      <c r="MC173" s="31"/>
      <c r="MD173" s="31"/>
      <c r="ME173" s="31"/>
      <c r="MF173" s="31"/>
      <c r="MG173" s="31"/>
      <c r="MH173" s="31"/>
      <c r="MI173" s="31"/>
      <c r="MJ173" s="31"/>
      <c r="MK173" s="31"/>
      <c r="ML173" s="31"/>
      <c r="MM173" s="31"/>
      <c r="MN173" s="31"/>
      <c r="MO173" s="31"/>
      <c r="MP173" s="31"/>
      <c r="MQ173" s="31"/>
      <c r="MR173" s="31"/>
      <c r="MS173" s="31"/>
      <c r="MT173" s="31"/>
      <c r="MU173" s="31"/>
      <c r="MV173" s="31"/>
      <c r="MW173" s="31"/>
      <c r="MX173" s="31"/>
      <c r="MY173" s="31"/>
      <c r="MZ173" s="31"/>
      <c r="NA173" s="31"/>
      <c r="NB173" s="31"/>
      <c r="NC173" s="31"/>
      <c r="ND173" s="31"/>
      <c r="NE173" s="31"/>
      <c r="NF173" s="31"/>
      <c r="NG173" s="31">
        <v>6579</v>
      </c>
      <c r="NH173" s="31"/>
      <c r="NI173" s="31"/>
      <c r="NJ173" s="31"/>
      <c r="NK173" s="31"/>
      <c r="NL173" s="31"/>
      <c r="NM173" s="31"/>
      <c r="NN173" s="31"/>
      <c r="NO173" s="31"/>
      <c r="NP173" s="31"/>
      <c r="NQ173" s="31"/>
      <c r="NR173" s="31"/>
      <c r="NS173" s="31"/>
      <c r="NT173" s="31"/>
      <c r="NU173" s="31"/>
      <c r="NV173" s="31"/>
      <c r="NW173" s="31"/>
      <c r="NX173" s="31"/>
      <c r="NY173" s="31"/>
      <c r="NZ173" s="31"/>
      <c r="OA173" s="31"/>
      <c r="OB173" s="31"/>
      <c r="OC173" s="31"/>
      <c r="OD173" s="31"/>
      <c r="OE173" s="31"/>
      <c r="OF173" s="31"/>
      <c r="OG173" s="31"/>
      <c r="OH173" s="31"/>
      <c r="OI173" s="31"/>
      <c r="OJ173" s="31"/>
      <c r="OK173" s="31"/>
      <c r="OL173" s="31">
        <v>15500</v>
      </c>
      <c r="OM173" s="31"/>
      <c r="ON173" s="31"/>
      <c r="OO173" s="31"/>
      <c r="OP173" s="31"/>
      <c r="OQ173" s="31"/>
      <c r="OR173" s="31"/>
      <c r="OS173" s="31"/>
      <c r="OT173" s="31"/>
      <c r="OU173" s="31"/>
      <c r="OV173" s="31"/>
      <c r="OW173" s="31"/>
      <c r="OX173" s="31"/>
      <c r="OY173" s="31"/>
      <c r="OZ173" s="31"/>
      <c r="PA173" s="31"/>
      <c r="PB173" s="31"/>
      <c r="PC173" s="31"/>
      <c r="PD173" s="31"/>
      <c r="PE173" s="31"/>
      <c r="PF173" s="31"/>
      <c r="PG173" s="31"/>
      <c r="PH173" s="31"/>
      <c r="PI173" s="31"/>
      <c r="PJ173" s="31"/>
      <c r="PK173" s="31"/>
      <c r="PL173" s="31"/>
      <c r="PM173" s="31"/>
      <c r="PN173" s="31">
        <v>12000</v>
      </c>
      <c r="PO173" s="31"/>
      <c r="PP173" s="31"/>
      <c r="PQ173" s="31"/>
      <c r="PR173" s="31"/>
      <c r="PS173" s="31"/>
      <c r="PT173" s="31"/>
      <c r="PU173" s="31"/>
      <c r="PV173" s="31"/>
      <c r="PW173" s="31"/>
      <c r="PX173" s="31"/>
      <c r="PY173" s="31"/>
      <c r="PZ173" s="31"/>
      <c r="QA173" s="31"/>
      <c r="QB173" s="31"/>
      <c r="QC173" s="31"/>
      <c r="QD173" s="31"/>
      <c r="QE173" s="31"/>
      <c r="QF173" s="31"/>
      <c r="QG173" s="31"/>
      <c r="QH173" s="31"/>
      <c r="QI173" s="31"/>
      <c r="QJ173" s="31"/>
      <c r="QK173" s="31"/>
      <c r="QL173" s="31"/>
      <c r="QM173" s="31"/>
      <c r="QN173" s="31"/>
      <c r="QO173" s="31"/>
      <c r="QP173" s="31"/>
      <c r="QQ173" s="31"/>
      <c r="QR173" s="31"/>
      <c r="QS173" s="31">
        <v>4606</v>
      </c>
      <c r="QT173" s="31"/>
      <c r="QU173" s="31"/>
      <c r="QV173" s="31"/>
      <c r="QW173" s="31"/>
      <c r="QX173" s="31"/>
      <c r="QY173" s="31"/>
      <c r="QZ173" s="31"/>
      <c r="RA173" s="31"/>
      <c r="RB173" s="31"/>
      <c r="RC173" s="31"/>
      <c r="RD173" s="31"/>
      <c r="RE173" s="31"/>
      <c r="RF173" s="31"/>
      <c r="RG173" s="31"/>
      <c r="RH173" s="31"/>
      <c r="RI173" s="31"/>
      <c r="RJ173" s="31"/>
      <c r="RK173" s="31"/>
      <c r="RL173" s="31"/>
      <c r="RM173" s="31"/>
      <c r="RN173" s="31"/>
      <c r="RO173" s="31"/>
      <c r="RP173" s="31"/>
      <c r="RQ173" s="31"/>
      <c r="RR173" s="31"/>
      <c r="RS173" s="31"/>
      <c r="RT173" s="31"/>
      <c r="RU173" s="31"/>
      <c r="RV173" s="31"/>
      <c r="RW173" s="31">
        <v>12000</v>
      </c>
      <c r="RX173" s="31"/>
      <c r="RY173" s="31"/>
      <c r="RZ173" s="31"/>
      <c r="SA173" s="31"/>
      <c r="SB173" s="31"/>
      <c r="SC173" s="31"/>
      <c r="SD173" s="31"/>
      <c r="SE173" s="31"/>
      <c r="SF173" s="31"/>
      <c r="SG173" s="31"/>
      <c r="SH173" s="31"/>
      <c r="SI173" s="31"/>
      <c r="SJ173" s="31"/>
      <c r="SK173" s="31"/>
      <c r="SL173" s="31"/>
      <c r="SM173" s="31"/>
      <c r="SN173" s="31"/>
      <c r="SO173" s="31"/>
      <c r="SP173" s="31"/>
      <c r="SQ173" s="31"/>
      <c r="SR173" s="31"/>
      <c r="SS173" s="31"/>
      <c r="ST173" s="23"/>
      <c r="SU173" s="23"/>
      <c r="SV173" s="23"/>
      <c r="SW173" s="23"/>
      <c r="SX173" s="23"/>
      <c r="SY173" s="23"/>
      <c r="SZ173" s="23"/>
      <c r="TA173" s="23"/>
      <c r="TB173" s="23">
        <v>19100</v>
      </c>
      <c r="TC173" s="23"/>
      <c r="TD173" s="23"/>
      <c r="TE173" s="23"/>
      <c r="TF173" s="23"/>
      <c r="TG173" s="23"/>
      <c r="TH173" s="23"/>
      <c r="TI173" s="23"/>
      <c r="TJ173" s="23"/>
      <c r="TK173" s="23"/>
      <c r="TL173" s="23"/>
      <c r="TM173" s="23"/>
      <c r="TN173" s="23"/>
      <c r="TO173" s="23"/>
      <c r="TP173" s="23"/>
      <c r="TQ173" s="23"/>
      <c r="TR173" s="23"/>
      <c r="TS173" s="23"/>
      <c r="TT173" s="23"/>
      <c r="TU173" s="23"/>
      <c r="TV173" s="23"/>
      <c r="TW173" s="23"/>
      <c r="TX173" s="23"/>
      <c r="TY173" s="23"/>
      <c r="TZ173" s="23"/>
      <c r="UA173" s="23"/>
      <c r="UB173" s="23"/>
      <c r="UC173" s="23"/>
      <c r="UD173" s="23"/>
      <c r="UE173" s="23"/>
      <c r="UF173" s="23"/>
      <c r="UG173" s="23"/>
      <c r="UH173" s="23"/>
      <c r="UI173" s="23"/>
      <c r="UJ173" s="23"/>
      <c r="UK173" s="23"/>
      <c r="UL173" s="23"/>
      <c r="UM173" s="23"/>
      <c r="UN173" s="23"/>
      <c r="UO173" s="23"/>
      <c r="UP173" s="23"/>
      <c r="UQ173" s="23"/>
      <c r="UR173" s="23"/>
      <c r="US173" s="23"/>
      <c r="UT173" s="23"/>
    </row>
    <row r="174" spans="4:566">
      <c r="D174" t="s">
        <v>271</v>
      </c>
      <c r="E174" t="s">
        <v>272</v>
      </c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>
        <v>40940.5</v>
      </c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  <c r="DI174" s="31"/>
      <c r="DJ174" s="31"/>
      <c r="DK174" s="31"/>
      <c r="DL174" s="31"/>
      <c r="DM174" s="31"/>
      <c r="DN174" s="31"/>
      <c r="DO174" s="31"/>
      <c r="DP174" s="31"/>
      <c r="DQ174" s="31"/>
      <c r="DR174" s="31"/>
      <c r="DS174" s="31"/>
      <c r="DT174" s="31"/>
      <c r="DU174" s="31"/>
      <c r="DV174" s="31">
        <v>37174.1</v>
      </c>
      <c r="DW174" s="31"/>
      <c r="DX174" s="31"/>
      <c r="DY174" s="31"/>
      <c r="DZ174" s="31"/>
      <c r="EA174" s="31"/>
      <c r="EB174" s="31"/>
      <c r="EC174" s="31"/>
      <c r="ED174" s="31"/>
      <c r="EE174" s="31"/>
      <c r="EF174" s="31"/>
      <c r="EG174" s="31"/>
      <c r="EH174" s="31"/>
      <c r="EI174" s="31"/>
      <c r="EJ174" s="31"/>
      <c r="EK174" s="31"/>
      <c r="EL174" s="31"/>
      <c r="EM174" s="31"/>
      <c r="EN174" s="31"/>
      <c r="EO174" s="31"/>
      <c r="EP174" s="31"/>
      <c r="EQ174" s="31"/>
      <c r="ER174" s="31"/>
      <c r="ES174" s="31"/>
      <c r="ET174" s="31"/>
      <c r="EU174" s="31"/>
      <c r="EV174" s="31"/>
      <c r="EW174" s="31"/>
      <c r="EX174" s="31"/>
      <c r="EY174" s="31"/>
      <c r="EZ174" s="31"/>
      <c r="FA174" s="31">
        <v>41325.8</v>
      </c>
      <c r="FB174" s="31"/>
      <c r="FC174" s="31"/>
      <c r="FD174" s="31"/>
      <c r="FE174" s="31"/>
      <c r="FF174" s="31"/>
      <c r="FG174" s="31"/>
      <c r="FH174" s="31"/>
      <c r="FI174" s="31"/>
      <c r="FJ174" s="31"/>
      <c r="FK174" s="31"/>
      <c r="FL174" s="31"/>
      <c r="FM174" s="31"/>
      <c r="FN174" s="31"/>
      <c r="FO174" s="31"/>
      <c r="FP174" s="31"/>
      <c r="FQ174" s="31"/>
      <c r="FR174" s="31"/>
      <c r="FS174" s="31"/>
      <c r="FT174" s="31"/>
      <c r="FU174" s="31"/>
      <c r="FV174" s="31"/>
      <c r="FW174" s="31"/>
      <c r="FX174" s="31"/>
      <c r="FY174" s="31"/>
      <c r="FZ174" s="31"/>
      <c r="GA174" s="31"/>
      <c r="GB174" s="31"/>
      <c r="GC174" s="31"/>
      <c r="GD174" s="31"/>
      <c r="GE174" s="31">
        <v>42287.4</v>
      </c>
      <c r="GF174" s="31"/>
      <c r="GG174" s="31"/>
      <c r="GH174" s="31"/>
      <c r="GI174" s="31"/>
      <c r="GJ174" s="31"/>
      <c r="GK174" s="31"/>
      <c r="GL174" s="31"/>
      <c r="GM174" s="31"/>
      <c r="GN174" s="31"/>
      <c r="GO174" s="31"/>
      <c r="GP174" s="31"/>
      <c r="GQ174" s="31"/>
      <c r="GR174" s="31"/>
      <c r="GS174" s="31"/>
      <c r="GT174" s="31"/>
      <c r="GU174" s="31"/>
      <c r="GV174" s="31"/>
      <c r="GW174" s="31"/>
      <c r="GX174" s="31"/>
      <c r="GY174" s="31"/>
      <c r="GZ174" s="31"/>
      <c r="HA174" s="31"/>
      <c r="HB174" s="31"/>
      <c r="HC174" s="31"/>
      <c r="HD174" s="31"/>
      <c r="HE174" s="31"/>
      <c r="HF174" s="31"/>
      <c r="HG174" s="31"/>
      <c r="HH174" s="31"/>
      <c r="HI174" s="31"/>
      <c r="HJ174" s="31">
        <v>38780.2</v>
      </c>
      <c r="HK174" s="31"/>
      <c r="HL174" s="31"/>
      <c r="HM174" s="31"/>
      <c r="HN174" s="31"/>
      <c r="HO174" s="31"/>
      <c r="HP174" s="31"/>
      <c r="HQ174" s="31"/>
      <c r="HR174" s="31"/>
      <c r="HS174" s="31"/>
      <c r="HT174" s="31"/>
      <c r="HU174" s="31"/>
      <c r="HV174" s="31"/>
      <c r="HW174" s="31"/>
      <c r="HX174" s="31"/>
      <c r="HY174" s="31"/>
      <c r="HZ174" s="31"/>
      <c r="IA174" s="31"/>
      <c r="IB174" s="31"/>
      <c r="IC174" s="31"/>
      <c r="ID174" s="31"/>
      <c r="IE174" s="31"/>
      <c r="IF174" s="31"/>
      <c r="IG174" s="31"/>
      <c r="IH174" s="31"/>
      <c r="II174" s="31"/>
      <c r="IJ174" s="31"/>
      <c r="IK174" s="31"/>
      <c r="IL174" s="31"/>
      <c r="IM174" s="31"/>
      <c r="IN174" s="31"/>
      <c r="IO174" s="31">
        <v>39667.6</v>
      </c>
      <c r="IP174" s="31"/>
      <c r="IQ174" s="31"/>
      <c r="IR174" s="31"/>
      <c r="IS174" s="31"/>
      <c r="IT174" s="31"/>
      <c r="IU174" s="31"/>
      <c r="IV174" s="31"/>
      <c r="IW174" s="31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  <c r="JN174" s="31"/>
      <c r="JO174" s="31"/>
      <c r="JP174" s="31"/>
      <c r="JQ174" s="31"/>
      <c r="JR174" s="31"/>
      <c r="JS174" s="31">
        <v>41971</v>
      </c>
      <c r="JT174" s="31"/>
      <c r="JU174" s="31"/>
      <c r="JV174" s="31"/>
      <c r="JW174" s="31"/>
      <c r="JX174" s="31"/>
      <c r="JY174" s="31"/>
      <c r="JZ174" s="31"/>
      <c r="KA174" s="31"/>
      <c r="KB174" s="31"/>
      <c r="KC174" s="31"/>
      <c r="KD174" s="31"/>
      <c r="KE174" s="31"/>
      <c r="KF174" s="31"/>
      <c r="KG174" s="31"/>
      <c r="KH174" s="31"/>
      <c r="KI174" s="31"/>
      <c r="KJ174" s="31"/>
      <c r="KK174" s="31"/>
      <c r="KL174" s="31"/>
      <c r="KM174" s="31"/>
      <c r="KN174" s="31"/>
      <c r="KO174" s="31"/>
      <c r="KP174" s="31"/>
      <c r="KQ174" s="31"/>
      <c r="KR174" s="31"/>
      <c r="KS174" s="31"/>
      <c r="KT174" s="31"/>
      <c r="KU174" s="31"/>
      <c r="KV174" s="31"/>
      <c r="KW174" s="31"/>
      <c r="KX174" s="31">
        <v>46291.3</v>
      </c>
      <c r="KY174" s="31"/>
      <c r="KZ174" s="31"/>
      <c r="LA174" s="31"/>
      <c r="LB174" s="31"/>
      <c r="LC174" s="31"/>
      <c r="LD174" s="31"/>
      <c r="LE174" s="31"/>
      <c r="LF174" s="31"/>
      <c r="LG174" s="31"/>
      <c r="LH174" s="31"/>
      <c r="LI174" s="31"/>
      <c r="LJ174" s="31"/>
      <c r="LK174" s="31"/>
      <c r="LL174" s="31"/>
      <c r="LM174" s="31"/>
      <c r="LN174" s="31"/>
      <c r="LO174" s="31"/>
      <c r="LP174" s="31"/>
      <c r="LQ174" s="31"/>
      <c r="LR174" s="31"/>
      <c r="LS174" s="31"/>
      <c r="LT174" s="31"/>
      <c r="LU174" s="31"/>
      <c r="LV174" s="31"/>
      <c r="LW174" s="31"/>
      <c r="LX174" s="31"/>
      <c r="LY174" s="31"/>
      <c r="LZ174" s="31"/>
      <c r="MA174" s="31"/>
      <c r="MB174" s="31">
        <v>43898</v>
      </c>
      <c r="MC174" s="31"/>
      <c r="MD174" s="31"/>
      <c r="ME174" s="31"/>
      <c r="MF174" s="31"/>
      <c r="MG174" s="31"/>
      <c r="MH174" s="31"/>
      <c r="MI174" s="31"/>
      <c r="MJ174" s="31"/>
      <c r="MK174" s="31"/>
      <c r="ML174" s="31"/>
      <c r="MM174" s="31"/>
      <c r="MN174" s="31"/>
      <c r="MO174" s="31"/>
      <c r="MP174" s="31"/>
      <c r="MQ174" s="31"/>
      <c r="MR174" s="31"/>
      <c r="MS174" s="31"/>
      <c r="MT174" s="31"/>
      <c r="MU174" s="31"/>
      <c r="MV174" s="31"/>
      <c r="MW174" s="31"/>
      <c r="MX174" s="31"/>
      <c r="MY174" s="31"/>
      <c r="MZ174" s="31"/>
      <c r="NA174" s="31"/>
      <c r="NB174" s="31"/>
      <c r="NC174" s="31"/>
      <c r="ND174" s="31"/>
      <c r="NE174" s="31"/>
      <c r="NF174" s="31"/>
      <c r="NG174" s="31">
        <v>45135.9</v>
      </c>
      <c r="NH174" s="31"/>
      <c r="NI174" s="31"/>
      <c r="NJ174" s="31"/>
      <c r="NK174" s="31"/>
      <c r="NL174" s="31"/>
      <c r="NM174" s="31"/>
      <c r="NN174" s="31"/>
      <c r="NO174" s="31"/>
      <c r="NP174" s="31"/>
      <c r="NQ174" s="31"/>
      <c r="NR174" s="31"/>
      <c r="NS174" s="31"/>
      <c r="NT174" s="31"/>
      <c r="NU174" s="31"/>
      <c r="NV174" s="31"/>
      <c r="NW174" s="31"/>
      <c r="NX174" s="31"/>
      <c r="NY174" s="31"/>
      <c r="NZ174" s="31"/>
      <c r="OA174" s="31"/>
      <c r="OB174" s="31"/>
      <c r="OC174" s="31"/>
      <c r="OD174" s="31"/>
      <c r="OE174" s="31"/>
      <c r="OF174" s="31"/>
      <c r="OG174" s="31"/>
      <c r="OH174" s="31"/>
      <c r="OI174" s="31"/>
      <c r="OJ174" s="31"/>
      <c r="OK174" s="31"/>
      <c r="OL174" s="31"/>
      <c r="OM174" s="31"/>
      <c r="ON174" s="31"/>
      <c r="OO174" s="31"/>
      <c r="OP174" s="31"/>
      <c r="OQ174" s="31"/>
      <c r="OR174" s="31"/>
      <c r="OS174" s="31"/>
      <c r="OT174" s="31"/>
      <c r="OU174" s="31"/>
      <c r="OV174" s="31"/>
      <c r="OW174" s="31"/>
      <c r="OX174" s="31"/>
      <c r="OY174" s="31"/>
      <c r="OZ174" s="31"/>
      <c r="PA174" s="31"/>
      <c r="PB174" s="31"/>
      <c r="PC174" s="31"/>
      <c r="PD174" s="31"/>
      <c r="PE174" s="31"/>
      <c r="PF174" s="31"/>
      <c r="PG174" s="31"/>
      <c r="PH174" s="31"/>
      <c r="PI174" s="31"/>
      <c r="PJ174" s="31"/>
      <c r="PK174" s="31"/>
      <c r="PL174" s="31"/>
      <c r="PM174" s="31"/>
      <c r="PN174" s="31"/>
      <c r="PO174" s="31"/>
      <c r="PP174" s="31"/>
      <c r="PQ174" s="31"/>
      <c r="PR174" s="31"/>
      <c r="PS174" s="31"/>
      <c r="PT174" s="31"/>
      <c r="PU174" s="31"/>
      <c r="PV174" s="31"/>
      <c r="PW174" s="31"/>
      <c r="PX174" s="31"/>
      <c r="PY174" s="31"/>
      <c r="PZ174" s="31"/>
      <c r="QA174" s="31"/>
      <c r="QB174" s="31"/>
      <c r="QC174" s="31"/>
      <c r="QD174" s="31"/>
      <c r="QE174" s="31"/>
      <c r="QF174" s="31"/>
      <c r="QG174" s="31"/>
      <c r="QH174" s="31"/>
      <c r="QI174" s="31"/>
      <c r="QJ174" s="31"/>
      <c r="QK174" s="31"/>
      <c r="QL174" s="31"/>
      <c r="QM174" s="31"/>
      <c r="QN174" s="31"/>
      <c r="QO174" s="31"/>
      <c r="QP174" s="31"/>
      <c r="QQ174" s="31"/>
      <c r="QR174" s="31"/>
      <c r="QS174" s="31">
        <v>41616</v>
      </c>
      <c r="QT174" s="31"/>
      <c r="QU174" s="31"/>
      <c r="QV174" s="31"/>
      <c r="QW174" s="31"/>
      <c r="QX174" s="31"/>
      <c r="QY174" s="31"/>
      <c r="QZ174" s="31"/>
      <c r="RA174" s="31"/>
      <c r="RB174" s="31"/>
      <c r="RC174" s="31"/>
      <c r="RD174" s="31"/>
      <c r="RE174" s="31"/>
      <c r="RF174" s="31"/>
      <c r="RG174" s="31"/>
      <c r="RH174" s="31"/>
      <c r="RI174" s="31"/>
      <c r="RJ174" s="31"/>
      <c r="RK174" s="31"/>
      <c r="RL174" s="31"/>
      <c r="RM174" s="31"/>
      <c r="RN174" s="31"/>
      <c r="RO174" s="31"/>
      <c r="RP174" s="31"/>
      <c r="RQ174" s="31"/>
      <c r="RR174" s="31"/>
      <c r="RS174" s="31"/>
      <c r="RT174" s="31"/>
      <c r="RU174" s="31"/>
      <c r="RV174" s="31"/>
      <c r="RW174" s="31">
        <v>37246.5</v>
      </c>
      <c r="RX174" s="31"/>
      <c r="RY174" s="31"/>
      <c r="RZ174" s="31"/>
      <c r="SA174" s="31"/>
      <c r="SB174" s="31"/>
      <c r="SC174" s="31"/>
      <c r="SD174" s="31"/>
      <c r="SE174" s="31"/>
      <c r="SF174" s="31"/>
      <c r="SG174" s="31"/>
      <c r="SH174" s="31"/>
      <c r="SI174" s="31"/>
      <c r="SJ174" s="31"/>
      <c r="SK174" s="31"/>
      <c r="SL174" s="31"/>
      <c r="SM174" s="31"/>
      <c r="SN174" s="31"/>
      <c r="SO174" s="31"/>
      <c r="SP174" s="31"/>
      <c r="SQ174" s="31"/>
      <c r="SR174" s="31"/>
      <c r="SS174" s="31"/>
      <c r="ST174" s="23"/>
      <c r="SU174" s="23"/>
      <c r="SV174" s="23"/>
      <c r="SW174" s="23"/>
      <c r="SX174" s="23"/>
      <c r="SY174" s="23"/>
      <c r="SZ174" s="23"/>
      <c r="TA174" s="23"/>
      <c r="TB174" s="23">
        <v>41090</v>
      </c>
      <c r="TC174" s="23"/>
      <c r="TD174" s="23"/>
      <c r="TE174" s="23"/>
      <c r="TF174" s="23"/>
      <c r="TG174" s="23"/>
      <c r="TH174" s="23"/>
      <c r="TI174" s="23"/>
      <c r="TJ174" s="23"/>
      <c r="TK174" s="23"/>
      <c r="TL174" s="23"/>
      <c r="TM174" s="23"/>
      <c r="TN174" s="23"/>
      <c r="TO174" s="23"/>
      <c r="TP174" s="23"/>
      <c r="TQ174" s="23"/>
      <c r="TR174" s="23"/>
      <c r="TS174" s="23"/>
      <c r="TT174" s="23"/>
      <c r="TU174" s="23"/>
      <c r="TV174" s="23"/>
      <c r="TW174" s="23"/>
      <c r="TX174" s="23"/>
      <c r="TY174" s="23"/>
      <c r="TZ174" s="23"/>
      <c r="UA174" s="23"/>
      <c r="UB174" s="23"/>
      <c r="UC174" s="23"/>
      <c r="UD174" s="23"/>
      <c r="UE174" s="23"/>
      <c r="UF174" s="23"/>
      <c r="UG174" s="23"/>
      <c r="UH174" s="23"/>
      <c r="UI174" s="23"/>
      <c r="UJ174" s="23"/>
      <c r="UK174" s="23"/>
      <c r="UL174" s="23"/>
      <c r="UM174" s="23"/>
      <c r="UN174" s="23"/>
      <c r="UO174" s="23"/>
      <c r="UP174" s="23"/>
      <c r="UQ174" s="23"/>
      <c r="UR174" s="23"/>
      <c r="US174" s="23"/>
      <c r="UT174" s="23"/>
    </row>
    <row r="175" spans="4:566">
      <c r="D175" t="s">
        <v>273</v>
      </c>
      <c r="E175" t="s">
        <v>274</v>
      </c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>
        <v>5.4</v>
      </c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  <c r="DI175" s="31"/>
      <c r="DJ175" s="31"/>
      <c r="DK175" s="31"/>
      <c r="DL175" s="31"/>
      <c r="DM175" s="31"/>
      <c r="DN175" s="31"/>
      <c r="DO175" s="31"/>
      <c r="DP175" s="31"/>
      <c r="DQ175" s="31"/>
      <c r="DR175" s="31"/>
      <c r="DS175" s="31"/>
      <c r="DT175" s="31"/>
      <c r="DU175" s="31"/>
      <c r="DV175" s="31"/>
      <c r="DW175" s="31"/>
      <c r="DX175" s="31"/>
      <c r="DY175" s="31"/>
      <c r="DZ175" s="31"/>
      <c r="EA175" s="31"/>
      <c r="EB175" s="31"/>
      <c r="EC175" s="31"/>
      <c r="ED175" s="31"/>
      <c r="EE175" s="31"/>
      <c r="EF175" s="31"/>
      <c r="EG175" s="31"/>
      <c r="EH175" s="31"/>
      <c r="EI175" s="31"/>
      <c r="EJ175" s="31"/>
      <c r="EK175" s="31"/>
      <c r="EL175" s="31"/>
      <c r="EM175" s="31"/>
      <c r="EN175" s="31"/>
      <c r="EO175" s="31"/>
      <c r="EP175" s="31"/>
      <c r="EQ175" s="31"/>
      <c r="ER175" s="31"/>
      <c r="ES175" s="31"/>
      <c r="ET175" s="31"/>
      <c r="EU175" s="31"/>
      <c r="EV175" s="31"/>
      <c r="EW175" s="31"/>
      <c r="EX175" s="31"/>
      <c r="EY175" s="31"/>
      <c r="EZ175" s="31"/>
      <c r="FA175" s="31"/>
      <c r="FB175" s="31"/>
      <c r="FC175" s="31"/>
      <c r="FD175" s="31"/>
      <c r="FE175" s="31"/>
      <c r="FF175" s="31"/>
      <c r="FG175" s="31"/>
      <c r="FH175" s="31"/>
      <c r="FI175" s="31"/>
      <c r="FJ175" s="31"/>
      <c r="FK175" s="31"/>
      <c r="FL175" s="31"/>
      <c r="FM175" s="31"/>
      <c r="FN175" s="31"/>
      <c r="FO175" s="31"/>
      <c r="FP175" s="31"/>
      <c r="FQ175" s="31"/>
      <c r="FR175" s="31"/>
      <c r="FS175" s="31"/>
      <c r="FT175" s="31"/>
      <c r="FU175" s="31"/>
      <c r="FV175" s="31"/>
      <c r="FW175" s="31"/>
      <c r="FX175" s="31"/>
      <c r="FY175" s="31"/>
      <c r="FZ175" s="31"/>
      <c r="GA175" s="31"/>
      <c r="GB175" s="31"/>
      <c r="GC175" s="31"/>
      <c r="GD175" s="31"/>
      <c r="GE175" s="31">
        <v>5.2</v>
      </c>
      <c r="GF175" s="31"/>
      <c r="GG175" s="31"/>
      <c r="GH175" s="31"/>
      <c r="GI175" s="31"/>
      <c r="GJ175" s="31"/>
      <c r="GK175" s="31"/>
      <c r="GL175" s="31"/>
      <c r="GM175" s="31"/>
      <c r="GN175" s="31"/>
      <c r="GO175" s="31"/>
      <c r="GP175" s="31"/>
      <c r="GQ175" s="31"/>
      <c r="GR175" s="31"/>
      <c r="GS175" s="31"/>
      <c r="GT175" s="31"/>
      <c r="GU175" s="31"/>
      <c r="GV175" s="31"/>
      <c r="GW175" s="31"/>
      <c r="GX175" s="31"/>
      <c r="GY175" s="31"/>
      <c r="GZ175" s="31"/>
      <c r="HA175" s="31"/>
      <c r="HB175" s="31"/>
      <c r="HC175" s="31"/>
      <c r="HD175" s="31"/>
      <c r="HE175" s="31"/>
      <c r="HF175" s="31"/>
      <c r="HG175" s="31"/>
      <c r="HH175" s="31"/>
      <c r="HI175" s="31"/>
      <c r="HJ175" s="31"/>
      <c r="HK175" s="31"/>
      <c r="HL175" s="31"/>
      <c r="HM175" s="31"/>
      <c r="HN175" s="31"/>
      <c r="HO175" s="31"/>
      <c r="HP175" s="31"/>
      <c r="HQ175" s="31"/>
      <c r="HR175" s="31"/>
      <c r="HS175" s="31"/>
      <c r="HT175" s="31"/>
      <c r="HU175" s="31"/>
      <c r="HV175" s="31"/>
      <c r="HW175" s="31"/>
      <c r="HX175" s="31"/>
      <c r="HY175" s="31"/>
      <c r="HZ175" s="31"/>
      <c r="IA175" s="31"/>
      <c r="IB175" s="31"/>
      <c r="IC175" s="31"/>
      <c r="ID175" s="31"/>
      <c r="IE175" s="31"/>
      <c r="IF175" s="31"/>
      <c r="IG175" s="31"/>
      <c r="IH175" s="31"/>
      <c r="II175" s="31"/>
      <c r="IJ175" s="31"/>
      <c r="IK175" s="31"/>
      <c r="IL175" s="31"/>
      <c r="IM175" s="31"/>
      <c r="IN175" s="31"/>
      <c r="IO175" s="31"/>
      <c r="IP175" s="31"/>
      <c r="IQ175" s="31"/>
      <c r="IR175" s="31"/>
      <c r="IS175" s="31"/>
      <c r="IT175" s="31"/>
      <c r="IU175" s="31"/>
      <c r="IV175" s="31"/>
      <c r="IW175" s="31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  <c r="JH175" s="31"/>
      <c r="JI175" s="31"/>
      <c r="JJ175" s="31"/>
      <c r="JK175" s="31"/>
      <c r="JL175" s="31"/>
      <c r="JM175" s="31"/>
      <c r="JN175" s="31"/>
      <c r="JO175" s="31"/>
      <c r="JP175" s="31"/>
      <c r="JQ175" s="31"/>
      <c r="JR175" s="31"/>
      <c r="JS175" s="31">
        <v>4.8</v>
      </c>
      <c r="JT175" s="31"/>
      <c r="JU175" s="31"/>
      <c r="JV175" s="31"/>
      <c r="JW175" s="31"/>
      <c r="JX175" s="31"/>
      <c r="JY175" s="31"/>
      <c r="JZ175" s="31"/>
      <c r="KA175" s="31"/>
      <c r="KB175" s="31"/>
      <c r="KC175" s="31"/>
      <c r="KD175" s="31"/>
      <c r="KE175" s="31"/>
      <c r="KF175" s="31"/>
      <c r="KG175" s="31"/>
      <c r="KH175" s="31"/>
      <c r="KI175" s="31"/>
      <c r="KJ175" s="31"/>
      <c r="KK175" s="31"/>
      <c r="KL175" s="31"/>
      <c r="KM175" s="31"/>
      <c r="KN175" s="31"/>
      <c r="KO175" s="31"/>
      <c r="KP175" s="31"/>
      <c r="KQ175" s="31"/>
      <c r="KR175" s="31"/>
      <c r="KS175" s="31"/>
      <c r="KT175" s="31"/>
      <c r="KU175" s="31"/>
      <c r="KV175" s="31"/>
      <c r="KW175" s="31"/>
      <c r="KX175" s="31"/>
      <c r="KY175" s="31"/>
      <c r="KZ175" s="31"/>
      <c r="LA175" s="31"/>
      <c r="LB175" s="31"/>
      <c r="LC175" s="31"/>
      <c r="LD175" s="31"/>
      <c r="LE175" s="31"/>
      <c r="LF175" s="31"/>
      <c r="LG175" s="31"/>
      <c r="LH175" s="31"/>
      <c r="LI175" s="31"/>
      <c r="LJ175" s="31"/>
      <c r="LK175" s="31"/>
      <c r="LL175" s="31"/>
      <c r="LM175" s="31"/>
      <c r="LN175" s="31"/>
      <c r="LO175" s="31"/>
      <c r="LP175" s="31"/>
      <c r="LQ175" s="31"/>
      <c r="LR175" s="31"/>
      <c r="LS175" s="31"/>
      <c r="LT175" s="31"/>
      <c r="LU175" s="31"/>
      <c r="LV175" s="31"/>
      <c r="LW175" s="31"/>
      <c r="LX175" s="31"/>
      <c r="LY175" s="31"/>
      <c r="LZ175" s="31"/>
      <c r="MA175" s="31"/>
      <c r="MB175" s="31"/>
      <c r="MC175" s="31"/>
      <c r="MD175" s="31"/>
      <c r="ME175" s="31"/>
      <c r="MF175" s="31"/>
      <c r="MG175" s="31"/>
      <c r="MH175" s="31"/>
      <c r="MI175" s="31"/>
      <c r="MJ175" s="31"/>
      <c r="MK175" s="31"/>
      <c r="ML175" s="31"/>
      <c r="MM175" s="31"/>
      <c r="MN175" s="31"/>
      <c r="MO175" s="31"/>
      <c r="MP175" s="31"/>
      <c r="MQ175" s="31"/>
      <c r="MR175" s="31"/>
      <c r="MS175" s="31"/>
      <c r="MT175" s="31"/>
      <c r="MU175" s="31"/>
      <c r="MV175" s="31"/>
      <c r="MW175" s="31"/>
      <c r="MX175" s="31"/>
      <c r="MY175" s="31"/>
      <c r="MZ175" s="31"/>
      <c r="NA175" s="31"/>
      <c r="NB175" s="31"/>
      <c r="NC175" s="31"/>
      <c r="ND175" s="31"/>
      <c r="NE175" s="31"/>
      <c r="NF175" s="31"/>
      <c r="NG175" s="31">
        <v>4.5</v>
      </c>
      <c r="NH175" s="31"/>
      <c r="NI175" s="31"/>
      <c r="NJ175" s="31"/>
      <c r="NK175" s="31"/>
      <c r="NL175" s="31"/>
      <c r="NM175" s="31"/>
      <c r="NN175" s="31"/>
      <c r="NO175" s="31"/>
      <c r="NP175" s="31"/>
      <c r="NQ175" s="31"/>
      <c r="NR175" s="31"/>
      <c r="NS175" s="31"/>
      <c r="NT175" s="31"/>
      <c r="NU175" s="31"/>
      <c r="NV175" s="31"/>
      <c r="NW175" s="31"/>
      <c r="NX175" s="31"/>
      <c r="NY175" s="31"/>
      <c r="NZ175" s="31"/>
      <c r="OA175" s="31"/>
      <c r="OB175" s="31"/>
      <c r="OC175" s="31"/>
      <c r="OD175" s="31"/>
      <c r="OE175" s="31"/>
      <c r="OF175" s="31"/>
      <c r="OG175" s="31"/>
      <c r="OH175" s="31"/>
      <c r="OI175" s="31"/>
      <c r="OJ175" s="31"/>
      <c r="OK175" s="31"/>
      <c r="OL175" s="31"/>
      <c r="OM175" s="31"/>
      <c r="ON175" s="31"/>
      <c r="OO175" s="31"/>
      <c r="OP175" s="31"/>
      <c r="OQ175" s="31"/>
      <c r="OR175" s="31"/>
      <c r="OS175" s="31"/>
      <c r="OT175" s="31"/>
      <c r="OU175" s="31"/>
      <c r="OV175" s="31"/>
      <c r="OW175" s="31"/>
      <c r="OX175" s="31"/>
      <c r="OY175" s="31"/>
      <c r="OZ175" s="31"/>
      <c r="PA175" s="31"/>
      <c r="PB175" s="31"/>
      <c r="PC175" s="31"/>
      <c r="PD175" s="31"/>
      <c r="PE175" s="31"/>
      <c r="PF175" s="31"/>
      <c r="PG175" s="31"/>
      <c r="PH175" s="31"/>
      <c r="PI175" s="31"/>
      <c r="PJ175" s="31"/>
      <c r="PK175" s="31"/>
      <c r="PL175" s="31"/>
      <c r="PM175" s="31"/>
      <c r="PN175" s="31"/>
      <c r="PO175" s="31"/>
      <c r="PP175" s="31"/>
      <c r="PQ175" s="31"/>
      <c r="PR175" s="31"/>
      <c r="PS175" s="31"/>
      <c r="PT175" s="31"/>
      <c r="PU175" s="31"/>
      <c r="PV175" s="31"/>
      <c r="PW175" s="31"/>
      <c r="PX175" s="31"/>
      <c r="PY175" s="31"/>
      <c r="PZ175" s="31"/>
      <c r="QA175" s="31"/>
      <c r="QB175" s="31"/>
      <c r="QC175" s="31"/>
      <c r="QD175" s="31"/>
      <c r="QE175" s="31"/>
      <c r="QF175" s="31"/>
      <c r="QG175" s="31"/>
      <c r="QH175" s="31"/>
      <c r="QI175" s="31"/>
      <c r="QJ175" s="31"/>
      <c r="QK175" s="31"/>
      <c r="QL175" s="31"/>
      <c r="QM175" s="31"/>
      <c r="QN175" s="31"/>
      <c r="QO175" s="31"/>
      <c r="QP175" s="31"/>
      <c r="QQ175" s="31"/>
      <c r="QR175" s="31"/>
      <c r="QS175" s="31">
        <v>5</v>
      </c>
      <c r="QT175" s="31"/>
      <c r="QU175" s="31"/>
      <c r="QV175" s="31"/>
      <c r="QW175" s="31"/>
      <c r="QX175" s="31"/>
      <c r="QY175" s="31"/>
      <c r="QZ175" s="31"/>
      <c r="RA175" s="31"/>
      <c r="RB175" s="31"/>
      <c r="RC175" s="31"/>
      <c r="RD175" s="31"/>
      <c r="RE175" s="31"/>
      <c r="RF175" s="31"/>
      <c r="RG175" s="31"/>
      <c r="RH175" s="31"/>
      <c r="RI175" s="31"/>
      <c r="RJ175" s="31"/>
      <c r="RK175" s="31"/>
      <c r="RL175" s="31"/>
      <c r="RM175" s="31"/>
      <c r="RN175" s="31"/>
      <c r="RO175" s="31"/>
      <c r="RP175" s="31"/>
      <c r="RQ175" s="31"/>
      <c r="RR175" s="31"/>
      <c r="RS175" s="31"/>
      <c r="RT175" s="31"/>
      <c r="RU175" s="31"/>
      <c r="RV175" s="31"/>
      <c r="RW175" s="31"/>
      <c r="RX175" s="31"/>
      <c r="RY175" s="31"/>
      <c r="RZ175" s="31"/>
      <c r="SA175" s="31"/>
      <c r="SB175" s="31"/>
      <c r="SC175" s="31"/>
      <c r="SD175" s="31"/>
      <c r="SE175" s="31"/>
      <c r="SF175" s="31"/>
      <c r="SG175" s="31"/>
      <c r="SH175" s="31"/>
      <c r="SI175" s="31"/>
      <c r="SJ175" s="31"/>
      <c r="SK175" s="31"/>
      <c r="SL175" s="31"/>
      <c r="SM175" s="31"/>
      <c r="SN175" s="31"/>
      <c r="SO175" s="31"/>
      <c r="SP175" s="31"/>
      <c r="SQ175" s="31"/>
      <c r="SR175" s="31"/>
      <c r="SS175" s="31"/>
      <c r="ST175" s="23"/>
      <c r="SU175" s="23"/>
      <c r="SV175" s="23"/>
      <c r="SW175" s="23"/>
      <c r="SX175" s="23"/>
      <c r="SY175" s="23"/>
      <c r="SZ175" s="23"/>
      <c r="TA175" s="23"/>
      <c r="TB175" s="23"/>
      <c r="TC175" s="23"/>
      <c r="TD175" s="23"/>
      <c r="TE175" s="23"/>
      <c r="TF175" s="23"/>
      <c r="TG175" s="23"/>
      <c r="TH175" s="23"/>
      <c r="TI175" s="23"/>
      <c r="TJ175" s="23"/>
      <c r="TK175" s="23"/>
      <c r="TL175" s="23"/>
      <c r="TM175" s="23"/>
      <c r="TN175" s="23"/>
      <c r="TO175" s="23"/>
      <c r="TP175" s="23"/>
      <c r="TQ175" s="23"/>
      <c r="TR175" s="23"/>
      <c r="TS175" s="23"/>
      <c r="TT175" s="23"/>
      <c r="TU175" s="23"/>
      <c r="TV175" s="23"/>
      <c r="TW175" s="23"/>
      <c r="TX175" s="23"/>
      <c r="TY175" s="23"/>
      <c r="TZ175" s="23"/>
      <c r="UA175" s="23"/>
      <c r="UB175" s="23"/>
      <c r="UC175" s="23"/>
      <c r="UD175" s="23"/>
      <c r="UE175" s="23"/>
      <c r="UF175" s="23"/>
      <c r="UG175" s="23"/>
      <c r="UH175" s="23"/>
      <c r="UI175" s="23"/>
      <c r="UJ175" s="23"/>
      <c r="UK175" s="23"/>
      <c r="UL175" s="23"/>
      <c r="UM175" s="23"/>
      <c r="UN175" s="23"/>
      <c r="UO175" s="23"/>
      <c r="UP175" s="23"/>
      <c r="UQ175" s="23"/>
      <c r="UR175" s="23"/>
      <c r="US175" s="23"/>
      <c r="UT175" s="23"/>
    </row>
    <row r="176" spans="4:566">
      <c r="D176" t="s">
        <v>100</v>
      </c>
      <c r="E176" t="s">
        <v>101</v>
      </c>
      <c r="F176" s="31" t="str">
        <f t="shared" ref="F176:BQ176" si="0">IFERROR(IF(OR(F156="",F58=""),"",F156-F58),"")</f>
        <v/>
      </c>
      <c r="G176" s="31" t="str">
        <f t="shared" si="0"/>
        <v/>
      </c>
      <c r="H176" s="31">
        <f t="shared" si="0"/>
        <v>-2.9331</v>
      </c>
      <c r="I176" s="31">
        <f t="shared" si="0"/>
        <v>-3.0105</v>
      </c>
      <c r="J176" s="31" t="str">
        <f t="shared" si="0"/>
        <v/>
      </c>
      <c r="K176" s="31" t="str">
        <f t="shared" si="0"/>
        <v/>
      </c>
      <c r="L176" s="31">
        <f t="shared" si="0"/>
        <v>-3.0159</v>
      </c>
      <c r="M176" s="31">
        <f t="shared" si="0"/>
        <v>-3.0727</v>
      </c>
      <c r="N176" s="31">
        <f t="shared" si="0"/>
        <v>-3.0682</v>
      </c>
      <c r="O176" s="31">
        <f t="shared" si="0"/>
        <v>-3.0673</v>
      </c>
      <c r="P176" s="31">
        <f t="shared" si="0"/>
        <v>-3.0988</v>
      </c>
      <c r="Q176" s="31" t="str">
        <f t="shared" si="0"/>
        <v/>
      </c>
      <c r="R176" s="31" t="str">
        <f t="shared" si="0"/>
        <v/>
      </c>
      <c r="S176" s="31">
        <f t="shared" si="0"/>
        <v>-3.1458</v>
      </c>
      <c r="T176" s="31">
        <f t="shared" si="0"/>
        <v>-3.1298</v>
      </c>
      <c r="U176" s="31">
        <f t="shared" si="0"/>
        <v>-3.0332</v>
      </c>
      <c r="V176" s="31">
        <f t="shared" si="0"/>
        <v>-2.968</v>
      </c>
      <c r="W176" s="31">
        <f t="shared" si="0"/>
        <v>-2.9675</v>
      </c>
      <c r="X176" s="31" t="str">
        <f t="shared" si="0"/>
        <v/>
      </c>
      <c r="Y176" s="31" t="str">
        <f t="shared" si="0"/>
        <v/>
      </c>
      <c r="Z176" s="31" t="str">
        <f t="shared" si="0"/>
        <v/>
      </c>
      <c r="AA176" s="31">
        <f t="shared" si="0"/>
        <v>-2.8947</v>
      </c>
      <c r="AB176" s="31">
        <f t="shared" si="0"/>
        <v>-2.9446</v>
      </c>
      <c r="AC176" s="31">
        <f t="shared" si="0"/>
        <v>-2.988</v>
      </c>
      <c r="AD176" s="31">
        <f t="shared" si="0"/>
        <v>-2.9521</v>
      </c>
      <c r="AE176" s="31" t="str">
        <f t="shared" si="0"/>
        <v/>
      </c>
      <c r="AF176" s="31" t="str">
        <f t="shared" si="0"/>
        <v/>
      </c>
      <c r="AG176" s="31">
        <f t="shared" si="0"/>
        <v>-2.885</v>
      </c>
      <c r="AH176" s="31" t="str">
        <f t="shared" si="0"/>
        <v/>
      </c>
      <c r="AI176" s="31" t="str">
        <f t="shared" si="0"/>
        <v/>
      </c>
      <c r="AJ176" s="31" t="str">
        <f t="shared" si="0"/>
        <v/>
      </c>
      <c r="AK176" s="31" t="str">
        <f t="shared" si="0"/>
        <v/>
      </c>
      <c r="AL176" s="31" t="str">
        <f t="shared" si="0"/>
        <v/>
      </c>
      <c r="AM176" s="31" t="str">
        <f t="shared" si="0"/>
        <v/>
      </c>
      <c r="AN176" s="31" t="str">
        <f t="shared" si="0"/>
        <v/>
      </c>
      <c r="AO176" s="31" t="str">
        <f t="shared" si="0"/>
        <v/>
      </c>
      <c r="AP176" s="31">
        <f t="shared" si="0"/>
        <v>-2.784</v>
      </c>
      <c r="AQ176" s="31">
        <f t="shared" si="0"/>
        <v>-2.8165</v>
      </c>
      <c r="AR176" s="31">
        <f t="shared" si="0"/>
        <v>-2.8613</v>
      </c>
      <c r="AS176" s="31" t="str">
        <f t="shared" si="0"/>
        <v/>
      </c>
      <c r="AT176" s="31" t="str">
        <f t="shared" si="0"/>
        <v/>
      </c>
      <c r="AU176" s="31">
        <f t="shared" si="0"/>
        <v>-2.8836</v>
      </c>
      <c r="AV176" s="31">
        <f t="shared" si="0"/>
        <v>-2.9048</v>
      </c>
      <c r="AW176" s="31">
        <f t="shared" si="0"/>
        <v>-2.9889</v>
      </c>
      <c r="AX176" s="31">
        <f t="shared" si="0"/>
        <v>-2.8818</v>
      </c>
      <c r="AY176" s="31">
        <f t="shared" si="0"/>
        <v>-2.8214</v>
      </c>
      <c r="AZ176" s="31" t="str">
        <f t="shared" si="0"/>
        <v/>
      </c>
      <c r="BA176" s="31" t="str">
        <f t="shared" si="0"/>
        <v/>
      </c>
      <c r="BB176" s="31" t="str">
        <f t="shared" si="0"/>
        <v/>
      </c>
      <c r="BC176" s="31">
        <f t="shared" si="0"/>
        <v>-2.8284</v>
      </c>
      <c r="BD176" s="31">
        <f t="shared" si="0"/>
        <v>-2.8308</v>
      </c>
      <c r="BE176" s="31">
        <f t="shared" si="0"/>
        <v>-2.7979</v>
      </c>
      <c r="BF176" s="31">
        <f t="shared" si="0"/>
        <v>-2.6883</v>
      </c>
      <c r="BG176" s="31" t="str">
        <f t="shared" si="0"/>
        <v/>
      </c>
      <c r="BH176" s="31" t="str">
        <f t="shared" si="0"/>
        <v/>
      </c>
      <c r="BI176" s="31">
        <f t="shared" si="0"/>
        <v>-2.63</v>
      </c>
      <c r="BJ176" s="31">
        <f t="shared" si="0"/>
        <v>-2.5158</v>
      </c>
      <c r="BK176" s="31">
        <f t="shared" si="0"/>
        <v>-2.4841</v>
      </c>
      <c r="BL176" s="31">
        <f t="shared" si="0"/>
        <v>-2.5159</v>
      </c>
      <c r="BM176" s="31">
        <f t="shared" si="0"/>
        <v>-2.44</v>
      </c>
      <c r="BN176" s="31" t="str">
        <f t="shared" si="0"/>
        <v/>
      </c>
      <c r="BO176" s="31" t="str">
        <f t="shared" si="0"/>
        <v/>
      </c>
      <c r="BP176" s="31">
        <f t="shared" si="0"/>
        <v>-2.438</v>
      </c>
      <c r="BQ176" s="31">
        <f t="shared" si="0"/>
        <v>-2.5151</v>
      </c>
      <c r="BR176" s="31">
        <f t="shared" ref="BR176:EC176" si="1">IFERROR(IF(OR(BR156="",BR58=""),"",BR156-BR58),"")</f>
        <v>-2.5762</v>
      </c>
      <c r="BS176" s="31">
        <f t="shared" si="1"/>
        <v>-2.5599</v>
      </c>
      <c r="BT176" s="31">
        <f t="shared" si="1"/>
        <v>-2.5512</v>
      </c>
      <c r="BU176" s="31" t="str">
        <f t="shared" si="1"/>
        <v/>
      </c>
      <c r="BV176" s="31" t="str">
        <f t="shared" si="1"/>
        <v/>
      </c>
      <c r="BW176" s="31">
        <f t="shared" si="1"/>
        <v>-2.4245</v>
      </c>
      <c r="BX176" s="31">
        <f t="shared" si="1"/>
        <v>-2.4344</v>
      </c>
      <c r="BY176" s="31">
        <f t="shared" si="1"/>
        <v>-2.444</v>
      </c>
      <c r="BZ176" s="31">
        <f t="shared" si="1"/>
        <v>-2.4448</v>
      </c>
      <c r="CA176" s="31">
        <f t="shared" si="1"/>
        <v>-2.4512</v>
      </c>
      <c r="CB176" s="31" t="str">
        <f t="shared" si="1"/>
        <v/>
      </c>
      <c r="CC176" s="31" t="str">
        <f t="shared" si="1"/>
        <v/>
      </c>
      <c r="CD176" s="31">
        <f t="shared" si="1"/>
        <v>-2.432</v>
      </c>
      <c r="CE176" s="31">
        <f t="shared" si="1"/>
        <v>-2.4081</v>
      </c>
      <c r="CF176" s="31">
        <f t="shared" si="1"/>
        <v>-2.3664</v>
      </c>
      <c r="CG176" s="31">
        <f t="shared" si="1"/>
        <v>-2.3921</v>
      </c>
      <c r="CH176" s="31">
        <f t="shared" si="1"/>
        <v>-2.4113</v>
      </c>
      <c r="CI176" s="31" t="str">
        <f t="shared" si="1"/>
        <v/>
      </c>
      <c r="CJ176" s="31" t="str">
        <f t="shared" si="1"/>
        <v/>
      </c>
      <c r="CK176" s="31">
        <f t="shared" si="1"/>
        <v>-2.49</v>
      </c>
      <c r="CL176" s="31">
        <f t="shared" si="1"/>
        <v>-2.4952</v>
      </c>
      <c r="CM176" s="31">
        <f t="shared" si="1"/>
        <v>-2.5191</v>
      </c>
      <c r="CN176" s="31">
        <f t="shared" si="1"/>
        <v>-2.5721</v>
      </c>
      <c r="CO176" s="31">
        <f t="shared" si="1"/>
        <v>-2.4574</v>
      </c>
      <c r="CP176" s="31" t="str">
        <f t="shared" si="1"/>
        <v/>
      </c>
      <c r="CQ176" s="31" t="str">
        <f t="shared" si="1"/>
        <v/>
      </c>
      <c r="CR176" s="31">
        <f t="shared" si="1"/>
        <v>-2.4091</v>
      </c>
      <c r="CS176" s="31">
        <f t="shared" si="1"/>
        <v>-2.3637</v>
      </c>
      <c r="CT176" s="31">
        <f t="shared" si="1"/>
        <v>-2.391</v>
      </c>
      <c r="CU176" s="31">
        <f t="shared" si="1"/>
        <v>-2.3124</v>
      </c>
      <c r="CV176" s="31" t="str">
        <f t="shared" si="1"/>
        <v/>
      </c>
      <c r="CW176" s="31" t="str">
        <f t="shared" si="1"/>
        <v/>
      </c>
      <c r="CX176" s="31" t="str">
        <f t="shared" si="1"/>
        <v/>
      </c>
      <c r="CY176" s="31">
        <f t="shared" si="1"/>
        <v>-2.5025</v>
      </c>
      <c r="CZ176" s="31">
        <f t="shared" si="1"/>
        <v>-2.6051</v>
      </c>
      <c r="DA176" s="31">
        <f t="shared" si="1"/>
        <v>-2.69</v>
      </c>
      <c r="DB176" s="31">
        <f t="shared" si="1"/>
        <v>-2.736</v>
      </c>
      <c r="DC176" s="31">
        <f t="shared" si="1"/>
        <v>-2.8379</v>
      </c>
      <c r="DD176" s="31" t="str">
        <f t="shared" si="1"/>
        <v/>
      </c>
      <c r="DE176" s="31" t="str">
        <f t="shared" si="1"/>
        <v/>
      </c>
      <c r="DF176" s="31">
        <f t="shared" si="1"/>
        <v>-2.706</v>
      </c>
      <c r="DG176" s="31">
        <f t="shared" si="1"/>
        <v>-2.6884</v>
      </c>
      <c r="DH176" s="31">
        <f t="shared" si="1"/>
        <v>-2.6397</v>
      </c>
      <c r="DI176" s="31">
        <f t="shared" si="1"/>
        <v>-2.688</v>
      </c>
      <c r="DJ176" s="31" t="str">
        <f t="shared" si="1"/>
        <v/>
      </c>
      <c r="DK176" s="31" t="str">
        <f t="shared" si="1"/>
        <v/>
      </c>
      <c r="DL176" s="31" t="str">
        <f t="shared" si="1"/>
        <v/>
      </c>
      <c r="DM176" s="31">
        <f t="shared" si="1"/>
        <v>-2.7569</v>
      </c>
      <c r="DN176" s="31">
        <f t="shared" si="1"/>
        <v>-2.7493</v>
      </c>
      <c r="DO176" s="31">
        <f t="shared" si="1"/>
        <v>-2.7285</v>
      </c>
      <c r="DP176" s="31">
        <f t="shared" si="1"/>
        <v>-2.6549</v>
      </c>
      <c r="DQ176" s="31">
        <f t="shared" si="1"/>
        <v>-2.6187</v>
      </c>
      <c r="DR176" s="31" t="str">
        <f t="shared" si="1"/>
        <v/>
      </c>
      <c r="DS176" s="31" t="str">
        <f t="shared" si="1"/>
        <v/>
      </c>
      <c r="DT176" s="31">
        <f t="shared" si="1"/>
        <v>-2.5691</v>
      </c>
      <c r="DU176" s="31">
        <f t="shared" si="1"/>
        <v>-2.5407</v>
      </c>
      <c r="DV176" s="31">
        <f t="shared" si="1"/>
        <v>-2.5295</v>
      </c>
      <c r="DW176" s="31" t="str">
        <f t="shared" si="1"/>
        <v/>
      </c>
      <c r="DX176" s="31" t="str">
        <f t="shared" si="1"/>
        <v/>
      </c>
      <c r="DY176" s="31" t="str">
        <f t="shared" si="1"/>
        <v/>
      </c>
      <c r="DZ176" s="31" t="str">
        <f t="shared" si="1"/>
        <v/>
      </c>
      <c r="EA176" s="31" t="str">
        <f t="shared" si="1"/>
        <v/>
      </c>
      <c r="EB176" s="31">
        <f t="shared" si="1"/>
        <v>-2.6629</v>
      </c>
      <c r="EC176" s="31">
        <f t="shared" si="1"/>
        <v>-2.6134</v>
      </c>
      <c r="ED176" s="31">
        <f t="shared" ref="ED176:GO176" si="2">IFERROR(IF(OR(ED156="",ED58=""),"",ED156-ED58),"")</f>
        <v>-2.7254</v>
      </c>
      <c r="EE176" s="31">
        <f t="shared" si="2"/>
        <v>-2.7286</v>
      </c>
      <c r="EF176" s="31" t="str">
        <f t="shared" si="2"/>
        <v/>
      </c>
      <c r="EG176" s="31" t="str">
        <f t="shared" si="2"/>
        <v/>
      </c>
      <c r="EH176" s="31">
        <f t="shared" si="2"/>
        <v>-2.7905</v>
      </c>
      <c r="EI176" s="31">
        <f t="shared" si="2"/>
        <v>-2.8034</v>
      </c>
      <c r="EJ176" s="31">
        <f t="shared" si="2"/>
        <v>-2.8469</v>
      </c>
      <c r="EK176" s="31">
        <f t="shared" si="2"/>
        <v>-2.764</v>
      </c>
      <c r="EL176" s="31">
        <f t="shared" si="2"/>
        <v>-2.7328</v>
      </c>
      <c r="EM176" s="31" t="str">
        <f t="shared" si="2"/>
        <v/>
      </c>
      <c r="EN176" s="31" t="str">
        <f t="shared" si="2"/>
        <v/>
      </c>
      <c r="EO176" s="31">
        <f t="shared" si="2"/>
        <v>-2.7717</v>
      </c>
      <c r="EP176" s="31">
        <f t="shared" si="2"/>
        <v>-2.8003</v>
      </c>
      <c r="EQ176" s="31">
        <f t="shared" si="2"/>
        <v>-2.8947</v>
      </c>
      <c r="ER176" s="31">
        <f t="shared" si="2"/>
        <v>-2.8457</v>
      </c>
      <c r="ES176" s="31">
        <f t="shared" si="2"/>
        <v>-2.7973</v>
      </c>
      <c r="ET176" s="31" t="str">
        <f t="shared" si="2"/>
        <v/>
      </c>
      <c r="EU176" s="31" t="str">
        <f t="shared" si="2"/>
        <v/>
      </c>
      <c r="EV176" s="31" t="str">
        <f t="shared" si="2"/>
        <v/>
      </c>
      <c r="EW176" s="31">
        <f t="shared" si="2"/>
        <v>-2.7236</v>
      </c>
      <c r="EX176" s="31">
        <f t="shared" si="2"/>
        <v>-2.752</v>
      </c>
      <c r="EY176" s="31">
        <f t="shared" si="2"/>
        <v>-2.6896</v>
      </c>
      <c r="EZ176" s="31">
        <f t="shared" si="2"/>
        <v>-2.6905</v>
      </c>
      <c r="FA176" s="31" t="str">
        <f t="shared" si="2"/>
        <v/>
      </c>
      <c r="FB176" s="31" t="str">
        <f t="shared" si="2"/>
        <v/>
      </c>
      <c r="FC176" s="31" t="str">
        <f t="shared" si="2"/>
        <v/>
      </c>
      <c r="FD176" s="31">
        <f t="shared" si="2"/>
        <v>-2.7359</v>
      </c>
      <c r="FE176" s="31">
        <f t="shared" si="2"/>
        <v>-2.6918</v>
      </c>
      <c r="FF176" s="31">
        <f t="shared" si="2"/>
        <v>-2.7305</v>
      </c>
      <c r="FG176" s="31">
        <f t="shared" si="2"/>
        <v>-2.8403</v>
      </c>
      <c r="FH176" s="31" t="str">
        <f t="shared" si="2"/>
        <v/>
      </c>
      <c r="FI176" s="31" t="str">
        <f t="shared" si="2"/>
        <v/>
      </c>
      <c r="FJ176" s="31">
        <f t="shared" si="2"/>
        <v>-2.8359</v>
      </c>
      <c r="FK176" s="31">
        <f t="shared" si="2"/>
        <v>-2.8098</v>
      </c>
      <c r="FL176" s="31">
        <f t="shared" si="2"/>
        <v>-2.7576</v>
      </c>
      <c r="FM176" s="31">
        <f t="shared" si="2"/>
        <v>-2.7155</v>
      </c>
      <c r="FN176" s="31">
        <f t="shared" si="2"/>
        <v>-2.7622</v>
      </c>
      <c r="FO176" s="31" t="str">
        <f t="shared" si="2"/>
        <v/>
      </c>
      <c r="FP176" s="31" t="str">
        <f t="shared" si="2"/>
        <v/>
      </c>
      <c r="FQ176" s="31">
        <f t="shared" si="2"/>
        <v>-2.8156</v>
      </c>
      <c r="FR176" s="31">
        <f t="shared" si="2"/>
        <v>-2.7393</v>
      </c>
      <c r="FS176" s="31">
        <f t="shared" si="2"/>
        <v>-2.7373</v>
      </c>
      <c r="FT176" s="31" t="str">
        <f t="shared" si="2"/>
        <v/>
      </c>
      <c r="FU176" s="31">
        <f t="shared" si="2"/>
        <v>-2.737</v>
      </c>
      <c r="FV176" s="31" t="str">
        <f t="shared" si="2"/>
        <v/>
      </c>
      <c r="FW176" s="31" t="str">
        <f t="shared" si="2"/>
        <v/>
      </c>
      <c r="FX176" s="31">
        <f t="shared" si="2"/>
        <v>-2.6983</v>
      </c>
      <c r="FY176" s="31">
        <f t="shared" si="2"/>
        <v>-2.6531</v>
      </c>
      <c r="FZ176" s="31">
        <f t="shared" si="2"/>
        <v>-2.6418</v>
      </c>
      <c r="GA176" s="31">
        <f t="shared" si="2"/>
        <v>-2.6039</v>
      </c>
      <c r="GB176" s="31">
        <f t="shared" si="2"/>
        <v>-2.6371</v>
      </c>
      <c r="GC176" s="31" t="str">
        <f t="shared" si="2"/>
        <v/>
      </c>
      <c r="GD176" s="31" t="str">
        <f t="shared" si="2"/>
        <v/>
      </c>
      <c r="GE176" s="31">
        <f t="shared" si="2"/>
        <v>-2.5847</v>
      </c>
      <c r="GF176" s="31">
        <f t="shared" si="2"/>
        <v>-2.6077</v>
      </c>
      <c r="GG176" s="31">
        <f t="shared" si="2"/>
        <v>-2.6536</v>
      </c>
      <c r="GH176" s="31">
        <f t="shared" si="2"/>
        <v>-2.7049</v>
      </c>
      <c r="GI176" s="31" t="str">
        <f t="shared" si="2"/>
        <v/>
      </c>
      <c r="GJ176" s="31" t="str">
        <f t="shared" si="2"/>
        <v/>
      </c>
      <c r="GK176" s="31" t="str">
        <f t="shared" si="2"/>
        <v/>
      </c>
      <c r="GL176" s="31">
        <f t="shared" si="2"/>
        <v>-2.7518</v>
      </c>
      <c r="GM176" s="31">
        <f t="shared" si="2"/>
        <v>-2.7704</v>
      </c>
      <c r="GN176" s="31">
        <f t="shared" si="2"/>
        <v>-2.6892</v>
      </c>
      <c r="GO176" s="31">
        <f t="shared" si="2"/>
        <v>-2.6938</v>
      </c>
      <c r="GP176" s="31">
        <f t="shared" ref="GP176:JA176" si="3">IFERROR(IF(OR(GP156="",GP58=""),"",GP156-GP58),"")</f>
        <v>-2.7551</v>
      </c>
      <c r="GQ176" s="31" t="str">
        <f t="shared" si="3"/>
        <v/>
      </c>
      <c r="GR176" s="31" t="str">
        <f t="shared" si="3"/>
        <v/>
      </c>
      <c r="GS176" s="31">
        <f t="shared" si="3"/>
        <v>-2.7525</v>
      </c>
      <c r="GT176" s="31">
        <f t="shared" si="3"/>
        <v>-2.8347</v>
      </c>
      <c r="GU176" s="31">
        <f t="shared" si="3"/>
        <v>-2.7957</v>
      </c>
      <c r="GV176" s="31">
        <f t="shared" si="3"/>
        <v>-2.8067</v>
      </c>
      <c r="GW176" s="31">
        <f t="shared" si="3"/>
        <v>-2.7679</v>
      </c>
      <c r="GX176" s="31" t="str">
        <f t="shared" si="3"/>
        <v/>
      </c>
      <c r="GY176" s="31" t="str">
        <f t="shared" si="3"/>
        <v/>
      </c>
      <c r="GZ176" s="31">
        <f t="shared" si="3"/>
        <v>-2.6981</v>
      </c>
      <c r="HA176" s="31">
        <f t="shared" si="3"/>
        <v>-2.6664</v>
      </c>
      <c r="HB176" s="31">
        <f t="shared" si="3"/>
        <v>-2.6815</v>
      </c>
      <c r="HC176" s="31">
        <f t="shared" si="3"/>
        <v>-2.7052</v>
      </c>
      <c r="HD176" s="31">
        <f t="shared" si="3"/>
        <v>-2.6607</v>
      </c>
      <c r="HE176" s="31" t="str">
        <f t="shared" si="3"/>
        <v/>
      </c>
      <c r="HF176" s="31" t="str">
        <f t="shared" si="3"/>
        <v/>
      </c>
      <c r="HG176" s="31">
        <f t="shared" si="3"/>
        <v>-2.691</v>
      </c>
      <c r="HH176" s="31">
        <f t="shared" si="3"/>
        <v>-2.6046</v>
      </c>
      <c r="HI176" s="31">
        <f t="shared" si="3"/>
        <v>-2.6222</v>
      </c>
      <c r="HJ176" s="31">
        <f t="shared" si="3"/>
        <v>-2.6556</v>
      </c>
      <c r="HK176" s="31">
        <f t="shared" si="3"/>
        <v>-2.4777</v>
      </c>
      <c r="HL176" s="31" t="str">
        <f t="shared" si="3"/>
        <v/>
      </c>
      <c r="HM176" s="31" t="str">
        <f t="shared" si="3"/>
        <v/>
      </c>
      <c r="HN176" s="31">
        <f t="shared" si="3"/>
        <v>-2.5172</v>
      </c>
      <c r="HO176" s="31">
        <f t="shared" si="3"/>
        <v>-2.5018</v>
      </c>
      <c r="HP176" s="31">
        <f t="shared" si="3"/>
        <v>-2.5107</v>
      </c>
      <c r="HQ176" s="31">
        <f t="shared" si="3"/>
        <v>-2.5325</v>
      </c>
      <c r="HR176" s="31">
        <f t="shared" si="3"/>
        <v>-2.5685</v>
      </c>
      <c r="HS176" s="31" t="str">
        <f t="shared" si="3"/>
        <v/>
      </c>
      <c r="HT176" s="31" t="str">
        <f t="shared" si="3"/>
        <v/>
      </c>
      <c r="HU176" s="31">
        <f t="shared" si="3"/>
        <v>-2.5519</v>
      </c>
      <c r="HV176" s="31">
        <f t="shared" si="3"/>
        <v>-2.5498</v>
      </c>
      <c r="HW176" s="31">
        <f t="shared" si="3"/>
        <v>-2.4955</v>
      </c>
      <c r="HX176" s="31">
        <f t="shared" si="3"/>
        <v>-2.5452</v>
      </c>
      <c r="HY176" s="31">
        <f t="shared" si="3"/>
        <v>-2.5903</v>
      </c>
      <c r="HZ176" s="31" t="str">
        <f t="shared" si="3"/>
        <v/>
      </c>
      <c r="IA176" s="31" t="str">
        <f t="shared" si="3"/>
        <v/>
      </c>
      <c r="IB176" s="31">
        <f t="shared" si="3"/>
        <v>-2.5574</v>
      </c>
      <c r="IC176" s="31">
        <f t="shared" si="3"/>
        <v>-2.5145</v>
      </c>
      <c r="ID176" s="31">
        <f t="shared" si="3"/>
        <v>-2.518</v>
      </c>
      <c r="IE176" s="31">
        <f t="shared" si="3"/>
        <v>-2.5375</v>
      </c>
      <c r="IF176" s="31">
        <f t="shared" si="3"/>
        <v>-2.4732</v>
      </c>
      <c r="IG176" s="31" t="str">
        <f t="shared" si="3"/>
        <v/>
      </c>
      <c r="IH176" s="31" t="str">
        <f t="shared" si="3"/>
        <v/>
      </c>
      <c r="II176" s="31">
        <f t="shared" si="3"/>
        <v>-2.4907</v>
      </c>
      <c r="IJ176" s="31">
        <f t="shared" si="3"/>
        <v>-2.4716</v>
      </c>
      <c r="IK176" s="31">
        <f t="shared" si="3"/>
        <v>-2.4587</v>
      </c>
      <c r="IL176" s="31">
        <f t="shared" si="3"/>
        <v>-2.4365</v>
      </c>
      <c r="IM176" s="31">
        <f t="shared" si="3"/>
        <v>-2.4378</v>
      </c>
      <c r="IN176" s="31" t="str">
        <f t="shared" si="3"/>
        <v/>
      </c>
      <c r="IO176" s="31" t="str">
        <f t="shared" si="3"/>
        <v/>
      </c>
      <c r="IP176" s="31" t="str">
        <f t="shared" si="3"/>
        <v/>
      </c>
      <c r="IQ176" s="31">
        <f t="shared" si="3"/>
        <v>-2.4566</v>
      </c>
      <c r="IR176" s="31">
        <f t="shared" si="3"/>
        <v>-2.4052</v>
      </c>
      <c r="IS176" s="31">
        <f t="shared" si="3"/>
        <v>-2.375</v>
      </c>
      <c r="IT176" s="31">
        <f t="shared" si="3"/>
        <v>-2.2772</v>
      </c>
      <c r="IU176" s="31" t="str">
        <f t="shared" si="3"/>
        <v/>
      </c>
      <c r="IV176" s="31" t="str">
        <f t="shared" si="3"/>
        <v/>
      </c>
      <c r="IW176" s="31">
        <f t="shared" si="3"/>
        <v>-2.2034</v>
      </c>
      <c r="IX176" s="31">
        <f t="shared" si="3"/>
        <v>-2.2255</v>
      </c>
      <c r="IY176" s="31">
        <f t="shared" si="3"/>
        <v>-2.1731</v>
      </c>
      <c r="IZ176" s="31">
        <f t="shared" si="3"/>
        <v>-2.1191</v>
      </c>
      <c r="JA176" s="31">
        <f t="shared" si="3"/>
        <v>-2.195</v>
      </c>
      <c r="JB176" s="31" t="str">
        <f t="shared" ref="JB176:LM176" si="4">IFERROR(IF(OR(JB156="",JB58=""),"",JB156-JB58),"")</f>
        <v/>
      </c>
      <c r="JC176" s="31" t="str">
        <f t="shared" si="4"/>
        <v/>
      </c>
      <c r="JD176" s="31">
        <f t="shared" si="4"/>
        <v>-2.1885</v>
      </c>
      <c r="JE176" s="31">
        <f t="shared" si="4"/>
        <v>-2.1647</v>
      </c>
      <c r="JF176" s="31">
        <f t="shared" si="4"/>
        <v>-2.1995</v>
      </c>
      <c r="JG176" s="31">
        <f t="shared" si="4"/>
        <v>-2.2554</v>
      </c>
      <c r="JH176" s="31">
        <f t="shared" si="4"/>
        <v>-2.2853</v>
      </c>
      <c r="JI176" s="31" t="str">
        <f t="shared" si="4"/>
        <v/>
      </c>
      <c r="JJ176" s="31" t="str">
        <f t="shared" si="4"/>
        <v/>
      </c>
      <c r="JK176" s="31">
        <f t="shared" si="4"/>
        <v>-2.2869</v>
      </c>
      <c r="JL176" s="31">
        <f t="shared" si="4"/>
        <v>-2.2367</v>
      </c>
      <c r="JM176" s="31">
        <f t="shared" si="4"/>
        <v>-2.2798</v>
      </c>
      <c r="JN176" s="31">
        <f t="shared" si="4"/>
        <v>-2.259</v>
      </c>
      <c r="JO176" s="31">
        <f t="shared" si="4"/>
        <v>-2.3115</v>
      </c>
      <c r="JP176" s="31" t="str">
        <f t="shared" si="4"/>
        <v/>
      </c>
      <c r="JQ176" s="31" t="str">
        <f t="shared" si="4"/>
        <v/>
      </c>
      <c r="JR176" s="31">
        <f t="shared" si="4"/>
        <v>-2.2646</v>
      </c>
      <c r="JS176" s="31">
        <f t="shared" si="4"/>
        <v>-2.278</v>
      </c>
      <c r="JT176" s="31" t="str">
        <f t="shared" si="4"/>
        <v/>
      </c>
      <c r="JU176" s="31" t="str">
        <f t="shared" si="4"/>
        <v/>
      </c>
      <c r="JV176" s="31" t="str">
        <f t="shared" si="4"/>
        <v/>
      </c>
      <c r="JW176" s="31" t="str">
        <f t="shared" si="4"/>
        <v/>
      </c>
      <c r="JX176" s="31" t="str">
        <f t="shared" si="4"/>
        <v/>
      </c>
      <c r="JY176" s="31" t="str">
        <f t="shared" si="4"/>
        <v/>
      </c>
      <c r="JZ176" s="31" t="str">
        <f t="shared" si="4"/>
        <v/>
      </c>
      <c r="KA176" s="31" t="str">
        <f t="shared" si="4"/>
        <v/>
      </c>
      <c r="KB176" s="31">
        <f t="shared" si="4"/>
        <v>-2.2824</v>
      </c>
      <c r="KC176" s="31">
        <f t="shared" si="4"/>
        <v>-2.2033</v>
      </c>
      <c r="KD176" s="31" t="str">
        <f t="shared" si="4"/>
        <v/>
      </c>
      <c r="KE176" s="31" t="str">
        <f t="shared" si="4"/>
        <v/>
      </c>
      <c r="KF176" s="31" t="str">
        <f t="shared" si="4"/>
        <v/>
      </c>
      <c r="KG176" s="31">
        <f t="shared" si="4"/>
        <v>-2.1708</v>
      </c>
      <c r="KH176" s="31">
        <f t="shared" si="4"/>
        <v>-2.2074</v>
      </c>
      <c r="KI176" s="31">
        <f t="shared" si="4"/>
        <v>-2.1438</v>
      </c>
      <c r="KJ176" s="31">
        <f t="shared" si="4"/>
        <v>-2.1886</v>
      </c>
      <c r="KK176" s="31" t="str">
        <f t="shared" si="4"/>
        <v/>
      </c>
      <c r="KL176" s="31" t="str">
        <f t="shared" si="4"/>
        <v/>
      </c>
      <c r="KM176" s="31">
        <f t="shared" si="4"/>
        <v>-2.1501</v>
      </c>
      <c r="KN176" s="31">
        <f t="shared" si="4"/>
        <v>-2.1248</v>
      </c>
      <c r="KO176" s="31">
        <f t="shared" si="4"/>
        <v>-2.1342</v>
      </c>
      <c r="KP176" s="31">
        <f t="shared" si="4"/>
        <v>-2.1742</v>
      </c>
      <c r="KQ176" s="31">
        <f t="shared" si="4"/>
        <v>-2.1709</v>
      </c>
      <c r="KR176" s="31" t="str">
        <f t="shared" si="4"/>
        <v/>
      </c>
      <c r="KS176" s="31" t="str">
        <f t="shared" si="4"/>
        <v/>
      </c>
      <c r="KT176" s="31">
        <f t="shared" si="4"/>
        <v>-2.1612</v>
      </c>
      <c r="KU176" s="31">
        <f t="shared" si="4"/>
        <v>-2.1742</v>
      </c>
      <c r="KV176" s="31">
        <f t="shared" si="4"/>
        <v>-2.2663</v>
      </c>
      <c r="KW176" s="31">
        <f t="shared" si="4"/>
        <v>-2.287</v>
      </c>
      <c r="KX176" s="31">
        <f t="shared" si="4"/>
        <v>-2.3067</v>
      </c>
      <c r="KY176" s="31" t="str">
        <f t="shared" si="4"/>
        <v/>
      </c>
      <c r="KZ176" s="31" t="str">
        <f t="shared" si="4"/>
        <v/>
      </c>
      <c r="LA176" s="31">
        <f t="shared" si="4"/>
        <v>-2.3176</v>
      </c>
      <c r="LB176" s="31">
        <f t="shared" si="4"/>
        <v>-2.2888</v>
      </c>
      <c r="LC176" s="31">
        <f t="shared" si="4"/>
        <v>-2.3588</v>
      </c>
      <c r="LD176" s="31">
        <f t="shared" si="4"/>
        <v>-2.294</v>
      </c>
      <c r="LE176" s="31">
        <f t="shared" si="4"/>
        <v>-2.2861</v>
      </c>
      <c r="LF176" s="31" t="str">
        <f t="shared" si="4"/>
        <v/>
      </c>
      <c r="LG176" s="31" t="str">
        <f t="shared" si="4"/>
        <v/>
      </c>
      <c r="LH176" s="31">
        <f t="shared" si="4"/>
        <v>-2.3089</v>
      </c>
      <c r="LI176" s="31" t="str">
        <f t="shared" si="4"/>
        <v/>
      </c>
      <c r="LJ176" s="31">
        <f t="shared" si="4"/>
        <v>-2.2579</v>
      </c>
      <c r="LK176" s="31">
        <f t="shared" si="4"/>
        <v>-2.2884</v>
      </c>
      <c r="LL176" s="31">
        <f t="shared" si="4"/>
        <v>-2.322</v>
      </c>
      <c r="LM176" s="31" t="str">
        <f t="shared" si="4"/>
        <v/>
      </c>
      <c r="LN176" s="31" t="str">
        <f t="shared" ref="LN176:NY176" si="5">IFERROR(IF(OR(LN156="",LN58=""),"",LN156-LN58),"")</f>
        <v/>
      </c>
      <c r="LO176" s="31">
        <f t="shared" si="5"/>
        <v>-2.3105</v>
      </c>
      <c r="LP176" s="31">
        <f t="shared" si="5"/>
        <v>-2.306</v>
      </c>
      <c r="LQ176" s="31">
        <f t="shared" si="5"/>
        <v>-2.3098</v>
      </c>
      <c r="LR176" s="31">
        <f t="shared" si="5"/>
        <v>-2.2784</v>
      </c>
      <c r="LS176" s="31">
        <f t="shared" si="5"/>
        <v>-2.2412</v>
      </c>
      <c r="LT176" s="31" t="str">
        <f t="shared" si="5"/>
        <v/>
      </c>
      <c r="LU176" s="31" t="str">
        <f t="shared" si="5"/>
        <v/>
      </c>
      <c r="LV176" s="31">
        <f t="shared" si="5"/>
        <v>-2.2197</v>
      </c>
      <c r="LW176" s="31">
        <f t="shared" si="5"/>
        <v>-2.1827</v>
      </c>
      <c r="LX176" s="31">
        <f t="shared" si="5"/>
        <v>-2.1657</v>
      </c>
      <c r="LY176" s="31" t="str">
        <f t="shared" si="5"/>
        <v/>
      </c>
      <c r="LZ176" s="31">
        <f t="shared" si="5"/>
        <v>-2.1692</v>
      </c>
      <c r="MA176" s="31" t="str">
        <f t="shared" si="5"/>
        <v/>
      </c>
      <c r="MB176" s="31" t="str">
        <f t="shared" si="5"/>
        <v/>
      </c>
      <c r="MC176" s="31">
        <f t="shared" si="5"/>
        <v>-2.2438</v>
      </c>
      <c r="MD176" s="31">
        <f t="shared" si="5"/>
        <v>-2.2399</v>
      </c>
      <c r="ME176" s="31">
        <f t="shared" si="5"/>
        <v>-2.2093</v>
      </c>
      <c r="MF176" s="31">
        <f t="shared" si="5"/>
        <v>-2.2317</v>
      </c>
      <c r="MG176" s="31">
        <f t="shared" si="5"/>
        <v>-2.2623</v>
      </c>
      <c r="MH176" s="31" t="str">
        <f t="shared" si="5"/>
        <v/>
      </c>
      <c r="MI176" s="31" t="str">
        <f t="shared" si="5"/>
        <v/>
      </c>
      <c r="MJ176" s="31">
        <f t="shared" si="5"/>
        <v>-2.2915</v>
      </c>
      <c r="MK176" s="31">
        <f t="shared" si="5"/>
        <v>-2.3079</v>
      </c>
      <c r="ML176" s="31">
        <f t="shared" si="5"/>
        <v>-2.2577</v>
      </c>
      <c r="MM176" s="31">
        <f t="shared" si="5"/>
        <v>-2.2755</v>
      </c>
      <c r="MN176" s="31">
        <f t="shared" si="5"/>
        <v>-2.3445</v>
      </c>
      <c r="MO176" s="31" t="str">
        <f t="shared" si="5"/>
        <v/>
      </c>
      <c r="MP176" s="31" t="str">
        <f t="shared" si="5"/>
        <v/>
      </c>
      <c r="MQ176" s="31">
        <f t="shared" si="5"/>
        <v>-2.3386</v>
      </c>
      <c r="MR176" s="31">
        <f t="shared" si="5"/>
        <v>-2.3036</v>
      </c>
      <c r="MS176" s="31">
        <f t="shared" si="5"/>
        <v>-2.318</v>
      </c>
      <c r="MT176" s="31">
        <f t="shared" si="5"/>
        <v>-2.2862</v>
      </c>
      <c r="MU176" s="31">
        <f t="shared" si="5"/>
        <v>-2.3228</v>
      </c>
      <c r="MV176" s="31" t="str">
        <f t="shared" si="5"/>
        <v/>
      </c>
      <c r="MW176" s="31" t="str">
        <f t="shared" si="5"/>
        <v/>
      </c>
      <c r="MX176" s="31">
        <f t="shared" si="5"/>
        <v>-2.3276</v>
      </c>
      <c r="MY176" s="31">
        <f t="shared" si="5"/>
        <v>-2.3386</v>
      </c>
      <c r="MZ176" s="31">
        <f t="shared" si="5"/>
        <v>-2.3135</v>
      </c>
      <c r="NA176" s="31" t="str">
        <f t="shared" si="5"/>
        <v/>
      </c>
      <c r="NB176" s="31">
        <f t="shared" si="5"/>
        <v>-2.3023</v>
      </c>
      <c r="NC176" s="31" t="str">
        <f t="shared" si="5"/>
        <v/>
      </c>
      <c r="ND176" s="31" t="str">
        <f t="shared" si="5"/>
        <v/>
      </c>
      <c r="NE176" s="31">
        <f t="shared" si="5"/>
        <v>-2.2606</v>
      </c>
      <c r="NF176" s="31">
        <f t="shared" si="5"/>
        <v>-2.2884</v>
      </c>
      <c r="NG176" s="31">
        <f t="shared" si="5"/>
        <v>-2.3134</v>
      </c>
      <c r="NH176" s="31" t="str">
        <f t="shared" si="5"/>
        <v/>
      </c>
      <c r="NI176" s="31" t="str">
        <f t="shared" si="5"/>
        <v/>
      </c>
      <c r="NJ176" s="31" t="str">
        <f t="shared" si="5"/>
        <v/>
      </c>
      <c r="NK176" s="31" t="str">
        <f t="shared" si="5"/>
        <v/>
      </c>
      <c r="NL176" s="31">
        <f t="shared" si="5"/>
        <v>-2.3112</v>
      </c>
      <c r="NM176" s="31">
        <f t="shared" si="5"/>
        <v>-2.2991</v>
      </c>
      <c r="NN176" s="31">
        <f t="shared" si="5"/>
        <v>-2.2671</v>
      </c>
      <c r="NO176" s="31">
        <f t="shared" si="5"/>
        <v>-2.2957</v>
      </c>
      <c r="NP176" s="31">
        <f t="shared" si="5"/>
        <v>-2.2884</v>
      </c>
      <c r="NQ176" s="31" t="str">
        <f t="shared" si="5"/>
        <v/>
      </c>
      <c r="NR176" s="31" t="str">
        <f t="shared" si="5"/>
        <v/>
      </c>
      <c r="NS176" s="31">
        <f t="shared" si="5"/>
        <v>-2.3206</v>
      </c>
      <c r="NT176" s="31">
        <f t="shared" si="5"/>
        <v>-2.315</v>
      </c>
      <c r="NU176" s="31">
        <f t="shared" si="5"/>
        <v>-2.2844</v>
      </c>
      <c r="NV176" s="31">
        <f t="shared" si="5"/>
        <v>-2.3256</v>
      </c>
      <c r="NW176" s="31">
        <f t="shared" si="5"/>
        <v>-2.3874</v>
      </c>
      <c r="NX176" s="31" t="str">
        <f t="shared" si="5"/>
        <v/>
      </c>
      <c r="NY176" s="31" t="str">
        <f t="shared" si="5"/>
        <v/>
      </c>
      <c r="NZ176" s="31" t="str">
        <f t="shared" ref="NZ176:QK176" si="6">IFERROR(IF(OR(NZ156="",NZ58=""),"",NZ156-NZ58),"")</f>
        <v/>
      </c>
      <c r="OA176" s="31">
        <f t="shared" si="6"/>
        <v>-2.4625</v>
      </c>
      <c r="OB176" s="31">
        <f t="shared" si="6"/>
        <v>-2.4233</v>
      </c>
      <c r="OC176" s="31">
        <f t="shared" si="6"/>
        <v>-2.4261</v>
      </c>
      <c r="OD176" s="31">
        <f t="shared" si="6"/>
        <v>-2.4066</v>
      </c>
      <c r="OE176" s="31" t="str">
        <f t="shared" si="6"/>
        <v/>
      </c>
      <c r="OF176" s="31" t="str">
        <f t="shared" si="6"/>
        <v/>
      </c>
      <c r="OG176" s="31">
        <f t="shared" si="6"/>
        <v>-2.389</v>
      </c>
      <c r="OH176" s="31">
        <f t="shared" si="6"/>
        <v>-2.4094</v>
      </c>
      <c r="OI176" s="31">
        <f t="shared" si="6"/>
        <v>-2.425</v>
      </c>
      <c r="OJ176" s="31">
        <f t="shared" si="6"/>
        <v>-2.4221</v>
      </c>
      <c r="OK176" s="31">
        <f t="shared" si="6"/>
        <v>-2.4434</v>
      </c>
      <c r="OL176" s="31" t="str">
        <f t="shared" si="6"/>
        <v/>
      </c>
      <c r="OM176" s="31" t="str">
        <f t="shared" si="6"/>
        <v/>
      </c>
      <c r="ON176" s="31">
        <f t="shared" si="6"/>
        <v>-2.4684</v>
      </c>
      <c r="OO176" s="31">
        <f t="shared" si="6"/>
        <v>-2.4518</v>
      </c>
      <c r="OP176" s="31">
        <f t="shared" si="6"/>
        <v>-2.469</v>
      </c>
      <c r="OQ176" s="31">
        <f t="shared" si="6"/>
        <v>-2.3845</v>
      </c>
      <c r="OR176" s="31">
        <f t="shared" si="6"/>
        <v>-2.4052</v>
      </c>
      <c r="OS176" s="31" t="str">
        <f t="shared" si="6"/>
        <v/>
      </c>
      <c r="OT176" s="31" t="str">
        <f t="shared" si="6"/>
        <v/>
      </c>
      <c r="OU176" s="31">
        <f t="shared" si="6"/>
        <v>-2.4056</v>
      </c>
      <c r="OV176" s="31">
        <f t="shared" si="6"/>
        <v>-2.35</v>
      </c>
      <c r="OW176" s="31">
        <f t="shared" si="6"/>
        <v>-2.3769</v>
      </c>
      <c r="OX176" s="31">
        <f t="shared" si="6"/>
        <v>-2.2996</v>
      </c>
      <c r="OY176" s="31">
        <f t="shared" si="6"/>
        <v>-2.2323</v>
      </c>
      <c r="OZ176" s="31" t="str">
        <f t="shared" si="6"/>
        <v/>
      </c>
      <c r="PA176" s="31" t="str">
        <f t="shared" si="6"/>
        <v/>
      </c>
      <c r="PB176" s="31" t="str">
        <f t="shared" si="6"/>
        <v/>
      </c>
      <c r="PC176" s="31" t="str">
        <f t="shared" si="6"/>
        <v/>
      </c>
      <c r="PD176" s="31" t="str">
        <f t="shared" si="6"/>
        <v/>
      </c>
      <c r="PE176" s="31" t="str">
        <f t="shared" si="6"/>
        <v/>
      </c>
      <c r="PF176" s="31" t="str">
        <f t="shared" si="6"/>
        <v/>
      </c>
      <c r="PG176" s="31" t="str">
        <f t="shared" si="6"/>
        <v/>
      </c>
      <c r="PH176" s="31" t="str">
        <f t="shared" si="6"/>
        <v/>
      </c>
      <c r="PI176" s="31" t="str">
        <f t="shared" si="6"/>
        <v/>
      </c>
      <c r="PJ176" s="31">
        <f t="shared" si="6"/>
        <v>-2.2394</v>
      </c>
      <c r="PK176" s="31">
        <f t="shared" si="6"/>
        <v>-2.233</v>
      </c>
      <c r="PL176" s="31">
        <f t="shared" si="6"/>
        <v>-2.1858</v>
      </c>
      <c r="PM176" s="31">
        <f t="shared" si="6"/>
        <v>-2.143</v>
      </c>
      <c r="PN176" s="31" t="str">
        <f t="shared" si="6"/>
        <v/>
      </c>
      <c r="PO176" s="31" t="str">
        <f t="shared" si="6"/>
        <v/>
      </c>
      <c r="PP176" s="31">
        <f t="shared" si="6"/>
        <v>-2.2372</v>
      </c>
      <c r="PQ176" s="31">
        <f t="shared" si="6"/>
        <v>-2.2811</v>
      </c>
      <c r="PR176" s="31">
        <f t="shared" si="6"/>
        <v>-2.3127</v>
      </c>
      <c r="PS176" s="31">
        <f t="shared" si="6"/>
        <v>-2.3497</v>
      </c>
      <c r="PT176" s="31">
        <f t="shared" si="6"/>
        <v>-2.3691</v>
      </c>
      <c r="PU176" s="31" t="str">
        <f t="shared" si="6"/>
        <v/>
      </c>
      <c r="PV176" s="31" t="str">
        <f t="shared" si="6"/>
        <v/>
      </c>
      <c r="PW176" s="31">
        <f t="shared" si="6"/>
        <v>-2.3115</v>
      </c>
      <c r="PX176" s="31">
        <f t="shared" si="6"/>
        <v>-2.3401</v>
      </c>
      <c r="PY176" s="31">
        <f t="shared" si="6"/>
        <v>-2.4014</v>
      </c>
      <c r="PZ176" s="31">
        <f t="shared" si="6"/>
        <v>-2.4571</v>
      </c>
      <c r="QA176" s="31">
        <f t="shared" si="6"/>
        <v>-2.471</v>
      </c>
      <c r="QB176" s="31" t="str">
        <f t="shared" si="6"/>
        <v/>
      </c>
      <c r="QC176" s="31" t="str">
        <f t="shared" si="6"/>
        <v/>
      </c>
      <c r="QD176" s="31">
        <f t="shared" si="6"/>
        <v>-2.4024</v>
      </c>
      <c r="QE176" s="31">
        <f t="shared" si="6"/>
        <v>-2.3648</v>
      </c>
      <c r="QF176" s="31">
        <f t="shared" si="6"/>
        <v>-2.4334</v>
      </c>
      <c r="QG176" s="31">
        <f t="shared" si="6"/>
        <v>-2.4381</v>
      </c>
      <c r="QH176" s="31">
        <f t="shared" si="6"/>
        <v>-2.5605</v>
      </c>
      <c r="QI176" s="31" t="str">
        <f t="shared" si="6"/>
        <v/>
      </c>
      <c r="QJ176" s="31" t="str">
        <f t="shared" si="6"/>
        <v/>
      </c>
      <c r="QK176" s="31">
        <f t="shared" si="6"/>
        <v>-2.5013</v>
      </c>
      <c r="QL176" s="31">
        <f t="shared" ref="QL176:SW176" si="7">IFERROR(IF(OR(QL156="",QL58=""),"",QL156-QL58),"")</f>
        <v>-2.5587</v>
      </c>
      <c r="QM176" s="31">
        <f t="shared" si="7"/>
        <v>-2.5012</v>
      </c>
      <c r="QN176" s="31">
        <f t="shared" si="7"/>
        <v>-2.6043</v>
      </c>
      <c r="QO176" s="31">
        <f t="shared" si="7"/>
        <v>-2.6226</v>
      </c>
      <c r="QP176" s="31" t="str">
        <f t="shared" si="7"/>
        <v/>
      </c>
      <c r="QQ176" s="31" t="str">
        <f t="shared" si="7"/>
        <v/>
      </c>
      <c r="QR176" s="31">
        <f t="shared" si="7"/>
        <v>-2.5326</v>
      </c>
      <c r="QS176" s="31">
        <f t="shared" si="7"/>
        <v>-2.4905</v>
      </c>
      <c r="QT176" s="31">
        <f t="shared" si="7"/>
        <v>-2.5085</v>
      </c>
      <c r="QU176" s="31">
        <f t="shared" si="7"/>
        <v>-2.4849</v>
      </c>
      <c r="QV176" s="31">
        <f t="shared" si="7"/>
        <v>-2.5324</v>
      </c>
      <c r="QW176" s="31" t="str">
        <f t="shared" si="7"/>
        <v/>
      </c>
      <c r="QX176" s="31" t="str">
        <f t="shared" si="7"/>
        <v/>
      </c>
      <c r="QY176" s="31" t="str">
        <f t="shared" si="7"/>
        <v/>
      </c>
      <c r="QZ176" s="31">
        <f t="shared" si="7"/>
        <v>-2.5102</v>
      </c>
      <c r="RA176" s="31">
        <f t="shared" si="7"/>
        <v>-2.4732</v>
      </c>
      <c r="RB176" s="31">
        <f t="shared" si="7"/>
        <v>-2.4719</v>
      </c>
      <c r="RC176" s="31">
        <f t="shared" si="7"/>
        <v>-2.4926</v>
      </c>
      <c r="RD176" s="31" t="str">
        <f t="shared" si="7"/>
        <v/>
      </c>
      <c r="RE176" s="31" t="str">
        <f t="shared" si="7"/>
        <v/>
      </c>
      <c r="RF176" s="31">
        <f t="shared" si="7"/>
        <v>-2.4919</v>
      </c>
      <c r="RG176" s="31">
        <f t="shared" si="7"/>
        <v>-2.47</v>
      </c>
      <c r="RH176" s="31">
        <f t="shared" si="7"/>
        <v>-2.5046</v>
      </c>
      <c r="RI176" s="31">
        <f t="shared" si="7"/>
        <v>-2.539</v>
      </c>
      <c r="RJ176" s="31">
        <f t="shared" si="7"/>
        <v>-2.4819</v>
      </c>
      <c r="RK176" s="31" t="str">
        <f t="shared" si="7"/>
        <v/>
      </c>
      <c r="RL176" s="31" t="str">
        <f t="shared" si="7"/>
        <v/>
      </c>
      <c r="RM176" s="31">
        <f t="shared" si="7"/>
        <v>-2.4918</v>
      </c>
      <c r="RN176" s="31">
        <f t="shared" si="7"/>
        <v>-2.5427</v>
      </c>
      <c r="RO176" s="31">
        <f t="shared" si="7"/>
        <v>-2.5609</v>
      </c>
      <c r="RP176" s="31">
        <f t="shared" si="7"/>
        <v>-2.5949</v>
      </c>
      <c r="RQ176" s="31">
        <f t="shared" si="7"/>
        <v>-2.568</v>
      </c>
      <c r="RR176" s="31" t="str">
        <f t="shared" si="7"/>
        <v/>
      </c>
      <c r="RS176" s="31" t="str">
        <f t="shared" si="7"/>
        <v/>
      </c>
      <c r="RT176" s="31">
        <f t="shared" si="7"/>
        <v>-2.584</v>
      </c>
      <c r="RU176" s="31">
        <f t="shared" si="7"/>
        <v>-2.596</v>
      </c>
      <c r="RV176" s="31">
        <f t="shared" si="7"/>
        <v>-2.6582</v>
      </c>
      <c r="RW176" s="31">
        <f t="shared" si="7"/>
        <v>-2.6431</v>
      </c>
      <c r="RX176" s="31" t="str">
        <f t="shared" si="7"/>
        <v/>
      </c>
      <c r="RY176" s="31" t="str">
        <f t="shared" si="7"/>
        <v/>
      </c>
      <c r="RZ176" s="31" t="str">
        <f t="shared" si="7"/>
        <v/>
      </c>
      <c r="SA176" s="31" t="str">
        <f t="shared" si="7"/>
        <v/>
      </c>
      <c r="SB176" s="31" t="str">
        <f t="shared" si="7"/>
        <v/>
      </c>
      <c r="SC176" s="31">
        <f t="shared" si="7"/>
        <v>-2.5869</v>
      </c>
      <c r="SD176" s="31">
        <f t="shared" si="7"/>
        <v>-2.6415</v>
      </c>
      <c r="SE176" s="31">
        <f t="shared" si="7"/>
        <v>-2.6145</v>
      </c>
      <c r="SF176" s="31" t="str">
        <f t="shared" si="7"/>
        <v/>
      </c>
      <c r="SG176" s="31" t="str">
        <f t="shared" si="7"/>
        <v/>
      </c>
      <c r="SH176" s="31">
        <f t="shared" si="7"/>
        <v>-2.6498</v>
      </c>
      <c r="SI176" s="31">
        <f t="shared" si="7"/>
        <v>-2.6989</v>
      </c>
      <c r="SJ176" s="31">
        <f t="shared" si="7"/>
        <v>-2.7036</v>
      </c>
      <c r="SK176" s="31">
        <f t="shared" si="7"/>
        <v>-2.7108</v>
      </c>
      <c r="SL176" s="31">
        <f t="shared" si="7"/>
        <v>-2.8302</v>
      </c>
      <c r="SM176" s="31" t="str">
        <f t="shared" si="7"/>
        <v/>
      </c>
      <c r="SN176" s="31" t="str">
        <f t="shared" si="7"/>
        <v/>
      </c>
      <c r="SO176" s="31">
        <f t="shared" si="7"/>
        <v>-2.8444</v>
      </c>
      <c r="SP176" s="31">
        <f t="shared" si="7"/>
        <v>-2.9157</v>
      </c>
      <c r="SQ176" s="31">
        <f t="shared" si="7"/>
        <v>-2.8193</v>
      </c>
      <c r="SR176" s="31">
        <f t="shared" si="7"/>
        <v>-2.8136</v>
      </c>
      <c r="SS176" s="31">
        <f t="shared" si="7"/>
        <v>-2.7984</v>
      </c>
      <c r="ST176" s="23" t="str">
        <f t="shared" si="7"/>
        <v/>
      </c>
      <c r="SU176" s="23" t="str">
        <f t="shared" si="7"/>
        <v/>
      </c>
      <c r="SV176" s="23" t="str">
        <f t="shared" si="7"/>
        <v/>
      </c>
      <c r="SW176" s="23">
        <f t="shared" si="7"/>
        <v>-2.7407</v>
      </c>
      <c r="SX176" s="23">
        <f t="shared" ref="SX176:TN176" si="8">IFERROR(IF(OR(SX156="",SX58=""),"",SX156-SX58),"")</f>
        <v>-2.7273</v>
      </c>
      <c r="SY176" s="23">
        <f t="shared" si="8"/>
        <v>-2.7172</v>
      </c>
      <c r="SZ176" s="23">
        <f t="shared" si="8"/>
        <v>-2.7215</v>
      </c>
      <c r="TA176" s="23" t="str">
        <f t="shared" si="8"/>
        <v/>
      </c>
      <c r="TB176" s="23" t="str">
        <f t="shared" si="8"/>
        <v/>
      </c>
      <c r="TC176" s="23">
        <f t="shared" si="8"/>
        <v>-2.7311</v>
      </c>
      <c r="TD176" s="23">
        <f t="shared" si="8"/>
        <v>-2.7184</v>
      </c>
      <c r="TE176" s="23">
        <f t="shared" si="8"/>
        <v>-2.746</v>
      </c>
      <c r="TF176" s="23">
        <f t="shared" si="8"/>
        <v>-2.7315</v>
      </c>
      <c r="TG176" s="23">
        <f t="shared" si="8"/>
        <v>-2.8114</v>
      </c>
      <c r="TH176" s="23" t="str">
        <f t="shared" si="8"/>
        <v/>
      </c>
      <c r="TI176" s="23" t="str">
        <f t="shared" si="8"/>
        <v/>
      </c>
      <c r="TJ176" s="23">
        <f t="shared" si="8"/>
        <v>-2.8094</v>
      </c>
      <c r="TK176" s="23">
        <f t="shared" si="8"/>
        <v>-2.7737</v>
      </c>
      <c r="TL176" s="23">
        <f t="shared" si="8"/>
        <v>-2.7886</v>
      </c>
      <c r="TM176" s="23">
        <f t="shared" si="8"/>
        <v>-2.6757</v>
      </c>
      <c r="TN176" s="23">
        <f t="shared" si="8"/>
        <v>-2.7069</v>
      </c>
      <c r="TO176" s="23"/>
      <c r="TP176" s="23"/>
      <c r="TQ176" s="23"/>
      <c r="TR176" s="23"/>
    </row>
    <row r="177" spans="4:534">
      <c r="D177" t="s">
        <v>224</v>
      </c>
      <c r="E177" t="s">
        <v>225</v>
      </c>
      <c r="F177" s="36" t="str">
        <f>IFERROR(IF(OR(F144="",F145=""),"",(F144-F145)/LOOKUP(2,1/((YEAR($F$1:F$1)=YEAR(F$1)-1)*($F$146:F$146&lt;&gt;"")),$F$146:F$146)*100),"")</f>
        <v/>
      </c>
      <c r="G177" t="str">
        <f>IFERROR(IF(OR(G144="",G145=""),"",(G144-G145)/LOOKUP(2,1/((YEAR($F$1:G$1)=YEAR(G$1)-1)*($F$146:G$146&lt;&gt;"")),$F$146:G$146)*100),"")</f>
        <v/>
      </c>
      <c r="H177" t="str">
        <f>IFERROR(IF(OR(H144="",H145=""),"",(H144-H145)/LOOKUP(2,1/((YEAR($F$1:H$1)=YEAR(H$1)-1)*($F$146:H$146&lt;&gt;"")),$F$146:H$146)*100),"")</f>
        <v/>
      </c>
      <c r="I177" t="str">
        <f>IFERROR(IF(OR(I144="",I145=""),"",(I144-I145)/LOOKUP(2,1/((YEAR($F$1:I$1)=YEAR(I$1)-1)*($F$146:I$146&lt;&gt;"")),$F$146:I$146)*100),"")</f>
        <v/>
      </c>
      <c r="J177" t="str">
        <f>IFERROR(IF(OR(J144="",J145=""),"",(J144-J145)/LOOKUP(2,1/((YEAR($F$1:J$1)=YEAR(J$1)-1)*($F$146:J$146&lt;&gt;"")),$F$146:J$146)*100),"")</f>
        <v/>
      </c>
      <c r="K177" t="str">
        <f>IFERROR(IF(OR(K144="",K145=""),"",(K144-K145)/LOOKUP(2,1/((YEAR($F$1:K$1)=YEAR(K$1)-1)*($F$146:K$146&lt;&gt;"")),$F$146:K$146)*100),"")</f>
        <v/>
      </c>
      <c r="L177" t="str">
        <f>IFERROR(IF(OR(L144="",L145=""),"",(L144-L145)/LOOKUP(2,1/((YEAR($F$1:L$1)=YEAR(L$1)-1)*($F$146:L$146&lt;&gt;"")),$F$146:L$146)*100),"")</f>
        <v/>
      </c>
      <c r="M177" t="str">
        <f>IFERROR(IF(OR(M144="",M145=""),"",(M144-M145)/LOOKUP(2,1/((YEAR($F$1:M$1)=YEAR(M$1)-1)*($F$146:M$146&lt;&gt;"")),$F$146:M$146)*100),"")</f>
        <v/>
      </c>
      <c r="N177" t="str">
        <f>IFERROR(IF(OR(N144="",N145=""),"",(N144-N145)/LOOKUP(2,1/((YEAR($F$1:N$1)=YEAR(N$1)-1)*($F$146:N$146&lt;&gt;"")),$F$146:N$146)*100),"")</f>
        <v/>
      </c>
      <c r="O177" t="str">
        <f>IFERROR(IF(OR(O144="",O145=""),"",(O144-O145)/LOOKUP(2,1/((YEAR($F$1:O$1)=YEAR(O$1)-1)*($F$146:O$146&lt;&gt;"")),$F$146:O$146)*100),"")</f>
        <v/>
      </c>
      <c r="P177" t="str">
        <f>IFERROR(IF(OR(P144="",P145=""),"",(P144-P145)/LOOKUP(2,1/((YEAR($F$1:P$1)=YEAR(P$1)-1)*($F$146:P$146&lt;&gt;"")),$F$146:P$146)*100),"")</f>
        <v/>
      </c>
      <c r="Q177" t="str">
        <f>IFERROR(IF(OR(Q144="",Q145=""),"",(Q144-Q145)/LOOKUP(2,1/((YEAR($F$1:Q$1)=YEAR(Q$1)-1)*($F$146:Q$146&lt;&gt;"")),$F$146:Q$146)*100),"")</f>
        <v/>
      </c>
      <c r="R177" t="str">
        <f>IFERROR(IF(OR(R144="",R145=""),"",(R144-R145)/LOOKUP(2,1/((YEAR($F$1:R$1)=YEAR(R$1)-1)*($F$146:R$146&lt;&gt;"")),$F$146:R$146)*100),"")</f>
        <v/>
      </c>
      <c r="S177" t="str">
        <f>IFERROR(IF(OR(S144="",S145=""),"",(S144-S145)/LOOKUP(2,1/((YEAR($F$1:S$1)=YEAR(S$1)-1)*($F$146:S$146&lt;&gt;"")),$F$146:S$146)*100),"")</f>
        <v/>
      </c>
      <c r="T177" t="str">
        <f>IFERROR(IF(OR(T144="",T145=""),"",(T144-T145)/LOOKUP(2,1/((YEAR($F$1:T$1)=YEAR(T$1)-1)*($F$146:T$146&lt;&gt;"")),$F$146:T$146)*100),"")</f>
        <v/>
      </c>
      <c r="U177" t="str">
        <f>IFERROR(IF(OR(U144="",U145=""),"",(U144-U145)/LOOKUP(2,1/((YEAR($F$1:U$1)=YEAR(U$1)-1)*($F$146:U$146&lt;&gt;"")),$F$146:U$146)*100),"")</f>
        <v/>
      </c>
      <c r="V177" t="str">
        <f>IFERROR(IF(OR(V144="",V145=""),"",(V144-V145)/LOOKUP(2,1/((YEAR($F$1:V$1)=YEAR(V$1)-1)*($F$146:V$146&lt;&gt;"")),$F$146:V$146)*100),"")</f>
        <v/>
      </c>
      <c r="W177" t="str">
        <f>IFERROR(IF(OR(W144="",W145=""),"",(W144-W145)/LOOKUP(2,1/((YEAR($F$1:W$1)=YEAR(W$1)-1)*($F$146:W$146&lt;&gt;"")),$F$146:W$146)*100),"")</f>
        <v/>
      </c>
      <c r="X177" t="str">
        <f>IFERROR(IF(OR(X144="",X145=""),"",(X144-X145)/LOOKUP(2,1/((YEAR($F$1:X$1)=YEAR(X$1)-1)*($F$146:X$146&lt;&gt;"")),$F$146:X$146)*100),"")</f>
        <v/>
      </c>
      <c r="Y177" t="str">
        <f>IFERROR(IF(OR(Y144="",Y145=""),"",(Y144-Y145)/LOOKUP(2,1/((YEAR($F$1:Y$1)=YEAR(Y$1)-1)*($F$146:Y$146&lt;&gt;"")),$F$146:Y$146)*100),"")</f>
        <v/>
      </c>
      <c r="Z177" t="str">
        <f>IFERROR(IF(OR(Z144="",Z145=""),"",(Z144-Z145)/LOOKUP(2,1/((YEAR($F$1:Z$1)=YEAR(Z$1)-1)*($F$146:Z$146&lt;&gt;"")),$F$146:Z$146)*100),"")</f>
        <v/>
      </c>
      <c r="AA177" t="str">
        <f>IFERROR(IF(OR(AA144="",AA145=""),"",(AA144-AA145)/LOOKUP(2,1/((YEAR($F$1:AA$1)=YEAR(AA$1)-1)*($F$146:AA$146&lt;&gt;"")),$F$146:AA$146)*100),"")</f>
        <v/>
      </c>
      <c r="AB177" t="str">
        <f>IFERROR(IF(OR(AB144="",AB145=""),"",(AB144-AB145)/LOOKUP(2,1/((YEAR($F$1:AB$1)=YEAR(AB$1)-1)*($F$146:AB$146&lt;&gt;"")),$F$146:AB$146)*100),"")</f>
        <v/>
      </c>
      <c r="AC177" t="str">
        <f>IFERROR(IF(OR(AC144="",AC145=""),"",(AC144-AC145)/LOOKUP(2,1/((YEAR($F$1:AC$1)=YEAR(AC$1)-1)*($F$146:AC$146&lt;&gt;"")),$F$146:AC$146)*100),"")</f>
        <v/>
      </c>
      <c r="AD177" t="str">
        <f>IFERROR(IF(OR(AD144="",AD145=""),"",(AD144-AD145)/LOOKUP(2,1/((YEAR($F$1:AD$1)=YEAR(AD$1)-1)*($F$146:AD$146&lt;&gt;"")),$F$146:AD$146)*100),"")</f>
        <v/>
      </c>
      <c r="AE177" t="str">
        <f>IFERROR(IF(OR(AE144="",AE145=""),"",(AE144-AE145)/LOOKUP(2,1/((YEAR($F$1:AE$1)=YEAR(AE$1)-1)*($F$146:AE$146&lt;&gt;"")),$F$146:AE$146)*100),"")</f>
        <v/>
      </c>
      <c r="AF177" t="str">
        <f>IFERROR(IF(OR(AF144="",AF145=""),"",(AF144-AF145)/LOOKUP(2,1/((YEAR($F$1:AF$1)=YEAR(AF$1)-1)*($F$146:AF$146&lt;&gt;"")),$F$146:AF$146)*100),"")</f>
        <v/>
      </c>
      <c r="AG177" t="str">
        <f>IFERROR(IF(OR(AG144="",AG145=""),"",(AG144-AG145)/LOOKUP(2,1/((YEAR($F$1:AG$1)=YEAR(AG$1)-1)*($F$146:AG$146&lt;&gt;"")),$F$146:AG$146)*100),"")</f>
        <v/>
      </c>
      <c r="AH177" t="str">
        <f>IFERROR(IF(OR(AH144="",AH145=""),"",(AH144-AH145)/LOOKUP(2,1/((YEAR($F$1:AH$1)=YEAR(AH$1)-1)*($F$146:AH$146&lt;&gt;"")),$F$146:AH$146)*100),"")</f>
        <v/>
      </c>
      <c r="AI177" t="str">
        <f>IFERROR(IF(OR(AI144="",AI145=""),"",(AI144-AI145)/LOOKUP(2,1/((YEAR($F$1:AI$1)=YEAR(AI$1)-1)*($F$146:AI$146&lt;&gt;"")),$F$146:AI$146)*100),"")</f>
        <v/>
      </c>
      <c r="AJ177" t="str">
        <f>IFERROR(IF(OR(AJ144="",AJ145=""),"",(AJ144-AJ145)/LOOKUP(2,1/((YEAR($F$1:AJ$1)=YEAR(AJ$1)-1)*($F$146:AJ$146&lt;&gt;"")),$F$146:AJ$146)*100),"")</f>
        <v/>
      </c>
      <c r="AK177" t="str">
        <f>IFERROR(IF(OR(AK144="",AK145=""),"",(AK144-AK145)/LOOKUP(2,1/((YEAR($F$1:AK$1)=YEAR(AK$1)-1)*($F$146:AK$146&lt;&gt;"")),$F$146:AK$146)*100),"")</f>
        <v/>
      </c>
      <c r="AL177" t="str">
        <f>IFERROR(IF(OR(AL144="",AL145=""),"",(AL144-AL145)/LOOKUP(2,1/((YEAR($F$1:AL$1)=YEAR(AL$1)-1)*($F$146:AL$146&lt;&gt;"")),$F$146:AL$146)*100),"")</f>
        <v/>
      </c>
      <c r="AM177" t="str">
        <f>IFERROR(IF(OR(AM144="",AM145=""),"",(AM144-AM145)/LOOKUP(2,1/((YEAR($F$1:AM$1)=YEAR(AM$1)-1)*($F$146:AM$146&lt;&gt;"")),$F$146:AM$146)*100),"")</f>
        <v/>
      </c>
      <c r="AN177" t="str">
        <f>IFERROR(IF(OR(AN144="",AN145=""),"",(AN144-AN145)/LOOKUP(2,1/((YEAR($F$1:AN$1)=YEAR(AN$1)-1)*($F$146:AN$146&lt;&gt;"")),$F$146:AN$146)*100),"")</f>
        <v/>
      </c>
      <c r="AO177" t="str">
        <f>IFERROR(IF(OR(AO144="",AO145=""),"",(AO144-AO145)/LOOKUP(2,1/((YEAR($F$1:AO$1)=YEAR(AO$1)-1)*($F$146:AO$146&lt;&gt;"")),$F$146:AO$146)*100),"")</f>
        <v/>
      </c>
      <c r="AP177" t="str">
        <f>IFERROR(IF(OR(AP144="",AP145=""),"",(AP144-AP145)/LOOKUP(2,1/((YEAR($F$1:AP$1)=YEAR(AP$1)-1)*($F$146:AP$146&lt;&gt;"")),$F$146:AP$146)*100),"")</f>
        <v/>
      </c>
      <c r="AQ177" t="str">
        <f>IFERROR(IF(OR(AQ144="",AQ145=""),"",(AQ144-AQ145)/LOOKUP(2,1/((YEAR($F$1:AQ$1)=YEAR(AQ$1)-1)*($F$146:AQ$146&lt;&gt;"")),$F$146:AQ$146)*100),"")</f>
        <v/>
      </c>
      <c r="AR177" t="str">
        <f>IFERROR(IF(OR(AR144="",AR145=""),"",(AR144-AR145)/LOOKUP(2,1/((YEAR($F$1:AR$1)=YEAR(AR$1)-1)*($F$146:AR$146&lt;&gt;"")),$F$146:AR$146)*100),"")</f>
        <v/>
      </c>
      <c r="AS177" t="str">
        <f>IFERROR(IF(OR(AS144="",AS145=""),"",(AS144-AS145)/LOOKUP(2,1/((YEAR($F$1:AS$1)=YEAR(AS$1)-1)*($F$146:AS$146&lt;&gt;"")),$F$146:AS$146)*100),"")</f>
        <v/>
      </c>
      <c r="AT177" t="str">
        <f>IFERROR(IF(OR(AT144="",AT145=""),"",(AT144-AT145)/LOOKUP(2,1/((YEAR($F$1:AT$1)=YEAR(AT$1)-1)*($F$146:AT$146&lt;&gt;"")),$F$146:AT$146)*100),"")</f>
        <v/>
      </c>
      <c r="AU177" t="str">
        <f>IFERROR(IF(OR(AU144="",AU145=""),"",(AU144-AU145)/LOOKUP(2,1/((YEAR($F$1:AU$1)=YEAR(AU$1)-1)*($F$146:AU$146&lt;&gt;"")),$F$146:AU$146)*100),"")</f>
        <v/>
      </c>
      <c r="AV177" t="str">
        <f>IFERROR(IF(OR(AV144="",AV145=""),"",(AV144-AV145)/LOOKUP(2,1/((YEAR($F$1:AV$1)=YEAR(AV$1)-1)*($F$146:AV$146&lt;&gt;"")),$F$146:AV$146)*100),"")</f>
        <v/>
      </c>
      <c r="AW177" t="str">
        <f>IFERROR(IF(OR(AW144="",AW145=""),"",(AW144-AW145)/LOOKUP(2,1/((YEAR($F$1:AW$1)=YEAR(AW$1)-1)*($F$146:AW$146&lt;&gt;"")),$F$146:AW$146)*100),"")</f>
        <v/>
      </c>
      <c r="AX177" t="str">
        <f>IFERROR(IF(OR(AX144="",AX145=""),"",(AX144-AX145)/LOOKUP(2,1/((YEAR($F$1:AX$1)=YEAR(AX$1)-1)*($F$146:AX$146&lt;&gt;"")),$F$146:AX$146)*100),"")</f>
        <v/>
      </c>
      <c r="AY177" t="str">
        <f>IFERROR(IF(OR(AY144="",AY145=""),"",(AY144-AY145)/LOOKUP(2,1/((YEAR($F$1:AY$1)=YEAR(AY$1)-1)*($F$146:AY$146&lt;&gt;"")),$F$146:AY$146)*100),"")</f>
        <v/>
      </c>
      <c r="AZ177" t="str">
        <f>IFERROR(IF(OR(AZ144="",AZ145=""),"",(AZ144-AZ145)/LOOKUP(2,1/((YEAR($F$1:AZ$1)=YEAR(AZ$1)-1)*($F$146:AZ$146&lt;&gt;"")),$F$146:AZ$146)*100),"")</f>
        <v/>
      </c>
      <c r="BA177" t="str">
        <f>IFERROR(IF(OR(BA144="",BA145=""),"",(BA144-BA145)/LOOKUP(2,1/((YEAR($F$1:BA$1)=YEAR(BA$1)-1)*($F$146:BA$146&lt;&gt;"")),$F$146:BA$146)*100),"")</f>
        <v/>
      </c>
      <c r="BB177" t="str">
        <f>IFERROR(IF(OR(BB144="",BB145=""),"",(BB144-BB145)/LOOKUP(2,1/((YEAR($F$1:BB$1)=YEAR(BB$1)-1)*($F$146:BB$146&lt;&gt;"")),$F$146:BB$146)*100),"")</f>
        <v/>
      </c>
      <c r="BC177" t="str">
        <f>IFERROR(IF(OR(BC144="",BC145=""),"",(BC144-BC145)/LOOKUP(2,1/((YEAR($F$1:BC$1)=YEAR(BC$1)-1)*($F$146:BC$146&lt;&gt;"")),$F$146:BC$146)*100),"")</f>
        <v/>
      </c>
      <c r="BD177" t="str">
        <f>IFERROR(IF(OR(BD144="",BD145=""),"",(BD144-BD145)/LOOKUP(2,1/((YEAR($F$1:BD$1)=YEAR(BD$1)-1)*($F$146:BD$146&lt;&gt;"")),$F$146:BD$146)*100),"")</f>
        <v/>
      </c>
      <c r="BE177" t="str">
        <f>IFERROR(IF(OR(BE144="",BE145=""),"",(BE144-BE145)/LOOKUP(2,1/((YEAR($F$1:BE$1)=YEAR(BE$1)-1)*($F$146:BE$146&lt;&gt;"")),$F$146:BE$146)*100),"")</f>
        <v/>
      </c>
      <c r="BF177" t="str">
        <f>IFERROR(IF(OR(BF144="",BF145=""),"",(BF144-BF145)/LOOKUP(2,1/((YEAR($F$1:BF$1)=YEAR(BF$1)-1)*($F$146:BF$146&lt;&gt;"")),$F$146:BF$146)*100),"")</f>
        <v/>
      </c>
      <c r="BG177" t="str">
        <f>IFERROR(IF(OR(BG144="",BG145=""),"",(BG144-BG145)/LOOKUP(2,1/((YEAR($F$1:BG$1)=YEAR(BG$1)-1)*($F$146:BG$146&lt;&gt;"")),$F$146:BG$146)*100),"")</f>
        <v/>
      </c>
      <c r="BH177" t="str">
        <f>IFERROR(IF(OR(BH144="",BH145=""),"",(BH144-BH145)/LOOKUP(2,1/((YEAR($F$1:BH$1)=YEAR(BH$1)-1)*($F$146:BH$146&lt;&gt;"")),$F$146:BH$146)*100),"")</f>
        <v/>
      </c>
      <c r="BI177" t="str">
        <f>IFERROR(IF(OR(BI144="",BI145=""),"",(BI144-BI145)/LOOKUP(2,1/((YEAR($F$1:BI$1)=YEAR(BI$1)-1)*($F$146:BI$146&lt;&gt;"")),$F$146:BI$146)*100),"")</f>
        <v/>
      </c>
      <c r="BJ177" t="str">
        <f>IFERROR(IF(OR(BJ144="",BJ145=""),"",(BJ144-BJ145)/LOOKUP(2,1/((YEAR($F$1:BJ$1)=YEAR(BJ$1)-1)*($F$146:BJ$146&lt;&gt;"")),$F$146:BJ$146)*100),"")</f>
        <v/>
      </c>
      <c r="BK177" t="str">
        <f>IFERROR(IF(OR(BK144="",BK145=""),"",(BK144-BK145)/LOOKUP(2,1/((YEAR($F$1:BK$1)=YEAR(BK$1)-1)*($F$146:BK$146&lt;&gt;"")),$F$146:BK$146)*100),"")</f>
        <v/>
      </c>
      <c r="BL177" t="str">
        <f>IFERROR(IF(OR(BL144="",BL145=""),"",(BL144-BL145)/LOOKUP(2,1/((YEAR($F$1:BL$1)=YEAR(BL$1)-1)*($F$146:BL$146&lt;&gt;"")),$F$146:BL$146)*100),"")</f>
        <v/>
      </c>
      <c r="BM177" t="str">
        <f>IFERROR(IF(OR(BM144="",BM145=""),"",(BM144-BM145)/LOOKUP(2,1/((YEAR($F$1:BM$1)=YEAR(BM$1)-1)*($F$146:BM$146&lt;&gt;"")),$F$146:BM$146)*100),"")</f>
        <v/>
      </c>
      <c r="BN177" t="str">
        <f>IFERROR(IF(OR(BN144="",BN145=""),"",(BN144-BN145)/LOOKUP(2,1/((YEAR($F$1:BN$1)=YEAR(BN$1)-1)*($F$146:BN$146&lt;&gt;"")),$F$146:BN$146)*100),"")</f>
        <v/>
      </c>
      <c r="BO177" t="str">
        <f>IFERROR(IF(OR(BO144="",BO145=""),"",(BO144-BO145)/LOOKUP(2,1/((YEAR($F$1:BO$1)=YEAR(BO$1)-1)*($F$146:BO$146&lt;&gt;"")),$F$146:BO$146)*100),"")</f>
        <v/>
      </c>
      <c r="BP177" t="str">
        <f>IFERROR(IF(OR(BP144="",BP145=""),"",(BP144-BP145)/LOOKUP(2,1/((YEAR($F$1:BP$1)=YEAR(BP$1)-1)*($F$146:BP$146&lt;&gt;"")),$F$146:BP$146)*100),"")</f>
        <v/>
      </c>
      <c r="BQ177" t="str">
        <f>IFERROR(IF(OR(BQ144="",BQ145=""),"",(BQ144-BQ145)/LOOKUP(2,1/((YEAR($F$1:BQ$1)=YEAR(BQ$1)-1)*($F$146:BQ$146&lt;&gt;"")),$F$146:BQ$146)*100),"")</f>
        <v/>
      </c>
      <c r="BR177" t="str">
        <f>IFERROR(IF(OR(BR144="",BR145=""),"",(BR144-BR145)/LOOKUP(2,1/((YEAR($F$1:BR$1)=YEAR(BR$1)-1)*($F$146:BR$146&lt;&gt;"")),$F$146:BR$146)*100),"")</f>
        <v/>
      </c>
      <c r="BS177" t="str">
        <f>IFERROR(IF(OR(BS144="",BS145=""),"",(BS144-BS145)/LOOKUP(2,1/((YEAR($F$1:BS$1)=YEAR(BS$1)-1)*($F$146:BS$146&lt;&gt;"")),$F$146:BS$146)*100),"")</f>
        <v/>
      </c>
      <c r="BT177" t="str">
        <f>IFERROR(IF(OR(BT144="",BT145=""),"",(BT144-BT145)/LOOKUP(2,1/((YEAR($F$1:BT$1)=YEAR(BT$1)-1)*($F$146:BT$146&lt;&gt;"")),$F$146:BT$146)*100),"")</f>
        <v/>
      </c>
      <c r="BU177" t="str">
        <f>IFERROR(IF(OR(BU144="",BU145=""),"",(BU144-BU145)/LOOKUP(2,1/((YEAR($F$1:BU$1)=YEAR(BU$1)-1)*($F$146:BU$146&lt;&gt;"")),$F$146:BU$146)*100),"")</f>
        <v/>
      </c>
      <c r="BV177" t="str">
        <f>IFERROR(IF(OR(BV144="",BV145=""),"",(BV144-BV145)/LOOKUP(2,1/((YEAR($F$1:BV$1)=YEAR(BV$1)-1)*($F$146:BV$146&lt;&gt;"")),$F$146:BV$146)*100),"")</f>
        <v/>
      </c>
      <c r="BW177" t="str">
        <f>IFERROR(IF(OR(BW144="",BW145=""),"",(BW144-BW145)/LOOKUP(2,1/((YEAR($F$1:BW$1)=YEAR(BW$1)-1)*($F$146:BW$146&lt;&gt;"")),$F$146:BW$146)*100),"")</f>
        <v/>
      </c>
      <c r="BX177" t="str">
        <f>IFERROR(IF(OR(BX144="",BX145=""),"",(BX144-BX145)/LOOKUP(2,1/((YEAR($F$1:BX$1)=YEAR(BX$1)-1)*($F$146:BX$146&lt;&gt;"")),$F$146:BX$146)*100),"")</f>
        <v/>
      </c>
      <c r="BY177" t="str">
        <f>IFERROR(IF(OR(BY144="",BY145=""),"",(BY144-BY145)/LOOKUP(2,1/((YEAR($F$1:BY$1)=YEAR(BY$1)-1)*($F$146:BY$146&lt;&gt;"")),$F$146:BY$146)*100),"")</f>
        <v/>
      </c>
      <c r="BZ177" t="str">
        <f>IFERROR(IF(OR(BZ144="",BZ145=""),"",(BZ144-BZ145)/LOOKUP(2,1/((YEAR($F$1:BZ$1)=YEAR(BZ$1)-1)*($F$146:BZ$146&lt;&gt;"")),$F$146:BZ$146)*100),"")</f>
        <v/>
      </c>
      <c r="CA177" t="str">
        <f>IFERROR(IF(OR(CA144="",CA145=""),"",(CA144-CA145)/LOOKUP(2,1/((YEAR($F$1:CA$1)=YEAR(CA$1)-1)*($F$146:CA$146&lt;&gt;"")),$F$146:CA$146)*100),"")</f>
        <v/>
      </c>
      <c r="CB177" t="str">
        <f>IFERROR(IF(OR(CB144="",CB145=""),"",(CB144-CB145)/LOOKUP(2,1/((YEAR($F$1:CB$1)=YEAR(CB$1)-1)*($F$146:CB$146&lt;&gt;"")),$F$146:CB$146)*100),"")</f>
        <v/>
      </c>
      <c r="CC177" t="str">
        <f>IFERROR(IF(OR(CC144="",CC145=""),"",(CC144-CC145)/LOOKUP(2,1/((YEAR($F$1:CC$1)=YEAR(CC$1)-1)*($F$146:CC$146&lt;&gt;"")),$F$146:CC$146)*100),"")</f>
        <v/>
      </c>
      <c r="CD177" t="str">
        <f>IFERROR(IF(OR(CD144="",CD145=""),"",(CD144-CD145)/LOOKUP(2,1/((YEAR($F$1:CD$1)=YEAR(CD$1)-1)*($F$146:CD$146&lt;&gt;"")),$F$146:CD$146)*100),"")</f>
        <v/>
      </c>
      <c r="CE177" t="str">
        <f>IFERROR(IF(OR(CE144="",CE145=""),"",(CE144-CE145)/LOOKUP(2,1/((YEAR($F$1:CE$1)=YEAR(CE$1)-1)*($F$146:CE$146&lt;&gt;"")),$F$146:CE$146)*100),"")</f>
        <v/>
      </c>
      <c r="CF177" t="str">
        <f>IFERROR(IF(OR(CF144="",CF145=""),"",(CF144-CF145)/LOOKUP(2,1/((YEAR($F$1:CF$1)=YEAR(CF$1)-1)*($F$146:CF$146&lt;&gt;"")),$F$146:CF$146)*100),"")</f>
        <v/>
      </c>
      <c r="CG177" t="str">
        <f>IFERROR(IF(OR(CG144="",CG145=""),"",(CG144-CG145)/LOOKUP(2,1/((YEAR($F$1:CG$1)=YEAR(CG$1)-1)*($F$146:CG$146&lt;&gt;"")),$F$146:CG$146)*100),"")</f>
        <v/>
      </c>
      <c r="CH177" t="str">
        <f>IFERROR(IF(OR(CH144="",CH145=""),"",(CH144-CH145)/LOOKUP(2,1/((YEAR($F$1:CH$1)=YEAR(CH$1)-1)*($F$146:CH$146&lt;&gt;"")),$F$146:CH$146)*100),"")</f>
        <v/>
      </c>
      <c r="CI177" t="str">
        <f>IFERROR(IF(OR(CI144="",CI145=""),"",(CI144-CI145)/LOOKUP(2,1/((YEAR($F$1:CI$1)=YEAR(CI$1)-1)*($F$146:CI$146&lt;&gt;"")),$F$146:CI$146)*100),"")</f>
        <v/>
      </c>
      <c r="CJ177" t="str">
        <f>IFERROR(IF(OR(CJ144="",CJ145=""),"",(CJ144-CJ145)/LOOKUP(2,1/((YEAR($F$1:CJ$1)=YEAR(CJ$1)-1)*($F$146:CJ$146&lt;&gt;"")),$F$146:CJ$146)*100),"")</f>
        <v/>
      </c>
      <c r="CK177" t="str">
        <f>IFERROR(IF(OR(CK144="",CK145=""),"",(CK144-CK145)/LOOKUP(2,1/((YEAR($F$1:CK$1)=YEAR(CK$1)-1)*($F$146:CK$146&lt;&gt;"")),$F$146:CK$146)*100),"")</f>
        <v/>
      </c>
      <c r="CL177" t="str">
        <f>IFERROR(IF(OR(CL144="",CL145=""),"",(CL144-CL145)/LOOKUP(2,1/((YEAR($F$1:CL$1)=YEAR(CL$1)-1)*($F$146:CL$146&lt;&gt;"")),$F$146:CL$146)*100),"")</f>
        <v/>
      </c>
      <c r="CM177" t="str">
        <f>IFERROR(IF(OR(CM144="",CM145=""),"",(CM144-CM145)/LOOKUP(2,1/((YEAR($F$1:CM$1)=YEAR(CM$1)-1)*($F$146:CM$146&lt;&gt;"")),$F$146:CM$146)*100),"")</f>
        <v/>
      </c>
      <c r="CN177" t="str">
        <f>IFERROR(IF(OR(CN144="",CN145=""),"",(CN144-CN145)/LOOKUP(2,1/((YEAR($F$1:CN$1)=YEAR(CN$1)-1)*($F$146:CN$146&lt;&gt;"")),$F$146:CN$146)*100),"")</f>
        <v/>
      </c>
      <c r="CO177" t="str">
        <f>IFERROR(IF(OR(CO144="",CO145=""),"",(CO144-CO145)/LOOKUP(2,1/((YEAR($F$1:CO$1)=YEAR(CO$1)-1)*($F$146:CO$146&lt;&gt;"")),$F$146:CO$146)*100),"")</f>
        <v/>
      </c>
      <c r="CP177" t="str">
        <f>IFERROR(IF(OR(CP144="",CP145=""),"",(CP144-CP145)/LOOKUP(2,1/((YEAR($F$1:CP$1)=YEAR(CP$1)-1)*($F$146:CP$146&lt;&gt;"")),$F$146:CP$146)*100),"")</f>
        <v/>
      </c>
      <c r="CQ177" t="str">
        <f>IFERROR(IF(OR(CQ144="",CQ145=""),"",(CQ144-CQ145)/LOOKUP(2,1/((YEAR($F$1:CQ$1)=YEAR(CQ$1)-1)*($F$146:CQ$146&lt;&gt;"")),$F$146:CQ$146)*100),"")</f>
        <v/>
      </c>
      <c r="CR177" t="str">
        <f>IFERROR(IF(OR(CR144="",CR145=""),"",(CR144-CR145)/LOOKUP(2,1/((YEAR($F$1:CR$1)=YEAR(CR$1)-1)*($F$146:CR$146&lt;&gt;"")),$F$146:CR$146)*100),"")</f>
        <v/>
      </c>
      <c r="CS177" t="str">
        <f>IFERROR(IF(OR(CS144="",CS145=""),"",(CS144-CS145)/LOOKUP(2,1/((YEAR($F$1:CS$1)=YEAR(CS$1)-1)*($F$146:CS$146&lt;&gt;"")),$F$146:CS$146)*100),"")</f>
        <v/>
      </c>
      <c r="CT177" t="str">
        <f>IFERROR(IF(OR(CT144="",CT145=""),"",(CT144-CT145)/LOOKUP(2,1/((YEAR($F$1:CT$1)=YEAR(CT$1)-1)*($F$146:CT$146&lt;&gt;"")),$F$146:CT$146)*100),"")</f>
        <v/>
      </c>
      <c r="CU177" t="str">
        <f>IFERROR(IF(OR(CU144="",CU145=""),"",(CU144-CU145)/LOOKUP(2,1/((YEAR($F$1:CU$1)=YEAR(CU$1)-1)*($F$146:CU$146&lt;&gt;"")),$F$146:CU$146)*100),"")</f>
        <v/>
      </c>
      <c r="CV177" t="str">
        <f>IFERROR(IF(OR(CV144="",CV145=""),"",(CV144-CV145)/LOOKUP(2,1/((YEAR($F$1:CV$1)=YEAR(CV$1)-1)*($F$146:CV$146&lt;&gt;"")),$F$146:CV$146)*100),"")</f>
        <v/>
      </c>
      <c r="CW177" t="str">
        <f>IFERROR(IF(OR(CW144="",CW145=""),"",(CW144-CW145)/LOOKUP(2,1/((YEAR($F$1:CW$1)=YEAR(CW$1)-1)*($F$146:CW$146&lt;&gt;"")),$F$146:CW$146)*100),"")</f>
        <v/>
      </c>
      <c r="CX177" t="str">
        <f>IFERROR(IF(OR(CX144="",CX145=""),"",(CX144-CX145)/LOOKUP(2,1/((YEAR($F$1:CX$1)=YEAR(CX$1)-1)*($F$146:CX$146&lt;&gt;"")),$F$146:CX$146)*100),"")</f>
        <v/>
      </c>
      <c r="CY177" t="str">
        <f>IFERROR(IF(OR(CY144="",CY145=""),"",(CY144-CY145)/LOOKUP(2,1/((YEAR($F$1:CY$1)=YEAR(CY$1)-1)*($F$146:CY$146&lt;&gt;"")),$F$146:CY$146)*100),"")</f>
        <v/>
      </c>
      <c r="CZ177" t="str">
        <f>IFERROR(IF(OR(CZ144="",CZ145=""),"",(CZ144-CZ145)/LOOKUP(2,1/((YEAR($F$1:CZ$1)=YEAR(CZ$1)-1)*($F$146:CZ$146&lt;&gt;"")),$F$146:CZ$146)*100),"")</f>
        <v/>
      </c>
      <c r="DA177" t="str">
        <f>IFERROR(IF(OR(DA144="",DA145=""),"",(DA144-DA145)/LOOKUP(2,1/((YEAR($F$1:DA$1)=YEAR(DA$1)-1)*($F$146:DA$146&lt;&gt;"")),$F$146:DA$146)*100),"")</f>
        <v/>
      </c>
      <c r="DB177" t="str">
        <f>IFERROR(IF(OR(DB144="",DB145=""),"",(DB144-DB145)/LOOKUP(2,1/((YEAR($F$1:DB$1)=YEAR(DB$1)-1)*($F$146:DB$146&lt;&gt;"")),$F$146:DB$146)*100),"")</f>
        <v/>
      </c>
      <c r="DC177" t="str">
        <f>IFERROR(IF(OR(DC144="",DC145=""),"",(DC144-DC145)/LOOKUP(2,1/((YEAR($F$1:DC$1)=YEAR(DC$1)-1)*($F$146:DC$146&lt;&gt;"")),$F$146:DC$146)*100),"")</f>
        <v/>
      </c>
      <c r="DD177" t="str">
        <f>IFERROR(IF(OR(DD144="",DD145=""),"",(DD144-DD145)/LOOKUP(2,1/((YEAR($F$1:DD$1)=YEAR(DD$1)-1)*($F$146:DD$146&lt;&gt;"")),$F$146:DD$146)*100),"")</f>
        <v/>
      </c>
      <c r="DE177" t="str">
        <f>IFERROR(IF(OR(DE144="",DE145=""),"",(DE144-DE145)/LOOKUP(2,1/((YEAR($F$1:DE$1)=YEAR(DE$1)-1)*($F$146:DE$146&lt;&gt;"")),$F$146:DE$146)*100),"")</f>
        <v/>
      </c>
      <c r="DF177" t="str">
        <f>IFERROR(IF(OR(DF144="",DF145=""),"",(DF144-DF145)/LOOKUP(2,1/((YEAR($F$1:DF$1)=YEAR(DF$1)-1)*($F$146:DF$146&lt;&gt;"")),$F$146:DF$146)*100),"")</f>
        <v/>
      </c>
      <c r="DG177" t="str">
        <f>IFERROR(IF(OR(DG144="",DG145=""),"",(DG144-DG145)/LOOKUP(2,1/((YEAR($F$1:DG$1)=YEAR(DG$1)-1)*($F$146:DG$146&lt;&gt;"")),$F$146:DG$146)*100),"")</f>
        <v/>
      </c>
      <c r="DH177" t="str">
        <f>IFERROR(IF(OR(DH144="",DH145=""),"",(DH144-DH145)/LOOKUP(2,1/((YEAR($F$1:DH$1)=YEAR(DH$1)-1)*($F$146:DH$146&lt;&gt;"")),$F$146:DH$146)*100),"")</f>
        <v/>
      </c>
      <c r="DI177" t="str">
        <f>IFERROR(IF(OR(DI144="",DI145=""),"",(DI144-DI145)/LOOKUP(2,1/((YEAR($F$1:DI$1)=YEAR(DI$1)-1)*($F$146:DI$146&lt;&gt;"")),$F$146:DI$146)*100),"")</f>
        <v/>
      </c>
      <c r="DJ177" t="str">
        <f>IFERROR(IF(OR(DJ144="",DJ145=""),"",(DJ144-DJ145)/LOOKUP(2,1/((YEAR($F$1:DJ$1)=YEAR(DJ$1)-1)*($F$146:DJ$146&lt;&gt;"")),$F$146:DJ$146)*100),"")</f>
        <v/>
      </c>
      <c r="DK177" t="str">
        <f>IFERROR(IF(OR(DK144="",DK145=""),"",(DK144-DK145)/LOOKUP(2,1/((YEAR($F$1:DK$1)=YEAR(DK$1)-1)*($F$146:DK$146&lt;&gt;"")),$F$146:DK$146)*100),"")</f>
        <v/>
      </c>
      <c r="DL177" t="str">
        <f>IFERROR(IF(OR(DL144="",DL145=""),"",(DL144-DL145)/LOOKUP(2,1/((YEAR($F$1:DL$1)=YEAR(DL$1)-1)*($F$146:DL$146&lt;&gt;"")),$F$146:DL$146)*100),"")</f>
        <v/>
      </c>
      <c r="DM177" t="str">
        <f>IFERROR(IF(OR(DM144="",DM145=""),"",(DM144-DM145)/LOOKUP(2,1/((YEAR($F$1:DM$1)=YEAR(DM$1)-1)*($F$146:DM$146&lt;&gt;"")),$F$146:DM$146)*100),"")</f>
        <v/>
      </c>
      <c r="DN177" t="str">
        <f>IFERROR(IF(OR(DN144="",DN145=""),"",(DN144-DN145)/LOOKUP(2,1/((YEAR($F$1:DN$1)=YEAR(DN$1)-1)*($F$146:DN$146&lt;&gt;"")),$F$146:DN$146)*100),"")</f>
        <v/>
      </c>
      <c r="DO177" t="str">
        <f>IFERROR(IF(OR(DO144="",DO145=""),"",(DO144-DO145)/LOOKUP(2,1/((YEAR($F$1:DO$1)=YEAR(DO$1)-1)*($F$146:DO$146&lt;&gt;"")),$F$146:DO$146)*100),"")</f>
        <v/>
      </c>
      <c r="DP177" t="str">
        <f>IFERROR(IF(OR(DP144="",DP145=""),"",(DP144-DP145)/LOOKUP(2,1/((YEAR($F$1:DP$1)=YEAR(DP$1)-1)*($F$146:DP$146&lt;&gt;"")),$F$146:DP$146)*100),"")</f>
        <v/>
      </c>
      <c r="DQ177" t="str">
        <f>IFERROR(IF(OR(DQ144="",DQ145=""),"",(DQ144-DQ145)/LOOKUP(2,1/((YEAR($F$1:DQ$1)=YEAR(DQ$1)-1)*($F$146:DQ$146&lt;&gt;"")),$F$146:DQ$146)*100),"")</f>
        <v/>
      </c>
      <c r="DR177" t="str">
        <f>IFERROR(IF(OR(DR144="",DR145=""),"",(DR144-DR145)/LOOKUP(2,1/((YEAR($F$1:DR$1)=YEAR(DR$1)-1)*($F$146:DR$146&lt;&gt;"")),$F$146:DR$146)*100),"")</f>
        <v/>
      </c>
      <c r="DS177" t="str">
        <f>IFERROR(IF(OR(DS144="",DS145=""),"",(DS144-DS145)/LOOKUP(2,1/((YEAR($F$1:DS$1)=YEAR(DS$1)-1)*($F$146:DS$146&lt;&gt;"")),$F$146:DS$146)*100),"")</f>
        <v/>
      </c>
      <c r="DT177" t="str">
        <f>IFERROR(IF(OR(DT144="",DT145=""),"",(DT144-DT145)/LOOKUP(2,1/((YEAR($F$1:DT$1)=YEAR(DT$1)-1)*($F$146:DT$146&lt;&gt;"")),$F$146:DT$146)*100),"")</f>
        <v/>
      </c>
      <c r="DU177" t="str">
        <f>IFERROR(IF(OR(DU144="",DU145=""),"",(DU144-DU145)/LOOKUP(2,1/((YEAR($F$1:DU$1)=YEAR(DU$1)-1)*($F$146:DU$146&lt;&gt;"")),$F$146:DU$146)*100),"")</f>
        <v/>
      </c>
      <c r="DV177" t="str">
        <f>IFERROR(IF(OR(DV144="",DV145=""),"",(DV144-DV145)/LOOKUP(2,1/((YEAR($F$1:DV$1)=YEAR(DV$1)-1)*($F$146:DV$146&lt;&gt;"")),$F$146:DV$146)*100),"")</f>
        <v/>
      </c>
      <c r="DW177" t="str">
        <f>IFERROR(IF(OR(DW144="",DW145=""),"",(DW144-DW145)/LOOKUP(2,1/((YEAR($F$1:DW$1)=YEAR(DW$1)-1)*($F$146:DW$146&lt;&gt;"")),$F$146:DW$146)*100),"")</f>
        <v/>
      </c>
      <c r="DX177" t="str">
        <f>IFERROR(IF(OR(DX144="",DX145=""),"",(DX144-DX145)/LOOKUP(2,1/((YEAR($F$1:DX$1)=YEAR(DX$1)-1)*($F$146:DX$146&lt;&gt;"")),$F$146:DX$146)*100),"")</f>
        <v/>
      </c>
      <c r="DY177" t="str">
        <f>IFERROR(IF(OR(DY144="",DY145=""),"",(DY144-DY145)/LOOKUP(2,1/((YEAR($F$1:DY$1)=YEAR(DY$1)-1)*($F$146:DY$146&lt;&gt;"")),$F$146:DY$146)*100),"")</f>
        <v/>
      </c>
      <c r="DZ177" t="str">
        <f>IFERROR(IF(OR(DZ144="",DZ145=""),"",(DZ144-DZ145)/LOOKUP(2,1/((YEAR($F$1:DZ$1)=YEAR(DZ$1)-1)*($F$146:DZ$146&lt;&gt;"")),$F$146:DZ$146)*100),"")</f>
        <v/>
      </c>
      <c r="EA177" t="str">
        <f>IFERROR(IF(OR(EA144="",EA145=""),"",(EA144-EA145)/LOOKUP(2,1/((YEAR($F$1:EA$1)=YEAR(EA$1)-1)*($F$146:EA$146&lt;&gt;"")),$F$146:EA$146)*100),"")</f>
        <v/>
      </c>
      <c r="EB177" t="str">
        <f>IFERROR(IF(OR(EB144="",EB145=""),"",(EB144-EB145)/LOOKUP(2,1/((YEAR($F$1:EB$1)=YEAR(EB$1)-1)*($F$146:EB$146&lt;&gt;"")),$F$146:EB$146)*100),"")</f>
        <v/>
      </c>
      <c r="EC177" t="str">
        <f>IFERROR(IF(OR(EC144="",EC145=""),"",(EC144-EC145)/LOOKUP(2,1/((YEAR($F$1:EC$1)=YEAR(EC$1)-1)*($F$146:EC$146&lt;&gt;"")),$F$146:EC$146)*100),"")</f>
        <v/>
      </c>
      <c r="ED177" t="str">
        <f>IFERROR(IF(OR(ED144="",ED145=""),"",(ED144-ED145)/LOOKUP(2,1/((YEAR($F$1:ED$1)=YEAR(ED$1)-1)*($F$146:ED$146&lt;&gt;"")),$F$146:ED$146)*100),"")</f>
        <v/>
      </c>
      <c r="EE177" t="str">
        <f>IFERROR(IF(OR(EE144="",EE145=""),"",(EE144-EE145)/LOOKUP(2,1/((YEAR($F$1:EE$1)=YEAR(EE$1)-1)*($F$146:EE$146&lt;&gt;"")),$F$146:EE$146)*100),"")</f>
        <v/>
      </c>
      <c r="EF177" t="str">
        <f>IFERROR(IF(OR(EF144="",EF145=""),"",(EF144-EF145)/LOOKUP(2,1/((YEAR($F$1:EF$1)=YEAR(EF$1)-1)*($F$146:EF$146&lt;&gt;"")),$F$146:EF$146)*100),"")</f>
        <v/>
      </c>
      <c r="EG177" t="str">
        <f>IFERROR(IF(OR(EG144="",EG145=""),"",(EG144-EG145)/LOOKUP(2,1/((YEAR($F$1:EG$1)=YEAR(EG$1)-1)*($F$146:EG$146&lt;&gt;"")),$F$146:EG$146)*100),"")</f>
        <v/>
      </c>
      <c r="EH177" t="str">
        <f>IFERROR(IF(OR(EH144="",EH145=""),"",(EH144-EH145)/LOOKUP(2,1/((YEAR($F$1:EH$1)=YEAR(EH$1)-1)*($F$146:EH$146&lt;&gt;"")),$F$146:EH$146)*100),"")</f>
        <v/>
      </c>
      <c r="EI177" t="str">
        <f>IFERROR(IF(OR(EI144="",EI145=""),"",(EI144-EI145)/LOOKUP(2,1/((YEAR($F$1:EI$1)=YEAR(EI$1)-1)*($F$146:EI$146&lt;&gt;"")),$F$146:EI$146)*100),"")</f>
        <v/>
      </c>
      <c r="EJ177" t="str">
        <f>IFERROR(IF(OR(EJ144="",EJ145=""),"",(EJ144-EJ145)/LOOKUP(2,1/((YEAR($F$1:EJ$1)=YEAR(EJ$1)-1)*($F$146:EJ$146&lt;&gt;"")),$F$146:EJ$146)*100),"")</f>
        <v/>
      </c>
      <c r="EK177" t="str">
        <f>IFERROR(IF(OR(EK144="",EK145=""),"",(EK144-EK145)/LOOKUP(2,1/((YEAR($F$1:EK$1)=YEAR(EK$1)-1)*($F$146:EK$146&lt;&gt;"")),$F$146:EK$146)*100),"")</f>
        <v/>
      </c>
      <c r="EL177" t="str">
        <f>IFERROR(IF(OR(EL144="",EL145=""),"",(EL144-EL145)/LOOKUP(2,1/((YEAR($F$1:EL$1)=YEAR(EL$1)-1)*($F$146:EL$146&lt;&gt;"")),$F$146:EL$146)*100),"")</f>
        <v/>
      </c>
      <c r="EM177" t="str">
        <f>IFERROR(IF(OR(EM144="",EM145=""),"",(EM144-EM145)/LOOKUP(2,1/((YEAR($F$1:EM$1)=YEAR(EM$1)-1)*($F$146:EM$146&lt;&gt;"")),$F$146:EM$146)*100),"")</f>
        <v/>
      </c>
      <c r="EN177" t="str">
        <f>IFERROR(IF(OR(EN144="",EN145=""),"",(EN144-EN145)/LOOKUP(2,1/((YEAR($F$1:EN$1)=YEAR(EN$1)-1)*($F$146:EN$146&lt;&gt;"")),$F$146:EN$146)*100),"")</f>
        <v/>
      </c>
      <c r="EO177" t="str">
        <f>IFERROR(IF(OR(EO144="",EO145=""),"",(EO144-EO145)/LOOKUP(2,1/((YEAR($F$1:EO$1)=YEAR(EO$1)-1)*($F$146:EO$146&lt;&gt;"")),$F$146:EO$146)*100),"")</f>
        <v/>
      </c>
      <c r="EP177" t="str">
        <f>IFERROR(IF(OR(EP144="",EP145=""),"",(EP144-EP145)/LOOKUP(2,1/((YEAR($F$1:EP$1)=YEAR(EP$1)-1)*($F$146:EP$146&lt;&gt;"")),$F$146:EP$146)*100),"")</f>
        <v/>
      </c>
      <c r="EQ177" t="str">
        <f>IFERROR(IF(OR(EQ144="",EQ145=""),"",(EQ144-EQ145)/LOOKUP(2,1/((YEAR($F$1:EQ$1)=YEAR(EQ$1)-1)*($F$146:EQ$146&lt;&gt;"")),$F$146:EQ$146)*100),"")</f>
        <v/>
      </c>
      <c r="ER177" t="str">
        <f>IFERROR(IF(OR(ER144="",ER145=""),"",(ER144-ER145)/LOOKUP(2,1/((YEAR($F$1:ER$1)=YEAR(ER$1)-1)*($F$146:ER$146&lt;&gt;"")),$F$146:ER$146)*100),"")</f>
        <v/>
      </c>
      <c r="ES177" t="str">
        <f>IFERROR(IF(OR(ES144="",ES145=""),"",(ES144-ES145)/LOOKUP(2,1/((YEAR($F$1:ES$1)=YEAR(ES$1)-1)*($F$146:ES$146&lt;&gt;"")),$F$146:ES$146)*100),"")</f>
        <v/>
      </c>
      <c r="ET177" t="str">
        <f>IFERROR(IF(OR(ET144="",ET145=""),"",(ET144-ET145)/LOOKUP(2,1/((YEAR($F$1:ET$1)=YEAR(ET$1)-1)*($F$146:ET$146&lt;&gt;"")),$F$146:ET$146)*100),"")</f>
        <v/>
      </c>
      <c r="EU177" t="str">
        <f>IFERROR(IF(OR(EU144="",EU145=""),"",(EU144-EU145)/LOOKUP(2,1/((YEAR($F$1:EU$1)=YEAR(EU$1)-1)*($F$146:EU$146&lt;&gt;"")),$F$146:EU$146)*100),"")</f>
        <v/>
      </c>
      <c r="EV177" t="str">
        <f>IFERROR(IF(OR(EV144="",EV145=""),"",(EV144-EV145)/LOOKUP(2,1/((YEAR($F$1:EV$1)=YEAR(EV$1)-1)*($F$146:EV$146&lt;&gt;"")),$F$146:EV$146)*100),"")</f>
        <v/>
      </c>
      <c r="EW177" t="str">
        <f>IFERROR(IF(OR(EW144="",EW145=""),"",(EW144-EW145)/LOOKUP(2,1/((YEAR($F$1:EW$1)=YEAR(EW$1)-1)*($F$146:EW$146&lt;&gt;"")),$F$146:EW$146)*100),"")</f>
        <v/>
      </c>
      <c r="EX177" t="str">
        <f>IFERROR(IF(OR(EX144="",EX145=""),"",(EX144-EX145)/LOOKUP(2,1/((YEAR($F$1:EX$1)=YEAR(EX$1)-1)*($F$146:EX$146&lt;&gt;"")),$F$146:EX$146)*100),"")</f>
        <v/>
      </c>
      <c r="EY177" t="str">
        <f>IFERROR(IF(OR(EY144="",EY145=""),"",(EY144-EY145)/LOOKUP(2,1/((YEAR($F$1:EY$1)=YEAR(EY$1)-1)*($F$146:EY$146&lt;&gt;"")),$F$146:EY$146)*100),"")</f>
        <v/>
      </c>
      <c r="EZ177" t="str">
        <f>IFERROR(IF(OR(EZ144="",EZ145=""),"",(EZ144-EZ145)/LOOKUP(2,1/((YEAR($F$1:EZ$1)=YEAR(EZ$1)-1)*($F$146:EZ$146&lt;&gt;"")),$F$146:EZ$146)*100),"")</f>
        <v/>
      </c>
      <c r="FA177" t="str">
        <f>IFERROR(IF(OR(FA144="",FA145=""),"",(FA144-FA145)/LOOKUP(2,1/((YEAR($F$1:FA$1)=YEAR(FA$1)-1)*($F$146:FA$146&lt;&gt;"")),$F$146:FA$146)*100),"")</f>
        <v/>
      </c>
      <c r="FB177" t="str">
        <f>IFERROR(IF(OR(FB144="",FB145=""),"",(FB144-FB145)/LOOKUP(2,1/((YEAR($F$1:FB$1)=YEAR(FB$1)-1)*($F$146:FB$146&lt;&gt;"")),$F$146:FB$146)*100),"")</f>
        <v/>
      </c>
      <c r="FC177" t="str">
        <f>IFERROR(IF(OR(FC144="",FC145=""),"",(FC144-FC145)/LOOKUP(2,1/((YEAR($F$1:FC$1)=YEAR(FC$1)-1)*($F$146:FC$146&lt;&gt;"")),$F$146:FC$146)*100),"")</f>
        <v/>
      </c>
      <c r="FD177" t="str">
        <f>IFERROR(IF(OR(FD144="",FD145=""),"",(FD144-FD145)/LOOKUP(2,1/((YEAR($F$1:FD$1)=YEAR(FD$1)-1)*($F$146:FD$146&lt;&gt;"")),$F$146:FD$146)*100),"")</f>
        <v/>
      </c>
      <c r="FE177" t="str">
        <f>IFERROR(IF(OR(FE144="",FE145=""),"",(FE144-FE145)/LOOKUP(2,1/((YEAR($F$1:FE$1)=YEAR(FE$1)-1)*($F$146:FE$146&lt;&gt;"")),$F$146:FE$146)*100),"")</f>
        <v/>
      </c>
      <c r="FF177" t="str">
        <f>IFERROR(IF(OR(FF144="",FF145=""),"",(FF144-FF145)/LOOKUP(2,1/((YEAR($F$1:FF$1)=YEAR(FF$1)-1)*($F$146:FF$146&lt;&gt;"")),$F$146:FF$146)*100),"")</f>
        <v/>
      </c>
      <c r="FG177" t="str">
        <f>IFERROR(IF(OR(FG144="",FG145=""),"",(FG144-FG145)/LOOKUP(2,1/((YEAR($F$1:FG$1)=YEAR(FG$1)-1)*($F$146:FG$146&lt;&gt;"")),$F$146:FG$146)*100),"")</f>
        <v/>
      </c>
      <c r="FH177" t="str">
        <f>IFERROR(IF(OR(FH144="",FH145=""),"",(FH144-FH145)/LOOKUP(2,1/((YEAR($F$1:FH$1)=YEAR(FH$1)-1)*($F$146:FH$146&lt;&gt;"")),$F$146:FH$146)*100),"")</f>
        <v/>
      </c>
      <c r="FI177" t="str">
        <f>IFERROR(IF(OR(FI144="",FI145=""),"",(FI144-FI145)/LOOKUP(2,1/((YEAR($F$1:FI$1)=YEAR(FI$1)-1)*($F$146:FI$146&lt;&gt;"")),$F$146:FI$146)*100),"")</f>
        <v/>
      </c>
      <c r="FJ177" t="str">
        <f>IFERROR(IF(OR(FJ144="",FJ145=""),"",(FJ144-FJ145)/LOOKUP(2,1/((YEAR($F$1:FJ$1)=YEAR(FJ$1)-1)*($F$146:FJ$146&lt;&gt;"")),$F$146:FJ$146)*100),"")</f>
        <v/>
      </c>
      <c r="FK177" t="str">
        <f>IFERROR(IF(OR(FK144="",FK145=""),"",(FK144-FK145)/LOOKUP(2,1/((YEAR($F$1:FK$1)=YEAR(FK$1)-1)*($F$146:FK$146&lt;&gt;"")),$F$146:FK$146)*100),"")</f>
        <v/>
      </c>
      <c r="FL177" t="str">
        <f>IFERROR(IF(OR(FL144="",FL145=""),"",(FL144-FL145)/LOOKUP(2,1/((YEAR($F$1:FL$1)=YEAR(FL$1)-1)*($F$146:FL$146&lt;&gt;"")),$F$146:FL$146)*100),"")</f>
        <v/>
      </c>
      <c r="FM177" t="str">
        <f>IFERROR(IF(OR(FM144="",FM145=""),"",(FM144-FM145)/LOOKUP(2,1/((YEAR($F$1:FM$1)=YEAR(FM$1)-1)*($F$146:FM$146&lt;&gt;"")),$F$146:FM$146)*100),"")</f>
        <v/>
      </c>
      <c r="FN177" t="str">
        <f>IFERROR(IF(OR(FN144="",FN145=""),"",(FN144-FN145)/LOOKUP(2,1/((YEAR($F$1:FN$1)=YEAR(FN$1)-1)*($F$146:FN$146&lt;&gt;"")),$F$146:FN$146)*100),"")</f>
        <v/>
      </c>
      <c r="FO177" t="str">
        <f>IFERROR(IF(OR(FO144="",FO145=""),"",(FO144-FO145)/LOOKUP(2,1/((YEAR($F$1:FO$1)=YEAR(FO$1)-1)*($F$146:FO$146&lt;&gt;"")),$F$146:FO$146)*100),"")</f>
        <v/>
      </c>
      <c r="FP177" t="str">
        <f>IFERROR(IF(OR(FP144="",FP145=""),"",(FP144-FP145)/LOOKUP(2,1/((YEAR($F$1:FP$1)=YEAR(FP$1)-1)*($F$146:FP$146&lt;&gt;"")),$F$146:FP$146)*100),"")</f>
        <v/>
      </c>
      <c r="FQ177" t="str">
        <f>IFERROR(IF(OR(FQ144="",FQ145=""),"",(FQ144-FQ145)/LOOKUP(2,1/((YEAR($F$1:FQ$1)=YEAR(FQ$1)-1)*($F$146:FQ$146&lt;&gt;"")),$F$146:FQ$146)*100),"")</f>
        <v/>
      </c>
      <c r="FR177" t="str">
        <f>IFERROR(IF(OR(FR144="",FR145=""),"",(FR144-FR145)/LOOKUP(2,1/((YEAR($F$1:FR$1)=YEAR(FR$1)-1)*($F$146:FR$146&lt;&gt;"")),$F$146:FR$146)*100),"")</f>
        <v/>
      </c>
      <c r="FS177" t="str">
        <f>IFERROR(IF(OR(FS144="",FS145=""),"",(FS144-FS145)/LOOKUP(2,1/((YEAR($F$1:FS$1)=YEAR(FS$1)-1)*($F$146:FS$146&lt;&gt;"")),$F$146:FS$146)*100),"")</f>
        <v/>
      </c>
      <c r="FT177" t="str">
        <f>IFERROR(IF(OR(FT144="",FT145=""),"",(FT144-FT145)/LOOKUP(2,1/((YEAR($F$1:FT$1)=YEAR(FT$1)-1)*($F$146:FT$146&lt;&gt;"")),$F$146:FT$146)*100),"")</f>
        <v/>
      </c>
      <c r="FU177" t="str">
        <f>IFERROR(IF(OR(FU144="",FU145=""),"",(FU144-FU145)/LOOKUP(2,1/((YEAR($F$1:FU$1)=YEAR(FU$1)-1)*($F$146:FU$146&lt;&gt;"")),$F$146:FU$146)*100),"")</f>
        <v/>
      </c>
      <c r="FV177" t="str">
        <f>IFERROR(IF(OR(FV144="",FV145=""),"",(FV144-FV145)/LOOKUP(2,1/((YEAR($F$1:FV$1)=YEAR(FV$1)-1)*($F$146:FV$146&lt;&gt;"")),$F$146:FV$146)*100),"")</f>
        <v/>
      </c>
      <c r="FW177" t="str">
        <f>IFERROR(IF(OR(FW144="",FW145=""),"",(FW144-FW145)/LOOKUP(2,1/((YEAR($F$1:FW$1)=YEAR(FW$1)-1)*($F$146:FW$146&lt;&gt;"")),$F$146:FW$146)*100),"")</f>
        <v/>
      </c>
      <c r="FX177" t="str">
        <f>IFERROR(IF(OR(FX144="",FX145=""),"",(FX144-FX145)/LOOKUP(2,1/((YEAR($F$1:FX$1)=YEAR(FX$1)-1)*($F$146:FX$146&lt;&gt;"")),$F$146:FX$146)*100),"")</f>
        <v/>
      </c>
      <c r="FY177" t="str">
        <f>IFERROR(IF(OR(FY144="",FY145=""),"",(FY144-FY145)/LOOKUP(2,1/((YEAR($F$1:FY$1)=YEAR(FY$1)-1)*($F$146:FY$146&lt;&gt;"")),$F$146:FY$146)*100),"")</f>
        <v/>
      </c>
      <c r="FZ177" t="str">
        <f>IFERROR(IF(OR(FZ144="",FZ145=""),"",(FZ144-FZ145)/LOOKUP(2,1/((YEAR($F$1:FZ$1)=YEAR(FZ$1)-1)*($F$146:FZ$146&lt;&gt;"")),$F$146:FZ$146)*100),"")</f>
        <v/>
      </c>
      <c r="GA177" t="str">
        <f>IFERROR(IF(OR(GA144="",GA145=""),"",(GA144-GA145)/LOOKUP(2,1/((YEAR($F$1:GA$1)=YEAR(GA$1)-1)*($F$146:GA$146&lt;&gt;"")),$F$146:GA$146)*100),"")</f>
        <v/>
      </c>
      <c r="GB177" t="str">
        <f>IFERROR(IF(OR(GB144="",GB145=""),"",(GB144-GB145)/LOOKUP(2,1/((YEAR($F$1:GB$1)=YEAR(GB$1)-1)*($F$146:GB$146&lt;&gt;"")),$F$146:GB$146)*100),"")</f>
        <v/>
      </c>
      <c r="GC177" t="str">
        <f>IFERROR(IF(OR(GC144="",GC145=""),"",(GC144-GC145)/LOOKUP(2,1/((YEAR($F$1:GC$1)=YEAR(GC$1)-1)*($F$146:GC$146&lt;&gt;"")),$F$146:GC$146)*100),"")</f>
        <v/>
      </c>
      <c r="GD177" t="str">
        <f>IFERROR(IF(OR(GD144="",GD145=""),"",(GD144-GD145)/LOOKUP(2,1/((YEAR($F$1:GD$1)=YEAR(GD$1)-1)*($F$146:GD$146&lt;&gt;"")),$F$146:GD$146)*100),"")</f>
        <v/>
      </c>
      <c r="GE177" t="str">
        <f>IFERROR(IF(OR(GE144="",GE145=""),"",(GE144-GE145)/LOOKUP(2,1/((YEAR($F$1:GE$1)=YEAR(GE$1)-1)*($F$146:GE$146&lt;&gt;"")),$F$146:GE$146)*100),"")</f>
        <v/>
      </c>
      <c r="GF177" t="str">
        <f>IFERROR(IF(OR(GF144="",GF145=""),"",(GF144-GF145)/LOOKUP(2,1/((YEAR($F$1:GF$1)=YEAR(GF$1)-1)*($F$146:GF$146&lt;&gt;"")),$F$146:GF$146)*100),"")</f>
        <v/>
      </c>
      <c r="GG177" t="str">
        <f>IFERROR(IF(OR(GG144="",GG145=""),"",(GG144-GG145)/LOOKUP(2,1/((YEAR($F$1:GG$1)=YEAR(GG$1)-1)*($F$146:GG$146&lt;&gt;"")),$F$146:GG$146)*100),"")</f>
        <v/>
      </c>
      <c r="GH177" t="str">
        <f>IFERROR(IF(OR(GH144="",GH145=""),"",(GH144-GH145)/LOOKUP(2,1/((YEAR($F$1:GH$1)=YEAR(GH$1)-1)*($F$146:GH$146&lt;&gt;"")),$F$146:GH$146)*100),"")</f>
        <v/>
      </c>
      <c r="GI177" t="str">
        <f>IFERROR(IF(OR(GI144="",GI145=""),"",(GI144-GI145)/LOOKUP(2,1/((YEAR($F$1:GI$1)=YEAR(GI$1)-1)*($F$146:GI$146&lt;&gt;"")),$F$146:GI$146)*100),"")</f>
        <v/>
      </c>
      <c r="GJ177" t="str">
        <f>IFERROR(IF(OR(GJ144="",GJ145=""),"",(GJ144-GJ145)/LOOKUP(2,1/((YEAR($F$1:GJ$1)=YEAR(GJ$1)-1)*($F$146:GJ$146&lt;&gt;"")),$F$146:GJ$146)*100),"")</f>
        <v/>
      </c>
      <c r="GK177" t="str">
        <f>IFERROR(IF(OR(GK144="",GK145=""),"",(GK144-GK145)/LOOKUP(2,1/((YEAR($F$1:GK$1)=YEAR(GK$1)-1)*($F$146:GK$146&lt;&gt;"")),$F$146:GK$146)*100),"")</f>
        <v/>
      </c>
      <c r="GL177" t="str">
        <f>IFERROR(IF(OR(GL144="",GL145=""),"",(GL144-GL145)/LOOKUP(2,1/((YEAR($F$1:GL$1)=YEAR(GL$1)-1)*($F$146:GL$146&lt;&gt;"")),$F$146:GL$146)*100),"")</f>
        <v/>
      </c>
      <c r="GM177" t="str">
        <f>IFERROR(IF(OR(GM144="",GM145=""),"",(GM144-GM145)/LOOKUP(2,1/((YEAR($F$1:GM$1)=YEAR(GM$1)-1)*($F$146:GM$146&lt;&gt;"")),$F$146:GM$146)*100),"")</f>
        <v/>
      </c>
      <c r="GN177" t="str">
        <f>IFERROR(IF(OR(GN144="",GN145=""),"",(GN144-GN145)/LOOKUP(2,1/((YEAR($F$1:GN$1)=YEAR(GN$1)-1)*($F$146:GN$146&lt;&gt;"")),$F$146:GN$146)*100),"")</f>
        <v/>
      </c>
      <c r="GO177" t="str">
        <f>IFERROR(IF(OR(GO144="",GO145=""),"",(GO144-GO145)/LOOKUP(2,1/((YEAR($F$1:GO$1)=YEAR(GO$1)-1)*($F$146:GO$146&lt;&gt;"")),$F$146:GO$146)*100),"")</f>
        <v/>
      </c>
      <c r="GP177" t="str">
        <f>IFERROR(IF(OR(GP144="",GP145=""),"",(GP144-GP145)/LOOKUP(2,1/((YEAR($F$1:GP$1)=YEAR(GP$1)-1)*($F$146:GP$146&lt;&gt;"")),$F$146:GP$146)*100),"")</f>
        <v/>
      </c>
      <c r="GQ177" t="str">
        <f>IFERROR(IF(OR(GQ144="",GQ145=""),"",(GQ144-GQ145)/LOOKUP(2,1/((YEAR($F$1:GQ$1)=YEAR(GQ$1)-1)*($F$146:GQ$146&lt;&gt;"")),$F$146:GQ$146)*100),"")</f>
        <v/>
      </c>
      <c r="GR177" t="str">
        <f>IFERROR(IF(OR(GR144="",GR145=""),"",(GR144-GR145)/LOOKUP(2,1/((YEAR($F$1:GR$1)=YEAR(GR$1)-1)*($F$146:GR$146&lt;&gt;"")),$F$146:GR$146)*100),"")</f>
        <v/>
      </c>
      <c r="GS177" t="str">
        <f>IFERROR(IF(OR(GS144="",GS145=""),"",(GS144-GS145)/LOOKUP(2,1/((YEAR($F$1:GS$1)=YEAR(GS$1)-1)*($F$146:GS$146&lt;&gt;"")),$F$146:GS$146)*100),"")</f>
        <v/>
      </c>
      <c r="GT177" t="str">
        <f>IFERROR(IF(OR(GT144="",GT145=""),"",(GT144-GT145)/LOOKUP(2,1/((YEAR($F$1:GT$1)=YEAR(GT$1)-1)*($F$146:GT$146&lt;&gt;"")),$F$146:GT$146)*100),"")</f>
        <v/>
      </c>
      <c r="GU177" t="str">
        <f>IFERROR(IF(OR(GU144="",GU145=""),"",(GU144-GU145)/LOOKUP(2,1/((YEAR($F$1:GU$1)=YEAR(GU$1)-1)*($F$146:GU$146&lt;&gt;"")),$F$146:GU$146)*100),"")</f>
        <v/>
      </c>
      <c r="GV177" t="str">
        <f>IFERROR(IF(OR(GV144="",GV145=""),"",(GV144-GV145)/LOOKUP(2,1/((YEAR($F$1:GV$1)=YEAR(GV$1)-1)*($F$146:GV$146&lt;&gt;"")),$F$146:GV$146)*100),"")</f>
        <v/>
      </c>
      <c r="GW177" t="str">
        <f>IFERROR(IF(OR(GW144="",GW145=""),"",(GW144-GW145)/LOOKUP(2,1/((YEAR($F$1:GW$1)=YEAR(GW$1)-1)*($F$146:GW$146&lt;&gt;"")),$F$146:GW$146)*100),"")</f>
        <v/>
      </c>
      <c r="GX177" t="str">
        <f>IFERROR(IF(OR(GX144="",GX145=""),"",(GX144-GX145)/LOOKUP(2,1/((YEAR($F$1:GX$1)=YEAR(GX$1)-1)*($F$146:GX$146&lt;&gt;"")),$F$146:GX$146)*100),"")</f>
        <v/>
      </c>
      <c r="GY177" t="str">
        <f>IFERROR(IF(OR(GY144="",GY145=""),"",(GY144-GY145)/LOOKUP(2,1/((YEAR($F$1:GY$1)=YEAR(GY$1)-1)*($F$146:GY$146&lt;&gt;"")),$F$146:GY$146)*100),"")</f>
        <v/>
      </c>
      <c r="GZ177" t="str">
        <f>IFERROR(IF(OR(GZ144="",GZ145=""),"",(GZ144-GZ145)/LOOKUP(2,1/((YEAR($F$1:GZ$1)=YEAR(GZ$1)-1)*($F$146:GZ$146&lt;&gt;"")),$F$146:GZ$146)*100),"")</f>
        <v/>
      </c>
      <c r="HA177" t="str">
        <f>IFERROR(IF(OR(HA144="",HA145=""),"",(HA144-HA145)/LOOKUP(2,1/((YEAR($F$1:HA$1)=YEAR(HA$1)-1)*($F$146:HA$146&lt;&gt;"")),$F$146:HA$146)*100),"")</f>
        <v/>
      </c>
      <c r="HB177" t="str">
        <f>IFERROR(IF(OR(HB144="",HB145=""),"",(HB144-HB145)/LOOKUP(2,1/((YEAR($F$1:HB$1)=YEAR(HB$1)-1)*($F$146:HB$146&lt;&gt;"")),$F$146:HB$146)*100),"")</f>
        <v/>
      </c>
      <c r="HC177" t="str">
        <f>IFERROR(IF(OR(HC144="",HC145=""),"",(HC144-HC145)/LOOKUP(2,1/((YEAR($F$1:HC$1)=YEAR(HC$1)-1)*($F$146:HC$146&lt;&gt;"")),$F$146:HC$146)*100),"")</f>
        <v/>
      </c>
      <c r="HD177" t="str">
        <f>IFERROR(IF(OR(HD144="",HD145=""),"",(HD144-HD145)/LOOKUP(2,1/((YEAR($F$1:HD$1)=YEAR(HD$1)-1)*($F$146:HD$146&lt;&gt;"")),$F$146:HD$146)*100),"")</f>
        <v/>
      </c>
      <c r="HE177" t="str">
        <f>IFERROR(IF(OR(HE144="",HE145=""),"",(HE144-HE145)/LOOKUP(2,1/((YEAR($F$1:HE$1)=YEAR(HE$1)-1)*($F$146:HE$146&lt;&gt;"")),$F$146:HE$146)*100),"")</f>
        <v/>
      </c>
      <c r="HF177" t="str">
        <f>IFERROR(IF(OR(HF144="",HF145=""),"",(HF144-HF145)/LOOKUP(2,1/((YEAR($F$1:HF$1)=YEAR(HF$1)-1)*($F$146:HF$146&lt;&gt;"")),$F$146:HF$146)*100),"")</f>
        <v/>
      </c>
      <c r="HG177" t="str">
        <f>IFERROR(IF(OR(HG144="",HG145=""),"",(HG144-HG145)/LOOKUP(2,1/((YEAR($F$1:HG$1)=YEAR(HG$1)-1)*($F$146:HG$146&lt;&gt;"")),$F$146:HG$146)*100),"")</f>
        <v/>
      </c>
      <c r="HH177" t="str">
        <f>IFERROR(IF(OR(HH144="",HH145=""),"",(HH144-HH145)/LOOKUP(2,1/((YEAR($F$1:HH$1)=YEAR(HH$1)-1)*($F$146:HH$146&lt;&gt;"")),$F$146:HH$146)*100),"")</f>
        <v/>
      </c>
      <c r="HI177" t="str">
        <f>IFERROR(IF(OR(HI144="",HI145=""),"",(HI144-HI145)/LOOKUP(2,1/((YEAR($F$1:HI$1)=YEAR(HI$1)-1)*($F$146:HI$146&lt;&gt;"")),$F$146:HI$146)*100),"")</f>
        <v/>
      </c>
      <c r="HJ177" t="str">
        <f>IFERROR(IF(OR(HJ144="",HJ145=""),"",(HJ144-HJ145)/LOOKUP(2,1/((YEAR($F$1:HJ$1)=YEAR(HJ$1)-1)*($F$146:HJ$146&lt;&gt;"")),$F$146:HJ$146)*100),"")</f>
        <v/>
      </c>
      <c r="HK177" t="str">
        <f>IFERROR(IF(OR(HK144="",HK145=""),"",(HK144-HK145)/LOOKUP(2,1/((YEAR($F$1:HK$1)=YEAR(HK$1)-1)*($F$146:HK$146&lt;&gt;"")),$F$146:HK$146)*100),"")</f>
        <v/>
      </c>
      <c r="HL177" t="str">
        <f>IFERROR(IF(OR(HL144="",HL145=""),"",(HL144-HL145)/LOOKUP(2,1/((YEAR($F$1:HL$1)=YEAR(HL$1)-1)*($F$146:HL$146&lt;&gt;"")),$F$146:HL$146)*100),"")</f>
        <v/>
      </c>
      <c r="HM177" t="str">
        <f>IFERROR(IF(OR(HM144="",HM145=""),"",(HM144-HM145)/LOOKUP(2,1/((YEAR($F$1:HM$1)=YEAR(HM$1)-1)*($F$146:HM$146&lt;&gt;"")),$F$146:HM$146)*100),"")</f>
        <v/>
      </c>
      <c r="HN177" t="str">
        <f>IFERROR(IF(OR(HN144="",HN145=""),"",(HN144-HN145)/LOOKUP(2,1/((YEAR($F$1:HN$1)=YEAR(HN$1)-1)*($F$146:HN$146&lt;&gt;"")),$F$146:HN$146)*100),"")</f>
        <v/>
      </c>
      <c r="HO177" t="str">
        <f>IFERROR(IF(OR(HO144="",HO145=""),"",(HO144-HO145)/LOOKUP(2,1/((YEAR($F$1:HO$1)=YEAR(HO$1)-1)*($F$146:HO$146&lt;&gt;"")),$F$146:HO$146)*100),"")</f>
        <v/>
      </c>
      <c r="HP177" t="str">
        <f>IFERROR(IF(OR(HP144="",HP145=""),"",(HP144-HP145)/LOOKUP(2,1/((YEAR($F$1:HP$1)=YEAR(HP$1)-1)*($F$146:HP$146&lt;&gt;"")),$F$146:HP$146)*100),"")</f>
        <v/>
      </c>
      <c r="HQ177" t="str">
        <f>IFERROR(IF(OR(HQ144="",HQ145=""),"",(HQ144-HQ145)/LOOKUP(2,1/((YEAR($F$1:HQ$1)=YEAR(HQ$1)-1)*($F$146:HQ$146&lt;&gt;"")),$F$146:HQ$146)*100),"")</f>
        <v/>
      </c>
      <c r="HR177" t="str">
        <f>IFERROR(IF(OR(HR144="",HR145=""),"",(HR144-HR145)/LOOKUP(2,1/((YEAR($F$1:HR$1)=YEAR(HR$1)-1)*($F$146:HR$146&lt;&gt;"")),$F$146:HR$146)*100),"")</f>
        <v/>
      </c>
      <c r="HS177" t="str">
        <f>IFERROR(IF(OR(HS144="",HS145=""),"",(HS144-HS145)/LOOKUP(2,1/((YEAR($F$1:HS$1)=YEAR(HS$1)-1)*($F$146:HS$146&lt;&gt;"")),$F$146:HS$146)*100),"")</f>
        <v/>
      </c>
      <c r="HT177" t="str">
        <f>IFERROR(IF(OR(HT144="",HT145=""),"",(HT144-HT145)/LOOKUP(2,1/((YEAR($F$1:HT$1)=YEAR(HT$1)-1)*($F$146:HT$146&lt;&gt;"")),$F$146:HT$146)*100),"")</f>
        <v/>
      </c>
      <c r="HU177" t="str">
        <f>IFERROR(IF(OR(HU144="",HU145=""),"",(HU144-HU145)/LOOKUP(2,1/((YEAR($F$1:HU$1)=YEAR(HU$1)-1)*($F$146:HU$146&lt;&gt;"")),$F$146:HU$146)*100),"")</f>
        <v/>
      </c>
      <c r="HV177" t="str">
        <f>IFERROR(IF(OR(HV144="",HV145=""),"",(HV144-HV145)/LOOKUP(2,1/((YEAR($F$1:HV$1)=YEAR(HV$1)-1)*($F$146:HV$146&lt;&gt;"")),$F$146:HV$146)*100),"")</f>
        <v/>
      </c>
      <c r="HW177" t="str">
        <f>IFERROR(IF(OR(HW144="",HW145=""),"",(HW144-HW145)/LOOKUP(2,1/((YEAR($F$1:HW$1)=YEAR(HW$1)-1)*($F$146:HW$146&lt;&gt;"")),$F$146:HW$146)*100),"")</f>
        <v/>
      </c>
      <c r="HX177" t="str">
        <f>IFERROR(IF(OR(HX144="",HX145=""),"",(HX144-HX145)/LOOKUP(2,1/((YEAR($F$1:HX$1)=YEAR(HX$1)-1)*($F$146:HX$146&lt;&gt;"")),$F$146:HX$146)*100),"")</f>
        <v/>
      </c>
      <c r="HY177" t="str">
        <f>IFERROR(IF(OR(HY144="",HY145=""),"",(HY144-HY145)/LOOKUP(2,1/((YEAR($F$1:HY$1)=YEAR(HY$1)-1)*($F$146:HY$146&lt;&gt;"")),$F$146:HY$146)*100),"")</f>
        <v/>
      </c>
      <c r="HZ177" t="str">
        <f>IFERROR(IF(OR(HZ144="",HZ145=""),"",(HZ144-HZ145)/LOOKUP(2,1/((YEAR($F$1:HZ$1)=YEAR(HZ$1)-1)*($F$146:HZ$146&lt;&gt;"")),$F$146:HZ$146)*100),"")</f>
        <v/>
      </c>
      <c r="IA177" t="str">
        <f>IFERROR(IF(OR(IA144="",IA145=""),"",(IA144-IA145)/LOOKUP(2,1/((YEAR($F$1:IA$1)=YEAR(IA$1)-1)*($F$146:IA$146&lt;&gt;"")),$F$146:IA$146)*100),"")</f>
        <v/>
      </c>
      <c r="IB177" t="str">
        <f>IFERROR(IF(OR(IB144="",IB145=""),"",(IB144-IB145)/LOOKUP(2,1/((YEAR($F$1:IB$1)=YEAR(IB$1)-1)*($F$146:IB$146&lt;&gt;"")),$F$146:IB$146)*100),"")</f>
        <v/>
      </c>
      <c r="IC177" t="str">
        <f>IFERROR(IF(OR(IC144="",IC145=""),"",(IC144-IC145)/LOOKUP(2,1/((YEAR($F$1:IC$1)=YEAR(IC$1)-1)*($F$146:IC$146&lt;&gt;"")),$F$146:IC$146)*100),"")</f>
        <v/>
      </c>
      <c r="ID177" t="str">
        <f>IFERROR(IF(OR(ID144="",ID145=""),"",(ID144-ID145)/LOOKUP(2,1/((YEAR($F$1:ID$1)=YEAR(ID$1)-1)*($F$146:ID$146&lt;&gt;"")),$F$146:ID$146)*100),"")</f>
        <v/>
      </c>
      <c r="IE177" t="str">
        <f>IFERROR(IF(OR(IE144="",IE145=""),"",(IE144-IE145)/LOOKUP(2,1/((YEAR($F$1:IE$1)=YEAR(IE$1)-1)*($F$146:IE$146&lt;&gt;"")),$F$146:IE$146)*100),"")</f>
        <v/>
      </c>
      <c r="IF177" t="str">
        <f>IFERROR(IF(OR(IF144="",IF145=""),"",(IF144-IF145)/LOOKUP(2,1/((YEAR($F$1:IF$1)=YEAR(IF$1)-1)*($F$146:IF$146&lt;&gt;"")),$F$146:IF$146)*100),"")</f>
        <v/>
      </c>
      <c r="IG177" t="str">
        <f>IFERROR(IF(OR(IG144="",IG145=""),"",(IG144-IG145)/LOOKUP(2,1/((YEAR($F$1:IG$1)=YEAR(IG$1)-1)*($F$146:IG$146&lt;&gt;"")),$F$146:IG$146)*100),"")</f>
        <v/>
      </c>
      <c r="IH177" t="str">
        <f>IFERROR(IF(OR(IH144="",IH145=""),"",(IH144-IH145)/LOOKUP(2,1/((YEAR($F$1:IH$1)=YEAR(IH$1)-1)*($F$146:IH$146&lt;&gt;"")),$F$146:IH$146)*100),"")</f>
        <v/>
      </c>
      <c r="II177" t="str">
        <f>IFERROR(IF(OR(II144="",II145=""),"",(II144-II145)/LOOKUP(2,1/((YEAR($F$1:II$1)=YEAR(II$1)-1)*($F$146:II$146&lt;&gt;"")),$F$146:II$146)*100),"")</f>
        <v/>
      </c>
      <c r="IJ177" t="str">
        <f>IFERROR(IF(OR(IJ144="",IJ145=""),"",(IJ144-IJ145)/LOOKUP(2,1/((YEAR($F$1:IJ$1)=YEAR(IJ$1)-1)*($F$146:IJ$146&lt;&gt;"")),$F$146:IJ$146)*100),"")</f>
        <v/>
      </c>
      <c r="IK177" t="str">
        <f>IFERROR(IF(OR(IK144="",IK145=""),"",(IK144-IK145)/LOOKUP(2,1/((YEAR($F$1:IK$1)=YEAR(IK$1)-1)*($F$146:IK$146&lt;&gt;"")),$F$146:IK$146)*100),"")</f>
        <v/>
      </c>
      <c r="IL177" t="str">
        <f>IFERROR(IF(OR(IL144="",IL145=""),"",(IL144-IL145)/LOOKUP(2,1/((YEAR($F$1:IL$1)=YEAR(IL$1)-1)*($F$146:IL$146&lt;&gt;"")),$F$146:IL$146)*100),"")</f>
        <v/>
      </c>
      <c r="IM177" t="str">
        <f>IFERROR(IF(OR(IM144="",IM145=""),"",(IM144-IM145)/LOOKUP(2,1/((YEAR($F$1:IM$1)=YEAR(IM$1)-1)*($F$146:IM$146&lt;&gt;"")),$F$146:IM$146)*100),"")</f>
        <v/>
      </c>
      <c r="IN177" t="str">
        <f>IFERROR(IF(OR(IN144="",IN145=""),"",(IN144-IN145)/LOOKUP(2,1/((YEAR($F$1:IN$1)=YEAR(IN$1)-1)*($F$146:IN$146&lt;&gt;"")),$F$146:IN$146)*100),"")</f>
        <v/>
      </c>
      <c r="IO177" t="str">
        <f>IFERROR(IF(OR(IO144="",IO145=""),"",(IO144-IO145)/LOOKUP(2,1/((YEAR($F$1:IO$1)=YEAR(IO$1)-1)*($F$146:IO$146&lt;&gt;"")),$F$146:IO$146)*100),"")</f>
        <v/>
      </c>
      <c r="IP177" t="str">
        <f>IFERROR(IF(OR(IP144="",IP145=""),"",(IP144-IP145)/LOOKUP(2,1/((YEAR($F$1:IP$1)=YEAR(IP$1)-1)*($F$146:IP$146&lt;&gt;"")),$F$146:IP$146)*100),"")</f>
        <v/>
      </c>
      <c r="IQ177" t="str">
        <f>IFERROR(IF(OR(IQ144="",IQ145=""),"",(IQ144-IQ145)/LOOKUP(2,1/((YEAR($F$1:IQ$1)=YEAR(IQ$1)-1)*($F$146:IQ$146&lt;&gt;"")),$F$146:IQ$146)*100),"")</f>
        <v/>
      </c>
      <c r="IR177" t="str">
        <f>IFERROR(IF(OR(IR144="",IR145=""),"",(IR144-IR145)/LOOKUP(2,1/((YEAR($F$1:IR$1)=YEAR(IR$1)-1)*($F$146:IR$146&lt;&gt;"")),$F$146:IR$146)*100),"")</f>
        <v/>
      </c>
      <c r="IS177" t="str">
        <f>IFERROR(IF(OR(IS144="",IS145=""),"",(IS144-IS145)/LOOKUP(2,1/((YEAR($F$1:IS$1)=YEAR(IS$1)-1)*($F$146:IS$146&lt;&gt;"")),$F$146:IS$146)*100),"")</f>
        <v/>
      </c>
      <c r="IT177" t="str">
        <f>IFERROR(IF(OR(IT144="",IT145=""),"",(IT144-IT145)/LOOKUP(2,1/((YEAR($F$1:IT$1)=YEAR(IT$1)-1)*($F$146:IT$146&lt;&gt;"")),$F$146:IT$146)*100),"")</f>
        <v/>
      </c>
      <c r="IU177" t="str">
        <f>IFERROR(IF(OR(IU144="",IU145=""),"",(IU144-IU145)/LOOKUP(2,1/((YEAR($F$1:IU$1)=YEAR(IU$1)-1)*($F$146:IU$146&lt;&gt;"")),$F$146:IU$146)*100),"")</f>
        <v/>
      </c>
      <c r="IV177" t="str">
        <f>IFERROR(IF(OR(IV144="",IV145=""),"",(IV144-IV145)/LOOKUP(2,1/((YEAR($F$1:IV$1)=YEAR(IV$1)-1)*($F$146:IV$146&lt;&gt;"")),$F$146:IV$146)*100),"")</f>
        <v/>
      </c>
      <c r="IW177" t="str">
        <f>IFERROR(IF(OR(IW144="",IW145=""),"",(IW144-IW145)/LOOKUP(2,1/((YEAR($F$1:IW$1)=YEAR(IW$1)-1)*($F$146:IW$146&lt;&gt;"")),$F$146:IW$146)*100),"")</f>
        <v/>
      </c>
      <c r="IX177" t="str">
        <f>IFERROR(IF(OR(IX144="",IX145=""),"",(IX144-IX145)/LOOKUP(2,1/((YEAR($F$1:IX$1)=YEAR(IX$1)-1)*($F$146:IX$146&lt;&gt;"")),$F$146:IX$146)*100),"")</f>
        <v/>
      </c>
      <c r="IY177" t="str">
        <f>IFERROR(IF(OR(IY144="",IY145=""),"",(IY144-IY145)/LOOKUP(2,1/((YEAR($F$1:IY$1)=YEAR(IY$1)-1)*($F$146:IY$146&lt;&gt;"")),$F$146:IY$146)*100),"")</f>
        <v/>
      </c>
      <c r="IZ177" t="str">
        <f>IFERROR(IF(OR(IZ144="",IZ145=""),"",(IZ144-IZ145)/LOOKUP(2,1/((YEAR($F$1:IZ$1)=YEAR(IZ$1)-1)*($F$146:IZ$146&lt;&gt;"")),$F$146:IZ$146)*100),"")</f>
        <v/>
      </c>
      <c r="JA177" t="str">
        <f>IFERROR(IF(OR(JA144="",JA145=""),"",(JA144-JA145)/LOOKUP(2,1/((YEAR($F$1:JA$1)=YEAR(JA$1)-1)*($F$146:JA$146&lt;&gt;"")),$F$146:JA$146)*100),"")</f>
        <v/>
      </c>
      <c r="JB177" t="str">
        <f>IFERROR(IF(OR(JB144="",JB145=""),"",(JB144-JB145)/LOOKUP(2,1/((YEAR($F$1:JB$1)=YEAR(JB$1)-1)*($F$146:JB$146&lt;&gt;"")),$F$146:JB$146)*100),"")</f>
        <v/>
      </c>
      <c r="JC177" t="str">
        <f>IFERROR(IF(OR(JC144="",JC145=""),"",(JC144-JC145)/LOOKUP(2,1/((YEAR($F$1:JC$1)=YEAR(JC$1)-1)*($F$146:JC$146&lt;&gt;"")),$F$146:JC$146)*100),"")</f>
        <v/>
      </c>
      <c r="JD177" t="str">
        <f>IFERROR(IF(OR(JD144="",JD145=""),"",(JD144-JD145)/LOOKUP(2,1/((YEAR($F$1:JD$1)=YEAR(JD$1)-1)*($F$146:JD$146&lt;&gt;"")),$F$146:JD$146)*100),"")</f>
        <v/>
      </c>
      <c r="JE177" t="str">
        <f>IFERROR(IF(OR(JE144="",JE145=""),"",(JE144-JE145)/LOOKUP(2,1/((YEAR($F$1:JE$1)=YEAR(JE$1)-1)*($F$146:JE$146&lt;&gt;"")),$F$146:JE$146)*100),"")</f>
        <v/>
      </c>
      <c r="JF177" t="str">
        <f>IFERROR(IF(OR(JF144="",JF145=""),"",(JF144-JF145)/LOOKUP(2,1/((YEAR($F$1:JF$1)=YEAR(JF$1)-1)*($F$146:JF$146&lt;&gt;"")),$F$146:JF$146)*100),"")</f>
        <v/>
      </c>
      <c r="JG177" t="str">
        <f>IFERROR(IF(OR(JG144="",JG145=""),"",(JG144-JG145)/LOOKUP(2,1/((YEAR($F$1:JG$1)=YEAR(JG$1)-1)*($F$146:JG$146&lt;&gt;"")),$F$146:JG$146)*100),"")</f>
        <v/>
      </c>
      <c r="JH177" t="str">
        <f>IFERROR(IF(OR(JH144="",JH145=""),"",(JH144-JH145)/LOOKUP(2,1/((YEAR($F$1:JH$1)=YEAR(JH$1)-1)*($F$146:JH$146&lt;&gt;"")),$F$146:JH$146)*100),"")</f>
        <v/>
      </c>
      <c r="JI177" t="str">
        <f>IFERROR(IF(OR(JI144="",JI145=""),"",(JI144-JI145)/LOOKUP(2,1/((YEAR($F$1:JI$1)=YEAR(JI$1)-1)*($F$146:JI$146&lt;&gt;"")),$F$146:JI$146)*100),"")</f>
        <v/>
      </c>
      <c r="JJ177" t="str">
        <f>IFERROR(IF(OR(JJ144="",JJ145=""),"",(JJ144-JJ145)/LOOKUP(2,1/((YEAR($F$1:JJ$1)=YEAR(JJ$1)-1)*($F$146:JJ$146&lt;&gt;"")),$F$146:JJ$146)*100),"")</f>
        <v/>
      </c>
      <c r="JK177" t="str">
        <f>IFERROR(IF(OR(JK144="",JK145=""),"",(JK144-JK145)/LOOKUP(2,1/((YEAR($F$1:JK$1)=YEAR(JK$1)-1)*($F$146:JK$146&lt;&gt;"")),$F$146:JK$146)*100),"")</f>
        <v/>
      </c>
      <c r="JL177" t="str">
        <f>IFERROR(IF(OR(JL144="",JL145=""),"",(JL144-JL145)/LOOKUP(2,1/((YEAR($F$1:JL$1)=YEAR(JL$1)-1)*($F$146:JL$146&lt;&gt;"")),$F$146:JL$146)*100),"")</f>
        <v/>
      </c>
      <c r="JM177" t="str">
        <f>IFERROR(IF(OR(JM144="",JM145=""),"",(JM144-JM145)/LOOKUP(2,1/((YEAR($F$1:JM$1)=YEAR(JM$1)-1)*($F$146:JM$146&lt;&gt;"")),$F$146:JM$146)*100),"")</f>
        <v/>
      </c>
      <c r="JN177" t="str">
        <f>IFERROR(IF(OR(JN144="",JN145=""),"",(JN144-JN145)/LOOKUP(2,1/((YEAR($F$1:JN$1)=YEAR(JN$1)-1)*($F$146:JN$146&lt;&gt;"")),$F$146:JN$146)*100),"")</f>
        <v/>
      </c>
      <c r="JO177" t="str">
        <f>IFERROR(IF(OR(JO144="",JO145=""),"",(JO144-JO145)/LOOKUP(2,1/((YEAR($F$1:JO$1)=YEAR(JO$1)-1)*($F$146:JO$146&lt;&gt;"")),$F$146:JO$146)*100),"")</f>
        <v/>
      </c>
      <c r="JP177" t="str">
        <f>IFERROR(IF(OR(JP144="",JP145=""),"",(JP144-JP145)/LOOKUP(2,1/((YEAR($F$1:JP$1)=YEAR(JP$1)-1)*($F$146:JP$146&lt;&gt;"")),$F$146:JP$146)*100),"")</f>
        <v/>
      </c>
      <c r="JQ177" t="str">
        <f>IFERROR(IF(OR(JQ144="",JQ145=""),"",(JQ144-JQ145)/LOOKUP(2,1/((YEAR($F$1:JQ$1)=YEAR(JQ$1)-1)*($F$146:JQ$146&lt;&gt;"")),$F$146:JQ$146)*100),"")</f>
        <v/>
      </c>
      <c r="JR177" t="str">
        <f>IFERROR(IF(OR(JR144="",JR145=""),"",(JR144-JR145)/LOOKUP(2,1/((YEAR($F$1:JR$1)=YEAR(JR$1)-1)*($F$146:JR$146&lt;&gt;"")),$F$146:JR$146)*100),"")</f>
        <v/>
      </c>
      <c r="JS177" t="str">
        <f>IFERROR(IF(OR(JS144="",JS145=""),"",(JS144-JS145)/LOOKUP(2,1/((YEAR($F$1:JS$1)=YEAR(JS$1)-1)*($F$146:JS$146&lt;&gt;"")),$F$146:JS$146)*100),"")</f>
        <v/>
      </c>
      <c r="JT177" t="str">
        <f>IFERROR(IF(OR(JT144="",JT145=""),"",(JT144-JT145)/LOOKUP(2,1/((YEAR($F$1:JT$1)=YEAR(JT$1)-1)*($F$146:JT$146&lt;&gt;"")),$F$146:JT$146)*100),"")</f>
        <v/>
      </c>
      <c r="JU177" t="str">
        <f>IFERROR(IF(OR(JU144="",JU145=""),"",(JU144-JU145)/LOOKUP(2,1/((YEAR($F$1:JU$1)=YEAR(JU$1)-1)*($F$146:JU$146&lt;&gt;"")),$F$146:JU$146)*100),"")</f>
        <v/>
      </c>
      <c r="JV177" t="str">
        <f>IFERROR(IF(OR(JV144="",JV145=""),"",(JV144-JV145)/LOOKUP(2,1/((YEAR($F$1:JV$1)=YEAR(JV$1)-1)*($F$146:JV$146&lt;&gt;"")),$F$146:JV$146)*100),"")</f>
        <v/>
      </c>
      <c r="JW177" t="str">
        <f>IFERROR(IF(OR(JW144="",JW145=""),"",(JW144-JW145)/LOOKUP(2,1/((YEAR($F$1:JW$1)=YEAR(JW$1)-1)*($F$146:JW$146&lt;&gt;"")),$F$146:JW$146)*100),"")</f>
        <v/>
      </c>
      <c r="JX177" t="str">
        <f>IFERROR(IF(OR(JX144="",JX145=""),"",(JX144-JX145)/LOOKUP(2,1/((YEAR($F$1:JX$1)=YEAR(JX$1)-1)*($F$146:JX$146&lt;&gt;"")),$F$146:JX$146)*100),"")</f>
        <v/>
      </c>
      <c r="JY177" t="str">
        <f>IFERROR(IF(OR(JY144="",JY145=""),"",(JY144-JY145)/LOOKUP(2,1/((YEAR($F$1:JY$1)=YEAR(JY$1)-1)*($F$146:JY$146&lt;&gt;"")),$F$146:JY$146)*100),"")</f>
        <v/>
      </c>
      <c r="JZ177" t="str">
        <f>IFERROR(IF(OR(JZ144="",JZ145=""),"",(JZ144-JZ145)/LOOKUP(2,1/((YEAR($F$1:JZ$1)=YEAR(JZ$1)-1)*($F$146:JZ$146&lt;&gt;"")),$F$146:JZ$146)*100),"")</f>
        <v/>
      </c>
      <c r="KA177" t="str">
        <f>IFERROR(IF(OR(KA144="",KA145=""),"",(KA144-KA145)/LOOKUP(2,1/((YEAR($F$1:KA$1)=YEAR(KA$1)-1)*($F$146:KA$146&lt;&gt;"")),$F$146:KA$146)*100),"")</f>
        <v/>
      </c>
      <c r="KB177" t="str">
        <f>IFERROR(IF(OR(KB144="",KB145=""),"",(KB144-KB145)/LOOKUP(2,1/((YEAR($F$1:KB$1)=YEAR(KB$1)-1)*($F$146:KB$146&lt;&gt;"")),$F$146:KB$146)*100),"")</f>
        <v/>
      </c>
      <c r="KC177" t="str">
        <f>IFERROR(IF(OR(KC144="",KC145=""),"",(KC144-KC145)/LOOKUP(2,1/((YEAR($F$1:KC$1)=YEAR(KC$1)-1)*($F$146:KC$146&lt;&gt;"")),$F$146:KC$146)*100),"")</f>
        <v/>
      </c>
      <c r="KD177" t="str">
        <f>IFERROR(IF(OR(KD144="",KD145=""),"",(KD144-KD145)/LOOKUP(2,1/((YEAR($F$1:KD$1)=YEAR(KD$1)-1)*($F$146:KD$146&lt;&gt;"")),$F$146:KD$146)*100),"")</f>
        <v/>
      </c>
      <c r="KE177" t="str">
        <f>IFERROR(IF(OR(KE144="",KE145=""),"",(KE144-KE145)/LOOKUP(2,1/((YEAR($F$1:KE$1)=YEAR(KE$1)-1)*($F$146:KE$146&lt;&gt;"")),$F$146:KE$146)*100),"")</f>
        <v/>
      </c>
      <c r="KF177" t="str">
        <f>IFERROR(IF(OR(KF144="",KF145=""),"",(KF144-KF145)/LOOKUP(2,1/((YEAR($F$1:KF$1)=YEAR(KF$1)-1)*($F$146:KF$146&lt;&gt;"")),$F$146:KF$146)*100),"")</f>
        <v/>
      </c>
      <c r="KG177" t="str">
        <f>IFERROR(IF(OR(KG144="",KG145=""),"",(KG144-KG145)/LOOKUP(2,1/((YEAR($F$1:KG$1)=YEAR(KG$1)-1)*($F$146:KG$146&lt;&gt;"")),$F$146:KG$146)*100),"")</f>
        <v/>
      </c>
      <c r="KH177" t="str">
        <f>IFERROR(IF(OR(KH144="",KH145=""),"",(KH144-KH145)/LOOKUP(2,1/((YEAR($F$1:KH$1)=YEAR(KH$1)-1)*($F$146:KH$146&lt;&gt;"")),$F$146:KH$146)*100),"")</f>
        <v/>
      </c>
      <c r="KI177" t="str">
        <f>IFERROR(IF(OR(KI144="",KI145=""),"",(KI144-KI145)/LOOKUP(2,1/((YEAR($F$1:KI$1)=YEAR(KI$1)-1)*($F$146:KI$146&lt;&gt;"")),$F$146:KI$146)*100),"")</f>
        <v/>
      </c>
      <c r="KJ177" t="str">
        <f>IFERROR(IF(OR(KJ144="",KJ145=""),"",(KJ144-KJ145)/LOOKUP(2,1/((YEAR($F$1:KJ$1)=YEAR(KJ$1)-1)*($F$146:KJ$146&lt;&gt;"")),$F$146:KJ$146)*100),"")</f>
        <v/>
      </c>
      <c r="KK177" t="str">
        <f>IFERROR(IF(OR(KK144="",KK145=""),"",(KK144-KK145)/LOOKUP(2,1/((YEAR($F$1:KK$1)=YEAR(KK$1)-1)*($F$146:KK$146&lt;&gt;"")),$F$146:KK$146)*100),"")</f>
        <v/>
      </c>
      <c r="KL177" t="str">
        <f>IFERROR(IF(OR(KL144="",KL145=""),"",(KL144-KL145)/LOOKUP(2,1/((YEAR($F$1:KL$1)=YEAR(KL$1)-1)*($F$146:KL$146&lt;&gt;"")),$F$146:KL$146)*100),"")</f>
        <v/>
      </c>
      <c r="KM177" t="str">
        <f>IFERROR(IF(OR(KM144="",KM145=""),"",(KM144-KM145)/LOOKUP(2,1/((YEAR($F$1:KM$1)=YEAR(KM$1)-1)*($F$146:KM$146&lt;&gt;"")),$F$146:KM$146)*100),"")</f>
        <v/>
      </c>
      <c r="KN177" t="str">
        <f>IFERROR(IF(OR(KN144="",KN145=""),"",(KN144-KN145)/LOOKUP(2,1/((YEAR($F$1:KN$1)=YEAR(KN$1)-1)*($F$146:KN$146&lt;&gt;"")),$F$146:KN$146)*100),"")</f>
        <v/>
      </c>
      <c r="KO177" t="str">
        <f>IFERROR(IF(OR(KO144="",KO145=""),"",(KO144-KO145)/LOOKUP(2,1/((YEAR($F$1:KO$1)=YEAR(KO$1)-1)*($F$146:KO$146&lt;&gt;"")),$F$146:KO$146)*100),"")</f>
        <v/>
      </c>
      <c r="KP177" t="str">
        <f>IFERROR(IF(OR(KP144="",KP145=""),"",(KP144-KP145)/LOOKUP(2,1/((YEAR($F$1:KP$1)=YEAR(KP$1)-1)*($F$146:KP$146&lt;&gt;"")),$F$146:KP$146)*100),"")</f>
        <v/>
      </c>
      <c r="KQ177" t="str">
        <f>IFERROR(IF(OR(KQ144="",KQ145=""),"",(KQ144-KQ145)/LOOKUP(2,1/((YEAR($F$1:KQ$1)=YEAR(KQ$1)-1)*($F$146:KQ$146&lt;&gt;"")),$F$146:KQ$146)*100),"")</f>
        <v/>
      </c>
      <c r="KR177" t="str">
        <f>IFERROR(IF(OR(KR144="",KR145=""),"",(KR144-KR145)/LOOKUP(2,1/((YEAR($F$1:KR$1)=YEAR(KR$1)-1)*($F$146:KR$146&lt;&gt;"")),$F$146:KR$146)*100),"")</f>
        <v/>
      </c>
      <c r="KS177" t="str">
        <f>IFERROR(IF(OR(KS144="",KS145=""),"",(KS144-KS145)/LOOKUP(2,1/((YEAR($F$1:KS$1)=YEAR(KS$1)-1)*($F$146:KS$146&lt;&gt;"")),$F$146:KS$146)*100),"")</f>
        <v/>
      </c>
      <c r="KT177" t="str">
        <f>IFERROR(IF(OR(KT144="",KT145=""),"",(KT144-KT145)/LOOKUP(2,1/((YEAR($F$1:KT$1)=YEAR(KT$1)-1)*($F$146:KT$146&lt;&gt;"")),$F$146:KT$146)*100),"")</f>
        <v/>
      </c>
      <c r="KU177" t="str">
        <f>IFERROR(IF(OR(KU144="",KU145=""),"",(KU144-KU145)/LOOKUP(2,1/((YEAR($F$1:KU$1)=YEAR(KU$1)-1)*($F$146:KU$146&lt;&gt;"")),$F$146:KU$146)*100),"")</f>
        <v/>
      </c>
      <c r="KV177" t="str">
        <f>IFERROR(IF(OR(KV144="",KV145=""),"",(KV144-KV145)/LOOKUP(2,1/((YEAR($F$1:KV$1)=YEAR(KV$1)-1)*($F$146:KV$146&lt;&gt;"")),$F$146:KV$146)*100),"")</f>
        <v/>
      </c>
      <c r="KW177" t="str">
        <f>IFERROR(IF(OR(KW144="",KW145=""),"",(KW144-KW145)/LOOKUP(2,1/((YEAR($F$1:KW$1)=YEAR(KW$1)-1)*($F$146:KW$146&lt;&gt;"")),$F$146:KW$146)*100),"")</f>
        <v/>
      </c>
      <c r="KX177" t="str">
        <f>IFERROR(IF(OR(KX144="",KX145=""),"",(KX144-KX145)/LOOKUP(2,1/((YEAR($F$1:KX$1)=YEAR(KX$1)-1)*($F$146:KX$146&lt;&gt;"")),$F$146:KX$146)*100),"")</f>
        <v/>
      </c>
      <c r="KY177" t="str">
        <f>IFERROR(IF(OR(KY144="",KY145=""),"",(KY144-KY145)/LOOKUP(2,1/((YEAR($F$1:KY$1)=YEAR(KY$1)-1)*($F$146:KY$146&lt;&gt;"")),$F$146:KY$146)*100),"")</f>
        <v/>
      </c>
      <c r="KZ177" t="str">
        <f>IFERROR(IF(OR(KZ144="",KZ145=""),"",(KZ144-KZ145)/LOOKUP(2,1/((YEAR($F$1:KZ$1)=YEAR(KZ$1)-1)*($F$146:KZ$146&lt;&gt;"")),$F$146:KZ$146)*100),"")</f>
        <v/>
      </c>
      <c r="LA177" t="str">
        <f>IFERROR(IF(OR(LA144="",LA145=""),"",(LA144-LA145)/LOOKUP(2,1/((YEAR($F$1:LA$1)=YEAR(LA$1)-1)*($F$146:LA$146&lt;&gt;"")),$F$146:LA$146)*100),"")</f>
        <v/>
      </c>
      <c r="LB177" t="str">
        <f>IFERROR(IF(OR(LB144="",LB145=""),"",(LB144-LB145)/LOOKUP(2,1/((YEAR($F$1:LB$1)=YEAR(LB$1)-1)*($F$146:LB$146&lt;&gt;"")),$F$146:LB$146)*100),"")</f>
        <v/>
      </c>
      <c r="LC177" t="str">
        <f>IFERROR(IF(OR(LC144="",LC145=""),"",(LC144-LC145)/LOOKUP(2,1/((YEAR($F$1:LC$1)=YEAR(LC$1)-1)*($F$146:LC$146&lt;&gt;"")),$F$146:LC$146)*100),"")</f>
        <v/>
      </c>
      <c r="LD177" t="str">
        <f>IFERROR(IF(OR(LD144="",LD145=""),"",(LD144-LD145)/LOOKUP(2,1/((YEAR($F$1:LD$1)=YEAR(LD$1)-1)*($F$146:LD$146&lt;&gt;"")),$F$146:LD$146)*100),"")</f>
        <v/>
      </c>
      <c r="LE177" t="str">
        <f>IFERROR(IF(OR(LE144="",LE145=""),"",(LE144-LE145)/LOOKUP(2,1/((YEAR($F$1:LE$1)=YEAR(LE$1)-1)*($F$146:LE$146&lt;&gt;"")),$F$146:LE$146)*100),"")</f>
        <v/>
      </c>
      <c r="LF177" t="str">
        <f>IFERROR(IF(OR(LF144="",LF145=""),"",(LF144-LF145)/LOOKUP(2,1/((YEAR($F$1:LF$1)=YEAR(LF$1)-1)*($F$146:LF$146&lt;&gt;"")),$F$146:LF$146)*100),"")</f>
        <v/>
      </c>
      <c r="LG177" t="str">
        <f>IFERROR(IF(OR(LG144="",LG145=""),"",(LG144-LG145)/LOOKUP(2,1/((YEAR($F$1:LG$1)=YEAR(LG$1)-1)*($F$146:LG$146&lt;&gt;"")),$F$146:LG$146)*100),"")</f>
        <v/>
      </c>
      <c r="LH177" t="str">
        <f>IFERROR(IF(OR(LH144="",LH145=""),"",(LH144-LH145)/LOOKUP(2,1/((YEAR($F$1:LH$1)=YEAR(LH$1)-1)*($F$146:LH$146&lt;&gt;"")),$F$146:LH$146)*100),"")</f>
        <v/>
      </c>
      <c r="LI177" t="str">
        <f>IFERROR(IF(OR(LI144="",LI145=""),"",(LI144-LI145)/LOOKUP(2,1/((YEAR($F$1:LI$1)=YEAR(LI$1)-1)*($F$146:LI$146&lt;&gt;"")),$F$146:LI$146)*100),"")</f>
        <v/>
      </c>
      <c r="LJ177" t="str">
        <f>IFERROR(IF(OR(LJ144="",LJ145=""),"",(LJ144-LJ145)/LOOKUP(2,1/((YEAR($F$1:LJ$1)=YEAR(LJ$1)-1)*($F$146:LJ$146&lt;&gt;"")),$F$146:LJ$146)*100),"")</f>
        <v/>
      </c>
      <c r="LK177" t="str">
        <f>IFERROR(IF(OR(LK144="",LK145=""),"",(LK144-LK145)/LOOKUP(2,1/((YEAR($F$1:LK$1)=YEAR(LK$1)-1)*($F$146:LK$146&lt;&gt;"")),$F$146:LK$146)*100),"")</f>
        <v/>
      </c>
      <c r="LL177" t="str">
        <f>IFERROR(IF(OR(LL144="",LL145=""),"",(LL144-LL145)/LOOKUP(2,1/((YEAR($F$1:LL$1)=YEAR(LL$1)-1)*($F$146:LL$146&lt;&gt;"")),$F$146:LL$146)*100),"")</f>
        <v/>
      </c>
      <c r="LM177" t="str">
        <f>IFERROR(IF(OR(LM144="",LM145=""),"",(LM144-LM145)/LOOKUP(2,1/((YEAR($F$1:LM$1)=YEAR(LM$1)-1)*($F$146:LM$146&lt;&gt;"")),$F$146:LM$146)*100),"")</f>
        <v/>
      </c>
      <c r="LN177" t="str">
        <f>IFERROR(IF(OR(LN144="",LN145=""),"",(LN144-LN145)/LOOKUP(2,1/((YEAR($F$1:LN$1)=YEAR(LN$1)-1)*($F$146:LN$146&lt;&gt;"")),$F$146:LN$146)*100),"")</f>
        <v/>
      </c>
      <c r="LO177" t="str">
        <f>IFERROR(IF(OR(LO144="",LO145=""),"",(LO144-LO145)/LOOKUP(2,1/((YEAR($F$1:LO$1)=YEAR(LO$1)-1)*($F$146:LO$146&lt;&gt;"")),$F$146:LO$146)*100),"")</f>
        <v/>
      </c>
      <c r="LP177" t="str">
        <f>IFERROR(IF(OR(LP144="",LP145=""),"",(LP144-LP145)/LOOKUP(2,1/((YEAR($F$1:LP$1)=YEAR(LP$1)-1)*($F$146:LP$146&lt;&gt;"")),$F$146:LP$146)*100),"")</f>
        <v/>
      </c>
      <c r="LQ177" t="str">
        <f>IFERROR(IF(OR(LQ144="",LQ145=""),"",(LQ144-LQ145)/LOOKUP(2,1/((YEAR($F$1:LQ$1)=YEAR(LQ$1)-1)*($F$146:LQ$146&lt;&gt;"")),$F$146:LQ$146)*100),"")</f>
        <v/>
      </c>
      <c r="LR177" t="str">
        <f>IFERROR(IF(OR(LR144="",LR145=""),"",(LR144-LR145)/LOOKUP(2,1/((YEAR($F$1:LR$1)=YEAR(LR$1)-1)*($F$146:LR$146&lt;&gt;"")),$F$146:LR$146)*100),"")</f>
        <v/>
      </c>
      <c r="LS177" t="str">
        <f>IFERROR(IF(OR(LS144="",LS145=""),"",(LS144-LS145)/LOOKUP(2,1/((YEAR($F$1:LS$1)=YEAR(LS$1)-1)*($F$146:LS$146&lt;&gt;"")),$F$146:LS$146)*100),"")</f>
        <v/>
      </c>
      <c r="LT177" t="str">
        <f>IFERROR(IF(OR(LT144="",LT145=""),"",(LT144-LT145)/LOOKUP(2,1/((YEAR($F$1:LT$1)=YEAR(LT$1)-1)*($F$146:LT$146&lt;&gt;"")),$F$146:LT$146)*100),"")</f>
        <v/>
      </c>
      <c r="LU177" t="str">
        <f>IFERROR(IF(OR(LU144="",LU145=""),"",(LU144-LU145)/LOOKUP(2,1/((YEAR($F$1:LU$1)=YEAR(LU$1)-1)*($F$146:LU$146&lt;&gt;"")),$F$146:LU$146)*100),"")</f>
        <v/>
      </c>
      <c r="LV177" t="str">
        <f>IFERROR(IF(OR(LV144="",LV145=""),"",(LV144-LV145)/LOOKUP(2,1/((YEAR($F$1:LV$1)=YEAR(LV$1)-1)*($F$146:LV$146&lt;&gt;"")),$F$146:LV$146)*100),"")</f>
        <v/>
      </c>
      <c r="LW177" t="str">
        <f>IFERROR(IF(OR(LW144="",LW145=""),"",(LW144-LW145)/LOOKUP(2,1/((YEAR($F$1:LW$1)=YEAR(LW$1)-1)*($F$146:LW$146&lt;&gt;"")),$F$146:LW$146)*100),"")</f>
        <v/>
      </c>
      <c r="LX177" t="str">
        <f>IFERROR(IF(OR(LX144="",LX145=""),"",(LX144-LX145)/LOOKUP(2,1/((YEAR($F$1:LX$1)=YEAR(LX$1)-1)*($F$146:LX$146&lt;&gt;"")),$F$146:LX$146)*100),"")</f>
        <v/>
      </c>
      <c r="LY177" t="str">
        <f>IFERROR(IF(OR(LY144="",LY145=""),"",(LY144-LY145)/LOOKUP(2,1/((YEAR($F$1:LY$1)=YEAR(LY$1)-1)*($F$146:LY$146&lt;&gt;"")),$F$146:LY$146)*100),"")</f>
        <v/>
      </c>
      <c r="LZ177" t="str">
        <f>IFERROR(IF(OR(LZ144="",LZ145=""),"",(LZ144-LZ145)/LOOKUP(2,1/((YEAR($F$1:LZ$1)=YEAR(LZ$1)-1)*($F$146:LZ$146&lt;&gt;"")),$F$146:LZ$146)*100),"")</f>
        <v/>
      </c>
      <c r="MA177" t="str">
        <f>IFERROR(IF(OR(MA144="",MA145=""),"",(MA144-MA145)/LOOKUP(2,1/((YEAR($F$1:MA$1)=YEAR(MA$1)-1)*($F$146:MA$146&lt;&gt;"")),$F$146:MA$146)*100),"")</f>
        <v/>
      </c>
      <c r="MB177" t="str">
        <f>IFERROR(IF(OR(MB144="",MB145=""),"",(MB144-MB145)/LOOKUP(2,1/((YEAR($F$1:MB$1)=YEAR(MB$1)-1)*($F$146:MB$146&lt;&gt;"")),$F$146:MB$146)*100),"")</f>
        <v/>
      </c>
      <c r="MC177" t="str">
        <f>IFERROR(IF(OR(MC144="",MC145=""),"",(MC144-MC145)/LOOKUP(2,1/((YEAR($F$1:MC$1)=YEAR(MC$1)-1)*($F$146:MC$146&lt;&gt;"")),$F$146:MC$146)*100),"")</f>
        <v/>
      </c>
      <c r="MD177" t="str">
        <f>IFERROR(IF(OR(MD144="",MD145=""),"",(MD144-MD145)/LOOKUP(2,1/((YEAR($F$1:MD$1)=YEAR(MD$1)-1)*($F$146:MD$146&lt;&gt;"")),$F$146:MD$146)*100),"")</f>
        <v/>
      </c>
      <c r="ME177" t="str">
        <f>IFERROR(IF(OR(ME144="",ME145=""),"",(ME144-ME145)/LOOKUP(2,1/((YEAR($F$1:ME$1)=YEAR(ME$1)-1)*($F$146:ME$146&lt;&gt;"")),$F$146:ME$146)*100),"")</f>
        <v/>
      </c>
      <c r="MF177" t="str">
        <f>IFERROR(IF(OR(MF144="",MF145=""),"",(MF144-MF145)/LOOKUP(2,1/((YEAR($F$1:MF$1)=YEAR(MF$1)-1)*($F$146:MF$146&lt;&gt;"")),$F$146:MF$146)*100),"")</f>
        <v/>
      </c>
      <c r="MG177" t="str">
        <f>IFERROR(IF(OR(MG144="",MG145=""),"",(MG144-MG145)/LOOKUP(2,1/((YEAR($F$1:MG$1)=YEAR(MG$1)-1)*($F$146:MG$146&lt;&gt;"")),$F$146:MG$146)*100),"")</f>
        <v/>
      </c>
      <c r="MH177" t="str">
        <f>IFERROR(IF(OR(MH144="",MH145=""),"",(MH144-MH145)/LOOKUP(2,1/((YEAR($F$1:MH$1)=YEAR(MH$1)-1)*($F$146:MH$146&lt;&gt;"")),$F$146:MH$146)*100),"")</f>
        <v/>
      </c>
      <c r="MI177" t="str">
        <f>IFERROR(IF(OR(MI144="",MI145=""),"",(MI144-MI145)/LOOKUP(2,1/((YEAR($F$1:MI$1)=YEAR(MI$1)-1)*($F$146:MI$146&lt;&gt;"")),$F$146:MI$146)*100),"")</f>
        <v/>
      </c>
      <c r="MJ177" t="str">
        <f>IFERROR(IF(OR(MJ144="",MJ145=""),"",(MJ144-MJ145)/LOOKUP(2,1/((YEAR($F$1:MJ$1)=YEAR(MJ$1)-1)*($F$146:MJ$146&lt;&gt;"")),$F$146:MJ$146)*100),"")</f>
        <v/>
      </c>
      <c r="MK177" t="str">
        <f>IFERROR(IF(OR(MK144="",MK145=""),"",(MK144-MK145)/LOOKUP(2,1/((YEAR($F$1:MK$1)=YEAR(MK$1)-1)*($F$146:MK$146&lt;&gt;"")),$F$146:MK$146)*100),"")</f>
        <v/>
      </c>
      <c r="ML177" t="str">
        <f>IFERROR(IF(OR(ML144="",ML145=""),"",(ML144-ML145)/LOOKUP(2,1/((YEAR($F$1:ML$1)=YEAR(ML$1)-1)*($F$146:ML$146&lt;&gt;"")),$F$146:ML$146)*100),"")</f>
        <v/>
      </c>
      <c r="MM177" t="str">
        <f>IFERROR(IF(OR(MM144="",MM145=""),"",(MM144-MM145)/LOOKUP(2,1/((YEAR($F$1:MM$1)=YEAR(MM$1)-1)*($F$146:MM$146&lt;&gt;"")),$F$146:MM$146)*100),"")</f>
        <v/>
      </c>
      <c r="MN177" t="str">
        <f>IFERROR(IF(OR(MN144="",MN145=""),"",(MN144-MN145)/LOOKUP(2,1/((YEAR($F$1:MN$1)=YEAR(MN$1)-1)*($F$146:MN$146&lt;&gt;"")),$F$146:MN$146)*100),"")</f>
        <v/>
      </c>
      <c r="MO177" t="str">
        <f>IFERROR(IF(OR(MO144="",MO145=""),"",(MO144-MO145)/LOOKUP(2,1/((YEAR($F$1:MO$1)=YEAR(MO$1)-1)*($F$146:MO$146&lt;&gt;"")),$F$146:MO$146)*100),"")</f>
        <v/>
      </c>
      <c r="MP177" t="str">
        <f>IFERROR(IF(OR(MP144="",MP145=""),"",(MP144-MP145)/LOOKUP(2,1/((YEAR($F$1:MP$1)=YEAR(MP$1)-1)*($F$146:MP$146&lt;&gt;"")),$F$146:MP$146)*100),"")</f>
        <v/>
      </c>
      <c r="MQ177" t="str">
        <f>IFERROR(IF(OR(MQ144="",MQ145=""),"",(MQ144-MQ145)/LOOKUP(2,1/((YEAR($F$1:MQ$1)=YEAR(MQ$1)-1)*($F$146:MQ$146&lt;&gt;"")),$F$146:MQ$146)*100),"")</f>
        <v/>
      </c>
      <c r="MR177" t="str">
        <f>IFERROR(IF(OR(MR144="",MR145=""),"",(MR144-MR145)/LOOKUP(2,1/((YEAR($F$1:MR$1)=YEAR(MR$1)-1)*($F$146:MR$146&lt;&gt;"")),$F$146:MR$146)*100),"")</f>
        <v/>
      </c>
      <c r="MS177" t="str">
        <f>IFERROR(IF(OR(MS144="",MS145=""),"",(MS144-MS145)/LOOKUP(2,1/((YEAR($F$1:MS$1)=YEAR(MS$1)-1)*($F$146:MS$146&lt;&gt;"")),$F$146:MS$146)*100),"")</f>
        <v/>
      </c>
      <c r="MT177" t="str">
        <f>IFERROR(IF(OR(MT144="",MT145=""),"",(MT144-MT145)/LOOKUP(2,1/((YEAR($F$1:MT$1)=YEAR(MT$1)-1)*($F$146:MT$146&lt;&gt;"")),$F$146:MT$146)*100),"")</f>
        <v/>
      </c>
      <c r="MU177" t="str">
        <f>IFERROR(IF(OR(MU144="",MU145=""),"",(MU144-MU145)/LOOKUP(2,1/((YEAR($F$1:MU$1)=YEAR(MU$1)-1)*($F$146:MU$146&lt;&gt;"")),$F$146:MU$146)*100),"")</f>
        <v/>
      </c>
      <c r="MV177" t="str">
        <f>IFERROR(IF(OR(MV144="",MV145=""),"",(MV144-MV145)/LOOKUP(2,1/((YEAR($F$1:MV$1)=YEAR(MV$1)-1)*($F$146:MV$146&lt;&gt;"")),$F$146:MV$146)*100),"")</f>
        <v/>
      </c>
      <c r="MW177" t="str">
        <f>IFERROR(IF(OR(MW144="",MW145=""),"",(MW144-MW145)/LOOKUP(2,1/((YEAR($F$1:MW$1)=YEAR(MW$1)-1)*($F$146:MW$146&lt;&gt;"")),$F$146:MW$146)*100),"")</f>
        <v/>
      </c>
      <c r="MX177" t="str">
        <f>IFERROR(IF(OR(MX144="",MX145=""),"",(MX144-MX145)/LOOKUP(2,1/((YEAR($F$1:MX$1)=YEAR(MX$1)-1)*($F$146:MX$146&lt;&gt;"")),$F$146:MX$146)*100),"")</f>
        <v/>
      </c>
      <c r="MY177" t="str">
        <f>IFERROR(IF(OR(MY144="",MY145=""),"",(MY144-MY145)/LOOKUP(2,1/((YEAR($F$1:MY$1)=YEAR(MY$1)-1)*($F$146:MY$146&lt;&gt;"")),$F$146:MY$146)*100),"")</f>
        <v/>
      </c>
      <c r="MZ177" t="str">
        <f>IFERROR(IF(OR(MZ144="",MZ145=""),"",(MZ144-MZ145)/LOOKUP(2,1/((YEAR($F$1:MZ$1)=YEAR(MZ$1)-1)*($F$146:MZ$146&lt;&gt;"")),$F$146:MZ$146)*100),"")</f>
        <v/>
      </c>
      <c r="NA177" t="str">
        <f>IFERROR(IF(OR(NA144="",NA145=""),"",(NA144-NA145)/LOOKUP(2,1/((YEAR($F$1:NA$1)=YEAR(NA$1)-1)*($F$146:NA$146&lt;&gt;"")),$F$146:NA$146)*100),"")</f>
        <v/>
      </c>
      <c r="NB177" t="str">
        <f>IFERROR(IF(OR(NB144="",NB145=""),"",(NB144-NB145)/LOOKUP(2,1/((YEAR($F$1:NB$1)=YEAR(NB$1)-1)*($F$146:NB$146&lt;&gt;"")),$F$146:NB$146)*100),"")</f>
        <v/>
      </c>
      <c r="NC177" t="str">
        <f>IFERROR(IF(OR(NC144="",NC145=""),"",(NC144-NC145)/LOOKUP(2,1/((YEAR($F$1:NC$1)=YEAR(NC$1)-1)*($F$146:NC$146&lt;&gt;"")),$F$146:NC$146)*100),"")</f>
        <v/>
      </c>
      <c r="ND177" t="str">
        <f>IFERROR(IF(OR(ND144="",ND145=""),"",(ND144-ND145)/LOOKUP(2,1/((YEAR($F$1:ND$1)=YEAR(ND$1)-1)*($F$146:ND$146&lt;&gt;"")),$F$146:ND$146)*100),"")</f>
        <v/>
      </c>
      <c r="NE177" t="str">
        <f>IFERROR(IF(OR(NE144="",NE145=""),"",(NE144-NE145)/LOOKUP(2,1/((YEAR($F$1:NE$1)=YEAR(NE$1)-1)*($F$146:NE$146&lt;&gt;"")),$F$146:NE$146)*100),"")</f>
        <v/>
      </c>
      <c r="NF177" t="str">
        <f>IFERROR(IF(OR(NF144="",NF145=""),"",(NF144-NF145)/LOOKUP(2,1/((YEAR($F$1:NF$1)=YEAR(NF$1)-1)*($F$146:NF$146&lt;&gt;"")),$F$146:NF$146)*100),"")</f>
        <v/>
      </c>
      <c r="NG177" t="str">
        <f>IFERROR(IF(OR(NG144="",NG145=""),"",(NG144-NG145)/LOOKUP(2,1/((YEAR($F$1:NG$1)=YEAR(NG$1)-1)*($F$146:NG$146&lt;&gt;"")),$F$146:NG$146)*100),"")</f>
        <v/>
      </c>
      <c r="NH177" t="str">
        <f>IFERROR(IF(OR(NH144="",NH145=""),"",(NH144-NH145)/LOOKUP(2,1/((YEAR($F$1:NH$1)=YEAR(NH$1)-1)*($F$146:NH$146&lt;&gt;"")),$F$146:NH$146)*100),"")</f>
        <v/>
      </c>
      <c r="NI177" t="str">
        <f>IFERROR(IF(OR(NI144="",NI145=""),"",(NI144-NI145)/LOOKUP(2,1/((YEAR($F$1:NI$1)=YEAR(NI$1)-1)*($F$146:NI$146&lt;&gt;"")),$F$146:NI$146)*100),"")</f>
        <v/>
      </c>
      <c r="NJ177" t="str">
        <f>IFERROR(IF(OR(NJ144="",NJ145=""),"",(NJ144-NJ145)/LOOKUP(2,1/((YEAR($F$1:NJ$1)=YEAR(NJ$1)-1)*($F$146:NJ$146&lt;&gt;"")),$F$146:NJ$146)*100),"")</f>
        <v/>
      </c>
      <c r="NK177" t="str">
        <f>IFERROR(IF(OR(NK144="",NK145=""),"",(NK144-NK145)/LOOKUP(2,1/((YEAR($F$1:NK$1)=YEAR(NK$1)-1)*($F$146:NK$146&lt;&gt;"")),$F$146:NK$146)*100),"")</f>
        <v/>
      </c>
      <c r="NL177" t="str">
        <f>IFERROR(IF(OR(NL144="",NL145=""),"",(NL144-NL145)/LOOKUP(2,1/((YEAR($F$1:NL$1)=YEAR(NL$1)-1)*($F$146:NL$146&lt;&gt;"")),$F$146:NL$146)*100),"")</f>
        <v/>
      </c>
      <c r="NM177" t="str">
        <f>IFERROR(IF(OR(NM144="",NM145=""),"",(NM144-NM145)/LOOKUP(2,1/((YEAR($F$1:NM$1)=YEAR(NM$1)-1)*($F$146:NM$146&lt;&gt;"")),$F$146:NM$146)*100),"")</f>
        <v/>
      </c>
      <c r="NN177" t="str">
        <f>IFERROR(IF(OR(NN144="",NN145=""),"",(NN144-NN145)/LOOKUP(2,1/((YEAR($F$1:NN$1)=YEAR(NN$1)-1)*($F$146:NN$146&lt;&gt;"")),$F$146:NN$146)*100),"")</f>
        <v/>
      </c>
      <c r="NO177" t="str">
        <f>IFERROR(IF(OR(NO144="",NO145=""),"",(NO144-NO145)/LOOKUP(2,1/((YEAR($F$1:NO$1)=YEAR(NO$1)-1)*($F$146:NO$146&lt;&gt;"")),$F$146:NO$146)*100),"")</f>
        <v/>
      </c>
      <c r="NP177" t="str">
        <f>IFERROR(IF(OR(NP144="",NP145=""),"",(NP144-NP145)/LOOKUP(2,1/((YEAR($F$1:NP$1)=YEAR(NP$1)-1)*($F$146:NP$146&lt;&gt;"")),$F$146:NP$146)*100),"")</f>
        <v/>
      </c>
      <c r="NQ177" t="str">
        <f>IFERROR(IF(OR(NQ144="",NQ145=""),"",(NQ144-NQ145)/LOOKUP(2,1/((YEAR($F$1:NQ$1)=YEAR(NQ$1)-1)*($F$146:NQ$146&lt;&gt;"")),$F$146:NQ$146)*100),"")</f>
        <v/>
      </c>
      <c r="NR177" t="str">
        <f>IFERROR(IF(OR(NR144="",NR145=""),"",(NR144-NR145)/LOOKUP(2,1/((YEAR($F$1:NR$1)=YEAR(NR$1)-1)*($F$146:NR$146&lt;&gt;"")),$F$146:NR$146)*100),"")</f>
        <v/>
      </c>
      <c r="NS177" t="str">
        <f>IFERROR(IF(OR(NS144="",NS145=""),"",(NS144-NS145)/LOOKUP(2,1/((YEAR($F$1:NS$1)=YEAR(NS$1)-1)*($F$146:NS$146&lt;&gt;"")),$F$146:NS$146)*100),"")</f>
        <v/>
      </c>
      <c r="NT177" t="str">
        <f>IFERROR(IF(OR(NT144="",NT145=""),"",(NT144-NT145)/LOOKUP(2,1/((YEAR($F$1:NT$1)=YEAR(NT$1)-1)*($F$146:NT$146&lt;&gt;"")),$F$146:NT$146)*100),"")</f>
        <v/>
      </c>
      <c r="NU177" t="str">
        <f>IFERROR(IF(OR(NU144="",NU145=""),"",(NU144-NU145)/LOOKUP(2,1/((YEAR($F$1:NU$1)=YEAR(NU$1)-1)*($F$146:NU$146&lt;&gt;"")),$F$146:NU$146)*100),"")</f>
        <v/>
      </c>
      <c r="NV177" t="str">
        <f>IFERROR(IF(OR(NV144="",NV145=""),"",(NV144-NV145)/LOOKUP(2,1/((YEAR($F$1:NV$1)=YEAR(NV$1)-1)*($F$146:NV$146&lt;&gt;"")),$F$146:NV$146)*100),"")</f>
        <v/>
      </c>
      <c r="NW177" t="str">
        <f>IFERROR(IF(OR(NW144="",NW145=""),"",(NW144-NW145)/LOOKUP(2,1/((YEAR($F$1:NW$1)=YEAR(NW$1)-1)*($F$146:NW$146&lt;&gt;"")),$F$146:NW$146)*100),"")</f>
        <v/>
      </c>
      <c r="NX177" t="str">
        <f>IFERROR(IF(OR(NX144="",NX145=""),"",(NX144-NX145)/LOOKUP(2,1/((YEAR($F$1:NX$1)=YEAR(NX$1)-1)*($F$146:NX$146&lt;&gt;"")),$F$146:NX$146)*100),"")</f>
        <v/>
      </c>
      <c r="NY177" t="str">
        <f>IFERROR(IF(OR(NY144="",NY145=""),"",(NY144-NY145)/LOOKUP(2,1/((YEAR($F$1:NY$1)=YEAR(NY$1)-1)*($F$146:NY$146&lt;&gt;"")),$F$146:NY$146)*100),"")</f>
        <v/>
      </c>
      <c r="NZ177" t="str">
        <f>IFERROR(IF(OR(NZ144="",NZ145=""),"",(NZ144-NZ145)/LOOKUP(2,1/((YEAR($F$1:NZ$1)=YEAR(NZ$1)-1)*($F$146:NZ$146&lt;&gt;"")),$F$146:NZ$146)*100),"")</f>
        <v/>
      </c>
      <c r="OA177" t="str">
        <f>IFERROR(IF(OR(OA144="",OA145=""),"",(OA144-OA145)/LOOKUP(2,1/((YEAR($F$1:OA$1)=YEAR(OA$1)-1)*($F$146:OA$146&lt;&gt;"")),$F$146:OA$146)*100),"")</f>
        <v/>
      </c>
      <c r="OB177" t="str">
        <f>IFERROR(IF(OR(OB144="",OB145=""),"",(OB144-OB145)/LOOKUP(2,1/((YEAR($F$1:OB$1)=YEAR(OB$1)-1)*($F$146:OB$146&lt;&gt;"")),$F$146:OB$146)*100),"")</f>
        <v/>
      </c>
      <c r="OC177" t="str">
        <f>IFERROR(IF(OR(OC144="",OC145=""),"",(OC144-OC145)/LOOKUP(2,1/((YEAR($F$1:OC$1)=YEAR(OC$1)-1)*($F$146:OC$146&lt;&gt;"")),$F$146:OC$146)*100),"")</f>
        <v/>
      </c>
      <c r="OD177" t="str">
        <f>IFERROR(IF(OR(OD144="",OD145=""),"",(OD144-OD145)/LOOKUP(2,1/((YEAR($F$1:OD$1)=YEAR(OD$1)-1)*($F$146:OD$146&lt;&gt;"")),$F$146:OD$146)*100),"")</f>
        <v/>
      </c>
      <c r="OE177" t="str">
        <f>IFERROR(IF(OR(OE144="",OE145=""),"",(OE144-OE145)/LOOKUP(2,1/((YEAR($F$1:OE$1)=YEAR(OE$1)-1)*($F$146:OE$146&lt;&gt;"")),$F$146:OE$146)*100),"")</f>
        <v/>
      </c>
      <c r="OF177" t="str">
        <f>IFERROR(IF(OR(OF144="",OF145=""),"",(OF144-OF145)/LOOKUP(2,1/((YEAR($F$1:OF$1)=YEAR(OF$1)-1)*($F$146:OF$146&lt;&gt;"")),$F$146:OF$146)*100),"")</f>
        <v/>
      </c>
      <c r="OG177" t="str">
        <f>IFERROR(IF(OR(OG144="",OG145=""),"",(OG144-OG145)/LOOKUP(2,1/((YEAR($F$1:OG$1)=YEAR(OG$1)-1)*($F$146:OG$146&lt;&gt;"")),$F$146:OG$146)*100),"")</f>
        <v/>
      </c>
      <c r="OH177" t="str">
        <f>IFERROR(IF(OR(OH144="",OH145=""),"",(OH144-OH145)/LOOKUP(2,1/((YEAR($F$1:OH$1)=YEAR(OH$1)-1)*($F$146:OH$146&lt;&gt;"")),$F$146:OH$146)*100),"")</f>
        <v/>
      </c>
      <c r="OI177" t="str">
        <f>IFERROR(IF(OR(OI144="",OI145=""),"",(OI144-OI145)/LOOKUP(2,1/((YEAR($F$1:OI$1)=YEAR(OI$1)-1)*($F$146:OI$146&lt;&gt;"")),$F$146:OI$146)*100),"")</f>
        <v/>
      </c>
      <c r="OJ177" t="str">
        <f>IFERROR(IF(OR(OJ144="",OJ145=""),"",(OJ144-OJ145)/LOOKUP(2,1/((YEAR($F$1:OJ$1)=YEAR(OJ$1)-1)*($F$146:OJ$146&lt;&gt;"")),$F$146:OJ$146)*100),"")</f>
        <v/>
      </c>
      <c r="OK177" t="str">
        <f>IFERROR(IF(OR(OK144="",OK145=""),"",(OK144-OK145)/LOOKUP(2,1/((YEAR($F$1:OK$1)=YEAR(OK$1)-1)*($F$146:OK$146&lt;&gt;"")),$F$146:OK$146)*100),"")</f>
        <v/>
      </c>
      <c r="OL177" t="str">
        <f>IFERROR(IF(OR(OL144="",OL145=""),"",(OL144-OL145)/LOOKUP(2,1/((YEAR($F$1:OL$1)=YEAR(OL$1)-1)*($F$146:OL$146&lt;&gt;"")),$F$146:OL$146)*100),"")</f>
        <v/>
      </c>
      <c r="OM177" t="str">
        <f>IFERROR(IF(OR(OM144="",OM145=""),"",(OM144-OM145)/LOOKUP(2,1/((YEAR($F$1:OM$1)=YEAR(OM$1)-1)*($F$146:OM$146&lt;&gt;"")),$F$146:OM$146)*100),"")</f>
        <v/>
      </c>
      <c r="ON177" t="str">
        <f>IFERROR(IF(OR(ON144="",ON145=""),"",(ON144-ON145)/LOOKUP(2,1/((YEAR($F$1:ON$1)=YEAR(ON$1)-1)*($F$146:ON$146&lt;&gt;"")),$F$146:ON$146)*100),"")</f>
        <v/>
      </c>
      <c r="OO177" t="str">
        <f>IFERROR(IF(OR(OO144="",OO145=""),"",(OO144-OO145)/LOOKUP(2,1/((YEAR($F$1:OO$1)=YEAR(OO$1)-1)*($F$146:OO$146&lt;&gt;"")),$F$146:OO$146)*100),"")</f>
        <v/>
      </c>
      <c r="OP177" t="str">
        <f>IFERROR(IF(OR(OP144="",OP145=""),"",(OP144-OP145)/LOOKUP(2,1/((YEAR($F$1:OP$1)=YEAR(OP$1)-1)*($F$146:OP$146&lt;&gt;"")),$F$146:OP$146)*100),"")</f>
        <v/>
      </c>
      <c r="OQ177" t="str">
        <f>IFERROR(IF(OR(OQ144="",OQ145=""),"",(OQ144-OQ145)/LOOKUP(2,1/((YEAR($F$1:OQ$1)=YEAR(OQ$1)-1)*($F$146:OQ$146&lt;&gt;"")),$F$146:OQ$146)*100),"")</f>
        <v/>
      </c>
      <c r="OR177" t="str">
        <f>IFERROR(IF(OR(OR144="",OR145=""),"",(OR144-OR145)/LOOKUP(2,1/((YEAR($F$1:OR$1)=YEAR(OR$1)-1)*($F$146:OR$146&lt;&gt;"")),$F$146:OR$146)*100),"")</f>
        <v/>
      </c>
      <c r="OS177" t="str">
        <f>IFERROR(IF(OR(OS144="",OS145=""),"",(OS144-OS145)/LOOKUP(2,1/((YEAR($F$1:OS$1)=YEAR(OS$1)-1)*($F$146:OS$146&lt;&gt;"")),$F$146:OS$146)*100),"")</f>
        <v/>
      </c>
      <c r="OT177" t="str">
        <f>IFERROR(IF(OR(OT144="",OT145=""),"",(OT144-OT145)/LOOKUP(2,1/((YEAR($F$1:OT$1)=YEAR(OT$1)-1)*($F$146:OT$146&lt;&gt;"")),$F$146:OT$146)*100),"")</f>
        <v/>
      </c>
      <c r="OU177" t="str">
        <f>IFERROR(IF(OR(OU144="",OU145=""),"",(OU144-OU145)/LOOKUP(2,1/((YEAR($F$1:OU$1)=YEAR(OU$1)-1)*($F$146:OU$146&lt;&gt;"")),$F$146:OU$146)*100),"")</f>
        <v/>
      </c>
      <c r="OV177" t="str">
        <f>IFERROR(IF(OR(OV144="",OV145=""),"",(OV144-OV145)/LOOKUP(2,1/((YEAR($F$1:OV$1)=YEAR(OV$1)-1)*($F$146:OV$146&lt;&gt;"")),$F$146:OV$146)*100),"")</f>
        <v/>
      </c>
      <c r="OW177" t="str">
        <f>IFERROR(IF(OR(OW144="",OW145=""),"",(OW144-OW145)/LOOKUP(2,1/((YEAR($F$1:OW$1)=YEAR(OW$1)-1)*($F$146:OW$146&lt;&gt;"")),$F$146:OW$146)*100),"")</f>
        <v/>
      </c>
      <c r="OX177" t="str">
        <f>IFERROR(IF(OR(OX144="",OX145=""),"",(OX144-OX145)/LOOKUP(2,1/((YEAR($F$1:OX$1)=YEAR(OX$1)-1)*($F$146:OX$146&lt;&gt;"")),$F$146:OX$146)*100),"")</f>
        <v/>
      </c>
      <c r="OY177" t="str">
        <f>IFERROR(IF(OR(OY144="",OY145=""),"",(OY144-OY145)/LOOKUP(2,1/((YEAR($F$1:OY$1)=YEAR(OY$1)-1)*($F$146:OY$146&lt;&gt;"")),$F$146:OY$146)*100),"")</f>
        <v/>
      </c>
      <c r="OZ177" t="str">
        <f>IFERROR(IF(OR(OZ144="",OZ145=""),"",(OZ144-OZ145)/LOOKUP(2,1/((YEAR($F$1:OZ$1)=YEAR(OZ$1)-1)*($F$146:OZ$146&lt;&gt;"")),$F$146:OZ$146)*100),"")</f>
        <v/>
      </c>
      <c r="PA177" t="str">
        <f>IFERROR(IF(OR(PA144="",PA145=""),"",(PA144-PA145)/LOOKUP(2,1/((YEAR($F$1:PA$1)=YEAR(PA$1)-1)*($F$146:PA$146&lt;&gt;"")),$F$146:PA$146)*100),"")</f>
        <v/>
      </c>
      <c r="PB177" t="str">
        <f>IFERROR(IF(OR(PB144="",PB145=""),"",(PB144-PB145)/LOOKUP(2,1/((YEAR($F$1:PB$1)=YEAR(PB$1)-1)*($F$146:PB$146&lt;&gt;"")),$F$146:PB$146)*100),"")</f>
        <v/>
      </c>
      <c r="PC177" t="str">
        <f>IFERROR(IF(OR(PC144="",PC145=""),"",(PC144-PC145)/LOOKUP(2,1/((YEAR($F$1:PC$1)=YEAR(PC$1)-1)*($F$146:PC$146&lt;&gt;"")),$F$146:PC$146)*100),"")</f>
        <v/>
      </c>
      <c r="PD177" t="str">
        <f>IFERROR(IF(OR(PD144="",PD145=""),"",(PD144-PD145)/LOOKUP(2,1/((YEAR($F$1:PD$1)=YEAR(PD$1)-1)*($F$146:PD$146&lt;&gt;"")),$F$146:PD$146)*100),"")</f>
        <v/>
      </c>
      <c r="PE177" t="str">
        <f>IFERROR(IF(OR(PE144="",PE145=""),"",(PE144-PE145)/LOOKUP(2,1/((YEAR($F$1:PE$1)=YEAR(PE$1)-1)*($F$146:PE$146&lt;&gt;"")),$F$146:PE$146)*100),"")</f>
        <v/>
      </c>
      <c r="PF177" t="str">
        <f>IFERROR(IF(OR(PF144="",PF145=""),"",(PF144-PF145)/LOOKUP(2,1/((YEAR($F$1:PF$1)=YEAR(PF$1)-1)*($F$146:PF$146&lt;&gt;"")),$F$146:PF$146)*100),"")</f>
        <v/>
      </c>
      <c r="PG177" t="str">
        <f>IFERROR(IF(OR(PG144="",PG145=""),"",(PG144-PG145)/LOOKUP(2,1/((YEAR($F$1:PG$1)=YEAR(PG$1)-1)*($F$146:PG$146&lt;&gt;"")),$F$146:PG$146)*100),"")</f>
        <v/>
      </c>
      <c r="PH177" t="str">
        <f>IFERROR(IF(OR(PH144="",PH145=""),"",(PH144-PH145)/LOOKUP(2,1/((YEAR($F$1:PH$1)=YEAR(PH$1)-1)*($F$146:PH$146&lt;&gt;"")),$F$146:PH$146)*100),"")</f>
        <v/>
      </c>
      <c r="PI177" t="str">
        <f>IFERROR(IF(OR(PI144="",PI145=""),"",(PI144-PI145)/LOOKUP(2,1/((YEAR($F$1:PI$1)=YEAR(PI$1)-1)*($F$146:PI$146&lt;&gt;"")),$F$146:PI$146)*100),"")</f>
        <v/>
      </c>
      <c r="PJ177" t="str">
        <f>IFERROR(IF(OR(PJ144="",PJ145=""),"",(PJ144-PJ145)/LOOKUP(2,1/((YEAR($F$1:PJ$1)=YEAR(PJ$1)-1)*($F$146:PJ$146&lt;&gt;"")),$F$146:PJ$146)*100),"")</f>
        <v/>
      </c>
      <c r="PK177" t="str">
        <f>IFERROR(IF(OR(PK144="",PK145=""),"",(PK144-PK145)/LOOKUP(2,1/((YEAR($F$1:PK$1)=YEAR(PK$1)-1)*($F$146:PK$146&lt;&gt;"")),$F$146:PK$146)*100),"")</f>
        <v/>
      </c>
      <c r="PL177" t="str">
        <f>IFERROR(IF(OR(PL144="",PL145=""),"",(PL144-PL145)/LOOKUP(2,1/((YEAR($F$1:PL$1)=YEAR(PL$1)-1)*($F$146:PL$146&lt;&gt;"")),$F$146:PL$146)*100),"")</f>
        <v/>
      </c>
      <c r="PM177" t="str">
        <f>IFERROR(IF(OR(PM144="",PM145=""),"",(PM144-PM145)/LOOKUP(2,1/((YEAR($F$1:PM$1)=YEAR(PM$1)-1)*($F$146:PM$146&lt;&gt;"")),$F$146:PM$146)*100),"")</f>
        <v/>
      </c>
      <c r="PN177">
        <f>IFERROR(IF(OR(PN144="",PN145=""),"",(PN144-PN145)/LOOKUP(2,1/((YEAR($F$1:PN$1)=YEAR(PN$1)-1)*($F$146:PN$146&lt;&gt;"")),$F$146:PN$146)*100),"")</f>
        <v>-0.182041362765066</v>
      </c>
      <c r="PO177" t="str">
        <f>IFERROR(IF(OR(PO144="",PO145=""),"",(PO144-PO145)/LOOKUP(2,1/((YEAR($F$1:PO$1)=YEAR(PO$1)-1)*($F$146:PO$146&lt;&gt;"")),$F$146:PO$146)*100),"")</f>
        <v/>
      </c>
      <c r="PP177" t="str">
        <f>IFERROR(IF(OR(PP144="",PP145=""),"",(PP144-PP145)/LOOKUP(2,1/((YEAR($F$1:PP$1)=YEAR(PP$1)-1)*($F$146:PP$146&lt;&gt;"")),$F$146:PP$146)*100),"")</f>
        <v/>
      </c>
      <c r="PQ177" t="str">
        <f>IFERROR(IF(OR(PQ144="",PQ145=""),"",(PQ144-PQ145)/LOOKUP(2,1/((YEAR($F$1:PQ$1)=YEAR(PQ$1)-1)*($F$146:PQ$146&lt;&gt;"")),$F$146:PQ$146)*100),"")</f>
        <v/>
      </c>
      <c r="PR177" t="str">
        <f>IFERROR(IF(OR(PR144="",PR145=""),"",(PR144-PR145)/LOOKUP(2,1/((YEAR($F$1:PR$1)=YEAR(PR$1)-1)*($F$146:PR$146&lt;&gt;"")),$F$146:PR$146)*100),"")</f>
        <v/>
      </c>
      <c r="PS177" t="str">
        <f>IFERROR(IF(OR(PS144="",PS145=""),"",(PS144-PS145)/LOOKUP(2,1/((YEAR($F$1:PS$1)=YEAR(PS$1)-1)*($F$146:PS$146&lt;&gt;"")),$F$146:PS$146)*100),"")</f>
        <v/>
      </c>
      <c r="PT177" t="str">
        <f>IFERROR(IF(OR(PT144="",PT145=""),"",(PT144-PT145)/LOOKUP(2,1/((YEAR($F$1:PT$1)=YEAR(PT$1)-1)*($F$146:PT$146&lt;&gt;"")),$F$146:PT$146)*100),"")</f>
        <v/>
      </c>
      <c r="PU177" t="str">
        <f>IFERROR(IF(OR(PU144="",PU145=""),"",(PU144-PU145)/LOOKUP(2,1/((YEAR($F$1:PU$1)=YEAR(PU$1)-1)*($F$146:PU$146&lt;&gt;"")),$F$146:PU$146)*100),"")</f>
        <v/>
      </c>
      <c r="PV177" t="str">
        <f>IFERROR(IF(OR(PV144="",PV145=""),"",(PV144-PV145)/LOOKUP(2,1/((YEAR($F$1:PV$1)=YEAR(PV$1)-1)*($F$146:PV$146&lt;&gt;"")),$F$146:PV$146)*100),"")</f>
        <v/>
      </c>
      <c r="PW177" t="str">
        <f>IFERROR(IF(OR(PW144="",PW145=""),"",(PW144-PW145)/LOOKUP(2,1/((YEAR($F$1:PW$1)=YEAR(PW$1)-1)*($F$146:PW$146&lt;&gt;"")),$F$146:PW$146)*100),"")</f>
        <v/>
      </c>
      <c r="PX177" t="str">
        <f>IFERROR(IF(OR(PX144="",PX145=""),"",(PX144-PX145)/LOOKUP(2,1/((YEAR($F$1:PX$1)=YEAR(PX$1)-1)*($F$146:PX$146&lt;&gt;"")),$F$146:PX$146)*100),"")</f>
        <v/>
      </c>
      <c r="PY177" t="str">
        <f>IFERROR(IF(OR(PY144="",PY145=""),"",(PY144-PY145)/LOOKUP(2,1/((YEAR($F$1:PY$1)=YEAR(PY$1)-1)*($F$146:PY$146&lt;&gt;"")),$F$146:PY$146)*100),"")</f>
        <v/>
      </c>
      <c r="PZ177" t="str">
        <f>IFERROR(IF(OR(PZ144="",PZ145=""),"",(PZ144-PZ145)/LOOKUP(2,1/((YEAR($F$1:PZ$1)=YEAR(PZ$1)-1)*($F$146:PZ$146&lt;&gt;"")),$F$146:PZ$146)*100),"")</f>
        <v/>
      </c>
      <c r="QA177" t="str">
        <f>IFERROR(IF(OR(QA144="",QA145=""),"",(QA144-QA145)/LOOKUP(2,1/((YEAR($F$1:QA$1)=YEAR(QA$1)-1)*($F$146:QA$146&lt;&gt;"")),$F$146:QA$146)*100),"")</f>
        <v/>
      </c>
      <c r="QB177" t="str">
        <f>IFERROR(IF(OR(QB144="",QB145=""),"",(QB144-QB145)/LOOKUP(2,1/((YEAR($F$1:QB$1)=YEAR(QB$1)-1)*($F$146:QB$146&lt;&gt;"")),$F$146:QB$146)*100),"")</f>
        <v/>
      </c>
      <c r="QC177" t="str">
        <f>IFERROR(IF(OR(QC144="",QC145=""),"",(QC144-QC145)/LOOKUP(2,1/((YEAR($F$1:QC$1)=YEAR(QC$1)-1)*($F$146:QC$146&lt;&gt;"")),$F$146:QC$146)*100),"")</f>
        <v/>
      </c>
      <c r="QD177" t="str">
        <f>IFERROR(IF(OR(QD144="",QD145=""),"",(QD144-QD145)/LOOKUP(2,1/((YEAR($F$1:QD$1)=YEAR(QD$1)-1)*($F$146:QD$146&lt;&gt;"")),$F$146:QD$146)*100),"")</f>
        <v/>
      </c>
      <c r="QE177" t="str">
        <f>IFERROR(IF(OR(QE144="",QE145=""),"",(QE144-QE145)/LOOKUP(2,1/((YEAR($F$1:QE$1)=YEAR(QE$1)-1)*($F$146:QE$146&lt;&gt;"")),$F$146:QE$146)*100),"")</f>
        <v/>
      </c>
      <c r="QF177" t="str">
        <f>IFERROR(IF(OR(QF144="",QF145=""),"",(QF144-QF145)/LOOKUP(2,1/((YEAR($F$1:QF$1)=YEAR(QF$1)-1)*($F$146:QF$146&lt;&gt;"")),$F$146:QF$146)*100),"")</f>
        <v/>
      </c>
      <c r="QG177" t="str">
        <f>IFERROR(IF(OR(QG144="",QG145=""),"",(QG144-QG145)/LOOKUP(2,1/((YEAR($F$1:QG$1)=YEAR(QG$1)-1)*($F$146:QG$146&lt;&gt;"")),$F$146:QG$146)*100),"")</f>
        <v/>
      </c>
      <c r="QH177" t="str">
        <f>IFERROR(IF(OR(QH144="",QH145=""),"",(QH144-QH145)/LOOKUP(2,1/((YEAR($F$1:QH$1)=YEAR(QH$1)-1)*($F$146:QH$146&lt;&gt;"")),$F$146:QH$146)*100),"")</f>
        <v/>
      </c>
      <c r="QI177" t="str">
        <f>IFERROR(IF(OR(QI144="",QI145=""),"",(QI144-QI145)/LOOKUP(2,1/((YEAR($F$1:QI$1)=YEAR(QI$1)-1)*($F$146:QI$146&lt;&gt;"")),$F$146:QI$146)*100),"")</f>
        <v/>
      </c>
      <c r="QJ177" t="str">
        <f>IFERROR(IF(OR(QJ144="",QJ145=""),"",(QJ144-QJ145)/LOOKUP(2,1/((YEAR($F$1:QJ$1)=YEAR(QJ$1)-1)*($F$146:QJ$146&lt;&gt;"")),$F$146:QJ$146)*100),"")</f>
        <v/>
      </c>
      <c r="QK177" t="str">
        <f>IFERROR(IF(OR(QK144="",QK145=""),"",(QK144-QK145)/LOOKUP(2,1/((YEAR($F$1:QK$1)=YEAR(QK$1)-1)*($F$146:QK$146&lt;&gt;"")),$F$146:QK$146)*100),"")</f>
        <v/>
      </c>
      <c r="QL177" t="str">
        <f>IFERROR(IF(OR(QL144="",QL145=""),"",(QL144-QL145)/LOOKUP(2,1/((YEAR($F$1:QL$1)=YEAR(QL$1)-1)*($F$146:QL$146&lt;&gt;"")),$F$146:QL$146)*100),"")</f>
        <v/>
      </c>
      <c r="QM177" t="str">
        <f>IFERROR(IF(OR(QM144="",QM145=""),"",(QM144-QM145)/LOOKUP(2,1/((YEAR($F$1:QM$1)=YEAR(QM$1)-1)*($F$146:QM$146&lt;&gt;"")),$F$146:QM$146)*100),"")</f>
        <v/>
      </c>
      <c r="QN177" t="str">
        <f>IFERROR(IF(OR(QN144="",QN145=""),"",(QN144-QN145)/LOOKUP(2,1/((YEAR($F$1:QN$1)=YEAR(QN$1)-1)*($F$146:QN$146&lt;&gt;"")),$F$146:QN$146)*100),"")</f>
        <v/>
      </c>
      <c r="QO177" t="str">
        <f>IFERROR(IF(OR(QO144="",QO145=""),"",(QO144-QO145)/LOOKUP(2,1/((YEAR($F$1:QO$1)=YEAR(QO$1)-1)*($F$146:QO$146&lt;&gt;"")),$F$146:QO$146)*100),"")</f>
        <v/>
      </c>
      <c r="QP177" t="str">
        <f>IFERROR(IF(OR(QP144="",QP145=""),"",(QP144-QP145)/LOOKUP(2,1/((YEAR($F$1:QP$1)=YEAR(QP$1)-1)*($F$146:QP$146&lt;&gt;"")),$F$146:QP$146)*100),"")</f>
        <v/>
      </c>
      <c r="QQ177" t="str">
        <f>IFERROR(IF(OR(QQ144="",QQ145=""),"",(QQ144-QQ145)/LOOKUP(2,1/((YEAR($F$1:QQ$1)=YEAR(QQ$1)-1)*($F$146:QQ$146&lt;&gt;"")),$F$146:QQ$146)*100),"")</f>
        <v/>
      </c>
      <c r="QR177" t="str">
        <f>IFERROR(IF(OR(QR144="",QR145=""),"",(QR144-QR145)/LOOKUP(2,1/((YEAR($F$1:QR$1)=YEAR(QR$1)-1)*($F$146:QR$146&lt;&gt;"")),$F$146:QR$146)*100),"")</f>
        <v/>
      </c>
      <c r="QS177">
        <f>IFERROR(IF(OR(QS144="",QS145=""),"",(QS144-QS145)/LOOKUP(2,1/((YEAR($F$1:QS$1)=YEAR(QS$1)-1)*($F$146:QS$146&lt;&gt;"")),$F$146:QS$146)*100),"")</f>
        <v>-0.933960643684563</v>
      </c>
      <c r="QT177" t="str">
        <f>IFERROR(IF(OR(QT144="",QT145=""),"",(QT144-QT145)/LOOKUP(2,1/((YEAR($F$1:QT$1)=YEAR(QT$1)-1)*($F$146:QT$146&lt;&gt;"")),$F$146:QT$146)*100),"")</f>
        <v/>
      </c>
      <c r="QU177" t="str">
        <f>IFERROR(IF(OR(QU144="",QU145=""),"",(QU144-QU145)/LOOKUP(2,1/((YEAR($F$1:QU$1)=YEAR(QU$1)-1)*($F$146:QU$146&lt;&gt;"")),$F$146:QU$146)*100),"")</f>
        <v/>
      </c>
      <c r="QV177" t="str">
        <f>IFERROR(IF(OR(QV144="",QV145=""),"",(QV144-QV145)/LOOKUP(2,1/((YEAR($F$1:QV$1)=YEAR(QV$1)-1)*($F$146:QV$146&lt;&gt;"")),$F$146:QV$146)*100),"")</f>
        <v/>
      </c>
      <c r="QW177" t="str">
        <f>IFERROR(IF(OR(QW144="",QW145=""),"",(QW144-QW145)/LOOKUP(2,1/((YEAR($F$1:QW$1)=YEAR(QW$1)-1)*($F$146:QW$146&lt;&gt;"")),$F$146:QW$146)*100),"")</f>
        <v/>
      </c>
      <c r="QX177" t="str">
        <f>IFERROR(IF(OR(QX144="",QX145=""),"",(QX144-QX145)/LOOKUP(2,1/((YEAR($F$1:QX$1)=YEAR(QX$1)-1)*($F$146:QX$146&lt;&gt;"")),$F$146:QX$146)*100),"")</f>
        <v/>
      </c>
      <c r="QY177" t="str">
        <f>IFERROR(IF(OR(QY144="",QY145=""),"",(QY144-QY145)/LOOKUP(2,1/((YEAR($F$1:QY$1)=YEAR(QY$1)-1)*($F$146:QY$146&lt;&gt;"")),$F$146:QY$146)*100),"")</f>
        <v/>
      </c>
      <c r="QZ177" t="str">
        <f>IFERROR(IF(OR(QZ144="",QZ145=""),"",(QZ144-QZ145)/LOOKUP(2,1/((YEAR($F$1:QZ$1)=YEAR(QZ$1)-1)*($F$146:QZ$146&lt;&gt;"")),$F$146:QZ$146)*100),"")</f>
        <v/>
      </c>
      <c r="RA177" t="str">
        <f>IFERROR(IF(OR(RA144="",RA145=""),"",(RA144-RA145)/LOOKUP(2,1/((YEAR($F$1:RA$1)=YEAR(RA$1)-1)*($F$146:RA$146&lt;&gt;"")),$F$146:RA$146)*100),"")</f>
        <v/>
      </c>
      <c r="RB177" t="str">
        <f>IFERROR(IF(OR(RB144="",RB145=""),"",(RB144-RB145)/LOOKUP(2,1/((YEAR($F$1:RB$1)=YEAR(RB$1)-1)*($F$146:RB$146&lt;&gt;"")),$F$146:RB$146)*100),"")</f>
        <v/>
      </c>
      <c r="RC177" t="str">
        <f>IFERROR(IF(OR(RC144="",RC145=""),"",(RC144-RC145)/LOOKUP(2,1/((YEAR($F$1:RC$1)=YEAR(RC$1)-1)*($F$146:RC$146&lt;&gt;"")),$F$146:RC$146)*100),"")</f>
        <v/>
      </c>
      <c r="RD177" t="str">
        <f>IFERROR(IF(OR(RD144="",RD145=""),"",(RD144-RD145)/LOOKUP(2,1/((YEAR($F$1:RD$1)=YEAR(RD$1)-1)*($F$146:RD$146&lt;&gt;"")),$F$146:RD$146)*100),"")</f>
        <v/>
      </c>
      <c r="RE177" t="str">
        <f>IFERROR(IF(OR(RE144="",RE145=""),"",(RE144-RE145)/LOOKUP(2,1/((YEAR($F$1:RE$1)=YEAR(RE$1)-1)*($F$146:RE$146&lt;&gt;"")),$F$146:RE$146)*100),"")</f>
        <v/>
      </c>
      <c r="RF177" t="str">
        <f>IFERROR(IF(OR(RF144="",RF145=""),"",(RF144-RF145)/LOOKUP(2,1/((YEAR($F$1:RF$1)=YEAR(RF$1)-1)*($F$146:RF$146&lt;&gt;"")),$F$146:RF$146)*100),"")</f>
        <v/>
      </c>
      <c r="RG177" t="str">
        <f>IFERROR(IF(OR(RG144="",RG145=""),"",(RG144-RG145)/LOOKUP(2,1/((YEAR($F$1:RG$1)=YEAR(RG$1)-1)*($F$146:RG$146&lt;&gt;"")),$F$146:RG$146)*100),"")</f>
        <v/>
      </c>
      <c r="RH177" t="str">
        <f>IFERROR(IF(OR(RH144="",RH145=""),"",(RH144-RH145)/LOOKUP(2,1/((YEAR($F$1:RH$1)=YEAR(RH$1)-1)*($F$146:RH$146&lt;&gt;"")),$F$146:RH$146)*100),"")</f>
        <v/>
      </c>
      <c r="RI177" t="str">
        <f>IFERROR(IF(OR(RI144="",RI145=""),"",(RI144-RI145)/LOOKUP(2,1/((YEAR($F$1:RI$1)=YEAR(RI$1)-1)*($F$146:RI$146&lt;&gt;"")),$F$146:RI$146)*100),"")</f>
        <v/>
      </c>
      <c r="RJ177" t="str">
        <f>IFERROR(IF(OR(RJ144="",RJ145=""),"",(RJ144-RJ145)/LOOKUP(2,1/((YEAR($F$1:RJ$1)=YEAR(RJ$1)-1)*($F$146:RJ$146&lt;&gt;"")),$F$146:RJ$146)*100),"")</f>
        <v/>
      </c>
      <c r="RK177" t="str">
        <f>IFERROR(IF(OR(RK144="",RK145=""),"",(RK144-RK145)/LOOKUP(2,1/((YEAR($F$1:RK$1)=YEAR(RK$1)-1)*($F$146:RK$146&lt;&gt;"")),$F$146:RK$146)*100),"")</f>
        <v/>
      </c>
      <c r="RL177" t="str">
        <f>IFERROR(IF(OR(RL144="",RL145=""),"",(RL144-RL145)/LOOKUP(2,1/((YEAR($F$1:RL$1)=YEAR(RL$1)-1)*($F$146:RL$146&lt;&gt;"")),$F$146:RL$146)*100),"")</f>
        <v/>
      </c>
      <c r="RM177" t="str">
        <f>IFERROR(IF(OR(RM144="",RM145=""),"",(RM144-RM145)/LOOKUP(2,1/((YEAR($F$1:RM$1)=YEAR(RM$1)-1)*($F$146:RM$146&lt;&gt;"")),$F$146:RM$146)*100),"")</f>
        <v/>
      </c>
      <c r="RN177" t="str">
        <f>IFERROR(IF(OR(RN144="",RN145=""),"",(RN144-RN145)/LOOKUP(2,1/((YEAR($F$1:RN$1)=YEAR(RN$1)-1)*($F$146:RN$146&lt;&gt;"")),$F$146:RN$146)*100),"")</f>
        <v/>
      </c>
      <c r="RO177" t="str">
        <f>IFERROR(IF(OR(RO144="",RO145=""),"",(RO144-RO145)/LOOKUP(2,1/((YEAR($F$1:RO$1)=YEAR(RO$1)-1)*($F$146:RO$146&lt;&gt;"")),$F$146:RO$146)*100),"")</f>
        <v/>
      </c>
      <c r="RP177" t="str">
        <f>IFERROR(IF(OR(RP144="",RP145=""),"",(RP144-RP145)/LOOKUP(2,1/((YEAR($F$1:RP$1)=YEAR(RP$1)-1)*($F$146:RP$146&lt;&gt;"")),$F$146:RP$146)*100),"")</f>
        <v/>
      </c>
      <c r="RQ177" t="str">
        <f>IFERROR(IF(OR(RQ144="",RQ145=""),"",(RQ144-RQ145)/LOOKUP(2,1/((YEAR($F$1:RQ$1)=YEAR(RQ$1)-1)*($F$146:RQ$146&lt;&gt;"")),$F$146:RQ$146)*100),"")</f>
        <v/>
      </c>
      <c r="RR177" t="str">
        <f>IFERROR(IF(OR(RR144="",RR145=""),"",(RR144-RR145)/LOOKUP(2,1/((YEAR($F$1:RR$1)=YEAR(RR$1)-1)*($F$146:RR$146&lt;&gt;"")),$F$146:RR$146)*100),"")</f>
        <v/>
      </c>
      <c r="RS177" t="str">
        <f>IFERROR(IF(OR(RS144="",RS145=""),"",(RS144-RS145)/LOOKUP(2,1/((YEAR($F$1:RS$1)=YEAR(RS$1)-1)*($F$146:RS$146&lt;&gt;"")),$F$146:RS$146)*100),"")</f>
        <v/>
      </c>
      <c r="RT177" t="str">
        <f>IFERROR(IF(OR(RT144="",RT145=""),"",(RT144-RT145)/LOOKUP(2,1/((YEAR($F$1:RT$1)=YEAR(RT$1)-1)*($F$146:RT$146&lt;&gt;"")),$F$146:RT$146)*100),"")</f>
        <v/>
      </c>
      <c r="RU177" t="str">
        <f>IFERROR(IF(OR(RU144="",RU145=""),"",(RU144-RU145)/LOOKUP(2,1/((YEAR($F$1:RU$1)=YEAR(RU$1)-1)*($F$146:RU$146&lt;&gt;"")),$F$146:RU$146)*100),"")</f>
        <v/>
      </c>
      <c r="RV177" t="str">
        <f>IFERROR(IF(OR(RV144="",RV145=""),"",(RV144-RV145)/LOOKUP(2,1/((YEAR($F$1:RV$1)=YEAR(RV$1)-1)*($F$146:RV$146&lt;&gt;"")),$F$146:RV$146)*100),"")</f>
        <v/>
      </c>
      <c r="RW177">
        <f>IFERROR(IF(OR(RW144="",RW145=""),"",(RW144-RW145)/LOOKUP(2,1/((YEAR($F$1:RW$1)=YEAR(RW$1)-1)*($F$146:RW$146&lt;&gt;"")),$F$146:RW$146)*100),"")</f>
        <v>-0.813550839473187</v>
      </c>
      <c r="RX177" t="str">
        <f>IFERROR(IF(OR(RX144="",RX145=""),"",(RX144-RX145)/LOOKUP(2,1/((YEAR($F$1:RX$1)=YEAR(RX$1)-1)*($F$146:RX$146&lt;&gt;"")),$F$146:RX$146)*100),"")</f>
        <v/>
      </c>
      <c r="RY177" t="str">
        <f>IFERROR(IF(OR(RY144="",RY145=""),"",(RY144-RY145)/LOOKUP(2,1/((YEAR($F$1:RY$1)=YEAR(RY$1)-1)*($F$146:RY$146&lt;&gt;"")),$F$146:RY$146)*100),"")</f>
        <v/>
      </c>
      <c r="RZ177" t="str">
        <f>IFERROR(IF(OR(RZ144="",RZ145=""),"",(RZ144-RZ145)/LOOKUP(2,1/((YEAR($F$1:RZ$1)=YEAR(RZ$1)-1)*($F$146:RZ$146&lt;&gt;"")),$F$146:RZ$146)*100),"")</f>
        <v/>
      </c>
      <c r="SA177" t="str">
        <f>IFERROR(IF(OR(SA144="",SA145=""),"",(SA144-SA145)/LOOKUP(2,1/((YEAR($F$1:SA$1)=YEAR(SA$1)-1)*($F$146:SA$146&lt;&gt;"")),$F$146:SA$146)*100),"")</f>
        <v/>
      </c>
      <c r="SB177" t="str">
        <f>IFERROR(IF(OR(SB144="",SB145=""),"",(SB144-SB145)/LOOKUP(2,1/((YEAR($F$1:SB$1)=YEAR(SB$1)-1)*($F$146:SB$146&lt;&gt;"")),$F$146:SB$146)*100),"")</f>
        <v/>
      </c>
      <c r="SC177" t="str">
        <f>IFERROR(IF(OR(SC144="",SC145=""),"",(SC144-SC145)/LOOKUP(2,1/((YEAR($F$1:SC$1)=YEAR(SC$1)-1)*($F$146:SC$146&lt;&gt;"")),$F$146:SC$146)*100),"")</f>
        <v/>
      </c>
      <c r="SD177" t="str">
        <f>IFERROR(IF(OR(SD144="",SD145=""),"",(SD144-SD145)/LOOKUP(2,1/((YEAR($F$1:SD$1)=YEAR(SD$1)-1)*($F$146:SD$146&lt;&gt;"")),$F$146:SD$146)*100),"")</f>
        <v/>
      </c>
      <c r="SE177" t="str">
        <f>IFERROR(IF(OR(SE144="",SE145=""),"",(SE144-SE145)/LOOKUP(2,1/((YEAR($F$1:SE$1)=YEAR(SE$1)-1)*($F$146:SE$146&lt;&gt;"")),$F$146:SE$146)*100),"")</f>
        <v/>
      </c>
      <c r="SF177" t="str">
        <f>IFERROR(IF(OR(SF144="",SF145=""),"",(SF144-SF145)/LOOKUP(2,1/((YEAR($F$1:SF$1)=YEAR(SF$1)-1)*($F$146:SF$146&lt;&gt;"")),$F$146:SF$146)*100),"")</f>
        <v/>
      </c>
      <c r="SG177" t="str">
        <f>IFERROR(IF(OR(SG144="",SG145=""),"",(SG144-SG145)/LOOKUP(2,1/((YEAR($F$1:SG$1)=YEAR(SG$1)-1)*($F$146:SG$146&lt;&gt;"")),$F$146:SG$146)*100),"")</f>
        <v/>
      </c>
      <c r="SH177" t="str">
        <f>IFERROR(IF(OR(SH144="",SH145=""),"",(SH144-SH145)/LOOKUP(2,1/((YEAR($F$1:SH$1)=YEAR(SH$1)-1)*($F$146:SH$146&lt;&gt;"")),$F$146:SH$146)*100),"")</f>
        <v/>
      </c>
      <c r="SI177" t="str">
        <f>IFERROR(IF(OR(SI144="",SI145=""),"",(SI144-SI145)/LOOKUP(2,1/((YEAR($F$1:SI$1)=YEAR(SI$1)-1)*($F$146:SI$146&lt;&gt;"")),$F$146:SI$146)*100),"")</f>
        <v/>
      </c>
      <c r="SJ177" t="str">
        <f>IFERROR(IF(OR(SJ144="",SJ145=""),"",(SJ144-SJ145)/LOOKUP(2,1/((YEAR($F$1:SJ$1)=YEAR(SJ$1)-1)*($F$146:SJ$146&lt;&gt;"")),$F$146:SJ$146)*100),"")</f>
        <v/>
      </c>
      <c r="SK177" t="str">
        <f>IFERROR(IF(OR(SK144="",SK145=""),"",(SK144-SK145)/LOOKUP(2,1/((YEAR($F$1:SK$1)=YEAR(SK$1)-1)*($F$146:SK$146&lt;&gt;"")),$F$146:SK$146)*100),"")</f>
        <v/>
      </c>
      <c r="SL177" t="str">
        <f>IFERROR(IF(OR(SL144="",SL145=""),"",(SL144-SL145)/LOOKUP(2,1/((YEAR($F$1:SL$1)=YEAR(SL$1)-1)*($F$146:SL$146&lt;&gt;"")),$F$146:SL$146)*100),"")</f>
        <v/>
      </c>
      <c r="SM177" t="str">
        <f>IFERROR(IF(OR(SM144="",SM145=""),"",(SM144-SM145)/LOOKUP(2,1/((YEAR($F$1:SM$1)=YEAR(SM$1)-1)*($F$146:SM$146&lt;&gt;"")),$F$146:SM$146)*100),"")</f>
        <v/>
      </c>
      <c r="SN177" t="str">
        <f>IFERROR(IF(OR(SN144="",SN145=""),"",(SN144-SN145)/LOOKUP(2,1/((YEAR($F$1:SN$1)=YEAR(SN$1)-1)*($F$146:SN$146&lt;&gt;"")),$F$146:SN$146)*100),"")</f>
        <v/>
      </c>
      <c r="SO177" t="str">
        <f>IFERROR(IF(OR(SO144="",SO145=""),"",(SO144-SO145)/LOOKUP(2,1/((YEAR($F$1:SO$1)=YEAR(SO$1)-1)*($F$146:SO$146&lt;&gt;"")),$F$146:SO$146)*100),"")</f>
        <v/>
      </c>
      <c r="SP177" t="str">
        <f>IFERROR(IF(OR(SP144="",SP145=""),"",(SP144-SP145)/LOOKUP(2,1/((YEAR($F$1:SP$1)=YEAR(SP$1)-1)*($F$146:SP$146&lt;&gt;"")),$F$146:SP$146)*100),"")</f>
        <v/>
      </c>
      <c r="SQ177" t="str">
        <f>IFERROR(IF(OR(SQ144="",SQ145=""),"",(SQ144-SQ145)/LOOKUP(2,1/((YEAR($F$1:SQ$1)=YEAR(SQ$1)-1)*($F$146:SQ$146&lt;&gt;"")),$F$146:SQ$146)*100),"")</f>
        <v/>
      </c>
      <c r="SR177" t="str">
        <f>IFERROR(IF(OR(SR144="",SR145=""),"",(SR144-SR145)/LOOKUP(2,1/((YEAR($F$1:SR$1)=YEAR(SR$1)-1)*($F$146:SR$146&lt;&gt;"")),$F$146:SR$146)*100),"")</f>
        <v/>
      </c>
      <c r="SS177" t="str">
        <f>IFERROR(IF(OR(SS144="",SS145=""),"",(SS144-SS145)/LOOKUP(2,1/((YEAR($F$1:SS$1)=YEAR(SS$1)-1)*($F$146:SS$146&lt;&gt;"")),$F$146:SS$146)*100),"")</f>
        <v/>
      </c>
      <c r="ST177" t="str">
        <f>IFERROR(IF(OR(ST144="",ST145=""),"",(ST144-ST145)/LOOKUP(2,1/((YEAR($F$1:ST$1)=YEAR(ST$1)-1)*($F$146:ST$146&lt;&gt;"")),$F$146:ST$146)*100),"")</f>
        <v/>
      </c>
      <c r="SU177" t="str">
        <f>IFERROR(IF(OR(SU144="",SU145=""),"",(SU144-SU145)/LOOKUP(2,1/((YEAR($F$1:SU$1)=YEAR(SU$1)-1)*($F$146:SU$146&lt;&gt;"")),$F$146:SU$146)*100),"")</f>
        <v/>
      </c>
      <c r="SV177" t="str">
        <f>IFERROR(IF(OR(SV144="",SV145=""),"",(SV144-SV145)/LOOKUP(2,1/((YEAR($F$1:SV$1)=YEAR(SV$1)-1)*($F$146:SV$146&lt;&gt;"")),$F$146:SV$146)*100),"")</f>
        <v/>
      </c>
      <c r="SW177" t="str">
        <f>IFERROR(IF(OR(SW144="",SW145=""),"",(SW144-SW145)/LOOKUP(2,1/((YEAR($F$1:SW$1)=YEAR(SW$1)-1)*($F$146:SW$146&lt;&gt;"")),$F$146:SW$146)*100),"")</f>
        <v/>
      </c>
      <c r="SX177" t="str">
        <f>IFERROR(IF(OR(SX144="",SX145=""),"",(SX144-SX145)/LOOKUP(2,1/((YEAR($F$1:SX$1)=YEAR(SX$1)-1)*($F$146:SX$146&lt;&gt;"")),$F$146:SX$146)*100),"")</f>
        <v/>
      </c>
      <c r="SY177" t="str">
        <f>IFERROR(IF(OR(SY144="",SY145=""),"",(SY144-SY145)/LOOKUP(2,1/((YEAR($F$1:SY$1)=YEAR(SY$1)-1)*($F$146:SY$146&lt;&gt;"")),$F$146:SY$146)*100),"")</f>
        <v/>
      </c>
      <c r="SZ177" t="str">
        <f>IFERROR(IF(OR(SZ144="",SZ145=""),"",(SZ144-SZ145)/LOOKUP(2,1/((YEAR($F$1:SZ$1)=YEAR(SZ$1)-1)*($F$146:SZ$146&lt;&gt;"")),$F$146:SZ$146)*100),"")</f>
        <v/>
      </c>
      <c r="TA177" t="str">
        <f>IFERROR(IF(OR(TA144="",TA145=""),"",(TA144-TA145)/LOOKUP(2,1/((YEAR($F$1:TA$1)=YEAR(TA$1)-1)*($F$146:TA$146&lt;&gt;"")),$F$146:TA$146)*100),"")</f>
        <v/>
      </c>
      <c r="TB177">
        <f>IFERROR(IF(OR(TB144="",TB145=""),"",(TB144-TB145)/LOOKUP(2,1/((YEAR($F$1:TB$1)=YEAR(TB$1)-1)*($F$146:TB$146&lt;&gt;"")),$F$146:TB$146)*100),"")</f>
        <v>-0.956715814030196</v>
      </c>
      <c r="TC177" t="str">
        <f>IFERROR(IF(OR(TC144="",TC145=""),"",(TC144-TC145)/LOOKUP(2,1/((YEAR($F$1:TC$1)=YEAR(TC$1)-1)*($F$146:TC$146&lt;&gt;"")),$F$146:TC$146)*100),"")</f>
        <v/>
      </c>
      <c r="TD177" t="str">
        <f>IFERROR(IF(OR(TD144="",TD145=""),"",(TD144-TD145)/LOOKUP(2,1/((YEAR($F$1:TD$1)=YEAR(TD$1)-1)*($F$146:TD$146&lt;&gt;"")),$F$146:TD$146)*100),"")</f>
        <v/>
      </c>
      <c r="TE177" t="str">
        <f>IFERROR(IF(OR(TE144="",TE145=""),"",(TE144-TE145)/LOOKUP(2,1/((YEAR($F$1:TE$1)=YEAR(TE$1)-1)*($F$146:TE$146&lt;&gt;"")),$F$146:TE$146)*100),"")</f>
        <v/>
      </c>
      <c r="TF177" t="str">
        <f>IFERROR(IF(OR(TF144="",TF145=""),"",(TF144-TF145)/LOOKUP(2,1/((YEAR($F$1:TF$1)=YEAR(TF$1)-1)*($F$146:TF$146&lt;&gt;"")),$F$146:TF$146)*100),"")</f>
        <v/>
      </c>
      <c r="TG177" t="str">
        <f>IFERROR(IF(OR(TG144="",TG145=""),"",(TG144-TG145)/LOOKUP(2,1/((YEAR($F$1:TG$1)=YEAR(TG$1)-1)*($F$146:TG$146&lt;&gt;"")),$F$146:TG$146)*100),"")</f>
        <v/>
      </c>
      <c r="TH177" t="str">
        <f>IFERROR(IF(OR(TH144="",TH145=""),"",(TH144-TH145)/LOOKUP(2,1/((YEAR($F$1:TH$1)=YEAR(TH$1)-1)*($F$146:TH$146&lt;&gt;"")),$F$146:TH$146)*100),"")</f>
        <v/>
      </c>
      <c r="TI177" t="str">
        <f>IFERROR(IF(OR(TI144="",TI145=""),"",(TI144-TI145)/LOOKUP(2,1/((YEAR($F$1:TI$1)=YEAR(TI$1)-1)*($F$146:TI$146&lt;&gt;"")),$F$146:TI$146)*100),"")</f>
        <v/>
      </c>
      <c r="TJ177" t="str">
        <f>IFERROR(IF(OR(TJ144="",TJ145=""),"",(TJ144-TJ145)/LOOKUP(2,1/((YEAR($F$1:TJ$1)=YEAR(TJ$1)-1)*($F$146:TJ$146&lt;&gt;"")),$F$146:TJ$146)*100),"")</f>
        <v/>
      </c>
      <c r="TK177" t="str">
        <f>IFERROR(IF(OR(TK144="",TK145=""),"",(TK144-TK145)/LOOKUP(2,1/((YEAR($F$1:TK$1)=YEAR(TK$1)-1)*($F$146:TK$146&lt;&gt;"")),$F$146:TK$146)*100),"")</f>
        <v/>
      </c>
      <c r="TL177" t="str">
        <f>IFERROR(IF(OR(TL144="",TL145=""),"",(TL144-TL145)/LOOKUP(2,1/((YEAR($F$1:TL$1)=YEAR(TL$1)-1)*($F$146:TL$146&lt;&gt;"")),$F$146:TL$146)*100),"")</f>
        <v/>
      </c>
      <c r="TM177" t="str">
        <f>IFERROR(IF(OR(TM144="",TM145=""),"",(TM144-TM145)/LOOKUP(2,1/((YEAR($F$1:TM$1)=YEAR(TM$1)-1)*($F$146:TM$146&lt;&gt;"")),$F$146:TM$146)*100),"")</f>
        <v/>
      </c>
      <c r="TN177" t="str">
        <f>IFERROR(IF(OR(TN144="",TN145=""),"",(TN144-TN145)/LOOKUP(2,1/((YEAR($F$1:TN$1)=YEAR(TN$1)-1)*($F$146:TN$146&lt;&gt;"")),$F$146:TN$146)*100),"")</f>
        <v/>
      </c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CK38"/>
  <sheetViews>
    <sheetView topLeftCell="DQ1" workbookViewId="0">
      <selection activeCell="A15" sqref="$A15:$XFD15"/>
    </sheetView>
  </sheetViews>
  <sheetFormatPr defaultColWidth="9" defaultRowHeight="14.1"/>
  <cols>
    <col min="1" max="1" width="11.8198198198198" style="4" customWidth="1"/>
    <col min="2" max="2" width="11.6306306306306" style="4" customWidth="1"/>
    <col min="3" max="3" width="20.8198198198198" style="4" customWidth="1"/>
    <col min="4" max="4" width="7.54054054054054" style="4" customWidth="1"/>
    <col min="5" max="5" width="10.6306306306306" style="4" customWidth="1"/>
    <col min="6" max="247" width="11.8198198198198" style="4" customWidth="1"/>
    <col min="248" max="731" width="11.7027027027027" style="4" customWidth="1"/>
    <col min="732" max="733" width="11.7027027027027"/>
  </cols>
  <sheetData>
    <row r="1" ht="16.5" customHeight="1" spans="1:247">
      <c r="A1" s="12" t="s">
        <v>399</v>
      </c>
      <c r="B1" s="12" t="s">
        <v>400</v>
      </c>
      <c r="C1" s="6" t="s">
        <v>429</v>
      </c>
      <c r="D1" s="19" t="s">
        <v>402</v>
      </c>
      <c r="E1" s="7" t="s">
        <v>403</v>
      </c>
      <c r="F1" s="10">
        <v>46027</v>
      </c>
      <c r="G1" s="10">
        <v>46028</v>
      </c>
      <c r="H1" s="10">
        <v>46029</v>
      </c>
      <c r="I1" s="10">
        <v>46030</v>
      </c>
      <c r="J1" s="10">
        <v>46031</v>
      </c>
      <c r="K1" s="10">
        <v>46034</v>
      </c>
      <c r="L1" s="10">
        <v>46035</v>
      </c>
      <c r="M1" s="10">
        <v>46036</v>
      </c>
      <c r="N1" s="10">
        <v>46037</v>
      </c>
      <c r="O1" s="10">
        <v>46038</v>
      </c>
      <c r="P1" s="10">
        <v>46041</v>
      </c>
      <c r="Q1" s="10">
        <v>46042</v>
      </c>
      <c r="R1" s="10">
        <v>46043</v>
      </c>
      <c r="S1" s="10">
        <v>46044</v>
      </c>
      <c r="T1" s="10">
        <v>46045</v>
      </c>
      <c r="U1" s="10">
        <v>46048</v>
      </c>
      <c r="V1" s="10">
        <v>46049</v>
      </c>
      <c r="W1" s="10">
        <v>46050</v>
      </c>
      <c r="X1" s="10">
        <v>46051</v>
      </c>
      <c r="Y1" s="10">
        <v>46052</v>
      </c>
      <c r="Z1" s="10">
        <v>46055</v>
      </c>
      <c r="AA1" s="10">
        <v>46056</v>
      </c>
      <c r="AB1" s="10">
        <v>46057</v>
      </c>
      <c r="AC1" s="10">
        <v>46058</v>
      </c>
      <c r="AD1" s="10">
        <v>46059</v>
      </c>
      <c r="AE1" s="10">
        <v>46062</v>
      </c>
      <c r="AF1" s="10">
        <v>46063</v>
      </c>
      <c r="AG1" s="10">
        <v>46064</v>
      </c>
      <c r="AH1" s="10">
        <v>46065</v>
      </c>
      <c r="AI1" s="10">
        <v>46066</v>
      </c>
      <c r="AJ1" s="10">
        <v>46077</v>
      </c>
      <c r="AK1" s="10">
        <v>46078</v>
      </c>
      <c r="AL1" s="10">
        <v>46079</v>
      </c>
      <c r="AM1" s="10">
        <v>46080</v>
      </c>
      <c r="AN1" s="10">
        <v>46083</v>
      </c>
      <c r="AO1" s="10">
        <v>46084</v>
      </c>
      <c r="AP1" s="10">
        <v>46085</v>
      </c>
      <c r="AQ1" s="10">
        <v>46086</v>
      </c>
      <c r="AR1" s="10">
        <v>46087</v>
      </c>
      <c r="AS1" s="10">
        <v>46090</v>
      </c>
      <c r="AT1" s="10">
        <v>46091</v>
      </c>
      <c r="AU1" s="10">
        <v>46092</v>
      </c>
      <c r="AV1" s="10">
        <v>46093</v>
      </c>
      <c r="AW1" s="10">
        <v>46094</v>
      </c>
      <c r="AX1" s="10">
        <v>46097</v>
      </c>
      <c r="AY1" s="10">
        <v>46098</v>
      </c>
      <c r="AZ1" s="10">
        <v>46099</v>
      </c>
      <c r="BA1" s="10">
        <v>46100</v>
      </c>
      <c r="BB1" s="10">
        <v>46101</v>
      </c>
      <c r="BC1" s="10">
        <v>46104</v>
      </c>
      <c r="BD1" s="10">
        <v>46105</v>
      </c>
      <c r="BE1" s="10">
        <v>46106</v>
      </c>
      <c r="BF1" s="10">
        <v>46107</v>
      </c>
      <c r="BG1" s="10">
        <v>46108</v>
      </c>
      <c r="BH1" s="10">
        <v>46111</v>
      </c>
      <c r="BI1" s="10">
        <v>46112</v>
      </c>
      <c r="BJ1" s="10">
        <v>46113</v>
      </c>
      <c r="BK1" s="10">
        <v>46114</v>
      </c>
      <c r="BL1" s="10">
        <v>46115</v>
      </c>
      <c r="BM1" s="10">
        <v>46119</v>
      </c>
      <c r="BN1" s="10">
        <v>46120</v>
      </c>
      <c r="BO1" s="10">
        <v>46121</v>
      </c>
      <c r="BP1" s="10">
        <v>46122</v>
      </c>
      <c r="BQ1" s="10">
        <v>46125</v>
      </c>
      <c r="BR1" s="10">
        <v>46126</v>
      </c>
      <c r="BS1" s="10">
        <v>46127</v>
      </c>
      <c r="BT1" s="10">
        <v>46128</v>
      </c>
      <c r="BU1" s="10">
        <v>46129</v>
      </c>
      <c r="BV1" s="10">
        <v>46132</v>
      </c>
      <c r="BW1" s="10">
        <v>46133</v>
      </c>
      <c r="BX1" s="10">
        <v>46134</v>
      </c>
      <c r="BY1" s="10">
        <v>46135</v>
      </c>
      <c r="BZ1" s="10">
        <v>46136</v>
      </c>
      <c r="CA1" s="10">
        <v>46139</v>
      </c>
      <c r="CB1" s="10">
        <v>46140</v>
      </c>
      <c r="CC1" s="10">
        <v>46141</v>
      </c>
      <c r="CD1" s="10">
        <v>46142</v>
      </c>
      <c r="CE1" s="10">
        <v>46148</v>
      </c>
      <c r="CF1" s="10">
        <v>46149</v>
      </c>
      <c r="CG1" s="10">
        <v>46150</v>
      </c>
      <c r="CH1" s="10">
        <v>46153</v>
      </c>
      <c r="CI1" s="10">
        <v>46154</v>
      </c>
      <c r="CJ1" s="10">
        <v>46155</v>
      </c>
      <c r="CK1" s="10">
        <v>46156</v>
      </c>
      <c r="CL1" s="10">
        <v>46157</v>
      </c>
      <c r="CM1" s="10">
        <v>46160</v>
      </c>
      <c r="CN1" s="10">
        <v>46161</v>
      </c>
      <c r="CO1" s="10">
        <v>46162</v>
      </c>
      <c r="CP1" s="10">
        <v>46163</v>
      </c>
      <c r="CQ1" s="10">
        <v>46164</v>
      </c>
      <c r="CR1" s="10">
        <v>46167</v>
      </c>
      <c r="CS1" s="10">
        <v>46168</v>
      </c>
      <c r="CT1" s="10">
        <v>46169</v>
      </c>
      <c r="CU1" s="10">
        <v>46170</v>
      </c>
      <c r="CV1" s="10">
        <v>46171</v>
      </c>
      <c r="CW1" s="10">
        <v>46174</v>
      </c>
      <c r="CX1" s="10">
        <v>46175</v>
      </c>
      <c r="CY1" s="10">
        <v>46176</v>
      </c>
      <c r="CZ1" s="10">
        <v>46177</v>
      </c>
      <c r="DA1" s="10">
        <v>46178</v>
      </c>
      <c r="DB1" s="10">
        <v>46181</v>
      </c>
      <c r="DC1" s="10">
        <v>46182</v>
      </c>
      <c r="DD1" s="10">
        <v>46183</v>
      </c>
      <c r="DE1" s="10">
        <v>46184</v>
      </c>
      <c r="DF1" s="10">
        <v>46185</v>
      </c>
      <c r="DG1" s="10">
        <v>46188</v>
      </c>
      <c r="DH1" s="10">
        <v>46189</v>
      </c>
      <c r="DI1" s="10">
        <v>46190</v>
      </c>
      <c r="DJ1" s="10">
        <v>46191</v>
      </c>
      <c r="DK1" s="10">
        <v>46195</v>
      </c>
      <c r="DL1" s="10">
        <v>46196</v>
      </c>
      <c r="DM1" s="10">
        <v>46197</v>
      </c>
      <c r="DN1" s="10">
        <v>46198</v>
      </c>
      <c r="DO1" s="10">
        <v>46199</v>
      </c>
      <c r="DP1" s="10">
        <v>46202</v>
      </c>
      <c r="DQ1" s="10">
        <v>46203</v>
      </c>
      <c r="DR1" s="10">
        <v>46204</v>
      </c>
      <c r="DS1" s="10">
        <v>46205</v>
      </c>
      <c r="DT1" s="10">
        <v>46206</v>
      </c>
      <c r="DU1" s="10">
        <v>46209</v>
      </c>
      <c r="DV1" s="10">
        <v>46210</v>
      </c>
      <c r="DW1" s="10">
        <v>46211</v>
      </c>
      <c r="DX1" s="10">
        <v>46212</v>
      </c>
      <c r="DY1" s="10">
        <v>46213</v>
      </c>
      <c r="DZ1" s="10">
        <v>46216</v>
      </c>
      <c r="EA1" s="10">
        <v>46217</v>
      </c>
      <c r="EB1" s="10">
        <v>46218</v>
      </c>
      <c r="EC1" s="10">
        <v>46219</v>
      </c>
      <c r="ED1" s="10">
        <v>46220</v>
      </c>
      <c r="EE1" s="10">
        <v>46223</v>
      </c>
      <c r="EF1" s="10">
        <v>46224</v>
      </c>
      <c r="EG1" s="10">
        <v>46225</v>
      </c>
      <c r="EH1" s="10">
        <v>46226</v>
      </c>
      <c r="EI1" s="10">
        <v>46227</v>
      </c>
      <c r="EJ1" s="10">
        <v>46230</v>
      </c>
      <c r="EK1" s="10">
        <v>46231</v>
      </c>
      <c r="EL1" s="10">
        <v>46232</v>
      </c>
      <c r="EM1" s="10">
        <v>46233</v>
      </c>
      <c r="EN1" s="10">
        <v>46234</v>
      </c>
      <c r="EO1" s="10">
        <v>46237</v>
      </c>
      <c r="EP1" s="10">
        <v>46238</v>
      </c>
      <c r="EQ1" s="10">
        <v>46239</v>
      </c>
      <c r="ER1" s="10">
        <v>46240</v>
      </c>
      <c r="ES1" s="10">
        <v>46241</v>
      </c>
      <c r="ET1" s="10">
        <v>46244</v>
      </c>
      <c r="EU1" s="10">
        <v>46245</v>
      </c>
      <c r="EV1" s="10">
        <v>46246</v>
      </c>
      <c r="EW1" s="10">
        <v>46247</v>
      </c>
      <c r="EX1" s="10">
        <v>46248</v>
      </c>
      <c r="EY1" s="10">
        <v>46251</v>
      </c>
      <c r="EZ1" s="10">
        <v>46252</v>
      </c>
      <c r="FA1" s="10">
        <v>46253</v>
      </c>
      <c r="FB1" s="10">
        <v>46254</v>
      </c>
      <c r="FC1" s="10">
        <v>46255</v>
      </c>
      <c r="FD1" s="10">
        <v>46258</v>
      </c>
      <c r="FE1" s="10">
        <v>46259</v>
      </c>
      <c r="FF1" s="10">
        <v>46260</v>
      </c>
      <c r="FG1" s="10">
        <v>46261</v>
      </c>
      <c r="FH1" s="10">
        <v>46262</v>
      </c>
      <c r="FI1" s="10">
        <v>46265</v>
      </c>
      <c r="FJ1" s="10">
        <v>46266</v>
      </c>
      <c r="FK1" s="10">
        <v>46267</v>
      </c>
      <c r="FL1" s="10">
        <v>46268</v>
      </c>
      <c r="FM1" s="10">
        <v>46269</v>
      </c>
      <c r="FN1" s="10">
        <v>46272</v>
      </c>
      <c r="FO1" s="10">
        <v>46273</v>
      </c>
      <c r="FP1" s="10">
        <v>46274</v>
      </c>
      <c r="FQ1" s="10">
        <v>46275</v>
      </c>
      <c r="FR1" s="10">
        <v>46276</v>
      </c>
      <c r="FS1" s="10">
        <v>46279</v>
      </c>
      <c r="FT1" s="10">
        <v>46280</v>
      </c>
      <c r="FU1" s="10">
        <v>46281</v>
      </c>
      <c r="FV1" s="10">
        <v>46282</v>
      </c>
      <c r="FW1" s="10">
        <v>46283</v>
      </c>
      <c r="FX1" s="10">
        <v>46286</v>
      </c>
      <c r="FY1" s="10">
        <v>46287</v>
      </c>
      <c r="FZ1" s="10">
        <v>46288</v>
      </c>
      <c r="GA1" s="10">
        <v>46289</v>
      </c>
      <c r="GB1" s="10">
        <v>46293</v>
      </c>
      <c r="GC1" s="10">
        <v>46294</v>
      </c>
      <c r="GD1" s="10">
        <v>46295</v>
      </c>
      <c r="GE1" s="10">
        <v>46303</v>
      </c>
      <c r="GF1" s="10">
        <v>46304</v>
      </c>
      <c r="GG1" s="10">
        <v>46307</v>
      </c>
      <c r="GH1" s="10">
        <v>46308</v>
      </c>
      <c r="GI1" s="10">
        <v>46309</v>
      </c>
      <c r="GJ1" s="10">
        <v>46310</v>
      </c>
      <c r="GK1" s="10">
        <v>46311</v>
      </c>
      <c r="GL1" s="10">
        <v>46314</v>
      </c>
      <c r="GM1" s="10">
        <v>46315</v>
      </c>
      <c r="GN1" s="10">
        <v>46316</v>
      </c>
      <c r="GO1" s="10">
        <v>46317</v>
      </c>
      <c r="GP1" s="10">
        <v>46318</v>
      </c>
      <c r="GQ1" s="10">
        <v>46321</v>
      </c>
      <c r="GR1" s="10">
        <v>46322</v>
      </c>
      <c r="GS1" s="10">
        <v>46323</v>
      </c>
      <c r="GT1" s="10">
        <v>46324</v>
      </c>
      <c r="GU1" s="10">
        <v>46325</v>
      </c>
      <c r="GV1" s="10">
        <v>46328</v>
      </c>
      <c r="GW1" s="10">
        <v>46329</v>
      </c>
      <c r="GX1" s="10">
        <v>46330</v>
      </c>
      <c r="GY1" s="10">
        <v>46331</v>
      </c>
      <c r="GZ1" s="10">
        <v>46332</v>
      </c>
      <c r="HA1" s="10">
        <v>46335</v>
      </c>
      <c r="HB1" s="10">
        <v>46336</v>
      </c>
      <c r="HC1" s="10">
        <v>46337</v>
      </c>
      <c r="HD1" s="10">
        <v>46338</v>
      </c>
      <c r="HE1" s="10">
        <v>46339</v>
      </c>
      <c r="HF1" s="10">
        <v>46342</v>
      </c>
      <c r="HG1" s="10">
        <v>46343</v>
      </c>
      <c r="HH1" s="10">
        <v>46344</v>
      </c>
      <c r="HI1" s="10">
        <v>46345</v>
      </c>
      <c r="HJ1" s="10">
        <v>46346</v>
      </c>
      <c r="HK1" s="10">
        <v>46349</v>
      </c>
      <c r="HL1" s="10">
        <v>46350</v>
      </c>
      <c r="HM1" s="10">
        <v>46351</v>
      </c>
      <c r="HN1" s="10">
        <v>46352</v>
      </c>
      <c r="HO1" s="10">
        <v>46353</v>
      </c>
      <c r="HP1" s="10">
        <v>46356</v>
      </c>
      <c r="HQ1" s="10">
        <v>46357</v>
      </c>
      <c r="HR1" s="10">
        <v>46358</v>
      </c>
      <c r="HS1" s="10">
        <v>46359</v>
      </c>
      <c r="HT1" s="10">
        <v>46360</v>
      </c>
      <c r="HU1" s="10">
        <v>46363</v>
      </c>
      <c r="HV1" s="10">
        <v>46364</v>
      </c>
      <c r="HW1" s="10">
        <v>46365</v>
      </c>
      <c r="HX1" s="10">
        <v>46366</v>
      </c>
      <c r="HY1" s="10">
        <v>46367</v>
      </c>
      <c r="HZ1" s="10">
        <v>46370</v>
      </c>
      <c r="IA1" s="10">
        <v>46371</v>
      </c>
      <c r="IB1" s="10">
        <v>46372</v>
      </c>
      <c r="IC1" s="10">
        <v>46373</v>
      </c>
      <c r="ID1" s="10">
        <v>46374</v>
      </c>
      <c r="IE1" s="10">
        <v>46377</v>
      </c>
      <c r="IF1" s="10">
        <v>46378</v>
      </c>
      <c r="IG1" s="10">
        <v>46379</v>
      </c>
      <c r="IH1" s="10">
        <v>46380</v>
      </c>
      <c r="II1" s="10">
        <v>46381</v>
      </c>
      <c r="IJ1" s="10">
        <v>46384</v>
      </c>
      <c r="IK1" s="10">
        <v>46385</v>
      </c>
      <c r="IL1" s="10">
        <v>46386</v>
      </c>
      <c r="IM1" s="10">
        <v>46387</v>
      </c>
    </row>
    <row r="2" ht="13.5" customHeight="1" spans="1:247">
      <c r="A2" s="20">
        <v>46023</v>
      </c>
      <c r="B2" s="20">
        <v>46388</v>
      </c>
      <c r="C2" s="21" t="s">
        <v>430</v>
      </c>
      <c r="D2" s="22" t="str">
        <f>[1]!s_info_name(E2)</f>
        <v>COMEX黄金</v>
      </c>
      <c r="E2" s="21" t="s">
        <v>431</v>
      </c>
      <c r="F2" s="23" cm="1">
        <f t="array" ref="F2">[1]!WSD(E2:E9,C2,A2,B2,"TradingCalendar=SSE","rptType=1","Direction=V","Version=1","ShowParams=Y","cols=242;rows=8")</f>
        <v>4459.7</v>
      </c>
      <c r="G2" s="23">
        <v>4505.7</v>
      </c>
      <c r="H2" s="23">
        <v>4467.1</v>
      </c>
      <c r="I2" s="23">
        <v>4487.9</v>
      </c>
      <c r="J2" s="23">
        <v>4518.4</v>
      </c>
      <c r="K2" s="23">
        <v>4608.8</v>
      </c>
      <c r="L2" s="23">
        <v>4594.4</v>
      </c>
      <c r="M2" s="23">
        <v>4633.9</v>
      </c>
      <c r="N2" s="23">
        <v>4620.5</v>
      </c>
      <c r="O2" s="23">
        <v>4601.1</v>
      </c>
      <c r="P2" s="23"/>
      <c r="Q2" s="23">
        <v>4769.1</v>
      </c>
      <c r="R2" s="23">
        <v>4836.2</v>
      </c>
      <c r="S2" s="23">
        <v>4938.4</v>
      </c>
      <c r="T2" s="23">
        <v>4983.1</v>
      </c>
      <c r="U2" s="23">
        <v>5004.8</v>
      </c>
      <c r="V2" s="23">
        <v>5179.6</v>
      </c>
      <c r="W2" s="23">
        <v>5411</v>
      </c>
      <c r="X2" s="23">
        <v>5410.8</v>
      </c>
      <c r="Y2" s="23">
        <v>4907.5</v>
      </c>
      <c r="Z2" s="23">
        <v>4680.9</v>
      </c>
      <c r="AA2" s="23">
        <v>4970.5</v>
      </c>
      <c r="AB2" s="23">
        <v>4986.4</v>
      </c>
      <c r="AC2" s="23">
        <v>4798.1</v>
      </c>
      <c r="AD2" s="23">
        <v>4988.6</v>
      </c>
      <c r="AE2" s="23">
        <v>5084.2</v>
      </c>
      <c r="AF2" s="23">
        <v>5047.9</v>
      </c>
      <c r="AG2" s="23">
        <v>5107.8</v>
      </c>
      <c r="AH2" s="23">
        <v>4941.4</v>
      </c>
      <c r="AI2" s="23">
        <v>5063.8</v>
      </c>
      <c r="AJ2" s="23">
        <v>5160.5</v>
      </c>
      <c r="AK2" s="23">
        <v>5183.7</v>
      </c>
      <c r="AL2" s="23">
        <v>5201.5</v>
      </c>
      <c r="AM2" s="23">
        <v>5296.4</v>
      </c>
      <c r="AN2" s="23">
        <v>5335.9</v>
      </c>
      <c r="AO2" s="23">
        <v>5099.5</v>
      </c>
      <c r="AP2" s="23">
        <v>5151.6</v>
      </c>
      <c r="AQ2" s="23">
        <v>5093.3</v>
      </c>
      <c r="AR2" s="23">
        <v>5181.3</v>
      </c>
      <c r="AS2" s="23">
        <v>5148.7</v>
      </c>
      <c r="AT2" s="23">
        <v>5198.7</v>
      </c>
      <c r="AU2" s="23">
        <v>5183.9</v>
      </c>
      <c r="AV2" s="23">
        <v>5084.1</v>
      </c>
      <c r="AW2" s="23">
        <v>5023.1</v>
      </c>
      <c r="AX2" s="23">
        <v>5011.3</v>
      </c>
      <c r="AY2" s="23">
        <v>5011.3</v>
      </c>
      <c r="AZ2" s="23">
        <v>4823.9</v>
      </c>
      <c r="BA2" s="23">
        <v>4651.9</v>
      </c>
      <c r="BB2" s="23">
        <v>4492</v>
      </c>
      <c r="BC2" s="23">
        <v>4410.4</v>
      </c>
      <c r="BD2" s="23">
        <v>4474.9</v>
      </c>
      <c r="BE2" s="23">
        <v>4503.3</v>
      </c>
      <c r="BF2" s="23">
        <v>4376.9</v>
      </c>
      <c r="BG2" s="23">
        <v>4489.7</v>
      </c>
      <c r="BH2" s="23">
        <v>4540.4</v>
      </c>
      <c r="BI2" s="23">
        <v>4699.6</v>
      </c>
      <c r="BJ2" s="23">
        <v>4784.6</v>
      </c>
      <c r="BK2" s="23">
        <v>4702.7</v>
      </c>
      <c r="BL2" s="23"/>
      <c r="BM2" s="23">
        <v>4733.3</v>
      </c>
      <c r="BN2" s="23">
        <v>4745</v>
      </c>
      <c r="BO2" s="23">
        <v>4790.5</v>
      </c>
      <c r="BP2" s="23">
        <v>4771</v>
      </c>
      <c r="BQ2" s="23">
        <v>4766.6</v>
      </c>
      <c r="BR2" s="23">
        <v>4864.5</v>
      </c>
      <c r="BS2" s="23">
        <v>4813.9</v>
      </c>
      <c r="BT2" s="23">
        <v>4810.9</v>
      </c>
      <c r="BU2" s="23">
        <v>4849.4</v>
      </c>
      <c r="BV2" s="23">
        <v>4841</v>
      </c>
      <c r="BW2" s="23">
        <v>4738.5</v>
      </c>
      <c r="BX2" s="23">
        <v>4758.3</v>
      </c>
      <c r="BY2" s="23">
        <v>4708.6</v>
      </c>
      <c r="BZ2" s="23">
        <v>4725.4</v>
      </c>
      <c r="CA2" s="23">
        <v>4697.7</v>
      </c>
      <c r="CB2" s="23">
        <v>4609.6</v>
      </c>
      <c r="CC2" s="23">
        <v>4557.3</v>
      </c>
      <c r="CD2" s="23">
        <v>4636</v>
      </c>
      <c r="CE2" s="23">
        <v>4703.1</v>
      </c>
      <c r="CF2" s="23">
        <v>4696</v>
      </c>
      <c r="CG2" s="23">
        <v>4723.7</v>
      </c>
      <c r="CH2" s="23">
        <v>4745.6</v>
      </c>
      <c r="CI2" s="23">
        <v>4722.6</v>
      </c>
      <c r="CJ2" s="23">
        <v>4697.1</v>
      </c>
      <c r="CK2" s="23">
        <v>4655.4</v>
      </c>
      <c r="CL2" s="23">
        <v>4543.6</v>
      </c>
      <c r="CM2" s="23">
        <v>4570.8</v>
      </c>
      <c r="CN2" s="23">
        <v>4485.4</v>
      </c>
      <c r="CO2" s="23">
        <v>4546.2</v>
      </c>
      <c r="CP2" s="23">
        <v>4544.2</v>
      </c>
      <c r="CQ2" s="23">
        <v>4510.5</v>
      </c>
      <c r="CR2" s="23"/>
      <c r="CS2" s="23">
        <v>4507.3</v>
      </c>
      <c r="CT2" s="23">
        <v>4454.9</v>
      </c>
      <c r="CU2" s="23">
        <v>4527.3</v>
      </c>
      <c r="CV2" s="23">
        <v>4569.9</v>
      </c>
      <c r="CW2" s="23">
        <v>4514.8</v>
      </c>
      <c r="CX2" s="23">
        <v>4519.2</v>
      </c>
      <c r="CY2" s="23">
        <v>4462.7</v>
      </c>
      <c r="CZ2" s="23">
        <v>4502.4</v>
      </c>
      <c r="DA2" s="23">
        <v>4353.9</v>
      </c>
      <c r="DB2" s="23">
        <v>4353.8</v>
      </c>
      <c r="DC2" s="23">
        <v>4284.8</v>
      </c>
      <c r="DD2" s="23">
        <v>4094.1</v>
      </c>
      <c r="DE2" s="23">
        <v>4233.8</v>
      </c>
      <c r="DF2" s="23">
        <v>4239.9</v>
      </c>
      <c r="DG2" s="23">
        <v>4331</v>
      </c>
      <c r="DH2" s="23">
        <v>4353</v>
      </c>
      <c r="DI2" s="23">
        <v>4276.3</v>
      </c>
      <c r="DJ2" s="23">
        <v>4227.9</v>
      </c>
      <c r="DK2" s="23">
        <v>4209.7</v>
      </c>
      <c r="DL2" s="23">
        <v>4129</v>
      </c>
      <c r="DM2" s="23">
        <v>4016.4</v>
      </c>
      <c r="DN2" s="23">
        <v>4041.6</v>
      </c>
      <c r="DO2" s="23">
        <v>4103</v>
      </c>
      <c r="DP2" s="23">
        <v>4030.5</v>
      </c>
      <c r="DQ2" s="23">
        <v>4021.8</v>
      </c>
      <c r="DR2" s="23">
        <v>4044.6</v>
      </c>
      <c r="DS2" s="23">
        <v>4135.5</v>
      </c>
      <c r="DT2" s="23">
        <v>4187.3</v>
      </c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</row>
    <row r="3" ht="13.5" customHeight="1" spans="1:247">
      <c r="D3" s="22" t="str">
        <f>[1]!s_info_name(E3)</f>
        <v>恒生科技</v>
      </c>
      <c r="E3" s="21" t="s">
        <v>29</v>
      </c>
      <c r="F3" s="23">
        <v>5741.63</v>
      </c>
      <c r="G3" s="23">
        <v>5825.26</v>
      </c>
      <c r="H3" s="23">
        <v>5738.52</v>
      </c>
      <c r="I3" s="23">
        <v>5678.34</v>
      </c>
      <c r="J3" s="23">
        <v>5687.14</v>
      </c>
      <c r="K3" s="23">
        <v>5863.2</v>
      </c>
      <c r="L3" s="23">
        <v>5869.79</v>
      </c>
      <c r="M3" s="23">
        <v>5908.26</v>
      </c>
      <c r="N3" s="23">
        <v>5828.35</v>
      </c>
      <c r="O3" s="23">
        <v>5822.18</v>
      </c>
      <c r="P3" s="23">
        <v>5749.98</v>
      </c>
      <c r="Q3" s="23">
        <v>5683.44</v>
      </c>
      <c r="R3" s="23">
        <v>5746.3</v>
      </c>
      <c r="S3" s="23">
        <v>5762.44</v>
      </c>
      <c r="T3" s="23">
        <v>5798.01</v>
      </c>
      <c r="U3" s="23">
        <v>5725.99</v>
      </c>
      <c r="V3" s="23">
        <v>5754.72</v>
      </c>
      <c r="W3" s="23">
        <v>5900.16</v>
      </c>
      <c r="X3" s="23">
        <v>5841.1</v>
      </c>
      <c r="Y3" s="23">
        <v>5718.18</v>
      </c>
      <c r="Z3" s="23">
        <v>5526.31</v>
      </c>
      <c r="AA3" s="23">
        <v>5467.26</v>
      </c>
      <c r="AB3" s="23">
        <v>5366.44</v>
      </c>
      <c r="AC3" s="23">
        <v>5406.13</v>
      </c>
      <c r="AD3" s="23">
        <v>5346.2</v>
      </c>
      <c r="AE3" s="23">
        <v>5417.6</v>
      </c>
      <c r="AF3" s="23">
        <v>5451.03</v>
      </c>
      <c r="AG3" s="23">
        <v>5499.99</v>
      </c>
      <c r="AH3" s="23">
        <v>5408.98</v>
      </c>
      <c r="AI3" s="23">
        <v>5360.42</v>
      </c>
      <c r="AJ3" s="23">
        <v>5270.7</v>
      </c>
      <c r="AK3" s="23">
        <v>5260.5</v>
      </c>
      <c r="AL3" s="23">
        <v>5109.33</v>
      </c>
      <c r="AM3" s="23">
        <v>5137.84</v>
      </c>
      <c r="AN3" s="23">
        <v>4989.37</v>
      </c>
      <c r="AO3" s="23">
        <v>4876.53</v>
      </c>
      <c r="AP3" s="23">
        <v>4829.5</v>
      </c>
      <c r="AQ3" s="23">
        <v>4796.33</v>
      </c>
      <c r="AR3" s="23">
        <v>4947.5</v>
      </c>
      <c r="AS3" s="23">
        <v>4941.73</v>
      </c>
      <c r="AT3" s="23">
        <v>5060.53</v>
      </c>
      <c r="AU3" s="23">
        <v>5054.85</v>
      </c>
      <c r="AV3" s="23">
        <v>5027.64</v>
      </c>
      <c r="AW3" s="23">
        <v>4978.08</v>
      </c>
      <c r="AX3" s="23">
        <v>5111.78</v>
      </c>
      <c r="AY3" s="23">
        <v>5107.64</v>
      </c>
      <c r="AZ3" s="23">
        <v>5108.3</v>
      </c>
      <c r="BA3" s="23">
        <v>4996.28</v>
      </c>
      <c r="BB3" s="23">
        <v>4872.38</v>
      </c>
      <c r="BC3" s="23">
        <v>4712.48</v>
      </c>
      <c r="BD3" s="23">
        <v>4830.89</v>
      </c>
      <c r="BE3" s="23">
        <v>4922.94</v>
      </c>
      <c r="BF3" s="23">
        <v>4761.54</v>
      </c>
      <c r="BG3" s="23">
        <v>4778.01</v>
      </c>
      <c r="BH3" s="23">
        <v>4690.08</v>
      </c>
      <c r="BI3" s="23">
        <v>4649.82</v>
      </c>
      <c r="BJ3" s="23">
        <v>4756.45</v>
      </c>
      <c r="BK3" s="23">
        <v>4679.1</v>
      </c>
      <c r="BL3" s="23"/>
      <c r="BM3" s="23"/>
      <c r="BN3" s="23">
        <v>4923.25</v>
      </c>
      <c r="BO3" s="23">
        <v>4821.67</v>
      </c>
      <c r="BP3" s="23">
        <v>4860.26</v>
      </c>
      <c r="BQ3" s="23">
        <v>4822.01</v>
      </c>
      <c r="BR3" s="23">
        <v>4851.96</v>
      </c>
      <c r="BS3" s="23">
        <v>4911.79</v>
      </c>
      <c r="BT3" s="23">
        <v>5092.08</v>
      </c>
      <c r="BU3" s="23">
        <v>5042.68</v>
      </c>
      <c r="BV3" s="23">
        <v>5065.63</v>
      </c>
      <c r="BW3" s="23">
        <v>5061.5</v>
      </c>
      <c r="BX3" s="23">
        <v>4963.94</v>
      </c>
      <c r="BY3" s="23">
        <v>4865.52</v>
      </c>
      <c r="BZ3" s="23">
        <v>4902.2</v>
      </c>
      <c r="CA3" s="23">
        <v>4939.84</v>
      </c>
      <c r="CB3" s="23">
        <v>4827.19</v>
      </c>
      <c r="CC3" s="23">
        <v>4910.02</v>
      </c>
      <c r="CD3" s="23">
        <v>4871.32</v>
      </c>
      <c r="CE3" s="23">
        <v>4969.2</v>
      </c>
      <c r="CF3" s="23">
        <v>5121.1</v>
      </c>
      <c r="CG3" s="23">
        <v>5102.79</v>
      </c>
      <c r="CH3" s="23">
        <v>5106.4</v>
      </c>
      <c r="CI3" s="23">
        <v>5070.61</v>
      </c>
      <c r="CJ3" s="23">
        <v>5093.85</v>
      </c>
      <c r="CK3" s="23">
        <v>5076.2</v>
      </c>
      <c r="CL3" s="23">
        <v>4941.14</v>
      </c>
      <c r="CM3" s="23">
        <v>4844.94</v>
      </c>
      <c r="CN3" s="23">
        <v>4857.46</v>
      </c>
      <c r="CO3" s="23">
        <v>4873.82</v>
      </c>
      <c r="CP3" s="23">
        <v>4768.9</v>
      </c>
      <c r="CQ3" s="23">
        <v>4869.57</v>
      </c>
      <c r="CR3" s="23"/>
      <c r="CS3" s="23">
        <v>4946.88</v>
      </c>
      <c r="CT3" s="23">
        <v>4907.57</v>
      </c>
      <c r="CU3" s="23">
        <v>4888.58</v>
      </c>
      <c r="CV3" s="23">
        <v>4884.23</v>
      </c>
      <c r="CW3" s="23">
        <v>4964.92</v>
      </c>
      <c r="CX3" s="23">
        <v>5199.28</v>
      </c>
      <c r="CY3" s="23">
        <v>5056.97</v>
      </c>
      <c r="CZ3" s="23">
        <v>4975.36</v>
      </c>
      <c r="DA3" s="23">
        <v>4888.39</v>
      </c>
      <c r="DB3" s="23">
        <v>4755.91</v>
      </c>
      <c r="DC3" s="23">
        <v>4769.61</v>
      </c>
      <c r="DD3" s="23">
        <v>4724.79</v>
      </c>
      <c r="DE3" s="23">
        <v>4655.74</v>
      </c>
      <c r="DF3" s="23">
        <v>4705.2</v>
      </c>
      <c r="DG3" s="23">
        <v>4765.58</v>
      </c>
      <c r="DH3" s="23">
        <v>4658.65</v>
      </c>
      <c r="DI3" s="23">
        <v>4669.07</v>
      </c>
      <c r="DJ3" s="23">
        <v>4604.35</v>
      </c>
      <c r="DK3" s="23">
        <v>4549.41</v>
      </c>
      <c r="DL3" s="23">
        <v>4399.22</v>
      </c>
      <c r="DM3" s="23">
        <v>4479.02</v>
      </c>
      <c r="DN3" s="23">
        <v>4405.92</v>
      </c>
      <c r="DO3" s="23">
        <v>4255.59</v>
      </c>
      <c r="DP3" s="23">
        <v>4393.01</v>
      </c>
      <c r="DQ3" s="23">
        <v>4472.23</v>
      </c>
      <c r="DR3" s="23"/>
      <c r="DS3" s="23">
        <v>4454.28</v>
      </c>
      <c r="DT3" s="23">
        <v>4499</v>
      </c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</row>
    <row r="4" ht="13.5" customHeight="1" spans="1:247">
      <c r="D4" s="22" t="str">
        <f>[1]!s_info_name(E4)</f>
        <v>创业板指</v>
      </c>
      <c r="E4" s="21" t="s">
        <v>18</v>
      </c>
      <c r="F4" s="23">
        <v>3294.5513</v>
      </c>
      <c r="G4" s="23">
        <v>3319.2914</v>
      </c>
      <c r="H4" s="23">
        <v>3329.6926</v>
      </c>
      <c r="I4" s="23">
        <v>3302.3067</v>
      </c>
      <c r="J4" s="23">
        <v>3327.8127</v>
      </c>
      <c r="K4" s="23">
        <v>3388.3407</v>
      </c>
      <c r="L4" s="23">
        <v>3321.8886</v>
      </c>
      <c r="M4" s="23">
        <v>3349.1376</v>
      </c>
      <c r="N4" s="23">
        <v>3367.9166</v>
      </c>
      <c r="O4" s="23">
        <v>3361.0167</v>
      </c>
      <c r="P4" s="23">
        <v>3337.6081</v>
      </c>
      <c r="Q4" s="23">
        <v>3277.979</v>
      </c>
      <c r="R4" s="23">
        <v>3295.5226</v>
      </c>
      <c r="S4" s="23">
        <v>3328.6471</v>
      </c>
      <c r="T4" s="23">
        <v>3349.5034</v>
      </c>
      <c r="U4" s="23">
        <v>3319.1489</v>
      </c>
      <c r="V4" s="23">
        <v>3342.5991</v>
      </c>
      <c r="W4" s="23">
        <v>3323.5619</v>
      </c>
      <c r="X4" s="23">
        <v>3304.5103</v>
      </c>
      <c r="Y4" s="23">
        <v>3346.3552</v>
      </c>
      <c r="Z4" s="23">
        <v>3264.1109</v>
      </c>
      <c r="AA4" s="23">
        <v>3324.8923</v>
      </c>
      <c r="AB4" s="23">
        <v>3311.5148</v>
      </c>
      <c r="AC4" s="23">
        <v>3260.2783</v>
      </c>
      <c r="AD4" s="23">
        <v>3236.4643</v>
      </c>
      <c r="AE4" s="23">
        <v>3332.7695</v>
      </c>
      <c r="AF4" s="23">
        <v>3320.537</v>
      </c>
      <c r="AG4" s="23">
        <v>3284.7352</v>
      </c>
      <c r="AH4" s="23">
        <v>3328.0624</v>
      </c>
      <c r="AI4" s="23">
        <v>3275.9584</v>
      </c>
      <c r="AJ4" s="23">
        <v>3308.2648</v>
      </c>
      <c r="AK4" s="23">
        <v>3354.819</v>
      </c>
      <c r="AL4" s="23">
        <v>3344.9823</v>
      </c>
      <c r="AM4" s="23">
        <v>3310.3049</v>
      </c>
      <c r="AN4" s="23">
        <v>3294.1611</v>
      </c>
      <c r="AO4" s="23">
        <v>3209.4819</v>
      </c>
      <c r="AP4" s="23">
        <v>3164.3714</v>
      </c>
      <c r="AQ4" s="23">
        <v>3216.9393</v>
      </c>
      <c r="AR4" s="23">
        <v>3229.3015</v>
      </c>
      <c r="AS4" s="23">
        <v>3208.5818</v>
      </c>
      <c r="AT4" s="23">
        <v>3306.1414</v>
      </c>
      <c r="AU4" s="23">
        <v>3349.5287</v>
      </c>
      <c r="AV4" s="23">
        <v>3317.5225</v>
      </c>
      <c r="AW4" s="23">
        <v>3310.2779</v>
      </c>
      <c r="AX4" s="23">
        <v>3357.0219</v>
      </c>
      <c r="AY4" s="23">
        <v>3280.0589</v>
      </c>
      <c r="AZ4" s="23">
        <v>3346.3651</v>
      </c>
      <c r="BA4" s="23">
        <v>3309.1033</v>
      </c>
      <c r="BB4" s="23">
        <v>3352.1026</v>
      </c>
      <c r="BC4" s="23">
        <v>3235.2207</v>
      </c>
      <c r="BD4" s="23">
        <v>3251.5453</v>
      </c>
      <c r="BE4" s="23">
        <v>3316.9714</v>
      </c>
      <c r="BF4" s="23">
        <v>3272.488</v>
      </c>
      <c r="BG4" s="23">
        <v>3295.8804</v>
      </c>
      <c r="BH4" s="23">
        <v>3273.3551</v>
      </c>
      <c r="BI4" s="23">
        <v>3184.9524</v>
      </c>
      <c r="BJ4" s="23">
        <v>3247.5229</v>
      </c>
      <c r="BK4" s="23">
        <v>3172.6494</v>
      </c>
      <c r="BL4" s="23">
        <v>3149.5962</v>
      </c>
      <c r="BM4" s="23">
        <v>3160.8157</v>
      </c>
      <c r="BN4" s="23">
        <v>3347.61</v>
      </c>
      <c r="BO4" s="23">
        <v>3323.2989</v>
      </c>
      <c r="BP4" s="23">
        <v>3448.787</v>
      </c>
      <c r="BQ4" s="23">
        <v>3476.4396</v>
      </c>
      <c r="BR4" s="23">
        <v>3558.5273</v>
      </c>
      <c r="BS4" s="23">
        <v>3514.9604</v>
      </c>
      <c r="BT4" s="23">
        <v>3626.271</v>
      </c>
      <c r="BU4" s="23">
        <v>3678.2934</v>
      </c>
      <c r="BV4" s="23">
        <v>3677.5758</v>
      </c>
      <c r="BW4" s="23">
        <v>3688.9372</v>
      </c>
      <c r="BX4" s="23">
        <v>3752.7591</v>
      </c>
      <c r="BY4" s="23">
        <v>3720.2474</v>
      </c>
      <c r="BZ4" s="23">
        <v>3667.7851</v>
      </c>
      <c r="CA4" s="23">
        <v>3648.788</v>
      </c>
      <c r="CB4" s="23">
        <v>3596.7118</v>
      </c>
      <c r="CC4" s="23">
        <v>3687.1681</v>
      </c>
      <c r="CD4" s="23">
        <v>3677.1485</v>
      </c>
      <c r="CE4" s="23">
        <v>3778.1595</v>
      </c>
      <c r="CF4" s="23">
        <v>3833.0572</v>
      </c>
      <c r="CG4" s="23">
        <v>3796.1283</v>
      </c>
      <c r="CH4" s="23">
        <v>3928.9739</v>
      </c>
      <c r="CI4" s="23">
        <v>3934.882</v>
      </c>
      <c r="CJ4" s="23">
        <v>4038.3327</v>
      </c>
      <c r="CK4" s="23">
        <v>3951.1404</v>
      </c>
      <c r="CL4" s="23">
        <v>3929.0642</v>
      </c>
      <c r="CM4" s="23">
        <v>3914.8753</v>
      </c>
      <c r="CN4" s="23">
        <v>3908.4374</v>
      </c>
      <c r="CO4" s="23">
        <v>3921.7894</v>
      </c>
      <c r="CP4" s="23">
        <v>3829.7786</v>
      </c>
      <c r="CQ4" s="23">
        <v>3938.502</v>
      </c>
      <c r="CR4" s="23">
        <v>4021.1602</v>
      </c>
      <c r="CS4" s="23">
        <v>4043.0658</v>
      </c>
      <c r="CT4" s="23">
        <v>4045.7731</v>
      </c>
      <c r="CU4" s="23">
        <v>4125.0749</v>
      </c>
      <c r="CV4" s="23">
        <v>4037.951</v>
      </c>
      <c r="CW4" s="23">
        <v>3950.9432</v>
      </c>
      <c r="CX4" s="23">
        <v>4055.8709</v>
      </c>
      <c r="CY4" s="23">
        <v>4122.987</v>
      </c>
      <c r="CZ4" s="23">
        <v>4088.884</v>
      </c>
      <c r="DA4" s="23">
        <v>3957.935</v>
      </c>
      <c r="DB4" s="23">
        <v>3811.7854</v>
      </c>
      <c r="DC4" s="23">
        <v>3961.7493</v>
      </c>
      <c r="DD4" s="23">
        <v>3854.7935</v>
      </c>
      <c r="DE4" s="23">
        <v>3811.246</v>
      </c>
      <c r="DF4" s="23">
        <v>3830.353</v>
      </c>
      <c r="DG4" s="23">
        <v>4033.5349</v>
      </c>
      <c r="DH4" s="23">
        <v>4102.9421</v>
      </c>
      <c r="DI4" s="23">
        <v>4167.0478</v>
      </c>
      <c r="DJ4" s="23">
        <v>4252.3903</v>
      </c>
      <c r="DK4" s="23">
        <v>4359.392</v>
      </c>
      <c r="DL4" s="23">
        <v>4192.1945</v>
      </c>
      <c r="DM4" s="23">
        <v>4251.4244</v>
      </c>
      <c r="DN4" s="23">
        <v>4371.9891</v>
      </c>
      <c r="DO4" s="23">
        <v>4194.2089</v>
      </c>
      <c r="DP4" s="23">
        <v>4216.6985</v>
      </c>
      <c r="DQ4" s="23">
        <v>4342.7123</v>
      </c>
      <c r="DR4" s="23">
        <v>4260.7208</v>
      </c>
      <c r="DS4" s="23">
        <v>4017.2735</v>
      </c>
      <c r="DT4" s="23">
        <v>4019.9341</v>
      </c>
      <c r="DU4" s="23"/>
      <c r="DV4" s="23"/>
      <c r="DW4" s="23"/>
      <c r="DX4" s="23"/>
      <c r="DY4" s="23"/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3"/>
      <c r="HZ4" s="23"/>
      <c r="IA4" s="23"/>
      <c r="IB4" s="23"/>
      <c r="IC4" s="23"/>
      <c r="ID4" s="23"/>
      <c r="IE4" s="23"/>
      <c r="IF4" s="23"/>
      <c r="IG4" s="23"/>
      <c r="IH4" s="23"/>
      <c r="II4" s="23"/>
      <c r="IJ4" s="23"/>
      <c r="IK4" s="23"/>
      <c r="IL4" s="23"/>
      <c r="IM4" s="23"/>
    </row>
    <row r="5" ht="13.5" customHeight="1" spans="1:247">
      <c r="D5" s="22" t="str">
        <f>[1]!s_info_name(E5)</f>
        <v>深证成指</v>
      </c>
      <c r="E5" s="21" t="s">
        <v>14</v>
      </c>
      <c r="F5" s="23">
        <v>13828.6296</v>
      </c>
      <c r="G5" s="23">
        <v>14022.552</v>
      </c>
      <c r="H5" s="23">
        <v>14030.5582</v>
      </c>
      <c r="I5" s="23">
        <v>13959.4825</v>
      </c>
      <c r="J5" s="23">
        <v>14120.1512</v>
      </c>
      <c r="K5" s="23">
        <v>14366.9078</v>
      </c>
      <c r="L5" s="23">
        <v>14169.3975</v>
      </c>
      <c r="M5" s="23">
        <v>14248.5982</v>
      </c>
      <c r="N5" s="23">
        <v>14306.7251</v>
      </c>
      <c r="O5" s="23">
        <v>14281.0801</v>
      </c>
      <c r="P5" s="23">
        <v>14294.0526</v>
      </c>
      <c r="Q5" s="23">
        <v>14155.6283</v>
      </c>
      <c r="R5" s="23">
        <v>14255.125</v>
      </c>
      <c r="S5" s="23">
        <v>14327.0451</v>
      </c>
      <c r="T5" s="23">
        <v>14439.6584</v>
      </c>
      <c r="U5" s="23">
        <v>14316.6368</v>
      </c>
      <c r="V5" s="23">
        <v>14329.906</v>
      </c>
      <c r="W5" s="23">
        <v>14342.8941</v>
      </c>
      <c r="X5" s="23">
        <v>14300.076</v>
      </c>
      <c r="Y5" s="23">
        <v>14205.8925</v>
      </c>
      <c r="Z5" s="23">
        <v>13824.3512</v>
      </c>
      <c r="AA5" s="23">
        <v>14127.1059</v>
      </c>
      <c r="AB5" s="23">
        <v>14156.2738</v>
      </c>
      <c r="AC5" s="23">
        <v>13952.7119</v>
      </c>
      <c r="AD5" s="23">
        <v>13906.7345</v>
      </c>
      <c r="AE5" s="23">
        <v>14208.4359</v>
      </c>
      <c r="AF5" s="23">
        <v>14210.6261</v>
      </c>
      <c r="AG5" s="23">
        <v>14160.9336</v>
      </c>
      <c r="AH5" s="23">
        <v>14282.9983</v>
      </c>
      <c r="AI5" s="23">
        <v>14100.1897</v>
      </c>
      <c r="AJ5" s="23">
        <v>14291.5657</v>
      </c>
      <c r="AK5" s="23">
        <v>14475.8653</v>
      </c>
      <c r="AL5" s="23">
        <v>14503.7865</v>
      </c>
      <c r="AM5" s="23">
        <v>14495.0923</v>
      </c>
      <c r="AN5" s="23">
        <v>14465.7884</v>
      </c>
      <c r="AO5" s="23">
        <v>14022.3914</v>
      </c>
      <c r="AP5" s="23">
        <v>13917.752</v>
      </c>
      <c r="AQ5" s="23">
        <v>14088.8384</v>
      </c>
      <c r="AR5" s="23">
        <v>14172.6271</v>
      </c>
      <c r="AS5" s="23">
        <v>14067.5025</v>
      </c>
      <c r="AT5" s="23">
        <v>14354.0736</v>
      </c>
      <c r="AU5" s="23">
        <v>14465.4098</v>
      </c>
      <c r="AV5" s="23">
        <v>14374.8711</v>
      </c>
      <c r="AW5" s="23">
        <v>14280.7798</v>
      </c>
      <c r="AX5" s="23">
        <v>14307.5773</v>
      </c>
      <c r="AY5" s="23">
        <v>14039.7303</v>
      </c>
      <c r="AZ5" s="23">
        <v>14187.7963</v>
      </c>
      <c r="BA5" s="23">
        <v>13901.5678</v>
      </c>
      <c r="BB5" s="23">
        <v>13866.2022</v>
      </c>
      <c r="BC5" s="23">
        <v>13345.5138</v>
      </c>
      <c r="BD5" s="23">
        <v>13536.5556</v>
      </c>
      <c r="BE5" s="23">
        <v>13801.0008</v>
      </c>
      <c r="BF5" s="23">
        <v>13606.4432</v>
      </c>
      <c r="BG5" s="23">
        <v>13760.369</v>
      </c>
      <c r="BH5" s="23">
        <v>13726.1905</v>
      </c>
      <c r="BI5" s="23">
        <v>13478.0554</v>
      </c>
      <c r="BJ5" s="23">
        <v>13706.5199</v>
      </c>
      <c r="BK5" s="23">
        <v>13486.9362</v>
      </c>
      <c r="BL5" s="23">
        <v>13352.9043</v>
      </c>
      <c r="BM5" s="23">
        <v>13400.412</v>
      </c>
      <c r="BN5" s="23">
        <v>14042.4964</v>
      </c>
      <c r="BO5" s="23">
        <v>13996.2652</v>
      </c>
      <c r="BP5" s="23">
        <v>14309.4718</v>
      </c>
      <c r="BQ5" s="23">
        <v>14407.8639</v>
      </c>
      <c r="BR5" s="23">
        <v>14639.9522</v>
      </c>
      <c r="BS5" s="23">
        <v>14498.4546</v>
      </c>
      <c r="BT5" s="23">
        <v>14796.3345</v>
      </c>
      <c r="BU5" s="23">
        <v>14885.4159</v>
      </c>
      <c r="BV5" s="23">
        <v>14966.7468</v>
      </c>
      <c r="BW5" s="23">
        <v>14982.1397</v>
      </c>
      <c r="BX5" s="23">
        <v>15177.2862</v>
      </c>
      <c r="BY5" s="23">
        <v>15043.4494</v>
      </c>
      <c r="BZ5" s="23">
        <v>14940.3003</v>
      </c>
      <c r="CA5" s="23">
        <v>14995.7483</v>
      </c>
      <c r="CB5" s="23">
        <v>14830.4552</v>
      </c>
      <c r="CC5" s="23">
        <v>15120.9227</v>
      </c>
      <c r="CD5" s="23">
        <v>15107.5532</v>
      </c>
      <c r="CE5" s="23">
        <v>15459.6166</v>
      </c>
      <c r="CF5" s="23">
        <v>15641.8855</v>
      </c>
      <c r="CG5" s="23">
        <v>15563.7971</v>
      </c>
      <c r="CH5" s="23">
        <v>15899.302</v>
      </c>
      <c r="CI5" s="23">
        <v>15824.9211</v>
      </c>
      <c r="CJ5" s="23">
        <v>16089.7491</v>
      </c>
      <c r="CK5" s="23">
        <v>15745.736</v>
      </c>
      <c r="CL5" s="23">
        <v>15561.372</v>
      </c>
      <c r="CM5" s="23">
        <v>15530.2295</v>
      </c>
      <c r="CN5" s="23">
        <v>15569.9072</v>
      </c>
      <c r="CO5" s="23">
        <v>15569.979</v>
      </c>
      <c r="CP5" s="23">
        <v>15247.2702</v>
      </c>
      <c r="CQ5" s="23">
        <v>15597.2969</v>
      </c>
      <c r="CR5" s="23">
        <v>15856.6102</v>
      </c>
      <c r="CS5" s="23">
        <v>15876.1628</v>
      </c>
      <c r="CT5" s="23">
        <v>15736.4688</v>
      </c>
      <c r="CU5" s="23">
        <v>15861.891</v>
      </c>
      <c r="CV5" s="23">
        <v>15575.1338</v>
      </c>
      <c r="CW5" s="23">
        <v>15340.3562</v>
      </c>
      <c r="CX5" s="23">
        <v>15591.1282</v>
      </c>
      <c r="CY5" s="23">
        <v>15704.7108</v>
      </c>
      <c r="CZ5" s="23">
        <v>15661.574</v>
      </c>
      <c r="DA5" s="23">
        <v>15314.7002</v>
      </c>
      <c r="DB5" s="23">
        <v>14821.1861</v>
      </c>
      <c r="DC5" s="23">
        <v>15268.7147</v>
      </c>
      <c r="DD5" s="23">
        <v>14954.1008</v>
      </c>
      <c r="DE5" s="23">
        <v>14851.9751</v>
      </c>
      <c r="DF5" s="23">
        <v>14963.4073</v>
      </c>
      <c r="DG5" s="23">
        <v>15531.1095</v>
      </c>
      <c r="DH5" s="23">
        <v>15675.2457</v>
      </c>
      <c r="DI5" s="23">
        <v>15880.9507</v>
      </c>
      <c r="DJ5" s="23">
        <v>16030.7024</v>
      </c>
      <c r="DK5" s="23">
        <v>16372.4987</v>
      </c>
      <c r="DL5" s="23">
        <v>15854.1963</v>
      </c>
      <c r="DM5" s="23">
        <v>16051.3193</v>
      </c>
      <c r="DN5" s="23">
        <v>16344.0829</v>
      </c>
      <c r="DO5" s="23">
        <v>15782.2229</v>
      </c>
      <c r="DP5" s="23">
        <v>15812.8707</v>
      </c>
      <c r="DQ5" s="23">
        <v>16205.5565</v>
      </c>
      <c r="DR5" s="23">
        <v>16119.1683</v>
      </c>
      <c r="DS5" s="23">
        <v>15498.8101</v>
      </c>
      <c r="DT5" s="23">
        <v>15597.5116</v>
      </c>
      <c r="DU5" s="23"/>
      <c r="DV5" s="23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/>
      <c r="GH5" s="23"/>
      <c r="GI5" s="23"/>
      <c r="GJ5" s="23"/>
      <c r="GK5" s="23"/>
      <c r="GL5" s="23"/>
      <c r="GM5" s="23"/>
      <c r="GN5" s="23"/>
      <c r="GO5" s="23"/>
      <c r="GP5" s="23"/>
      <c r="GQ5" s="23"/>
      <c r="GR5" s="23"/>
      <c r="GS5" s="23"/>
      <c r="GT5" s="23"/>
      <c r="GU5" s="23"/>
      <c r="GV5" s="23"/>
      <c r="GW5" s="23"/>
      <c r="GX5" s="23"/>
      <c r="GY5" s="23"/>
      <c r="GZ5" s="23"/>
      <c r="HA5" s="23"/>
      <c r="HB5" s="23"/>
      <c r="HC5" s="23"/>
      <c r="HD5" s="23"/>
      <c r="HE5" s="23"/>
      <c r="HF5" s="23"/>
      <c r="HG5" s="23"/>
      <c r="HH5" s="23"/>
      <c r="HI5" s="23"/>
      <c r="HJ5" s="23"/>
      <c r="HK5" s="23"/>
      <c r="HL5" s="23"/>
      <c r="HM5" s="23"/>
      <c r="HN5" s="23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</row>
    <row r="6" ht="13.5" customHeight="1" spans="1:247">
      <c r="D6" s="22" t="str">
        <f>[1]!s_info_name(E6)</f>
        <v>沪深300</v>
      </c>
      <c r="E6" s="21" t="s">
        <v>16</v>
      </c>
      <c r="F6" s="23">
        <v>4717.7457</v>
      </c>
      <c r="G6" s="23">
        <v>4790.6938</v>
      </c>
      <c r="H6" s="23">
        <v>4776.6658</v>
      </c>
      <c r="I6" s="23">
        <v>4737.6536</v>
      </c>
      <c r="J6" s="23">
        <v>4758.9221</v>
      </c>
      <c r="K6" s="23">
        <v>4789.9155</v>
      </c>
      <c r="L6" s="23">
        <v>4761.0324</v>
      </c>
      <c r="M6" s="23">
        <v>4741.9306</v>
      </c>
      <c r="N6" s="23">
        <v>4751.4293</v>
      </c>
      <c r="O6" s="23">
        <v>4731.8728</v>
      </c>
      <c r="P6" s="23">
        <v>4734.4556</v>
      </c>
      <c r="Q6" s="23">
        <v>4718.8782</v>
      </c>
      <c r="R6" s="23">
        <v>4723.0692</v>
      </c>
      <c r="S6" s="23">
        <v>4723.7091</v>
      </c>
      <c r="T6" s="23">
        <v>4702.4966</v>
      </c>
      <c r="U6" s="23">
        <v>4706.964</v>
      </c>
      <c r="V6" s="23">
        <v>4705.6918</v>
      </c>
      <c r="W6" s="23">
        <v>4717.9914</v>
      </c>
      <c r="X6" s="23">
        <v>4753.8697</v>
      </c>
      <c r="Y6" s="23">
        <v>4706.3401</v>
      </c>
      <c r="Z6" s="23">
        <v>4605.9799</v>
      </c>
      <c r="AA6" s="23">
        <v>4660.1074</v>
      </c>
      <c r="AB6" s="23">
        <v>4698.6832</v>
      </c>
      <c r="AC6" s="23">
        <v>4670.4188</v>
      </c>
      <c r="AD6" s="23">
        <v>4643.5959</v>
      </c>
      <c r="AE6" s="23">
        <v>4719.0559</v>
      </c>
      <c r="AF6" s="23">
        <v>4724.2956</v>
      </c>
      <c r="AG6" s="23">
        <v>4713.8185</v>
      </c>
      <c r="AH6" s="23">
        <v>4719.578</v>
      </c>
      <c r="AI6" s="23">
        <v>4660.4056</v>
      </c>
      <c r="AJ6" s="23">
        <v>4707.544</v>
      </c>
      <c r="AK6" s="23">
        <v>4735.8858</v>
      </c>
      <c r="AL6" s="23">
        <v>4726.8739</v>
      </c>
      <c r="AM6" s="23">
        <v>4710.6469</v>
      </c>
      <c r="AN6" s="23">
        <v>4728.6688</v>
      </c>
      <c r="AO6" s="23">
        <v>4655.8962</v>
      </c>
      <c r="AP6" s="23">
        <v>4602.6247</v>
      </c>
      <c r="AQ6" s="23">
        <v>4647.6921</v>
      </c>
      <c r="AR6" s="23">
        <v>4660.439</v>
      </c>
      <c r="AS6" s="23">
        <v>4615.4551</v>
      </c>
      <c r="AT6" s="23">
        <v>4674.7562</v>
      </c>
      <c r="AU6" s="23">
        <v>4704.4959</v>
      </c>
      <c r="AV6" s="23">
        <v>4687.5601</v>
      </c>
      <c r="AW6" s="23">
        <v>4669.14</v>
      </c>
      <c r="AX6" s="23">
        <v>4671.5591</v>
      </c>
      <c r="AY6" s="23">
        <v>4637.4392</v>
      </c>
      <c r="AZ6" s="23">
        <v>4658.3324</v>
      </c>
      <c r="BA6" s="23">
        <v>4583.2511</v>
      </c>
      <c r="BB6" s="23">
        <v>4567.0179</v>
      </c>
      <c r="BC6" s="23">
        <v>4417.9971</v>
      </c>
      <c r="BD6" s="23">
        <v>4474.7224</v>
      </c>
      <c r="BE6" s="23">
        <v>4537.4656</v>
      </c>
      <c r="BF6" s="23">
        <v>4477.5343</v>
      </c>
      <c r="BG6" s="23">
        <v>4502.5698</v>
      </c>
      <c r="BH6" s="23">
        <v>4491.95</v>
      </c>
      <c r="BI6" s="23">
        <v>4450.0493</v>
      </c>
      <c r="BJ6" s="23">
        <v>4526.0668</v>
      </c>
      <c r="BK6" s="23">
        <v>4478.9141</v>
      </c>
      <c r="BL6" s="23">
        <v>4440.7889</v>
      </c>
      <c r="BM6" s="23">
        <v>4440.6162</v>
      </c>
      <c r="BN6" s="23">
        <v>4595.556</v>
      </c>
      <c r="BO6" s="23">
        <v>4566.2237</v>
      </c>
      <c r="BP6" s="23">
        <v>4636.5655</v>
      </c>
      <c r="BQ6" s="23">
        <v>4646.1546</v>
      </c>
      <c r="BR6" s="23">
        <v>4701.2837</v>
      </c>
      <c r="BS6" s="23">
        <v>4685.2464</v>
      </c>
      <c r="BT6" s="23">
        <v>4736.6077</v>
      </c>
      <c r="BU6" s="23">
        <v>4728.6716</v>
      </c>
      <c r="BV6" s="23">
        <v>4757.4419</v>
      </c>
      <c r="BW6" s="23">
        <v>4767.997</v>
      </c>
      <c r="BX6" s="23">
        <v>4799.627</v>
      </c>
      <c r="BY6" s="23">
        <v>4786.3273</v>
      </c>
      <c r="BZ6" s="23">
        <v>4769.3688</v>
      </c>
      <c r="CA6" s="23">
        <v>4770.9469</v>
      </c>
      <c r="CB6" s="23">
        <v>4758.2083</v>
      </c>
      <c r="CC6" s="23">
        <v>4810.3468</v>
      </c>
      <c r="CD6" s="23">
        <v>4807.3069</v>
      </c>
      <c r="CE6" s="23">
        <v>4877.0932</v>
      </c>
      <c r="CF6" s="23">
        <v>4900.5098</v>
      </c>
      <c r="CG6" s="23">
        <v>4871.9122</v>
      </c>
      <c r="CH6" s="23">
        <v>4951.8366</v>
      </c>
      <c r="CI6" s="23">
        <v>4948.0465</v>
      </c>
      <c r="CJ6" s="23">
        <v>4998.3417</v>
      </c>
      <c r="CK6" s="23">
        <v>4914.5971</v>
      </c>
      <c r="CL6" s="23">
        <v>4859.5927</v>
      </c>
      <c r="CM6" s="23">
        <v>4833.5237</v>
      </c>
      <c r="CN6" s="23">
        <v>4852.8832</v>
      </c>
      <c r="CO6" s="23">
        <v>4850.7</v>
      </c>
      <c r="CP6" s="23">
        <v>4783.0976</v>
      </c>
      <c r="CQ6" s="23">
        <v>4845.0956</v>
      </c>
      <c r="CR6" s="23">
        <v>4921.5974</v>
      </c>
      <c r="CS6" s="23">
        <v>4947.8493</v>
      </c>
      <c r="CT6" s="23">
        <v>4908.1714</v>
      </c>
      <c r="CU6" s="23">
        <v>4914.2133</v>
      </c>
      <c r="CV6" s="23">
        <v>4892.1213</v>
      </c>
      <c r="CW6" s="23">
        <v>4844.2556</v>
      </c>
      <c r="CX6" s="23">
        <v>4914.5591</v>
      </c>
      <c r="CY6" s="23">
        <v>4938.8091</v>
      </c>
      <c r="CZ6" s="23">
        <v>4904.7454</v>
      </c>
      <c r="DA6" s="23">
        <v>4816.9199</v>
      </c>
      <c r="DB6" s="23">
        <v>4713.6358</v>
      </c>
      <c r="DC6" s="23">
        <v>4801.8106</v>
      </c>
      <c r="DD6" s="23">
        <v>4748.5932</v>
      </c>
      <c r="DE6" s="23">
        <v>4722.4122</v>
      </c>
      <c r="DF6" s="23">
        <v>4777.3206</v>
      </c>
      <c r="DG6" s="23">
        <v>4891.7126</v>
      </c>
      <c r="DH6" s="23">
        <v>4884.2322</v>
      </c>
      <c r="DI6" s="23">
        <v>4931.3861</v>
      </c>
      <c r="DJ6" s="23">
        <v>4941.5986</v>
      </c>
      <c r="DK6" s="23">
        <v>5059.6582</v>
      </c>
      <c r="DL6" s="23">
        <v>4919.386</v>
      </c>
      <c r="DM6" s="23">
        <v>4943.0197</v>
      </c>
      <c r="DN6" s="23">
        <v>5020.1038</v>
      </c>
      <c r="DO6" s="23">
        <v>4868.2205</v>
      </c>
      <c r="DP6" s="23">
        <v>4926.921</v>
      </c>
      <c r="DQ6" s="23">
        <v>4979.4328</v>
      </c>
      <c r="DR6" s="23">
        <v>4958.9773</v>
      </c>
      <c r="DS6" s="23">
        <v>4812.2957</v>
      </c>
      <c r="DT6" s="23">
        <v>4842.1737</v>
      </c>
      <c r="DU6" s="23"/>
      <c r="DV6" s="23"/>
      <c r="DW6" s="23"/>
      <c r="DX6" s="23"/>
      <c r="DY6" s="23"/>
      <c r="DZ6" s="23"/>
      <c r="EA6" s="23"/>
      <c r="EB6" s="23"/>
      <c r="EC6" s="23"/>
      <c r="ED6" s="23"/>
      <c r="EE6" s="23"/>
      <c r="EF6" s="23"/>
      <c r="EG6" s="23"/>
      <c r="EH6" s="23"/>
      <c r="EI6" s="23"/>
      <c r="EJ6" s="23"/>
      <c r="EK6" s="23"/>
      <c r="EL6" s="23"/>
      <c r="EM6" s="23"/>
      <c r="EN6" s="23"/>
      <c r="EO6" s="23"/>
      <c r="EP6" s="23"/>
      <c r="EQ6" s="23"/>
      <c r="ER6" s="23"/>
      <c r="ES6" s="23"/>
      <c r="ET6" s="23"/>
      <c r="EU6" s="23"/>
      <c r="EV6" s="23"/>
      <c r="EW6" s="23"/>
      <c r="EX6" s="23"/>
      <c r="EY6" s="23"/>
      <c r="EZ6" s="23"/>
      <c r="FA6" s="23"/>
      <c r="FB6" s="23"/>
      <c r="FC6" s="23"/>
      <c r="FD6" s="23"/>
      <c r="FE6" s="23"/>
      <c r="FF6" s="23"/>
      <c r="FG6" s="23"/>
      <c r="FH6" s="23"/>
      <c r="FI6" s="23"/>
      <c r="FJ6" s="23"/>
      <c r="FK6" s="23"/>
      <c r="FL6" s="23"/>
      <c r="FM6" s="23"/>
      <c r="FN6" s="23"/>
      <c r="FO6" s="23"/>
      <c r="FP6" s="23"/>
      <c r="FQ6" s="23"/>
      <c r="FR6" s="23"/>
      <c r="FS6" s="23"/>
      <c r="FT6" s="23"/>
      <c r="FU6" s="23"/>
      <c r="FV6" s="23"/>
      <c r="FW6" s="23"/>
      <c r="FX6" s="23"/>
      <c r="FY6" s="23"/>
      <c r="FZ6" s="23"/>
      <c r="GA6" s="23"/>
      <c r="GB6" s="23"/>
      <c r="GC6" s="23"/>
      <c r="GD6" s="23"/>
      <c r="GE6" s="23"/>
      <c r="GF6" s="23"/>
      <c r="GG6" s="23"/>
      <c r="GH6" s="23"/>
      <c r="GI6" s="23"/>
      <c r="GJ6" s="23"/>
      <c r="GK6" s="23"/>
      <c r="GL6" s="23"/>
      <c r="GM6" s="23"/>
      <c r="GN6" s="23"/>
      <c r="GO6" s="23"/>
      <c r="GP6" s="23"/>
      <c r="GQ6" s="23"/>
      <c r="GR6" s="23"/>
      <c r="GS6" s="23"/>
      <c r="GT6" s="23"/>
      <c r="GU6" s="23"/>
      <c r="GV6" s="23"/>
      <c r="GW6" s="23"/>
      <c r="GX6" s="23"/>
      <c r="GY6" s="23"/>
      <c r="GZ6" s="23"/>
      <c r="HA6" s="23"/>
      <c r="HB6" s="23"/>
      <c r="HC6" s="23"/>
      <c r="HD6" s="23"/>
      <c r="HE6" s="23"/>
      <c r="HF6" s="23"/>
      <c r="HG6" s="23"/>
      <c r="HH6" s="23"/>
      <c r="HI6" s="23"/>
      <c r="HJ6" s="23"/>
      <c r="HK6" s="23"/>
      <c r="HL6" s="23"/>
      <c r="HM6" s="23"/>
      <c r="HN6" s="23"/>
      <c r="HO6" s="23"/>
      <c r="HP6" s="23"/>
      <c r="HQ6" s="23"/>
      <c r="HR6" s="23"/>
      <c r="HS6" s="23"/>
      <c r="HT6" s="23"/>
      <c r="HU6" s="23"/>
      <c r="HV6" s="23"/>
      <c r="HW6" s="23"/>
      <c r="HX6" s="23"/>
      <c r="HY6" s="23"/>
      <c r="HZ6" s="23"/>
      <c r="IA6" s="23"/>
      <c r="IB6" s="23"/>
      <c r="IC6" s="23"/>
      <c r="ID6" s="23"/>
      <c r="IE6" s="23"/>
      <c r="IF6" s="23"/>
      <c r="IG6" s="23"/>
      <c r="IH6" s="23"/>
      <c r="II6" s="23"/>
      <c r="IJ6" s="23"/>
      <c r="IK6" s="23"/>
      <c r="IL6" s="23"/>
      <c r="IM6" s="23"/>
    </row>
    <row r="7" ht="13.5" customHeight="1" spans="1:247">
      <c r="D7" s="22" t="str">
        <f>[1]!s_info_name(E7)</f>
        <v>上证指数</v>
      </c>
      <c r="E7" s="21" t="s">
        <v>11</v>
      </c>
      <c r="F7" s="23">
        <v>4023.4167</v>
      </c>
      <c r="G7" s="23">
        <v>4083.6672</v>
      </c>
      <c r="H7" s="23">
        <v>4085.7723</v>
      </c>
      <c r="I7" s="23">
        <v>4082.9788</v>
      </c>
      <c r="J7" s="23">
        <v>4120.426</v>
      </c>
      <c r="K7" s="23">
        <v>4165.287</v>
      </c>
      <c r="L7" s="23">
        <v>4138.7585</v>
      </c>
      <c r="M7" s="23">
        <v>4126.0932</v>
      </c>
      <c r="N7" s="23">
        <v>4112.6012</v>
      </c>
      <c r="O7" s="23">
        <v>4101.9127</v>
      </c>
      <c r="P7" s="23">
        <v>4114.0001</v>
      </c>
      <c r="Q7" s="23">
        <v>4113.649</v>
      </c>
      <c r="R7" s="23">
        <v>4116.94</v>
      </c>
      <c r="S7" s="23">
        <v>4122.576</v>
      </c>
      <c r="T7" s="23">
        <v>4136.1642</v>
      </c>
      <c r="U7" s="23">
        <v>4132.6052</v>
      </c>
      <c r="V7" s="23">
        <v>4139.9041</v>
      </c>
      <c r="W7" s="23">
        <v>4151.2378</v>
      </c>
      <c r="X7" s="23">
        <v>4157.9845</v>
      </c>
      <c r="Y7" s="23">
        <v>4117.9476</v>
      </c>
      <c r="Z7" s="23">
        <v>4015.7464</v>
      </c>
      <c r="AA7" s="23">
        <v>4067.7379</v>
      </c>
      <c r="AB7" s="23">
        <v>4102.202</v>
      </c>
      <c r="AC7" s="23">
        <v>4075.9167</v>
      </c>
      <c r="AD7" s="23">
        <v>4065.5834</v>
      </c>
      <c r="AE7" s="23">
        <v>4123.0897</v>
      </c>
      <c r="AF7" s="23">
        <v>4128.3731</v>
      </c>
      <c r="AG7" s="23">
        <v>4131.985</v>
      </c>
      <c r="AH7" s="23">
        <v>4134.0178</v>
      </c>
      <c r="AI7" s="23">
        <v>4082.0726</v>
      </c>
      <c r="AJ7" s="23">
        <v>4117.4089</v>
      </c>
      <c r="AK7" s="23">
        <v>4147.2305</v>
      </c>
      <c r="AL7" s="23">
        <v>4146.6311</v>
      </c>
      <c r="AM7" s="23">
        <v>4162.8815</v>
      </c>
      <c r="AN7" s="23">
        <v>4182.5909</v>
      </c>
      <c r="AO7" s="23">
        <v>4122.676</v>
      </c>
      <c r="AP7" s="23">
        <v>4082.474</v>
      </c>
      <c r="AQ7" s="23">
        <v>4108.567</v>
      </c>
      <c r="AR7" s="23">
        <v>4124.194</v>
      </c>
      <c r="AS7" s="23">
        <v>4096.6023</v>
      </c>
      <c r="AT7" s="23">
        <v>4123.138</v>
      </c>
      <c r="AU7" s="23">
        <v>4133.4331</v>
      </c>
      <c r="AV7" s="23">
        <v>4129.1026</v>
      </c>
      <c r="AW7" s="23">
        <v>4095.4485</v>
      </c>
      <c r="AX7" s="23">
        <v>4084.7858</v>
      </c>
      <c r="AY7" s="23">
        <v>4049.9073</v>
      </c>
      <c r="AZ7" s="23">
        <v>4062.9844</v>
      </c>
      <c r="BA7" s="23">
        <v>4006.5523</v>
      </c>
      <c r="BB7" s="23">
        <v>3957.0527</v>
      </c>
      <c r="BC7" s="23">
        <v>3813.2829</v>
      </c>
      <c r="BD7" s="23">
        <v>3881.2797</v>
      </c>
      <c r="BE7" s="23">
        <v>3931.8375</v>
      </c>
      <c r="BF7" s="23">
        <v>3889.0835</v>
      </c>
      <c r="BG7" s="23">
        <v>3913.7238</v>
      </c>
      <c r="BH7" s="23">
        <v>3923.2869</v>
      </c>
      <c r="BI7" s="23">
        <v>3891.8605</v>
      </c>
      <c r="BJ7" s="23">
        <v>3948.5521</v>
      </c>
      <c r="BK7" s="23">
        <v>3919.2852</v>
      </c>
      <c r="BL7" s="23">
        <v>3880.0967</v>
      </c>
      <c r="BM7" s="23">
        <v>3890.1645</v>
      </c>
      <c r="BN7" s="23">
        <v>3994.9975</v>
      </c>
      <c r="BO7" s="23">
        <v>3966.1712</v>
      </c>
      <c r="BP7" s="23">
        <v>3986.2247</v>
      </c>
      <c r="BQ7" s="23">
        <v>3988.558</v>
      </c>
      <c r="BR7" s="23">
        <v>4026.6256</v>
      </c>
      <c r="BS7" s="23">
        <v>4027.2095</v>
      </c>
      <c r="BT7" s="23">
        <v>4055.5468</v>
      </c>
      <c r="BU7" s="23">
        <v>4051.4254</v>
      </c>
      <c r="BV7" s="23">
        <v>4082.1271</v>
      </c>
      <c r="BW7" s="23">
        <v>4085.0766</v>
      </c>
      <c r="BX7" s="23">
        <v>4106.2581</v>
      </c>
      <c r="BY7" s="23">
        <v>4093.2501</v>
      </c>
      <c r="BZ7" s="23">
        <v>4079.9004</v>
      </c>
      <c r="CA7" s="23">
        <v>4086.3442</v>
      </c>
      <c r="CB7" s="23">
        <v>4078.6374</v>
      </c>
      <c r="CC7" s="23">
        <v>4107.5144</v>
      </c>
      <c r="CD7" s="23">
        <v>4112.1593</v>
      </c>
      <c r="CE7" s="23">
        <v>4160.1737</v>
      </c>
      <c r="CF7" s="23">
        <v>4180.0922</v>
      </c>
      <c r="CG7" s="23">
        <v>4179.9524</v>
      </c>
      <c r="CH7" s="23">
        <v>4225.0207</v>
      </c>
      <c r="CI7" s="23">
        <v>4214.4891</v>
      </c>
      <c r="CJ7" s="23">
        <v>4242.572</v>
      </c>
      <c r="CK7" s="23">
        <v>4177.9175</v>
      </c>
      <c r="CL7" s="23">
        <v>4135.3894</v>
      </c>
      <c r="CM7" s="23">
        <v>4131.5276</v>
      </c>
      <c r="CN7" s="23">
        <v>4169.5378</v>
      </c>
      <c r="CO7" s="23">
        <v>4162.1845</v>
      </c>
      <c r="CP7" s="23">
        <v>4077.2765</v>
      </c>
      <c r="CQ7" s="23">
        <v>4112.8996</v>
      </c>
      <c r="CR7" s="23">
        <v>4152.5686</v>
      </c>
      <c r="CS7" s="23">
        <v>4145.373</v>
      </c>
      <c r="CT7" s="23">
        <v>4093.7266</v>
      </c>
      <c r="CU7" s="23">
        <v>4098.6358</v>
      </c>
      <c r="CV7" s="23">
        <v>4068.5691</v>
      </c>
      <c r="CW7" s="23">
        <v>4057.74</v>
      </c>
      <c r="CX7" s="23">
        <v>4075.1016</v>
      </c>
      <c r="CY7" s="23">
        <v>4083.974</v>
      </c>
      <c r="CZ7" s="23">
        <v>4057.7811</v>
      </c>
      <c r="DA7" s="23">
        <v>4027.7362</v>
      </c>
      <c r="DB7" s="23">
        <v>3959.3378</v>
      </c>
      <c r="DC7" s="23">
        <v>4010.0307</v>
      </c>
      <c r="DD7" s="23">
        <v>3993.2258</v>
      </c>
      <c r="DE7" s="23">
        <v>3987.0147</v>
      </c>
      <c r="DF7" s="23">
        <v>4031.5129</v>
      </c>
      <c r="DG7" s="23">
        <v>4096.4717</v>
      </c>
      <c r="DH7" s="23">
        <v>4091.8917</v>
      </c>
      <c r="DI7" s="23">
        <v>4108.0762</v>
      </c>
      <c r="DJ7" s="23">
        <v>4090.4813</v>
      </c>
      <c r="DK7" s="23">
        <v>4163.0965</v>
      </c>
      <c r="DL7" s="23">
        <v>4106.2517</v>
      </c>
      <c r="DM7" s="23">
        <v>4110.8134</v>
      </c>
      <c r="DN7" s="23">
        <v>4120.2806</v>
      </c>
      <c r="DO7" s="23">
        <v>4027.2648</v>
      </c>
      <c r="DP7" s="23">
        <v>4073.9017</v>
      </c>
      <c r="DQ7" s="23">
        <v>4094.3972</v>
      </c>
      <c r="DR7" s="23">
        <v>4112.4453</v>
      </c>
      <c r="DS7" s="23">
        <v>4028.9038</v>
      </c>
      <c r="DT7" s="23">
        <v>4043.6432</v>
      </c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</row>
    <row r="8" ht="13.5" customHeight="1" spans="1:247">
      <c r="D8" s="22" t="str">
        <f>[1]!s_info_name(E8)</f>
        <v>恒生指数</v>
      </c>
      <c r="E8" s="21" t="s">
        <v>27</v>
      </c>
      <c r="F8" s="23">
        <v>26347.24</v>
      </c>
      <c r="G8" s="23">
        <v>26710.45</v>
      </c>
      <c r="H8" s="23">
        <v>26458.95</v>
      </c>
      <c r="I8" s="23">
        <v>26149.31</v>
      </c>
      <c r="J8" s="23">
        <v>26231.79</v>
      </c>
      <c r="K8" s="23">
        <v>26608.48</v>
      </c>
      <c r="L8" s="23">
        <v>26848.47</v>
      </c>
      <c r="M8" s="23">
        <v>26999.81</v>
      </c>
      <c r="N8" s="23">
        <v>26923.62</v>
      </c>
      <c r="O8" s="23">
        <v>26844.96</v>
      </c>
      <c r="P8" s="23">
        <v>26563.9</v>
      </c>
      <c r="Q8" s="23">
        <v>26487.51</v>
      </c>
      <c r="R8" s="23">
        <v>26585.06</v>
      </c>
      <c r="S8" s="23">
        <v>26629.96</v>
      </c>
      <c r="T8" s="23">
        <v>26749.51</v>
      </c>
      <c r="U8" s="23">
        <v>26765.52</v>
      </c>
      <c r="V8" s="23">
        <v>27126.95</v>
      </c>
      <c r="W8" s="23">
        <v>27826.91</v>
      </c>
      <c r="X8" s="23">
        <v>27968.09</v>
      </c>
      <c r="Y8" s="23">
        <v>27387.11</v>
      </c>
      <c r="Z8" s="23">
        <v>26775.57</v>
      </c>
      <c r="AA8" s="23">
        <v>26834.77</v>
      </c>
      <c r="AB8" s="23">
        <v>26847.32</v>
      </c>
      <c r="AC8" s="23">
        <v>26885.24</v>
      </c>
      <c r="AD8" s="23">
        <v>26559.95</v>
      </c>
      <c r="AE8" s="23">
        <v>27027.16</v>
      </c>
      <c r="AF8" s="23">
        <v>27183.15</v>
      </c>
      <c r="AG8" s="23">
        <v>27266.38</v>
      </c>
      <c r="AH8" s="23">
        <v>27032.54</v>
      </c>
      <c r="AI8" s="23">
        <v>26567.12</v>
      </c>
      <c r="AJ8" s="23">
        <v>26590.32</v>
      </c>
      <c r="AK8" s="23">
        <v>26765.72</v>
      </c>
      <c r="AL8" s="23">
        <v>26381.02</v>
      </c>
      <c r="AM8" s="23">
        <v>26630.54</v>
      </c>
      <c r="AN8" s="23">
        <v>26059.85</v>
      </c>
      <c r="AO8" s="23">
        <v>25768.08</v>
      </c>
      <c r="AP8" s="23">
        <v>25249.48</v>
      </c>
      <c r="AQ8" s="23">
        <v>25321.34</v>
      </c>
      <c r="AR8" s="23">
        <v>25757.29</v>
      </c>
      <c r="AS8" s="23">
        <v>25408.46</v>
      </c>
      <c r="AT8" s="23">
        <v>25959.9</v>
      </c>
      <c r="AU8" s="23">
        <v>25898.76</v>
      </c>
      <c r="AV8" s="23">
        <v>25716.76</v>
      </c>
      <c r="AW8" s="23">
        <v>25465.6</v>
      </c>
      <c r="AX8" s="23">
        <v>25834.02</v>
      </c>
      <c r="AY8" s="23">
        <v>25868.54</v>
      </c>
      <c r="AZ8" s="23">
        <v>26025.42</v>
      </c>
      <c r="BA8" s="23">
        <v>25500.58</v>
      </c>
      <c r="BB8" s="23">
        <v>25277.32</v>
      </c>
      <c r="BC8" s="23">
        <v>24382.47</v>
      </c>
      <c r="BD8" s="23">
        <v>25063.71</v>
      </c>
      <c r="BE8" s="23">
        <v>25335.95</v>
      </c>
      <c r="BF8" s="23">
        <v>24856.43</v>
      </c>
      <c r="BG8" s="23">
        <v>24951.88</v>
      </c>
      <c r="BH8" s="23">
        <v>24750.79</v>
      </c>
      <c r="BI8" s="23">
        <v>24788.14</v>
      </c>
      <c r="BJ8" s="23">
        <v>25294.03</v>
      </c>
      <c r="BK8" s="23">
        <v>25116.53</v>
      </c>
      <c r="BL8" s="23"/>
      <c r="BM8" s="23"/>
      <c r="BN8" s="23">
        <v>25893.02</v>
      </c>
      <c r="BO8" s="23">
        <v>25752.4</v>
      </c>
      <c r="BP8" s="23">
        <v>25893.54</v>
      </c>
      <c r="BQ8" s="23">
        <v>25660.85</v>
      </c>
      <c r="BR8" s="23">
        <v>25872.32</v>
      </c>
      <c r="BS8" s="23">
        <v>25947.32</v>
      </c>
      <c r="BT8" s="23">
        <v>26394.26</v>
      </c>
      <c r="BU8" s="23">
        <v>26160.33</v>
      </c>
      <c r="BV8" s="23">
        <v>26361.07</v>
      </c>
      <c r="BW8" s="23">
        <v>26487.48</v>
      </c>
      <c r="BX8" s="23">
        <v>26163.24</v>
      </c>
      <c r="BY8" s="23">
        <v>25915.2</v>
      </c>
      <c r="BZ8" s="23">
        <v>25978.07</v>
      </c>
      <c r="CA8" s="23">
        <v>25925.65</v>
      </c>
      <c r="CB8" s="23">
        <v>25679.78</v>
      </c>
      <c r="CC8" s="23">
        <v>26111.84</v>
      </c>
      <c r="CD8" s="23">
        <v>25776.53</v>
      </c>
      <c r="CE8" s="23">
        <v>26213.78</v>
      </c>
      <c r="CF8" s="23">
        <v>26626.28</v>
      </c>
      <c r="CG8" s="23">
        <v>26393.71</v>
      </c>
      <c r="CH8" s="23">
        <v>26406.84</v>
      </c>
      <c r="CI8" s="23">
        <v>26347.91</v>
      </c>
      <c r="CJ8" s="23">
        <v>26388.44</v>
      </c>
      <c r="CK8" s="23">
        <v>26389.04</v>
      </c>
      <c r="CL8" s="23">
        <v>25962.73</v>
      </c>
      <c r="CM8" s="23">
        <v>25675.18</v>
      </c>
      <c r="CN8" s="23">
        <v>25797.85</v>
      </c>
      <c r="CO8" s="23">
        <v>25651.12</v>
      </c>
      <c r="CP8" s="23">
        <v>25386.52</v>
      </c>
      <c r="CQ8" s="23">
        <v>25606.03</v>
      </c>
      <c r="CR8" s="23"/>
      <c r="CS8" s="23">
        <v>25599.45</v>
      </c>
      <c r="CT8" s="23">
        <v>25328.23</v>
      </c>
      <c r="CU8" s="23">
        <v>25006.16</v>
      </c>
      <c r="CV8" s="23">
        <v>25182.39</v>
      </c>
      <c r="CW8" s="23">
        <v>25398.18</v>
      </c>
      <c r="CX8" s="23">
        <v>26038.32</v>
      </c>
      <c r="CY8" s="23">
        <v>25633.21</v>
      </c>
      <c r="CZ8" s="23">
        <v>25253.4</v>
      </c>
      <c r="DA8" s="23">
        <v>24961.95</v>
      </c>
      <c r="DB8" s="23">
        <v>24657.06</v>
      </c>
      <c r="DC8" s="23">
        <v>24565.9</v>
      </c>
      <c r="DD8" s="23">
        <v>24407.96</v>
      </c>
      <c r="DE8" s="23">
        <v>24249.29</v>
      </c>
      <c r="DF8" s="23">
        <v>24718.1</v>
      </c>
      <c r="DG8" s="23">
        <v>24842.67</v>
      </c>
      <c r="DH8" s="23">
        <v>24493.95</v>
      </c>
      <c r="DI8" s="23">
        <v>24312.16</v>
      </c>
      <c r="DJ8" s="23">
        <v>23924.81</v>
      </c>
      <c r="DK8" s="23">
        <v>23768.52</v>
      </c>
      <c r="DL8" s="23">
        <v>23336.28</v>
      </c>
      <c r="DM8" s="23">
        <v>23412.18</v>
      </c>
      <c r="DN8" s="23">
        <v>23076.91</v>
      </c>
      <c r="DO8" s="23">
        <v>22671.86</v>
      </c>
      <c r="DP8" s="23">
        <v>23026.68</v>
      </c>
      <c r="DQ8" s="23">
        <v>22881.02</v>
      </c>
      <c r="DR8" s="23"/>
      <c r="DS8" s="23">
        <v>23055.03</v>
      </c>
      <c r="DT8" s="23">
        <v>23350.03</v>
      </c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3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3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3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</row>
    <row r="9" ht="13.5" customHeight="1" spans="1:247">
      <c r="D9" s="22" t="str">
        <f>[1]!s_info_name(E9)</f>
        <v>沪港AH溢价</v>
      </c>
      <c r="E9" s="21" t="s">
        <v>39</v>
      </c>
      <c r="F9" s="23">
        <v>132.7244</v>
      </c>
      <c r="G9" s="23">
        <v>132.475</v>
      </c>
      <c r="H9" s="23">
        <v>131.9002</v>
      </c>
      <c r="I9" s="23">
        <v>131.9301</v>
      </c>
      <c r="J9" s="23">
        <v>131.9268</v>
      </c>
      <c r="K9" s="23">
        <v>131.2799</v>
      </c>
      <c r="L9" s="23">
        <v>130.6757</v>
      </c>
      <c r="M9" s="23">
        <v>129.9601</v>
      </c>
      <c r="N9" s="23">
        <v>129.6787</v>
      </c>
      <c r="O9" s="23">
        <v>129.1144</v>
      </c>
      <c r="P9" s="23">
        <v>129.4777</v>
      </c>
      <c r="Q9" s="23">
        <v>129.93</v>
      </c>
      <c r="R9" s="23">
        <v>129.0837</v>
      </c>
      <c r="S9" s="23">
        <v>129.0629</v>
      </c>
      <c r="T9" s="23">
        <v>128.1101</v>
      </c>
      <c r="U9" s="23">
        <v>128.5126</v>
      </c>
      <c r="V9" s="23">
        <v>127.4716</v>
      </c>
      <c r="W9" s="23">
        <v>126.0648</v>
      </c>
      <c r="X9" s="23">
        <v>126.0756</v>
      </c>
      <c r="Y9" s="23">
        <v>127.5689</v>
      </c>
      <c r="Z9" s="23">
        <v>127.6367</v>
      </c>
      <c r="AA9" s="23">
        <v>127.2512</v>
      </c>
      <c r="AB9" s="23">
        <v>127.5186</v>
      </c>
      <c r="AC9" s="23">
        <v>127.3935</v>
      </c>
      <c r="AD9" s="23">
        <v>127.7244</v>
      </c>
      <c r="AE9" s="23">
        <v>127.0479</v>
      </c>
      <c r="AF9" s="23">
        <v>126.6211</v>
      </c>
      <c r="AG9" s="23">
        <v>126.5182</v>
      </c>
      <c r="AH9" s="23">
        <v>125.9808</v>
      </c>
      <c r="AI9" s="23">
        <v>126.3951</v>
      </c>
      <c r="AJ9" s="23">
        <v>126.3836</v>
      </c>
      <c r="AK9" s="23">
        <v>126.1729</v>
      </c>
      <c r="AL9" s="23">
        <v>128.0622</v>
      </c>
      <c r="AM9" s="23">
        <v>127.1781</v>
      </c>
      <c r="AN9" s="23">
        <v>129.3361</v>
      </c>
      <c r="AO9" s="23">
        <v>130.9491</v>
      </c>
      <c r="AP9" s="23">
        <v>131.5139</v>
      </c>
      <c r="AQ9" s="23">
        <v>131.9653</v>
      </c>
      <c r="AR9" s="23">
        <v>130.9803</v>
      </c>
      <c r="AS9" s="23">
        <v>131.4201</v>
      </c>
      <c r="AT9" s="23">
        <v>131.2914</v>
      </c>
      <c r="AU9" s="23">
        <v>132.2108</v>
      </c>
      <c r="AV9" s="23">
        <v>132.2611</v>
      </c>
      <c r="AW9" s="23">
        <v>132.3231</v>
      </c>
      <c r="AX9" s="23">
        <v>131.4525</v>
      </c>
      <c r="AY9" s="23">
        <v>131.9169</v>
      </c>
      <c r="AZ9" s="23">
        <v>131.7107</v>
      </c>
      <c r="BA9" s="23">
        <v>132.3418</v>
      </c>
      <c r="BB9" s="23">
        <v>131.6013</v>
      </c>
      <c r="BC9" s="23">
        <v>132.078</v>
      </c>
      <c r="BD9" s="23">
        <v>131.2714</v>
      </c>
      <c r="BE9" s="23">
        <v>130.1878</v>
      </c>
      <c r="BF9" s="23">
        <v>131.3014</v>
      </c>
      <c r="BG9" s="23">
        <v>130.7815</v>
      </c>
      <c r="BH9" s="23">
        <v>131.1493</v>
      </c>
      <c r="BI9" s="23">
        <v>131.3995</v>
      </c>
      <c r="BJ9" s="23">
        <v>131.147</v>
      </c>
      <c r="BK9" s="23">
        <v>130.6092</v>
      </c>
      <c r="BL9" s="23">
        <v>129.5062</v>
      </c>
      <c r="BM9" s="23">
        <v>129.301</v>
      </c>
      <c r="BN9" s="23">
        <v>130.0563</v>
      </c>
      <c r="BO9" s="23">
        <v>129.2322</v>
      </c>
      <c r="BP9" s="23">
        <v>128.7452</v>
      </c>
      <c r="BQ9" s="23">
        <v>129.0304</v>
      </c>
      <c r="BR9" s="23">
        <v>128.9585</v>
      </c>
      <c r="BS9" s="23">
        <v>129.3723</v>
      </c>
      <c r="BT9" s="23">
        <v>128.5488</v>
      </c>
      <c r="BU9" s="23">
        <v>128.8366</v>
      </c>
      <c r="BV9" s="23">
        <v>129.0868</v>
      </c>
      <c r="BW9" s="23">
        <v>128.6041</v>
      </c>
      <c r="BX9" s="23">
        <v>128.8627</v>
      </c>
      <c r="BY9" s="23">
        <v>128.4882</v>
      </c>
      <c r="BZ9" s="23">
        <v>127.7357</v>
      </c>
      <c r="CA9" s="23">
        <v>127.8198</v>
      </c>
      <c r="CB9" s="23">
        <v>128.2981</v>
      </c>
      <c r="CC9" s="23">
        <v>127.3357</v>
      </c>
      <c r="CD9" s="23">
        <v>128.9011</v>
      </c>
      <c r="CE9" s="23">
        <v>127.8423</v>
      </c>
      <c r="CF9" s="23">
        <v>127.177</v>
      </c>
      <c r="CG9" s="23">
        <v>127.521</v>
      </c>
      <c r="CH9" s="23">
        <v>127.6766</v>
      </c>
      <c r="CI9" s="23">
        <v>127.0022</v>
      </c>
      <c r="CJ9" s="23">
        <v>127.1228</v>
      </c>
      <c r="CK9" s="23">
        <v>127.4035</v>
      </c>
      <c r="CL9" s="23">
        <v>128.0928</v>
      </c>
      <c r="CM9" s="23">
        <v>128.476</v>
      </c>
      <c r="CN9" s="23">
        <v>129.021</v>
      </c>
      <c r="CO9" s="23">
        <v>129.1123</v>
      </c>
      <c r="CP9" s="23">
        <v>128.9802</v>
      </c>
      <c r="CQ9" s="23">
        <v>128.4422</v>
      </c>
      <c r="CR9" s="23">
        <v>130.5077</v>
      </c>
      <c r="CS9" s="23">
        <v>130.3377</v>
      </c>
      <c r="CT9" s="23">
        <v>130.1325</v>
      </c>
      <c r="CU9" s="23">
        <v>131.3163</v>
      </c>
      <c r="CV9" s="23">
        <v>131.0884</v>
      </c>
      <c r="CW9" s="23">
        <v>130.8766</v>
      </c>
      <c r="CX9" s="23">
        <v>130.1975</v>
      </c>
      <c r="CY9" s="23">
        <v>130.8496</v>
      </c>
      <c r="CZ9" s="23">
        <v>131.0392</v>
      </c>
      <c r="DA9" s="23">
        <v>131.1315</v>
      </c>
      <c r="DB9" s="23">
        <v>131.186</v>
      </c>
      <c r="DC9" s="23">
        <v>132.2689</v>
      </c>
      <c r="DD9" s="23">
        <v>132.4181</v>
      </c>
      <c r="DE9" s="23">
        <v>132.9087</v>
      </c>
      <c r="DF9" s="23">
        <v>131.9219</v>
      </c>
      <c r="DG9" s="23">
        <v>128.1684</v>
      </c>
      <c r="DH9" s="23">
        <v>127.8453</v>
      </c>
      <c r="DI9" s="23">
        <v>128.7458</v>
      </c>
      <c r="DJ9" s="23">
        <v>128.3873</v>
      </c>
      <c r="DK9" s="23">
        <v>129.6829</v>
      </c>
      <c r="DL9" s="23">
        <v>130.8873</v>
      </c>
      <c r="DM9" s="23">
        <v>130.5562</v>
      </c>
      <c r="DN9" s="23">
        <v>131.2789</v>
      </c>
      <c r="DO9" s="23">
        <v>130.8769</v>
      </c>
      <c r="DP9" s="23">
        <v>131.055</v>
      </c>
      <c r="DQ9" s="23">
        <v>131.3736</v>
      </c>
      <c r="DR9" s="23">
        <v>131.9368</v>
      </c>
      <c r="DS9" s="23">
        <v>133.242</v>
      </c>
      <c r="DT9" s="23">
        <v>132.836</v>
      </c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  <c r="FS9" s="23"/>
      <c r="FT9" s="23"/>
      <c r="FU9" s="23"/>
      <c r="FV9" s="23"/>
      <c r="FW9" s="23"/>
      <c r="FX9" s="23"/>
      <c r="FY9" s="23"/>
      <c r="FZ9" s="23"/>
      <c r="GA9" s="23"/>
      <c r="GB9" s="23"/>
      <c r="GC9" s="23"/>
      <c r="GD9" s="23"/>
      <c r="GE9" s="23"/>
      <c r="GF9" s="23"/>
      <c r="GG9" s="23"/>
      <c r="GH9" s="23"/>
      <c r="GI9" s="23"/>
      <c r="GJ9" s="23"/>
      <c r="GK9" s="23"/>
      <c r="GL9" s="23"/>
      <c r="GM9" s="23"/>
      <c r="GN9" s="23"/>
      <c r="GO9" s="23"/>
      <c r="GP9" s="23"/>
      <c r="GQ9" s="23"/>
      <c r="GR9" s="23"/>
      <c r="GS9" s="23"/>
      <c r="GT9" s="23"/>
      <c r="GU9" s="23"/>
      <c r="GV9" s="23"/>
      <c r="GW9" s="23"/>
      <c r="GX9" s="23"/>
      <c r="GY9" s="23"/>
      <c r="GZ9" s="23"/>
      <c r="HA9" s="23"/>
      <c r="HB9" s="23"/>
      <c r="HC9" s="23"/>
      <c r="HD9" s="23"/>
      <c r="HE9" s="23"/>
      <c r="HF9" s="23"/>
      <c r="HG9" s="23"/>
      <c r="HH9" s="23"/>
      <c r="HI9" s="23"/>
      <c r="HJ9" s="23"/>
      <c r="HK9" s="23"/>
      <c r="HL9" s="23"/>
      <c r="HM9" s="23"/>
      <c r="HN9" s="23"/>
      <c r="HO9" s="23"/>
      <c r="HP9" s="23"/>
      <c r="HQ9" s="23"/>
      <c r="HR9" s="23"/>
      <c r="HS9" s="23"/>
      <c r="HT9" s="23"/>
      <c r="HU9" s="23"/>
      <c r="HV9" s="23"/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</row>
    <row r="10" ht="13.5" customHeight="1" spans="1:247">
      <c r="A10" s="24" t="s">
        <v>399</v>
      </c>
      <c r="B10" s="24" t="s">
        <v>400</v>
      </c>
      <c r="C10" s="25" t="s">
        <v>432</v>
      </c>
      <c r="D10" s="26" t="s">
        <v>402</v>
      </c>
      <c r="E10" s="27" t="s">
        <v>403</v>
      </c>
      <c r="F10" s="15">
        <v>46027</v>
      </c>
      <c r="G10" s="15">
        <v>46028</v>
      </c>
      <c r="H10" s="15">
        <v>46029</v>
      </c>
      <c r="I10" s="15">
        <v>46030</v>
      </c>
      <c r="J10" s="15">
        <v>46031</v>
      </c>
      <c r="K10" s="15">
        <v>46034</v>
      </c>
      <c r="L10" s="15">
        <v>46035</v>
      </c>
      <c r="M10" s="15">
        <v>46036</v>
      </c>
      <c r="N10" s="15">
        <v>46037</v>
      </c>
      <c r="O10" s="15">
        <v>46038</v>
      </c>
      <c r="P10" s="15">
        <v>46041</v>
      </c>
      <c r="Q10" s="15">
        <v>46042</v>
      </c>
      <c r="R10" s="15">
        <v>46043</v>
      </c>
      <c r="S10" s="15">
        <v>46044</v>
      </c>
      <c r="T10" s="15">
        <v>46045</v>
      </c>
      <c r="U10" s="15">
        <v>46048</v>
      </c>
      <c r="V10" s="15">
        <v>46049</v>
      </c>
      <c r="W10" s="15">
        <v>46050</v>
      </c>
      <c r="X10" s="15">
        <v>46051</v>
      </c>
      <c r="Y10" s="15">
        <v>46052</v>
      </c>
      <c r="Z10" s="15">
        <v>46055</v>
      </c>
      <c r="AA10" s="15">
        <v>46056</v>
      </c>
      <c r="AB10" s="15">
        <v>46057</v>
      </c>
      <c r="AC10" s="15">
        <v>46058</v>
      </c>
      <c r="AD10" s="15">
        <v>46059</v>
      </c>
      <c r="AE10" s="15">
        <v>46062</v>
      </c>
      <c r="AF10" s="15">
        <v>46063</v>
      </c>
      <c r="AG10" s="15">
        <v>46064</v>
      </c>
      <c r="AH10" s="15">
        <v>46065</v>
      </c>
      <c r="AI10" s="15">
        <v>46066</v>
      </c>
      <c r="AJ10" s="15">
        <v>46077</v>
      </c>
      <c r="AK10" s="15">
        <v>46078</v>
      </c>
      <c r="AL10" s="15">
        <v>46079</v>
      </c>
      <c r="AM10" s="15">
        <v>46080</v>
      </c>
      <c r="AN10" s="15">
        <v>46083</v>
      </c>
      <c r="AO10" s="15">
        <v>46084</v>
      </c>
      <c r="AP10" s="15">
        <v>46085</v>
      </c>
      <c r="AQ10" s="15">
        <v>46086</v>
      </c>
      <c r="AR10" s="15">
        <v>46087</v>
      </c>
      <c r="AS10" s="15">
        <v>46090</v>
      </c>
      <c r="AT10" s="15">
        <v>46091</v>
      </c>
      <c r="AU10" s="15">
        <v>46092</v>
      </c>
      <c r="AV10" s="15">
        <v>46093</v>
      </c>
      <c r="AW10" s="15">
        <v>46094</v>
      </c>
      <c r="AX10" s="15">
        <v>46097</v>
      </c>
      <c r="AY10" s="15">
        <v>46098</v>
      </c>
      <c r="AZ10" s="15">
        <v>46099</v>
      </c>
      <c r="BA10" s="15">
        <v>46100</v>
      </c>
      <c r="BB10" s="15">
        <v>46101</v>
      </c>
      <c r="BC10" s="15">
        <v>46104</v>
      </c>
      <c r="BD10" s="15">
        <v>46105</v>
      </c>
      <c r="BE10" s="15">
        <v>46106</v>
      </c>
      <c r="BF10" s="15">
        <v>46107</v>
      </c>
      <c r="BG10" s="15">
        <v>46108</v>
      </c>
      <c r="BH10" s="15">
        <v>46111</v>
      </c>
      <c r="BI10" s="15">
        <v>46112</v>
      </c>
      <c r="BJ10" s="15">
        <v>46113</v>
      </c>
      <c r="BK10" s="15">
        <v>46114</v>
      </c>
      <c r="BL10" s="15">
        <v>46115</v>
      </c>
      <c r="BM10" s="15">
        <v>46119</v>
      </c>
      <c r="BN10" s="15">
        <v>46120</v>
      </c>
      <c r="BO10" s="15">
        <v>46121</v>
      </c>
      <c r="BP10" s="15">
        <v>46122</v>
      </c>
      <c r="BQ10" s="15">
        <v>46125</v>
      </c>
      <c r="BR10" s="15">
        <v>46126</v>
      </c>
      <c r="BS10" s="15">
        <v>46127</v>
      </c>
      <c r="BT10" s="15">
        <v>46128</v>
      </c>
      <c r="BU10" s="15">
        <v>46129</v>
      </c>
      <c r="BV10" s="15">
        <v>46132</v>
      </c>
      <c r="BW10" s="15">
        <v>46133</v>
      </c>
      <c r="BX10" s="15">
        <v>46134</v>
      </c>
      <c r="BY10" s="15">
        <v>46135</v>
      </c>
      <c r="BZ10" s="15">
        <v>46136</v>
      </c>
      <c r="CA10" s="15">
        <v>46139</v>
      </c>
      <c r="CB10" s="15">
        <v>46140</v>
      </c>
      <c r="CC10" s="15">
        <v>46141</v>
      </c>
      <c r="CD10" s="15">
        <v>46142</v>
      </c>
      <c r="CE10" s="15">
        <v>46148</v>
      </c>
      <c r="CF10" s="15">
        <v>46149</v>
      </c>
      <c r="CG10" s="15">
        <v>46150</v>
      </c>
      <c r="CH10" s="15">
        <v>46153</v>
      </c>
      <c r="CI10" s="15">
        <v>46154</v>
      </c>
      <c r="CJ10" s="15">
        <v>46155</v>
      </c>
      <c r="CK10" s="15">
        <v>46156</v>
      </c>
      <c r="CL10" s="15">
        <v>46157</v>
      </c>
      <c r="CM10" s="15">
        <v>46160</v>
      </c>
      <c r="CN10" s="15">
        <v>46161</v>
      </c>
      <c r="CO10" s="15">
        <v>46162</v>
      </c>
      <c r="CP10" s="15">
        <v>46163</v>
      </c>
      <c r="CQ10" s="15">
        <v>46164</v>
      </c>
      <c r="CR10" s="15">
        <v>46167</v>
      </c>
      <c r="CS10" s="15">
        <v>46168</v>
      </c>
      <c r="CT10" s="15">
        <v>46169</v>
      </c>
      <c r="CU10" s="15">
        <v>46170</v>
      </c>
      <c r="CV10" s="15">
        <v>46171</v>
      </c>
      <c r="CW10" s="15">
        <v>46174</v>
      </c>
      <c r="CX10" s="15">
        <v>46175</v>
      </c>
      <c r="CY10" s="15">
        <v>46176</v>
      </c>
      <c r="CZ10" s="15">
        <v>46177</v>
      </c>
      <c r="DA10" s="15">
        <v>46178</v>
      </c>
      <c r="DB10" s="15">
        <v>46181</v>
      </c>
      <c r="DC10" s="15">
        <v>46182</v>
      </c>
      <c r="DD10" s="15">
        <v>46183</v>
      </c>
      <c r="DE10" s="15">
        <v>46184</v>
      </c>
      <c r="DF10" s="15">
        <v>46185</v>
      </c>
      <c r="DG10" s="15">
        <v>46188</v>
      </c>
      <c r="DH10" s="15">
        <v>46189</v>
      </c>
      <c r="DI10" s="15">
        <v>46190</v>
      </c>
      <c r="DJ10" s="15">
        <v>46191</v>
      </c>
      <c r="DK10" s="15">
        <v>46195</v>
      </c>
      <c r="DL10" s="15">
        <v>46196</v>
      </c>
      <c r="DM10" s="15">
        <v>46197</v>
      </c>
      <c r="DN10" s="15">
        <v>46198</v>
      </c>
      <c r="DO10" s="15">
        <v>46199</v>
      </c>
      <c r="DP10" s="15">
        <v>46202</v>
      </c>
      <c r="DQ10" s="15">
        <v>46203</v>
      </c>
      <c r="DR10" s="15">
        <v>46204</v>
      </c>
      <c r="DS10" s="15">
        <v>46205</v>
      </c>
      <c r="DT10" s="15">
        <v>46206</v>
      </c>
      <c r="DU10" s="15">
        <v>46209</v>
      </c>
      <c r="DV10" s="15">
        <v>46210</v>
      </c>
      <c r="DW10" s="15">
        <v>46211</v>
      </c>
      <c r="DX10" s="15">
        <v>46212</v>
      </c>
      <c r="DY10" s="15">
        <v>46213</v>
      </c>
      <c r="DZ10" s="15">
        <v>46216</v>
      </c>
      <c r="EA10" s="15">
        <v>46217</v>
      </c>
      <c r="EB10" s="15">
        <v>46218</v>
      </c>
      <c r="EC10" s="15">
        <v>46219</v>
      </c>
      <c r="ED10" s="15">
        <v>46220</v>
      </c>
      <c r="EE10" s="15">
        <v>46223</v>
      </c>
      <c r="EF10" s="15">
        <v>46224</v>
      </c>
      <c r="EG10" s="15">
        <v>46225</v>
      </c>
      <c r="EH10" s="15">
        <v>46226</v>
      </c>
      <c r="EI10" s="15">
        <v>46227</v>
      </c>
      <c r="EJ10" s="15">
        <v>46230</v>
      </c>
      <c r="EK10" s="15">
        <v>46231</v>
      </c>
      <c r="EL10" s="15">
        <v>46232</v>
      </c>
      <c r="EM10" s="15">
        <v>46233</v>
      </c>
      <c r="EN10" s="15">
        <v>46234</v>
      </c>
      <c r="EO10" s="15">
        <v>46237</v>
      </c>
      <c r="EP10" s="15">
        <v>46238</v>
      </c>
      <c r="EQ10" s="15">
        <v>46239</v>
      </c>
      <c r="ER10" s="15">
        <v>46240</v>
      </c>
      <c r="ES10" s="15">
        <v>46241</v>
      </c>
      <c r="ET10" s="15">
        <v>46244</v>
      </c>
      <c r="EU10" s="15">
        <v>46245</v>
      </c>
      <c r="EV10" s="15">
        <v>46246</v>
      </c>
      <c r="EW10" s="15">
        <v>46247</v>
      </c>
      <c r="EX10" s="15">
        <v>46248</v>
      </c>
      <c r="EY10" s="15">
        <v>46251</v>
      </c>
      <c r="EZ10" s="15">
        <v>46252</v>
      </c>
      <c r="FA10" s="15">
        <v>46253</v>
      </c>
      <c r="FB10" s="15">
        <v>46254</v>
      </c>
      <c r="FC10" s="15">
        <v>46255</v>
      </c>
      <c r="FD10" s="15">
        <v>46258</v>
      </c>
      <c r="FE10" s="15">
        <v>46259</v>
      </c>
      <c r="FF10" s="15">
        <v>46260</v>
      </c>
      <c r="FG10" s="15">
        <v>46261</v>
      </c>
      <c r="FH10" s="15">
        <v>46262</v>
      </c>
      <c r="FI10" s="15">
        <v>46265</v>
      </c>
      <c r="FJ10" s="15">
        <v>46266</v>
      </c>
      <c r="FK10" s="15">
        <v>46267</v>
      </c>
      <c r="FL10" s="15">
        <v>46268</v>
      </c>
      <c r="FM10" s="15">
        <v>46269</v>
      </c>
      <c r="FN10" s="15">
        <v>46272</v>
      </c>
      <c r="FO10" s="15">
        <v>46273</v>
      </c>
      <c r="FP10" s="15">
        <v>46274</v>
      </c>
      <c r="FQ10" s="15">
        <v>46275</v>
      </c>
      <c r="FR10" s="15">
        <v>46276</v>
      </c>
      <c r="FS10" s="15">
        <v>46279</v>
      </c>
      <c r="FT10" s="15">
        <v>46280</v>
      </c>
      <c r="FU10" s="15">
        <v>46281</v>
      </c>
      <c r="FV10" s="15">
        <v>46282</v>
      </c>
      <c r="FW10" s="15">
        <v>46283</v>
      </c>
      <c r="FX10" s="15">
        <v>46286</v>
      </c>
      <c r="FY10" s="15">
        <v>46287</v>
      </c>
      <c r="FZ10" s="15">
        <v>46288</v>
      </c>
      <c r="GA10" s="15">
        <v>46289</v>
      </c>
      <c r="GB10" s="15">
        <v>46293</v>
      </c>
      <c r="GC10" s="15">
        <v>46294</v>
      </c>
      <c r="GD10" s="15">
        <v>46295</v>
      </c>
      <c r="GE10" s="15">
        <v>46303</v>
      </c>
      <c r="GF10" s="15">
        <v>46304</v>
      </c>
      <c r="GG10" s="15">
        <v>46307</v>
      </c>
      <c r="GH10" s="15">
        <v>46308</v>
      </c>
      <c r="GI10" s="15">
        <v>46309</v>
      </c>
      <c r="GJ10" s="15">
        <v>46310</v>
      </c>
      <c r="GK10" s="15">
        <v>46311</v>
      </c>
      <c r="GL10" s="15">
        <v>46314</v>
      </c>
      <c r="GM10" s="15">
        <v>46315</v>
      </c>
      <c r="GN10" s="15">
        <v>46316</v>
      </c>
      <c r="GO10" s="15">
        <v>46317</v>
      </c>
      <c r="GP10" s="15">
        <v>46318</v>
      </c>
      <c r="GQ10" s="15">
        <v>46321</v>
      </c>
      <c r="GR10" s="15">
        <v>46322</v>
      </c>
      <c r="GS10" s="15">
        <v>46323</v>
      </c>
      <c r="GT10" s="15">
        <v>46324</v>
      </c>
      <c r="GU10" s="15">
        <v>46325</v>
      </c>
      <c r="GV10" s="15">
        <v>46328</v>
      </c>
      <c r="GW10" s="15">
        <v>46329</v>
      </c>
      <c r="GX10" s="15">
        <v>46330</v>
      </c>
      <c r="GY10" s="15">
        <v>46331</v>
      </c>
      <c r="GZ10" s="15">
        <v>46332</v>
      </c>
      <c r="HA10" s="15">
        <v>46335</v>
      </c>
      <c r="HB10" s="15">
        <v>46336</v>
      </c>
      <c r="HC10" s="15">
        <v>46337</v>
      </c>
      <c r="HD10" s="15">
        <v>46338</v>
      </c>
      <c r="HE10" s="15">
        <v>46339</v>
      </c>
      <c r="HF10" s="15">
        <v>46342</v>
      </c>
      <c r="HG10" s="15">
        <v>46343</v>
      </c>
      <c r="HH10" s="15">
        <v>46344</v>
      </c>
      <c r="HI10" s="15">
        <v>46345</v>
      </c>
      <c r="HJ10" s="15">
        <v>46346</v>
      </c>
      <c r="HK10" s="15">
        <v>46349</v>
      </c>
      <c r="HL10" s="15">
        <v>46350</v>
      </c>
      <c r="HM10" s="15">
        <v>46351</v>
      </c>
      <c r="HN10" s="15">
        <v>46352</v>
      </c>
      <c r="HO10" s="15">
        <v>46353</v>
      </c>
      <c r="HP10" s="15">
        <v>46356</v>
      </c>
      <c r="HQ10" s="15">
        <v>46357</v>
      </c>
      <c r="HR10" s="15">
        <v>46358</v>
      </c>
      <c r="HS10" s="15">
        <v>46359</v>
      </c>
      <c r="HT10" s="15">
        <v>46360</v>
      </c>
      <c r="HU10" s="15">
        <v>46363</v>
      </c>
      <c r="HV10" s="15">
        <v>46364</v>
      </c>
      <c r="HW10" s="15">
        <v>46365</v>
      </c>
      <c r="HX10" s="15">
        <v>46366</v>
      </c>
      <c r="HY10" s="15">
        <v>46367</v>
      </c>
      <c r="HZ10" s="15">
        <v>46370</v>
      </c>
      <c r="IA10" s="15">
        <v>46371</v>
      </c>
      <c r="IB10" s="15">
        <v>46372</v>
      </c>
      <c r="IC10" s="15">
        <v>46373</v>
      </c>
      <c r="ID10" s="15">
        <v>46374</v>
      </c>
      <c r="IE10" s="15">
        <v>46377</v>
      </c>
      <c r="IF10" s="15">
        <v>46378</v>
      </c>
      <c r="IG10" s="15">
        <v>46379</v>
      </c>
      <c r="IH10" s="15">
        <v>46380</v>
      </c>
      <c r="II10" s="15">
        <v>46381</v>
      </c>
      <c r="IJ10" s="15">
        <v>46384</v>
      </c>
      <c r="IK10" s="15">
        <v>46385</v>
      </c>
      <c r="IL10" s="15">
        <v>46386</v>
      </c>
      <c r="IM10" s="15">
        <v>46387</v>
      </c>
    </row>
    <row r="11" ht="13.5" customHeight="1" spans="1:247">
      <c r="A11" s="28">
        <v>46023</v>
      </c>
      <c r="B11" s="28">
        <v>46388</v>
      </c>
      <c r="C11" s="29" t="s">
        <v>433</v>
      </c>
      <c r="D11" s="30" t="str">
        <f>[1]!s_info_name(E11)</f>
        <v>COMEX黄金</v>
      </c>
      <c r="E11" s="29" t="s">
        <v>431</v>
      </c>
      <c r="F11" s="31" t="str" cm="1">
        <f t="array" ref="F11">[1]!WSD(E11:E17,C11,A11,B11,"TradingCalendar=SSE","rptType=1","Direction=V","Version=1","ShowParams=Y","cols=242;rows=7")</f>
        <v/>
      </c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  <c r="EY11" s="31"/>
      <c r="EZ11" s="31"/>
      <c r="FA11" s="31"/>
      <c r="FB11" s="31"/>
      <c r="FC11" s="31"/>
      <c r="FD11" s="31"/>
      <c r="FE11" s="31"/>
      <c r="FF11" s="31"/>
      <c r="FG11" s="31"/>
      <c r="FH11" s="31"/>
      <c r="FI11" s="31"/>
      <c r="FJ11" s="31"/>
      <c r="FK11" s="31"/>
      <c r="FL11" s="31"/>
      <c r="FM11" s="31"/>
      <c r="FN11" s="31"/>
      <c r="FO11" s="31"/>
      <c r="FP11" s="31"/>
      <c r="FQ11" s="31"/>
      <c r="FR11" s="31"/>
      <c r="FS11" s="31"/>
      <c r="FT11" s="31"/>
      <c r="FU11" s="31"/>
      <c r="FV11" s="31"/>
      <c r="FW11" s="31"/>
      <c r="FX11" s="31"/>
      <c r="FY11" s="31"/>
      <c r="FZ11" s="31"/>
      <c r="GA11" s="31"/>
      <c r="GB11" s="31"/>
      <c r="GC11" s="31"/>
      <c r="GD11" s="31"/>
      <c r="GE11" s="31"/>
      <c r="GF11" s="31"/>
      <c r="GG11" s="31"/>
      <c r="GH11" s="31"/>
      <c r="GI11" s="31"/>
      <c r="GJ11" s="31"/>
      <c r="GK11" s="31"/>
      <c r="GL11" s="31"/>
      <c r="GM11" s="31"/>
      <c r="GN11" s="31"/>
      <c r="GO11" s="31"/>
      <c r="GP11" s="31"/>
      <c r="GQ11" s="31"/>
      <c r="GR11" s="31"/>
      <c r="GS11" s="31"/>
      <c r="GT11" s="31"/>
      <c r="GU11" s="31"/>
      <c r="GV11" s="31"/>
      <c r="GW11" s="31"/>
      <c r="GX11" s="31"/>
      <c r="GY11" s="31"/>
      <c r="GZ11" s="31"/>
      <c r="HA11" s="31"/>
      <c r="HB11" s="31"/>
      <c r="HC11" s="31"/>
      <c r="HD11" s="31"/>
      <c r="HE11" s="31"/>
      <c r="HF11" s="31"/>
      <c r="HG11" s="31"/>
      <c r="HH11" s="31"/>
      <c r="HI11" s="31"/>
      <c r="HJ11" s="31"/>
      <c r="HK11" s="31"/>
      <c r="HL11" s="31"/>
      <c r="HM11" s="31"/>
      <c r="HN11" s="31"/>
      <c r="HO11" s="31"/>
      <c r="HP11" s="31"/>
      <c r="HQ11" s="31"/>
      <c r="HR11" s="31"/>
      <c r="HS11" s="31"/>
      <c r="HT11" s="31"/>
      <c r="HU11" s="31"/>
      <c r="HV11" s="31"/>
      <c r="HW11" s="31"/>
      <c r="HX11" s="31"/>
      <c r="HY11" s="31"/>
      <c r="HZ11" s="31"/>
      <c r="IA11" s="31"/>
      <c r="IB11" s="31"/>
      <c r="IC11" s="31"/>
      <c r="ID11" s="31"/>
      <c r="IE11" s="31"/>
      <c r="IF11" s="31"/>
      <c r="IG11" s="31"/>
      <c r="IH11" s="31"/>
      <c r="II11" s="31"/>
      <c r="IJ11" s="31"/>
      <c r="IK11" s="31"/>
      <c r="IL11" s="31"/>
      <c r="IM11" s="31"/>
    </row>
    <row r="12" ht="13.5" customHeight="1" spans="1:247">
      <c r="D12" s="30" t="str">
        <f>[1]!s_info_name(E12)</f>
        <v>恒生科技</v>
      </c>
      <c r="E12" s="29" t="s">
        <v>29</v>
      </c>
      <c r="F12" s="31">
        <v>0.9606</v>
      </c>
      <c r="G12" s="31">
        <v>1.2128</v>
      </c>
      <c r="H12" s="31">
        <v>1.0526</v>
      </c>
      <c r="I12" s="31">
        <v>1.0813</v>
      </c>
      <c r="J12" s="31">
        <v>0.9281</v>
      </c>
      <c r="K12" s="31">
        <v>1.6361</v>
      </c>
      <c r="L12" s="31">
        <v>1.5405</v>
      </c>
      <c r="M12" s="31">
        <v>1.7943</v>
      </c>
      <c r="N12" s="31">
        <v>1.1137</v>
      </c>
      <c r="O12" s="31">
        <v>0.9266</v>
      </c>
      <c r="P12" s="31">
        <v>0.7322</v>
      </c>
      <c r="Q12" s="31">
        <v>0.819</v>
      </c>
      <c r="R12" s="31">
        <v>0.9505</v>
      </c>
      <c r="S12" s="31">
        <v>0.695</v>
      </c>
      <c r="T12" s="31">
        <v>0.64</v>
      </c>
      <c r="U12" s="31">
        <v>0.6486</v>
      </c>
      <c r="V12" s="31">
        <v>0.5593</v>
      </c>
      <c r="W12" s="31">
        <v>0.9045</v>
      </c>
      <c r="X12" s="31">
        <v>0.8843</v>
      </c>
      <c r="Y12" s="31">
        <v>0.7592</v>
      </c>
      <c r="Z12" s="31">
        <v>1.0109</v>
      </c>
      <c r="AA12" s="31">
        <v>0.908</v>
      </c>
      <c r="AB12" s="31">
        <v>0.8822</v>
      </c>
      <c r="AC12" s="31">
        <v>0.8964</v>
      </c>
      <c r="AD12" s="31">
        <v>0.6836</v>
      </c>
      <c r="AE12" s="31">
        <v>0.6683</v>
      </c>
      <c r="AF12" s="31">
        <v>0.6655</v>
      </c>
      <c r="AG12" s="31">
        <v>0.8325</v>
      </c>
      <c r="AH12" s="31">
        <v>1.2787</v>
      </c>
      <c r="AI12" s="31">
        <v>0.8312</v>
      </c>
      <c r="AJ12" s="31">
        <v>1.0251</v>
      </c>
      <c r="AK12" s="31">
        <v>0.8546</v>
      </c>
      <c r="AL12" s="31">
        <v>0.9626</v>
      </c>
      <c r="AM12" s="31">
        <v>2.2029</v>
      </c>
      <c r="AN12" s="31">
        <v>1.4566</v>
      </c>
      <c r="AO12" s="31">
        <v>1.0888</v>
      </c>
      <c r="AP12" s="31">
        <v>1.0011</v>
      </c>
      <c r="AQ12" s="31">
        <v>0.7219</v>
      </c>
      <c r="AR12" s="31">
        <v>1.11</v>
      </c>
      <c r="AS12" s="31">
        <v>1.0065</v>
      </c>
      <c r="AT12" s="31">
        <v>0.8051</v>
      </c>
      <c r="AU12" s="31">
        <v>0.5985</v>
      </c>
      <c r="AV12" s="31">
        <v>0.796</v>
      </c>
      <c r="AW12" s="31">
        <v>1.157</v>
      </c>
      <c r="AX12" s="31">
        <v>0.8799</v>
      </c>
      <c r="AY12" s="31">
        <v>0.7557</v>
      </c>
      <c r="AZ12" s="31">
        <v>0.7083</v>
      </c>
      <c r="BA12" s="31">
        <v>0.8448</v>
      </c>
      <c r="BB12" s="31">
        <v>1.027</v>
      </c>
      <c r="BC12" s="31">
        <v>1.1317</v>
      </c>
      <c r="BD12" s="31">
        <v>0.7707</v>
      </c>
      <c r="BE12" s="31">
        <v>1.2126</v>
      </c>
      <c r="BF12" s="31">
        <v>0.8374</v>
      </c>
      <c r="BG12" s="31">
        <v>0.6787</v>
      </c>
      <c r="BH12" s="31">
        <v>0.7254</v>
      </c>
      <c r="BI12" s="31">
        <v>0.6526</v>
      </c>
      <c r="BJ12" s="31">
        <v>0.7649</v>
      </c>
      <c r="BK12" s="31">
        <v>0.7109</v>
      </c>
      <c r="BL12" s="31"/>
      <c r="BM12" s="31"/>
      <c r="BN12" s="31">
        <v>1.2313</v>
      </c>
      <c r="BO12" s="31">
        <v>0.7289</v>
      </c>
      <c r="BP12" s="31">
        <v>0.7114</v>
      </c>
      <c r="BQ12" s="31">
        <v>0.5449</v>
      </c>
      <c r="BR12" s="31">
        <v>0.5913</v>
      </c>
      <c r="BS12" s="31">
        <v>0.6104</v>
      </c>
      <c r="BT12" s="31">
        <v>0.7405</v>
      </c>
      <c r="BU12" s="31">
        <v>0.7171</v>
      </c>
      <c r="BV12" s="31">
        <v>0.7145</v>
      </c>
      <c r="BW12" s="31">
        <v>0.4702</v>
      </c>
      <c r="BX12" s="31">
        <v>0.5507</v>
      </c>
      <c r="BY12" s="31">
        <v>0.5897</v>
      </c>
      <c r="BZ12" s="31">
        <v>0.7564</v>
      </c>
      <c r="CA12" s="31">
        <v>0.6216</v>
      </c>
      <c r="CB12" s="31">
        <v>0.7176</v>
      </c>
      <c r="CC12" s="31">
        <v>0.7126</v>
      </c>
      <c r="CD12" s="31">
        <v>0.8226</v>
      </c>
      <c r="CE12" s="31">
        <v>0.8945</v>
      </c>
      <c r="CF12" s="31">
        <v>0.9201</v>
      </c>
      <c r="CG12" s="31">
        <v>0.7064</v>
      </c>
      <c r="CH12" s="31">
        <v>0.8624</v>
      </c>
      <c r="CI12" s="31">
        <v>0.6751</v>
      </c>
      <c r="CJ12" s="31">
        <v>0.6795</v>
      </c>
      <c r="CK12" s="31">
        <v>1.1244</v>
      </c>
      <c r="CL12" s="31">
        <v>1.0419</v>
      </c>
      <c r="CM12" s="31">
        <v>0.8168</v>
      </c>
      <c r="CN12" s="31">
        <v>0.6747</v>
      </c>
      <c r="CO12" s="31">
        <v>0.7687</v>
      </c>
      <c r="CP12" s="31">
        <v>0.9695</v>
      </c>
      <c r="CQ12" s="31">
        <v>1.0531</v>
      </c>
      <c r="CR12" s="31"/>
      <c r="CS12" s="31">
        <v>1.4352</v>
      </c>
      <c r="CT12" s="31">
        <v>1.1048</v>
      </c>
      <c r="CU12" s="31">
        <v>1.262</v>
      </c>
      <c r="CV12" s="31">
        <v>1.881</v>
      </c>
      <c r="CW12" s="31">
        <v>1.2751</v>
      </c>
      <c r="CX12" s="31">
        <v>1.2512</v>
      </c>
      <c r="CY12" s="31">
        <v>1.0617</v>
      </c>
      <c r="CZ12" s="31">
        <v>0.9301</v>
      </c>
      <c r="DA12" s="31">
        <v>1.1169</v>
      </c>
      <c r="DB12" s="31">
        <v>1.1521</v>
      </c>
      <c r="DC12" s="31">
        <v>0.8185</v>
      </c>
      <c r="DD12" s="31">
        <v>1.1595</v>
      </c>
      <c r="DE12" s="31">
        <v>0.9249</v>
      </c>
      <c r="DF12" s="31">
        <v>0.9347</v>
      </c>
      <c r="DG12" s="31">
        <v>0.7508</v>
      </c>
      <c r="DH12" s="31">
        <v>0.6703</v>
      </c>
      <c r="DI12" s="31">
        <v>0.8152</v>
      </c>
      <c r="DJ12" s="31">
        <v>1.1463</v>
      </c>
      <c r="DK12" s="31">
        <v>1.0046</v>
      </c>
      <c r="DL12" s="31">
        <v>0.9286</v>
      </c>
      <c r="DM12" s="31">
        <v>1.0141</v>
      </c>
      <c r="DN12" s="31">
        <v>0.9418</v>
      </c>
      <c r="DO12" s="31">
        <v>1.046</v>
      </c>
      <c r="DP12" s="31">
        <v>1.1897</v>
      </c>
      <c r="DQ12" s="31">
        <v>1.127</v>
      </c>
      <c r="DR12" s="31"/>
      <c r="DS12" s="31">
        <v>1.0815</v>
      </c>
      <c r="DT12" s="31">
        <v>1.0885</v>
      </c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  <c r="EY12" s="31"/>
      <c r="EZ12" s="31"/>
      <c r="FA12" s="31"/>
      <c r="FB12" s="31"/>
      <c r="FC12" s="31"/>
      <c r="FD12" s="31"/>
      <c r="FE12" s="31"/>
      <c r="FF12" s="31"/>
      <c r="FG12" s="31"/>
      <c r="FH12" s="31"/>
      <c r="FI12" s="31"/>
      <c r="FJ12" s="31"/>
      <c r="FK12" s="31"/>
      <c r="FL12" s="31"/>
      <c r="FM12" s="31"/>
      <c r="FN12" s="31"/>
      <c r="FO12" s="31"/>
      <c r="FP12" s="31"/>
      <c r="FQ12" s="31"/>
      <c r="FR12" s="31"/>
      <c r="FS12" s="31"/>
      <c r="FT12" s="31"/>
      <c r="FU12" s="31"/>
      <c r="FV12" s="31"/>
      <c r="FW12" s="31"/>
      <c r="FX12" s="31"/>
      <c r="FY12" s="31"/>
      <c r="FZ12" s="31"/>
      <c r="GA12" s="31"/>
      <c r="GB12" s="31"/>
      <c r="GC12" s="31"/>
      <c r="GD12" s="31"/>
      <c r="GE12" s="31"/>
      <c r="GF12" s="31"/>
      <c r="GG12" s="31"/>
      <c r="GH12" s="31"/>
      <c r="GI12" s="31"/>
      <c r="GJ12" s="31"/>
      <c r="GK12" s="31"/>
      <c r="GL12" s="31"/>
      <c r="GM12" s="31"/>
      <c r="GN12" s="31"/>
      <c r="GO12" s="31"/>
      <c r="GP12" s="31"/>
      <c r="GQ12" s="31"/>
      <c r="GR12" s="31"/>
      <c r="GS12" s="31"/>
      <c r="GT12" s="31"/>
      <c r="GU12" s="31"/>
      <c r="GV12" s="31"/>
      <c r="GW12" s="31"/>
      <c r="GX12" s="31"/>
      <c r="GY12" s="31"/>
      <c r="GZ12" s="31"/>
      <c r="HA12" s="31"/>
      <c r="HB12" s="31"/>
      <c r="HC12" s="31"/>
      <c r="HD12" s="31"/>
      <c r="HE12" s="31"/>
      <c r="HF12" s="31"/>
      <c r="HG12" s="31"/>
      <c r="HH12" s="31"/>
      <c r="HI12" s="31"/>
      <c r="HJ12" s="31"/>
      <c r="HK12" s="31"/>
      <c r="HL12" s="31"/>
      <c r="HM12" s="31"/>
      <c r="HN12" s="31"/>
      <c r="HO12" s="31"/>
      <c r="HP12" s="31"/>
      <c r="HQ12" s="31"/>
      <c r="HR12" s="31"/>
      <c r="HS12" s="31"/>
      <c r="HT12" s="31"/>
      <c r="HU12" s="31"/>
      <c r="HV12" s="31"/>
      <c r="HW12" s="31"/>
      <c r="HX12" s="31"/>
      <c r="HY12" s="31"/>
      <c r="HZ12" s="31"/>
      <c r="IA12" s="31"/>
      <c r="IB12" s="31"/>
      <c r="IC12" s="31"/>
      <c r="ID12" s="31"/>
      <c r="IE12" s="31"/>
      <c r="IF12" s="31"/>
      <c r="IG12" s="31"/>
      <c r="IH12" s="31"/>
      <c r="II12" s="31"/>
      <c r="IJ12" s="31"/>
      <c r="IK12" s="31"/>
      <c r="IL12" s="31"/>
      <c r="IM12" s="31"/>
    </row>
    <row r="13" ht="13.5" customHeight="1" spans="1:247">
      <c r="D13" s="30" t="str">
        <f>[1]!s_info_name(E13)</f>
        <v>创业板指</v>
      </c>
      <c r="E13" s="29" t="s">
        <v>18</v>
      </c>
      <c r="F13" s="31">
        <v>4.2765</v>
      </c>
      <c r="G13" s="31">
        <v>4.8338</v>
      </c>
      <c r="H13" s="31">
        <v>4.2734</v>
      </c>
      <c r="I13" s="31">
        <v>3.9887</v>
      </c>
      <c r="J13" s="31">
        <v>4.8865</v>
      </c>
      <c r="K13" s="31">
        <v>6.1314</v>
      </c>
      <c r="L13" s="31">
        <v>6.1194</v>
      </c>
      <c r="M13" s="31">
        <v>6.4392</v>
      </c>
      <c r="N13" s="31">
        <v>4.6838</v>
      </c>
      <c r="O13" s="31">
        <v>4.5017</v>
      </c>
      <c r="P13" s="31">
        <v>3.4077</v>
      </c>
      <c r="Q13" s="31">
        <v>3.5715</v>
      </c>
      <c r="R13" s="31">
        <v>3.1306</v>
      </c>
      <c r="S13" s="31">
        <v>3.1224</v>
      </c>
      <c r="T13" s="31">
        <v>4.0493</v>
      </c>
      <c r="U13" s="31">
        <v>4.8702</v>
      </c>
      <c r="V13" s="31">
        <v>4.1318</v>
      </c>
      <c r="W13" s="31">
        <v>4.2073</v>
      </c>
      <c r="X13" s="31">
        <v>4.8783</v>
      </c>
      <c r="Y13" s="31">
        <v>4.2361</v>
      </c>
      <c r="Z13" s="31">
        <v>3.8512</v>
      </c>
      <c r="AA13" s="31">
        <v>3.7511</v>
      </c>
      <c r="AB13" s="31">
        <v>3.9115</v>
      </c>
      <c r="AC13" s="31">
        <v>3.5511</v>
      </c>
      <c r="AD13" s="31">
        <v>3.2569</v>
      </c>
      <c r="AE13" s="31">
        <v>3.5507</v>
      </c>
      <c r="AF13" s="31">
        <v>3.5068</v>
      </c>
      <c r="AG13" s="31">
        <v>3.3009</v>
      </c>
      <c r="AH13" s="31">
        <v>3.4869</v>
      </c>
      <c r="AI13" s="31">
        <v>3.0827</v>
      </c>
      <c r="AJ13" s="31">
        <v>3.1726</v>
      </c>
      <c r="AK13" s="31">
        <v>3.3238</v>
      </c>
      <c r="AL13" s="31">
        <v>3.3328</v>
      </c>
      <c r="AM13" s="31">
        <v>3.3088</v>
      </c>
      <c r="AN13" s="31">
        <v>3.52</v>
      </c>
      <c r="AO13" s="31">
        <v>3.6511</v>
      </c>
      <c r="AP13" s="31">
        <v>2.4629</v>
      </c>
      <c r="AQ13" s="31">
        <v>2.4783</v>
      </c>
      <c r="AR13" s="31">
        <v>2.1238</v>
      </c>
      <c r="AS13" s="31">
        <v>3.1407</v>
      </c>
      <c r="AT13" s="31">
        <v>2.9663</v>
      </c>
      <c r="AU13" s="31">
        <v>2.9552</v>
      </c>
      <c r="AV13" s="31">
        <v>2.7197</v>
      </c>
      <c r="AW13" s="31">
        <v>2.6422</v>
      </c>
      <c r="AX13" s="31">
        <v>2.4504</v>
      </c>
      <c r="AY13" s="31">
        <v>2.5196</v>
      </c>
      <c r="AZ13" s="31">
        <v>2.3066</v>
      </c>
      <c r="BA13" s="31">
        <v>2.564</v>
      </c>
      <c r="BB13" s="31">
        <v>3.1772</v>
      </c>
      <c r="BC13" s="31">
        <v>3.1955</v>
      </c>
      <c r="BD13" s="31">
        <v>2.4858</v>
      </c>
      <c r="BE13" s="31">
        <v>2.7801</v>
      </c>
      <c r="BF13" s="31">
        <v>2.4159</v>
      </c>
      <c r="BG13" s="31">
        <v>2.3444</v>
      </c>
      <c r="BH13" s="31">
        <v>2.1968</v>
      </c>
      <c r="BI13" s="31">
        <v>2.537</v>
      </c>
      <c r="BJ13" s="31">
        <v>2.7403</v>
      </c>
      <c r="BK13" s="31">
        <v>2.3818</v>
      </c>
      <c r="BL13" s="31">
        <v>2.0281</v>
      </c>
      <c r="BM13" s="31">
        <v>1.7728</v>
      </c>
      <c r="BN13" s="31">
        <v>3.5466</v>
      </c>
      <c r="BO13" s="31">
        <v>3.0675</v>
      </c>
      <c r="BP13" s="31">
        <v>3.5689</v>
      </c>
      <c r="BQ13" s="31">
        <v>2.9023</v>
      </c>
      <c r="BR13" s="31">
        <v>3.4225</v>
      </c>
      <c r="BS13" s="31">
        <v>3.0768</v>
      </c>
      <c r="BT13" s="31">
        <v>3.2936</v>
      </c>
      <c r="BU13" s="31">
        <v>3.2112</v>
      </c>
      <c r="BV13" s="31">
        <v>3.361</v>
      </c>
      <c r="BW13" s="31">
        <v>2.9432</v>
      </c>
      <c r="BX13" s="31">
        <v>3.427</v>
      </c>
      <c r="BY13" s="31">
        <v>3.6576</v>
      </c>
      <c r="BZ13" s="31">
        <v>3.699</v>
      </c>
      <c r="CA13" s="31">
        <v>3.0307</v>
      </c>
      <c r="CB13" s="31">
        <v>3.2309</v>
      </c>
      <c r="CC13" s="31">
        <v>3.1296</v>
      </c>
      <c r="CD13" s="31">
        <v>2.8901</v>
      </c>
      <c r="CE13" s="31">
        <v>3.8333</v>
      </c>
      <c r="CF13" s="31">
        <v>3.6624</v>
      </c>
      <c r="CG13" s="31">
        <v>3.4641</v>
      </c>
      <c r="CH13" s="31">
        <v>4.3191</v>
      </c>
      <c r="CI13" s="31">
        <v>3.5287</v>
      </c>
      <c r="CJ13" s="31">
        <v>3.8686</v>
      </c>
      <c r="CK13" s="31">
        <v>3.7976</v>
      </c>
      <c r="CL13" s="31">
        <v>3.9622</v>
      </c>
      <c r="CM13" s="31">
        <v>3.235</v>
      </c>
      <c r="CN13" s="31">
        <v>3.3648</v>
      </c>
      <c r="CO13" s="31">
        <v>3.153</v>
      </c>
      <c r="CP13" s="31">
        <v>4.0919</v>
      </c>
      <c r="CQ13" s="31">
        <v>3.2588</v>
      </c>
      <c r="CR13" s="31">
        <v>3.4259</v>
      </c>
      <c r="CS13" s="31">
        <v>3.4616</v>
      </c>
      <c r="CT13" s="31">
        <v>3.4361</v>
      </c>
      <c r="CU13" s="31">
        <v>3.1162</v>
      </c>
      <c r="CV13" s="31">
        <v>3.5611</v>
      </c>
      <c r="CW13" s="31">
        <v>3.2306</v>
      </c>
      <c r="CX13" s="31">
        <v>2.9996</v>
      </c>
      <c r="CY13" s="31">
        <v>3.1284</v>
      </c>
      <c r="CZ13" s="31">
        <v>2.7156</v>
      </c>
      <c r="DA13" s="31">
        <v>3.0463</v>
      </c>
      <c r="DB13" s="31">
        <v>3.1017</v>
      </c>
      <c r="DC13" s="31">
        <v>2.7997</v>
      </c>
      <c r="DD13" s="31">
        <v>2.6386</v>
      </c>
      <c r="DE13" s="31">
        <v>2.6398</v>
      </c>
      <c r="DF13" s="31">
        <v>3.5213</v>
      </c>
      <c r="DG13" s="31">
        <v>3.659</v>
      </c>
      <c r="DH13" s="31">
        <v>3.6819</v>
      </c>
      <c r="DI13" s="31">
        <v>3.322</v>
      </c>
      <c r="DJ13" s="31">
        <v>3.5857</v>
      </c>
      <c r="DK13" s="31">
        <v>4.8432</v>
      </c>
      <c r="DL13" s="31">
        <v>4.3229</v>
      </c>
      <c r="DM13" s="31">
        <v>3.7414</v>
      </c>
      <c r="DN13" s="31">
        <v>4.2224</v>
      </c>
      <c r="DO13" s="31">
        <v>4.0282</v>
      </c>
      <c r="DP13" s="31">
        <v>4.1352</v>
      </c>
      <c r="DQ13" s="31">
        <v>3.5858</v>
      </c>
      <c r="DR13" s="31">
        <v>4.6026</v>
      </c>
      <c r="DS13" s="31">
        <v>4.2485</v>
      </c>
      <c r="DT13" s="31">
        <v>3.7137</v>
      </c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  <c r="EY13" s="31"/>
      <c r="EZ13" s="31"/>
      <c r="FA13" s="31"/>
      <c r="FB13" s="31"/>
      <c r="FC13" s="31"/>
      <c r="FD13" s="31"/>
      <c r="FE13" s="31"/>
      <c r="FF13" s="31"/>
      <c r="FG13" s="31"/>
      <c r="FH13" s="31"/>
      <c r="FI13" s="31"/>
      <c r="FJ13" s="31"/>
      <c r="FK13" s="31"/>
      <c r="FL13" s="31"/>
      <c r="FM13" s="31"/>
      <c r="FN13" s="31"/>
      <c r="FO13" s="31"/>
      <c r="FP13" s="31"/>
      <c r="FQ13" s="31"/>
      <c r="FR13" s="31"/>
      <c r="FS13" s="31"/>
      <c r="FT13" s="31"/>
      <c r="FU13" s="31"/>
      <c r="FV13" s="31"/>
      <c r="FW13" s="31"/>
      <c r="FX13" s="31"/>
      <c r="FY13" s="31"/>
      <c r="FZ13" s="31"/>
      <c r="GA13" s="31"/>
      <c r="GB13" s="31"/>
      <c r="GC13" s="31"/>
      <c r="GD13" s="31"/>
      <c r="GE13" s="31"/>
      <c r="GF13" s="31"/>
      <c r="GG13" s="31"/>
      <c r="GH13" s="31"/>
      <c r="GI13" s="31"/>
      <c r="GJ13" s="31"/>
      <c r="GK13" s="31"/>
      <c r="GL13" s="31"/>
      <c r="GM13" s="31"/>
      <c r="GN13" s="31"/>
      <c r="GO13" s="31"/>
      <c r="GP13" s="31"/>
      <c r="GQ13" s="31"/>
      <c r="GR13" s="31"/>
      <c r="GS13" s="31"/>
      <c r="GT13" s="31"/>
      <c r="GU13" s="31"/>
      <c r="GV13" s="31"/>
      <c r="GW13" s="31"/>
      <c r="GX13" s="31"/>
      <c r="GY13" s="31"/>
      <c r="GZ13" s="31"/>
      <c r="HA13" s="31"/>
      <c r="HB13" s="31"/>
      <c r="HC13" s="31"/>
      <c r="HD13" s="31"/>
      <c r="HE13" s="31"/>
      <c r="HF13" s="31"/>
      <c r="HG13" s="31"/>
      <c r="HH13" s="31"/>
      <c r="HI13" s="31"/>
      <c r="HJ13" s="31"/>
      <c r="HK13" s="31"/>
      <c r="HL13" s="31"/>
      <c r="HM13" s="31"/>
      <c r="HN13" s="31"/>
      <c r="HO13" s="31"/>
      <c r="HP13" s="31"/>
      <c r="HQ13" s="31"/>
      <c r="HR13" s="31"/>
      <c r="HS13" s="31"/>
      <c r="HT13" s="31"/>
      <c r="HU13" s="31"/>
      <c r="HV13" s="31"/>
      <c r="HW13" s="31"/>
      <c r="HX13" s="31"/>
      <c r="HY13" s="31"/>
      <c r="HZ13" s="31"/>
      <c r="IA13" s="31"/>
      <c r="IB13" s="31"/>
      <c r="IC13" s="31"/>
      <c r="ID13" s="31"/>
      <c r="IE13" s="31"/>
      <c r="IF13" s="31"/>
      <c r="IG13" s="31"/>
      <c r="IH13" s="31"/>
      <c r="II13" s="31"/>
      <c r="IJ13" s="31"/>
      <c r="IK13" s="31"/>
      <c r="IL13" s="31"/>
      <c r="IM13" s="31"/>
    </row>
    <row r="14" ht="13.5" customHeight="1" spans="1:247">
      <c r="D14" s="30" t="str">
        <f>[1]!s_info_name(E14)</f>
        <v>深证成指</v>
      </c>
      <c r="E14" s="29" t="s">
        <v>14</v>
      </c>
      <c r="F14" s="31">
        <v>2.497</v>
      </c>
      <c r="G14" s="31">
        <v>3.0442</v>
      </c>
      <c r="H14" s="31">
        <v>2.7339</v>
      </c>
      <c r="I14" s="31">
        <v>2.7006</v>
      </c>
      <c r="J14" s="31">
        <v>2.8831</v>
      </c>
      <c r="K14" s="31">
        <v>3.2168</v>
      </c>
      <c r="L14" s="31">
        <v>3.3339</v>
      </c>
      <c r="M14" s="31">
        <v>3.9588</v>
      </c>
      <c r="N14" s="31">
        <v>2.9407</v>
      </c>
      <c r="O14" s="31">
        <v>2.6341</v>
      </c>
      <c r="P14" s="31">
        <v>2.4026</v>
      </c>
      <c r="Q14" s="31">
        <v>2.5626</v>
      </c>
      <c r="R14" s="31">
        <v>2.3019</v>
      </c>
      <c r="S14" s="31">
        <v>2.3757</v>
      </c>
      <c r="T14" s="31">
        <v>3.0852</v>
      </c>
      <c r="U14" s="31">
        <v>3.1324</v>
      </c>
      <c r="V14" s="31">
        <v>2.874</v>
      </c>
      <c r="W14" s="31">
        <v>2.8372</v>
      </c>
      <c r="X14" s="31">
        <v>3.2518</v>
      </c>
      <c r="Y14" s="31">
        <v>2.9196</v>
      </c>
      <c r="Z14" s="31">
        <v>2.542</v>
      </c>
      <c r="AA14" s="31">
        <v>2.5179</v>
      </c>
      <c r="AB14" s="31">
        <v>2.5495</v>
      </c>
      <c r="AC14" s="31">
        <v>2.2615</v>
      </c>
      <c r="AD14" s="31">
        <v>2.1261</v>
      </c>
      <c r="AE14" s="31">
        <v>2.0502</v>
      </c>
      <c r="AF14" s="31">
        <v>2.0729</v>
      </c>
      <c r="AG14" s="31">
        <v>2.1214</v>
      </c>
      <c r="AH14" s="31">
        <v>2.1824</v>
      </c>
      <c r="AI14" s="31">
        <v>1.9988</v>
      </c>
      <c r="AJ14" s="31">
        <v>2.1933</v>
      </c>
      <c r="AK14" s="31">
        <v>2.5064</v>
      </c>
      <c r="AL14" s="31">
        <v>2.4331</v>
      </c>
      <c r="AM14" s="31">
        <v>2.4778</v>
      </c>
      <c r="AN14" s="31">
        <v>2.8835</v>
      </c>
      <c r="AO14" s="31">
        <v>2.9369</v>
      </c>
      <c r="AP14" s="31">
        <v>2.2212</v>
      </c>
      <c r="AQ14" s="31">
        <v>2.2591</v>
      </c>
      <c r="AR14" s="31">
        <v>2.0653</v>
      </c>
      <c r="AS14" s="31">
        <v>2.5317</v>
      </c>
      <c r="AT14" s="31">
        <v>2.1748</v>
      </c>
      <c r="AU14" s="31">
        <v>2.3141</v>
      </c>
      <c r="AV14" s="31">
        <v>2.3209</v>
      </c>
      <c r="AW14" s="31">
        <v>2.3128</v>
      </c>
      <c r="AX14" s="31">
        <v>2.2015</v>
      </c>
      <c r="AY14" s="31">
        <v>2.0793</v>
      </c>
      <c r="AZ14" s="31">
        <v>1.8453</v>
      </c>
      <c r="BA14" s="31">
        <v>1.9625</v>
      </c>
      <c r="BB14" s="31">
        <v>2.1514</v>
      </c>
      <c r="BC14" s="31">
        <v>2.5931</v>
      </c>
      <c r="BD14" s="31">
        <v>2.1077</v>
      </c>
      <c r="BE14" s="31">
        <v>2.1011</v>
      </c>
      <c r="BF14" s="31">
        <v>1.8777</v>
      </c>
      <c r="BG14" s="31">
        <v>1.759</v>
      </c>
      <c r="BH14" s="31">
        <v>1.8078</v>
      </c>
      <c r="BI14" s="31">
        <v>1.7902</v>
      </c>
      <c r="BJ14" s="31">
        <v>1.7417</v>
      </c>
      <c r="BK14" s="31">
        <v>1.607</v>
      </c>
      <c r="BL14" s="31">
        <v>1.4204</v>
      </c>
      <c r="BM14" s="31">
        <v>1.3501</v>
      </c>
      <c r="BN14" s="31">
        <v>2.1989</v>
      </c>
      <c r="BO14" s="31">
        <v>1.7969</v>
      </c>
      <c r="BP14" s="31">
        <v>2.0304</v>
      </c>
      <c r="BQ14" s="31">
        <v>1.8507</v>
      </c>
      <c r="BR14" s="31">
        <v>2.0352</v>
      </c>
      <c r="BS14" s="31">
        <v>1.9938</v>
      </c>
      <c r="BT14" s="31">
        <v>1.9348</v>
      </c>
      <c r="BU14" s="31">
        <v>1.929</v>
      </c>
      <c r="BV14" s="31">
        <v>2.1656</v>
      </c>
      <c r="BW14" s="31">
        <v>1.976</v>
      </c>
      <c r="BX14" s="31">
        <v>2.0289</v>
      </c>
      <c r="BY14" s="31">
        <v>2.1828</v>
      </c>
      <c r="BZ14" s="31">
        <v>2.039</v>
      </c>
      <c r="CA14" s="31">
        <v>2.0334</v>
      </c>
      <c r="CB14" s="31">
        <v>2.0537</v>
      </c>
      <c r="CC14" s="31">
        <v>2.2294</v>
      </c>
      <c r="CD14" s="31">
        <v>2.2892</v>
      </c>
      <c r="CE14" s="31">
        <v>2.542</v>
      </c>
      <c r="CF14" s="31">
        <v>2.5031</v>
      </c>
      <c r="CG14" s="31">
        <v>2.412</v>
      </c>
      <c r="CH14" s="31">
        <v>2.7515</v>
      </c>
      <c r="CI14" s="31">
        <v>2.4769</v>
      </c>
      <c r="CJ14" s="31">
        <v>2.4072</v>
      </c>
      <c r="CK14" s="31">
        <v>2.5781</v>
      </c>
      <c r="CL14" s="31">
        <v>2.5671</v>
      </c>
      <c r="CM14" s="31">
        <v>2.1846</v>
      </c>
      <c r="CN14" s="31">
        <v>2.2075</v>
      </c>
      <c r="CO14" s="31">
        <v>2.1078</v>
      </c>
      <c r="CP14" s="31">
        <v>2.7335</v>
      </c>
      <c r="CQ14" s="31">
        <v>2.6407</v>
      </c>
      <c r="CR14" s="31">
        <v>2.5589</v>
      </c>
      <c r="CS14" s="31">
        <v>2.7895</v>
      </c>
      <c r="CT14" s="31">
        <v>2.8396</v>
      </c>
      <c r="CU14" s="31">
        <v>2.4994</v>
      </c>
      <c r="CV14" s="31">
        <v>2.8476</v>
      </c>
      <c r="CW14" s="31">
        <v>2.5477</v>
      </c>
      <c r="CX14" s="31">
        <v>2.3651</v>
      </c>
      <c r="CY14" s="31">
        <v>2.7141</v>
      </c>
      <c r="CZ14" s="31">
        <v>2.4038</v>
      </c>
      <c r="DA14" s="31">
        <v>2.7341</v>
      </c>
      <c r="DB14" s="31">
        <v>2.6135</v>
      </c>
      <c r="DC14" s="31">
        <v>2.3467</v>
      </c>
      <c r="DD14" s="31">
        <v>2.2807</v>
      </c>
      <c r="DE14" s="31">
        <v>2.1944</v>
      </c>
      <c r="DF14" s="31">
        <v>2.74</v>
      </c>
      <c r="DG14" s="31">
        <v>2.7349</v>
      </c>
      <c r="DH14" s="31">
        <v>2.5611</v>
      </c>
      <c r="DI14" s="31">
        <v>2.4441</v>
      </c>
      <c r="DJ14" s="31">
        <v>2.8202</v>
      </c>
      <c r="DK14" s="31">
        <v>3.1879</v>
      </c>
      <c r="DL14" s="31">
        <v>2.8245</v>
      </c>
      <c r="DM14" s="31">
        <v>2.7708</v>
      </c>
      <c r="DN14" s="31">
        <v>3.0295</v>
      </c>
      <c r="DO14" s="31">
        <v>3.1698</v>
      </c>
      <c r="DP14" s="31">
        <v>2.9304</v>
      </c>
      <c r="DQ14" s="31">
        <v>2.7505</v>
      </c>
      <c r="DR14" s="31">
        <v>3.1925</v>
      </c>
      <c r="DS14" s="31">
        <v>3.1936</v>
      </c>
      <c r="DT14" s="31">
        <v>2.7615</v>
      </c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  <c r="EY14" s="31"/>
      <c r="EZ14" s="31"/>
      <c r="FA14" s="31"/>
      <c r="FB14" s="31"/>
      <c r="FC14" s="31"/>
      <c r="FD14" s="31"/>
      <c r="FE14" s="31"/>
      <c r="FF14" s="31"/>
      <c r="FG14" s="31"/>
      <c r="FH14" s="31"/>
      <c r="FI14" s="31"/>
      <c r="FJ14" s="31"/>
      <c r="FK14" s="31"/>
      <c r="FL14" s="31"/>
      <c r="FM14" s="31"/>
      <c r="FN14" s="31"/>
      <c r="FO14" s="31"/>
      <c r="FP14" s="31"/>
      <c r="FQ14" s="31"/>
      <c r="FR14" s="31"/>
      <c r="FS14" s="31"/>
      <c r="FT14" s="31"/>
      <c r="FU14" s="31"/>
      <c r="FV14" s="31"/>
      <c r="FW14" s="31"/>
      <c r="FX14" s="31"/>
      <c r="FY14" s="31"/>
      <c r="FZ14" s="31"/>
      <c r="GA14" s="31"/>
      <c r="GB14" s="31"/>
      <c r="GC14" s="31"/>
      <c r="GD14" s="31"/>
      <c r="GE14" s="31"/>
      <c r="GF14" s="31"/>
      <c r="GG14" s="31"/>
      <c r="GH14" s="31"/>
      <c r="GI14" s="31"/>
      <c r="GJ14" s="31"/>
      <c r="GK14" s="31"/>
      <c r="GL14" s="31"/>
      <c r="GM14" s="31"/>
      <c r="GN14" s="31"/>
      <c r="GO14" s="31"/>
      <c r="GP14" s="31"/>
      <c r="GQ14" s="31"/>
      <c r="GR14" s="31"/>
      <c r="GS14" s="31"/>
      <c r="GT14" s="31"/>
      <c r="GU14" s="31"/>
      <c r="GV14" s="31"/>
      <c r="GW14" s="31"/>
      <c r="GX14" s="31"/>
      <c r="GY14" s="31"/>
      <c r="GZ14" s="31"/>
      <c r="HA14" s="31"/>
      <c r="HB14" s="31"/>
      <c r="HC14" s="31"/>
      <c r="HD14" s="31"/>
      <c r="HE14" s="31"/>
      <c r="HF14" s="31"/>
      <c r="HG14" s="31"/>
      <c r="HH14" s="31"/>
      <c r="HI14" s="31"/>
      <c r="HJ14" s="31"/>
      <c r="HK14" s="31"/>
      <c r="HL14" s="31"/>
      <c r="HM14" s="31"/>
      <c r="HN14" s="31"/>
      <c r="HO14" s="31"/>
      <c r="HP14" s="31"/>
      <c r="HQ14" s="31"/>
      <c r="HR14" s="31"/>
      <c r="HS14" s="31"/>
      <c r="HT14" s="31"/>
      <c r="HU14" s="31"/>
      <c r="HV14" s="31"/>
      <c r="HW14" s="31"/>
      <c r="HX14" s="31"/>
      <c r="HY14" s="31"/>
      <c r="HZ14" s="31"/>
      <c r="IA14" s="31"/>
      <c r="IB14" s="31"/>
      <c r="IC14" s="31"/>
      <c r="ID14" s="31"/>
      <c r="IE14" s="31"/>
      <c r="IF14" s="31"/>
      <c r="IG14" s="31"/>
      <c r="IH14" s="31"/>
      <c r="II14" s="31"/>
      <c r="IJ14" s="31"/>
      <c r="IK14" s="31"/>
      <c r="IL14" s="31"/>
      <c r="IM14" s="31"/>
    </row>
    <row r="15" ht="13.5" customHeight="1" spans="1:247">
      <c r="D15" s="30" t="str">
        <f>[1]!s_info_name(E15)</f>
        <v>沪深300</v>
      </c>
      <c r="E15" s="29" t="s">
        <v>16</v>
      </c>
      <c r="F15" s="31">
        <v>0.7115</v>
      </c>
      <c r="G15" s="31">
        <v>0.9024</v>
      </c>
      <c r="H15" s="31">
        <v>0.7873</v>
      </c>
      <c r="I15" s="31">
        <v>0.7256</v>
      </c>
      <c r="J15" s="31">
        <v>0.7739</v>
      </c>
      <c r="K15" s="31">
        <v>0.896</v>
      </c>
      <c r="L15" s="31">
        <v>0.9161</v>
      </c>
      <c r="M15" s="31">
        <v>1.109</v>
      </c>
      <c r="N15" s="31">
        <v>0.7719</v>
      </c>
      <c r="O15" s="31">
        <v>0.9883</v>
      </c>
      <c r="P15" s="31">
        <v>0.8131</v>
      </c>
      <c r="Q15" s="31">
        <v>0.8587</v>
      </c>
      <c r="R15" s="31">
        <v>0.809</v>
      </c>
      <c r="S15" s="31">
        <v>0.8329</v>
      </c>
      <c r="T15" s="31">
        <v>0.9557</v>
      </c>
      <c r="U15" s="31">
        <v>1.1026</v>
      </c>
      <c r="V15" s="31">
        <v>0.9157</v>
      </c>
      <c r="W15" s="31">
        <v>1.1611</v>
      </c>
      <c r="X15" s="31">
        <v>1.2621</v>
      </c>
      <c r="Y15" s="31">
        <v>0.9713</v>
      </c>
      <c r="Z15" s="31">
        <v>0.925</v>
      </c>
      <c r="AA15" s="31">
        <v>0.8059</v>
      </c>
      <c r="AB15" s="31">
        <v>0.8038</v>
      </c>
      <c r="AC15" s="31">
        <v>0.7218</v>
      </c>
      <c r="AD15" s="31">
        <v>0.6152</v>
      </c>
      <c r="AE15" s="31">
        <v>0.6289</v>
      </c>
      <c r="AF15" s="31">
        <v>0.5675</v>
      </c>
      <c r="AG15" s="31">
        <v>0.5262</v>
      </c>
      <c r="AH15" s="31">
        <v>0.6004</v>
      </c>
      <c r="AI15" s="31">
        <v>0.5741</v>
      </c>
      <c r="AJ15" s="31">
        <v>0.6627</v>
      </c>
      <c r="AK15" s="31">
        <v>0.8622</v>
      </c>
      <c r="AL15" s="31">
        <v>0.7123</v>
      </c>
      <c r="AM15" s="31">
        <v>0.7929</v>
      </c>
      <c r="AN15" s="31">
        <v>1.0593</v>
      </c>
      <c r="AO15" s="31">
        <v>1.1241</v>
      </c>
      <c r="AP15" s="31">
        <v>0.9191</v>
      </c>
      <c r="AQ15" s="31">
        <v>0.7865</v>
      </c>
      <c r="AR15" s="31">
        <v>0.7235</v>
      </c>
      <c r="AS15" s="31">
        <v>0.979</v>
      </c>
      <c r="AT15" s="31">
        <v>0.8004</v>
      </c>
      <c r="AU15" s="31">
        <v>0.8195</v>
      </c>
      <c r="AV15" s="31">
        <v>0.919</v>
      </c>
      <c r="AW15" s="31">
        <v>0.9426</v>
      </c>
      <c r="AX15" s="31">
        <v>0.8984</v>
      </c>
      <c r="AY15" s="31">
        <v>0.7977</v>
      </c>
      <c r="AZ15" s="31">
        <v>0.7118</v>
      </c>
      <c r="BA15" s="31">
        <v>0.7707</v>
      </c>
      <c r="BB15" s="31">
        <v>0.7821</v>
      </c>
      <c r="BC15" s="31">
        <v>0.995</v>
      </c>
      <c r="BD15" s="31">
        <v>0.775</v>
      </c>
      <c r="BE15" s="31">
        <v>0.7952</v>
      </c>
      <c r="BF15" s="31">
        <v>0.6472</v>
      </c>
      <c r="BG15" s="31">
        <v>0.5825</v>
      </c>
      <c r="BH15" s="31">
        <v>0.6337</v>
      </c>
      <c r="BI15" s="31">
        <v>0.6799</v>
      </c>
      <c r="BJ15" s="31">
        <v>0.6555</v>
      </c>
      <c r="BK15" s="31">
        <v>0.5782</v>
      </c>
      <c r="BL15" s="31">
        <v>0.5096</v>
      </c>
      <c r="BM15" s="31">
        <v>0.4924</v>
      </c>
      <c r="BN15" s="31">
        <v>0.767</v>
      </c>
      <c r="BO15" s="31">
        <v>0.5599</v>
      </c>
      <c r="BP15" s="31">
        <v>0.6318</v>
      </c>
      <c r="BQ15" s="31">
        <v>0.5955</v>
      </c>
      <c r="BR15" s="31">
        <v>0.6197</v>
      </c>
      <c r="BS15" s="31">
        <v>0.6104</v>
      </c>
      <c r="BT15" s="31">
        <v>0.5813</v>
      </c>
      <c r="BU15" s="31">
        <v>0.5536</v>
      </c>
      <c r="BV15" s="31">
        <v>0.6708</v>
      </c>
      <c r="BW15" s="31">
        <v>0.6223</v>
      </c>
      <c r="BX15" s="31">
        <v>0.6188</v>
      </c>
      <c r="BY15" s="31">
        <v>0.7047</v>
      </c>
      <c r="BZ15" s="31">
        <v>0.5865</v>
      </c>
      <c r="CA15" s="31">
        <v>0.5834</v>
      </c>
      <c r="CB15" s="31">
        <v>0.6559</v>
      </c>
      <c r="CC15" s="31">
        <v>0.706</v>
      </c>
      <c r="CD15" s="31">
        <v>0.7588</v>
      </c>
      <c r="CE15" s="31">
        <v>0.8309</v>
      </c>
      <c r="CF15" s="31">
        <v>0.7806</v>
      </c>
      <c r="CG15" s="31">
        <v>0.762</v>
      </c>
      <c r="CH15" s="31">
        <v>0.9256</v>
      </c>
      <c r="CI15" s="31">
        <v>0.8289</v>
      </c>
      <c r="CJ15" s="31">
        <v>0.8127</v>
      </c>
      <c r="CK15" s="31">
        <v>0.8498</v>
      </c>
      <c r="CL15" s="31">
        <v>0.8385</v>
      </c>
      <c r="CM15" s="31">
        <v>0.7237</v>
      </c>
      <c r="CN15" s="31">
        <v>0.7032</v>
      </c>
      <c r="CO15" s="31">
        <v>0.6661</v>
      </c>
      <c r="CP15" s="31">
        <v>0.8698</v>
      </c>
      <c r="CQ15" s="31">
        <v>0.8685</v>
      </c>
      <c r="CR15" s="31">
        <v>0.8014</v>
      </c>
      <c r="CS15" s="31">
        <v>0.9166</v>
      </c>
      <c r="CT15" s="31">
        <v>0.9133</v>
      </c>
      <c r="CU15" s="31">
        <v>0.8094</v>
      </c>
      <c r="CV15" s="31">
        <v>1.0063</v>
      </c>
      <c r="CW15" s="31">
        <v>0.8962</v>
      </c>
      <c r="CX15" s="31">
        <v>0.8526</v>
      </c>
      <c r="CY15" s="31">
        <v>0.9201</v>
      </c>
      <c r="CZ15" s="31">
        <v>0.8014</v>
      </c>
      <c r="DA15" s="31">
        <v>0.9138</v>
      </c>
      <c r="DB15" s="31">
        <v>0.9069</v>
      </c>
      <c r="DC15" s="31">
        <v>0.7816</v>
      </c>
      <c r="DD15" s="31">
        <v>0.7845</v>
      </c>
      <c r="DE15" s="31">
        <v>0.7478</v>
      </c>
      <c r="DF15" s="31">
        <v>1.0161</v>
      </c>
      <c r="DG15" s="31">
        <v>0.992</v>
      </c>
      <c r="DH15" s="31">
        <v>0.8461</v>
      </c>
      <c r="DI15" s="31">
        <v>0.8265</v>
      </c>
      <c r="DJ15" s="31">
        <v>1.0014</v>
      </c>
      <c r="DK15" s="31">
        <v>1.1231</v>
      </c>
      <c r="DL15" s="31">
        <v>1.0262</v>
      </c>
      <c r="DM15" s="31">
        <v>0.9349</v>
      </c>
      <c r="DN15" s="31">
        <v>1.0379</v>
      </c>
      <c r="DO15" s="31">
        <v>1.0215</v>
      </c>
      <c r="DP15" s="31">
        <v>0.9677</v>
      </c>
      <c r="DQ15" s="31">
        <v>0.9166</v>
      </c>
      <c r="DR15" s="31">
        <v>1.0268</v>
      </c>
      <c r="DS15" s="31">
        <v>1.0277</v>
      </c>
      <c r="DT15" s="31">
        <v>0.9016</v>
      </c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  <c r="EY15" s="31"/>
      <c r="EZ15" s="31"/>
      <c r="FA15" s="31"/>
      <c r="FB15" s="31"/>
      <c r="FC15" s="31"/>
      <c r="FD15" s="31"/>
      <c r="FE15" s="31"/>
      <c r="FF15" s="31"/>
      <c r="FG15" s="31"/>
      <c r="FH15" s="31"/>
      <c r="FI15" s="31"/>
      <c r="FJ15" s="31"/>
      <c r="FK15" s="31"/>
      <c r="FL15" s="31"/>
      <c r="FM15" s="31"/>
      <c r="FN15" s="31"/>
      <c r="FO15" s="31"/>
      <c r="FP15" s="31"/>
      <c r="FQ15" s="31"/>
      <c r="FR15" s="31"/>
      <c r="FS15" s="31"/>
      <c r="FT15" s="31"/>
      <c r="FU15" s="31"/>
      <c r="FV15" s="31"/>
      <c r="FW15" s="31"/>
      <c r="FX15" s="31"/>
      <c r="FY15" s="31"/>
      <c r="FZ15" s="31"/>
      <c r="GA15" s="31"/>
      <c r="GB15" s="31"/>
      <c r="GC15" s="31"/>
      <c r="GD15" s="31"/>
      <c r="GE15" s="31"/>
      <c r="GF15" s="31"/>
      <c r="GG15" s="31"/>
      <c r="GH15" s="31"/>
      <c r="GI15" s="31"/>
      <c r="GJ15" s="31"/>
      <c r="GK15" s="31"/>
      <c r="GL15" s="31"/>
      <c r="GM15" s="31"/>
      <c r="GN15" s="31"/>
      <c r="GO15" s="31"/>
      <c r="GP15" s="31"/>
      <c r="GQ15" s="31"/>
      <c r="GR15" s="31"/>
      <c r="GS15" s="31"/>
      <c r="GT15" s="31"/>
      <c r="GU15" s="31"/>
      <c r="GV15" s="31"/>
      <c r="GW15" s="31"/>
      <c r="GX15" s="31"/>
      <c r="GY15" s="31"/>
      <c r="GZ15" s="31"/>
      <c r="HA15" s="31"/>
      <c r="HB15" s="31"/>
      <c r="HC15" s="31"/>
      <c r="HD15" s="31"/>
      <c r="HE15" s="31"/>
      <c r="HF15" s="31"/>
      <c r="HG15" s="31"/>
      <c r="HH15" s="31"/>
      <c r="HI15" s="31"/>
      <c r="HJ15" s="31"/>
      <c r="HK15" s="31"/>
      <c r="HL15" s="31"/>
      <c r="HM15" s="31"/>
      <c r="HN15" s="31"/>
      <c r="HO15" s="31"/>
      <c r="HP15" s="31"/>
      <c r="HQ15" s="31"/>
      <c r="HR15" s="31"/>
      <c r="HS15" s="31"/>
      <c r="HT15" s="31"/>
      <c r="HU15" s="31"/>
      <c r="HV15" s="31"/>
      <c r="HW15" s="31"/>
      <c r="HX15" s="31"/>
      <c r="HY15" s="31"/>
      <c r="HZ15" s="31"/>
      <c r="IA15" s="31"/>
      <c r="IB15" s="31"/>
      <c r="IC15" s="31"/>
      <c r="ID15" s="31"/>
      <c r="IE15" s="31"/>
      <c r="IF15" s="31"/>
      <c r="IG15" s="31"/>
      <c r="IH15" s="31"/>
      <c r="II15" s="31"/>
      <c r="IJ15" s="31"/>
      <c r="IK15" s="31"/>
      <c r="IL15" s="31"/>
      <c r="IM15" s="31"/>
    </row>
    <row r="16" ht="13.5" customHeight="1" spans="1:247">
      <c r="D16" s="30" t="str">
        <f>[1]!s_info_name(E16)</f>
        <v>上证指数</v>
      </c>
      <c r="E16" s="29" t="s">
        <v>11</v>
      </c>
      <c r="F16" s="31">
        <v>1.2487</v>
      </c>
      <c r="G16" s="31">
        <v>1.4703</v>
      </c>
      <c r="H16" s="31">
        <v>1.4283</v>
      </c>
      <c r="I16" s="31">
        <v>1.3909</v>
      </c>
      <c r="J16" s="31">
        <v>1.5243</v>
      </c>
      <c r="K16" s="31">
        <v>1.7536</v>
      </c>
      <c r="L16" s="31">
        <v>1.8163</v>
      </c>
      <c r="M16" s="31">
        <v>1.9954</v>
      </c>
      <c r="N16" s="31">
        <v>1.4208</v>
      </c>
      <c r="O16" s="31">
        <v>1.5858</v>
      </c>
      <c r="P16" s="31">
        <v>1.4386</v>
      </c>
      <c r="Q16" s="31">
        <v>1.5361</v>
      </c>
      <c r="R16" s="31">
        <v>1.3946</v>
      </c>
      <c r="S16" s="31">
        <v>1.4852</v>
      </c>
      <c r="T16" s="31">
        <v>1.6373</v>
      </c>
      <c r="U16" s="31">
        <v>1.8549</v>
      </c>
      <c r="V16" s="31">
        <v>1.5788</v>
      </c>
      <c r="W16" s="31">
        <v>1.7225</v>
      </c>
      <c r="X16" s="31">
        <v>1.8945</v>
      </c>
      <c r="Y16" s="31">
        <v>1.683</v>
      </c>
      <c r="Z16" s="31">
        <v>1.5331</v>
      </c>
      <c r="AA16" s="31">
        <v>1.3332</v>
      </c>
      <c r="AB16" s="31">
        <v>1.4107</v>
      </c>
      <c r="AC16" s="31">
        <v>1.2464</v>
      </c>
      <c r="AD16" s="31">
        <v>1.1631</v>
      </c>
      <c r="AE16" s="31">
        <v>1.1987</v>
      </c>
      <c r="AF16" s="31">
        <v>1.094</v>
      </c>
      <c r="AG16" s="31">
        <v>1.0421</v>
      </c>
      <c r="AH16" s="31">
        <v>1.105</v>
      </c>
      <c r="AI16" s="31">
        <v>1.0464</v>
      </c>
      <c r="AJ16" s="31">
        <v>1.1833</v>
      </c>
      <c r="AK16" s="31">
        <v>1.5129</v>
      </c>
      <c r="AL16" s="31">
        <v>1.362</v>
      </c>
      <c r="AM16" s="31">
        <v>1.4229</v>
      </c>
      <c r="AN16" s="31">
        <v>1.8007</v>
      </c>
      <c r="AO16" s="31">
        <v>1.9252</v>
      </c>
      <c r="AP16" s="31">
        <v>1.5993</v>
      </c>
      <c r="AQ16" s="31">
        <v>1.4388</v>
      </c>
      <c r="AR16" s="31">
        <v>1.3516</v>
      </c>
      <c r="AS16" s="31">
        <v>1.6654</v>
      </c>
      <c r="AT16" s="31">
        <v>1.4078</v>
      </c>
      <c r="AU16" s="31">
        <v>1.4719</v>
      </c>
      <c r="AV16" s="31">
        <v>1.6366</v>
      </c>
      <c r="AW16" s="31">
        <v>1.6421</v>
      </c>
      <c r="AX16" s="31">
        <v>1.5222</v>
      </c>
      <c r="AY16" s="31">
        <v>1.4</v>
      </c>
      <c r="AZ16" s="31">
        <v>1.2882</v>
      </c>
      <c r="BA16" s="31">
        <v>1.3846</v>
      </c>
      <c r="BB16" s="31">
        <v>1.3759</v>
      </c>
      <c r="BC16" s="31">
        <v>1.6665</v>
      </c>
      <c r="BD16" s="31">
        <v>1.407</v>
      </c>
      <c r="BE16" s="31">
        <v>1.4153</v>
      </c>
      <c r="BF16" s="31">
        <v>1.2712</v>
      </c>
      <c r="BG16" s="31">
        <v>1.1552</v>
      </c>
      <c r="BH16" s="31">
        <v>1.2345</v>
      </c>
      <c r="BI16" s="31">
        <v>1.2598</v>
      </c>
      <c r="BJ16" s="31">
        <v>1.1726</v>
      </c>
      <c r="BK16" s="31">
        <v>1.131</v>
      </c>
      <c r="BL16" s="31">
        <v>1.0234</v>
      </c>
      <c r="BM16" s="31">
        <v>0.9866</v>
      </c>
      <c r="BN16" s="31">
        <v>1.3396</v>
      </c>
      <c r="BO16" s="31">
        <v>1.1262</v>
      </c>
      <c r="BP16" s="31">
        <v>1.1327</v>
      </c>
      <c r="BQ16" s="31">
        <v>1.1302</v>
      </c>
      <c r="BR16" s="31">
        <v>1.1821</v>
      </c>
      <c r="BS16" s="31">
        <v>1.1814</v>
      </c>
      <c r="BT16" s="31">
        <v>1.1302</v>
      </c>
      <c r="BU16" s="31">
        <v>1.1376</v>
      </c>
      <c r="BV16" s="31">
        <v>1.2237</v>
      </c>
      <c r="BW16" s="31">
        <v>1.19</v>
      </c>
      <c r="BX16" s="31">
        <v>1.2052</v>
      </c>
      <c r="BY16" s="31">
        <v>1.3866</v>
      </c>
      <c r="BZ16" s="31">
        <v>1.2508</v>
      </c>
      <c r="CA16" s="31">
        <v>1.2208</v>
      </c>
      <c r="CB16" s="31">
        <v>1.2436</v>
      </c>
      <c r="CC16" s="31">
        <v>1.2751</v>
      </c>
      <c r="CD16" s="31">
        <v>1.3627</v>
      </c>
      <c r="CE16" s="31">
        <v>1.4537</v>
      </c>
      <c r="CF16" s="31">
        <v>1.4186</v>
      </c>
      <c r="CG16" s="31">
        <v>1.4407</v>
      </c>
      <c r="CH16" s="31">
        <v>1.5838</v>
      </c>
      <c r="CI16" s="31">
        <v>1.4832</v>
      </c>
      <c r="CJ16" s="31">
        <v>1.4493</v>
      </c>
      <c r="CK16" s="31">
        <v>1.5772</v>
      </c>
      <c r="CL16" s="31">
        <v>1.5154</v>
      </c>
      <c r="CM16" s="31">
        <v>1.2968</v>
      </c>
      <c r="CN16" s="31">
        <v>1.2766</v>
      </c>
      <c r="CO16" s="31">
        <v>1.2657</v>
      </c>
      <c r="CP16" s="31">
        <v>1.4943</v>
      </c>
      <c r="CQ16" s="31">
        <v>1.2146</v>
      </c>
      <c r="CR16" s="31">
        <v>1.2698</v>
      </c>
      <c r="CS16" s="31">
        <v>1.3433</v>
      </c>
      <c r="CT16" s="31">
        <v>1.354</v>
      </c>
      <c r="CU16" s="31">
        <v>1.2753</v>
      </c>
      <c r="CV16" s="31">
        <v>1.506</v>
      </c>
      <c r="CW16" s="31">
        <v>1.391</v>
      </c>
      <c r="CX16" s="31">
        <v>1.325</v>
      </c>
      <c r="CY16" s="31">
        <v>1.3636</v>
      </c>
      <c r="CZ16" s="31">
        <v>1.2768</v>
      </c>
      <c r="DA16" s="31">
        <v>1.3658</v>
      </c>
      <c r="DB16" s="31">
        <v>1.3577</v>
      </c>
      <c r="DC16" s="31">
        <v>1.187</v>
      </c>
      <c r="DD16" s="31">
        <v>1.231</v>
      </c>
      <c r="DE16" s="31">
        <v>1.1715</v>
      </c>
      <c r="DF16" s="31">
        <v>1.5379</v>
      </c>
      <c r="DG16" s="31">
        <v>1.4033</v>
      </c>
      <c r="DH16" s="31">
        <v>1.2708</v>
      </c>
      <c r="DI16" s="31">
        <v>1.2544</v>
      </c>
      <c r="DJ16" s="31">
        <v>1.3519</v>
      </c>
      <c r="DK16" s="31">
        <v>1.535</v>
      </c>
      <c r="DL16" s="31">
        <v>1.468</v>
      </c>
      <c r="DM16" s="31">
        <v>1.3295</v>
      </c>
      <c r="DN16" s="31">
        <v>1.3821</v>
      </c>
      <c r="DO16" s="31">
        <v>1.3597</v>
      </c>
      <c r="DP16" s="31">
        <v>1.357</v>
      </c>
      <c r="DQ16" s="31">
        <v>1.2328</v>
      </c>
      <c r="DR16" s="31">
        <v>1.3864</v>
      </c>
      <c r="DS16" s="31">
        <v>1.3571</v>
      </c>
      <c r="DT16" s="31">
        <v>1.2369</v>
      </c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  <c r="EY16" s="31"/>
      <c r="EZ16" s="31"/>
      <c r="FA16" s="31"/>
      <c r="FB16" s="31"/>
      <c r="FC16" s="31"/>
      <c r="FD16" s="31"/>
      <c r="FE16" s="31"/>
      <c r="FF16" s="31"/>
      <c r="FG16" s="31"/>
      <c r="FH16" s="31"/>
      <c r="FI16" s="31"/>
      <c r="FJ16" s="31"/>
      <c r="FK16" s="31"/>
      <c r="FL16" s="31"/>
      <c r="FM16" s="31"/>
      <c r="FN16" s="31"/>
      <c r="FO16" s="31"/>
      <c r="FP16" s="31"/>
      <c r="FQ16" s="31"/>
      <c r="FR16" s="31"/>
      <c r="FS16" s="31"/>
      <c r="FT16" s="31"/>
      <c r="FU16" s="31"/>
      <c r="FV16" s="31"/>
      <c r="FW16" s="31"/>
      <c r="FX16" s="31"/>
      <c r="FY16" s="31"/>
      <c r="FZ16" s="31"/>
      <c r="GA16" s="31"/>
      <c r="GB16" s="31"/>
      <c r="GC16" s="31"/>
      <c r="GD16" s="31"/>
      <c r="GE16" s="31"/>
      <c r="GF16" s="31"/>
      <c r="GG16" s="31"/>
      <c r="GH16" s="31"/>
      <c r="GI16" s="31"/>
      <c r="GJ16" s="31"/>
      <c r="GK16" s="31"/>
      <c r="GL16" s="31"/>
      <c r="GM16" s="31"/>
      <c r="GN16" s="31"/>
      <c r="GO16" s="31"/>
      <c r="GP16" s="31"/>
      <c r="GQ16" s="31"/>
      <c r="GR16" s="31"/>
      <c r="GS16" s="31"/>
      <c r="GT16" s="31"/>
      <c r="GU16" s="31"/>
      <c r="GV16" s="31"/>
      <c r="GW16" s="31"/>
      <c r="GX16" s="31"/>
      <c r="GY16" s="31"/>
      <c r="GZ16" s="31"/>
      <c r="HA16" s="31"/>
      <c r="HB16" s="31"/>
      <c r="HC16" s="31"/>
      <c r="HD16" s="31"/>
      <c r="HE16" s="31"/>
      <c r="HF16" s="31"/>
      <c r="HG16" s="31"/>
      <c r="HH16" s="31"/>
      <c r="HI16" s="31"/>
      <c r="HJ16" s="31"/>
      <c r="HK16" s="31"/>
      <c r="HL16" s="31"/>
      <c r="HM16" s="31"/>
      <c r="HN16" s="31"/>
      <c r="HO16" s="31"/>
      <c r="HP16" s="31"/>
      <c r="HQ16" s="31"/>
      <c r="HR16" s="31"/>
      <c r="HS16" s="31"/>
      <c r="HT16" s="31"/>
      <c r="HU16" s="31"/>
      <c r="HV16" s="31"/>
      <c r="HW16" s="31"/>
      <c r="HX16" s="31"/>
      <c r="HY16" s="31"/>
      <c r="HZ16" s="31"/>
      <c r="IA16" s="31"/>
      <c r="IB16" s="31"/>
      <c r="IC16" s="31"/>
      <c r="ID16" s="31"/>
      <c r="IE16" s="31"/>
      <c r="IF16" s="31"/>
      <c r="IG16" s="31"/>
      <c r="IH16" s="31"/>
      <c r="II16" s="31"/>
      <c r="IJ16" s="31"/>
      <c r="IK16" s="31"/>
      <c r="IL16" s="31"/>
      <c r="IM16" s="31"/>
    </row>
    <row r="17" ht="13.5" customHeight="1" spans="1:733">
      <c r="D17" s="30" t="str">
        <f>[1]!s_info_name(E17)</f>
        <v>恒生指数</v>
      </c>
      <c r="E17" s="29" t="s">
        <v>27</v>
      </c>
      <c r="F17" s="31">
        <v>0.3524</v>
      </c>
      <c r="G17" s="31">
        <v>0.3628</v>
      </c>
      <c r="H17" s="31">
        <v>0.3479</v>
      </c>
      <c r="I17" s="31">
        <v>0.3096</v>
      </c>
      <c r="J17" s="31">
        <v>0.3094</v>
      </c>
      <c r="K17" s="31">
        <v>0.3436</v>
      </c>
      <c r="L17" s="31">
        <v>0.3524</v>
      </c>
      <c r="M17" s="31">
        <v>0.4629</v>
      </c>
      <c r="N17" s="31">
        <v>0.3426</v>
      </c>
      <c r="O17" s="31">
        <v>0.3218</v>
      </c>
      <c r="P17" s="31">
        <v>0.2622</v>
      </c>
      <c r="Q17" s="31">
        <v>0.2649</v>
      </c>
      <c r="R17" s="31">
        <v>0.2867</v>
      </c>
      <c r="S17" s="31">
        <v>0.286</v>
      </c>
      <c r="T17" s="31">
        <v>0.2681</v>
      </c>
      <c r="U17" s="31">
        <v>0.2798</v>
      </c>
      <c r="V17" s="31">
        <v>0.2929</v>
      </c>
      <c r="W17" s="31">
        <v>0.4829</v>
      </c>
      <c r="X17" s="31">
        <v>0.4204</v>
      </c>
      <c r="Y17" s="31">
        <v>0.4233</v>
      </c>
      <c r="Z17" s="31">
        <v>0.4623</v>
      </c>
      <c r="AA17" s="31">
        <v>0.3275</v>
      </c>
      <c r="AB17" s="31">
        <v>0.2854</v>
      </c>
      <c r="AC17" s="31">
        <v>0.305</v>
      </c>
      <c r="AD17" s="31">
        <v>0.2785</v>
      </c>
      <c r="AE17" s="31">
        <v>0.2614</v>
      </c>
      <c r="AF17" s="31">
        <v>0.2442</v>
      </c>
      <c r="AG17" s="31">
        <v>0.2298</v>
      </c>
      <c r="AH17" s="31">
        <v>0.2552</v>
      </c>
      <c r="AI17" s="31">
        <v>0.238</v>
      </c>
      <c r="AJ17" s="31">
        <v>0.2566</v>
      </c>
      <c r="AK17" s="31">
        <v>0.239</v>
      </c>
      <c r="AL17" s="31">
        <v>0.2774</v>
      </c>
      <c r="AM17" s="31">
        <v>0.315</v>
      </c>
      <c r="AN17" s="31">
        <v>0.4392</v>
      </c>
      <c r="AO17" s="31">
        <v>0.4499</v>
      </c>
      <c r="AP17" s="31">
        <v>0.4497</v>
      </c>
      <c r="AQ17" s="31">
        <v>0.3331</v>
      </c>
      <c r="AR17" s="31">
        <v>0.3508</v>
      </c>
      <c r="AS17" s="31">
        <v>0.5059</v>
      </c>
      <c r="AT17" s="31">
        <v>0.3358</v>
      </c>
      <c r="AU17" s="31">
        <v>0.3001</v>
      </c>
      <c r="AV17" s="31">
        <v>0.2907</v>
      </c>
      <c r="AW17" s="31">
        <v>0.2659</v>
      </c>
      <c r="AX17" s="31">
        <v>0.288</v>
      </c>
      <c r="AY17" s="31">
        <v>0.2769</v>
      </c>
      <c r="AZ17" s="31">
        <v>0.242</v>
      </c>
      <c r="BA17" s="31">
        <v>0.3391</v>
      </c>
      <c r="BB17" s="31">
        <v>0.4393</v>
      </c>
      <c r="BC17" s="31">
        <v>0.4863</v>
      </c>
      <c r="BD17" s="31">
        <v>0.3714</v>
      </c>
      <c r="BE17" s="31">
        <v>0.4367</v>
      </c>
      <c r="BF17" s="31">
        <v>0.3793</v>
      </c>
      <c r="BG17" s="31">
        <v>0.3254</v>
      </c>
      <c r="BH17" s="31">
        <v>0.396</v>
      </c>
      <c r="BI17" s="31">
        <v>0.3632</v>
      </c>
      <c r="BJ17" s="31">
        <v>0.3682</v>
      </c>
      <c r="BK17" s="31">
        <v>0.3049</v>
      </c>
      <c r="BL17" s="31"/>
      <c r="BM17" s="31"/>
      <c r="BN17" s="31">
        <v>0.465</v>
      </c>
      <c r="BO17" s="31">
        <v>0.2785</v>
      </c>
      <c r="BP17" s="31">
        <v>0.2456</v>
      </c>
      <c r="BQ17" s="31">
        <v>0.2185</v>
      </c>
      <c r="BR17" s="31">
        <v>0.2584</v>
      </c>
      <c r="BS17" s="31">
        <v>0.2884</v>
      </c>
      <c r="BT17" s="31">
        <v>0.2679</v>
      </c>
      <c r="BU17" s="31">
        <v>0.2667</v>
      </c>
      <c r="BV17" s="31">
        <v>0.2743</v>
      </c>
      <c r="BW17" s="31">
        <v>0.2349</v>
      </c>
      <c r="BX17" s="31">
        <v>0.2446</v>
      </c>
      <c r="BY17" s="31">
        <v>0.249</v>
      </c>
      <c r="BZ17" s="31">
        <v>0.2755</v>
      </c>
      <c r="CA17" s="31">
        <v>0.2484</v>
      </c>
      <c r="CB17" s="31">
        <v>0.3116</v>
      </c>
      <c r="CC17" s="31">
        <v>0.3612</v>
      </c>
      <c r="CD17" s="31">
        <v>0.3942</v>
      </c>
      <c r="CE17" s="31">
        <v>0.3384</v>
      </c>
      <c r="CF17" s="31">
        <v>0.3808</v>
      </c>
      <c r="CG17" s="31">
        <v>0.2923</v>
      </c>
      <c r="CH17" s="31">
        <v>0.294</v>
      </c>
      <c r="CI17" s="31">
        <v>0.2943</v>
      </c>
      <c r="CJ17" s="31">
        <v>0.2693</v>
      </c>
      <c r="CK17" s="31">
        <v>0.2983</v>
      </c>
      <c r="CL17" s="31">
        <v>0.3112</v>
      </c>
      <c r="CM17" s="31">
        <v>0.288</v>
      </c>
      <c r="CN17" s="31">
        <v>0.296</v>
      </c>
      <c r="CO17" s="31">
        <v>0.273</v>
      </c>
      <c r="CP17" s="31">
        <v>0.2891</v>
      </c>
      <c r="CQ17" s="31">
        <v>0.3133</v>
      </c>
      <c r="CR17" s="31"/>
      <c r="CS17" s="31">
        <v>0.3898</v>
      </c>
      <c r="CT17" s="31">
        <v>0.3549</v>
      </c>
      <c r="CU17" s="31">
        <v>0.4046</v>
      </c>
      <c r="CV17" s="31">
        <v>0.6461</v>
      </c>
      <c r="CW17" s="31">
        <v>0.3536</v>
      </c>
      <c r="CX17" s="31">
        <v>0.3582</v>
      </c>
      <c r="CY17" s="31">
        <v>0.3031</v>
      </c>
      <c r="CZ17" s="31">
        <v>0.2657</v>
      </c>
      <c r="DA17" s="31">
        <v>0.3413</v>
      </c>
      <c r="DB17" s="31">
        <v>0.3592</v>
      </c>
      <c r="DC17" s="31">
        <v>0.3167</v>
      </c>
      <c r="DD17" s="31">
        <v>0.3717</v>
      </c>
      <c r="DE17" s="31">
        <v>0.3225</v>
      </c>
      <c r="DF17" s="31">
        <v>0.3537</v>
      </c>
      <c r="DG17" s="31">
        <v>0.3428</v>
      </c>
      <c r="DH17" s="31">
        <v>0.2965</v>
      </c>
      <c r="DI17" s="31">
        <v>0.288</v>
      </c>
      <c r="DJ17" s="31">
        <v>0.4558</v>
      </c>
      <c r="DK17" s="31">
        <v>0.3818</v>
      </c>
      <c r="DL17" s="31">
        <v>0.3478</v>
      </c>
      <c r="DM17" s="31">
        <v>0.3262</v>
      </c>
      <c r="DN17" s="31">
        <v>0.4022</v>
      </c>
      <c r="DO17" s="31">
        <v>0.3954</v>
      </c>
      <c r="DP17" s="31">
        <v>0.326</v>
      </c>
      <c r="DQ17" s="31">
        <v>0.4237</v>
      </c>
      <c r="DR17" s="31"/>
      <c r="DS17" s="31">
        <v>0.3907</v>
      </c>
      <c r="DT17" s="31">
        <v>0.32</v>
      </c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  <c r="EY17" s="31"/>
      <c r="EZ17" s="31"/>
      <c r="FA17" s="31"/>
      <c r="FB17" s="31"/>
      <c r="FC17" s="31"/>
      <c r="FD17" s="31"/>
      <c r="FE17" s="31"/>
      <c r="FF17" s="31"/>
      <c r="FG17" s="31"/>
      <c r="FH17" s="31"/>
      <c r="FI17" s="31"/>
      <c r="FJ17" s="31"/>
      <c r="FK17" s="31"/>
      <c r="FL17" s="31"/>
      <c r="FM17" s="31"/>
      <c r="FN17" s="31"/>
      <c r="FO17" s="31"/>
      <c r="FP17" s="31"/>
      <c r="FQ17" s="31"/>
      <c r="FR17" s="31"/>
      <c r="FS17" s="31"/>
      <c r="FT17" s="31"/>
      <c r="FU17" s="31"/>
      <c r="FV17" s="31"/>
      <c r="FW17" s="31"/>
      <c r="FX17" s="31"/>
      <c r="FY17" s="31"/>
      <c r="FZ17" s="31"/>
      <c r="GA17" s="31"/>
      <c r="GB17" s="31"/>
      <c r="GC17" s="31"/>
      <c r="GD17" s="31"/>
      <c r="GE17" s="31"/>
      <c r="GF17" s="31"/>
      <c r="GG17" s="31"/>
      <c r="GH17" s="31"/>
      <c r="GI17" s="31"/>
      <c r="GJ17" s="31"/>
      <c r="GK17" s="31"/>
      <c r="GL17" s="31"/>
      <c r="GM17" s="31"/>
      <c r="GN17" s="31"/>
      <c r="GO17" s="31"/>
      <c r="GP17" s="31"/>
      <c r="GQ17" s="31"/>
      <c r="GR17" s="31"/>
      <c r="GS17" s="31"/>
      <c r="GT17" s="31"/>
      <c r="GU17" s="31"/>
      <c r="GV17" s="31"/>
      <c r="GW17" s="31"/>
      <c r="GX17" s="31"/>
      <c r="GY17" s="31"/>
      <c r="GZ17" s="31"/>
      <c r="HA17" s="31"/>
      <c r="HB17" s="31"/>
      <c r="HC17" s="31"/>
      <c r="HD17" s="31"/>
      <c r="HE17" s="31"/>
      <c r="HF17" s="31"/>
      <c r="HG17" s="31"/>
      <c r="HH17" s="31"/>
      <c r="HI17" s="31"/>
      <c r="HJ17" s="31"/>
      <c r="HK17" s="31"/>
      <c r="HL17" s="31"/>
      <c r="HM17" s="31"/>
      <c r="HN17" s="31"/>
      <c r="HO17" s="31"/>
      <c r="HP17" s="31"/>
      <c r="HQ17" s="31"/>
      <c r="HR17" s="31"/>
      <c r="HS17" s="31"/>
      <c r="HT17" s="31"/>
      <c r="HU17" s="31"/>
      <c r="HV17" s="31"/>
      <c r="HW17" s="31"/>
      <c r="HX17" s="31"/>
      <c r="HY17" s="31"/>
      <c r="HZ17" s="31"/>
      <c r="IA17" s="31"/>
      <c r="IB17" s="31"/>
      <c r="IC17" s="31"/>
      <c r="ID17" s="31"/>
      <c r="IE17" s="31"/>
      <c r="IF17" s="31"/>
      <c r="IG17" s="31"/>
      <c r="IH17" s="31"/>
      <c r="II17" s="31"/>
      <c r="IJ17" s="31"/>
      <c r="IK17" s="31"/>
      <c r="IL17" s="31"/>
      <c r="IM17" s="31"/>
    </row>
    <row r="19" ht="16.5" customHeight="1" spans="1:733">
      <c r="A19" s="24" t="s">
        <v>399</v>
      </c>
      <c r="B19" s="24" t="s">
        <v>400</v>
      </c>
      <c r="C19" s="25" t="s">
        <v>434</v>
      </c>
      <c r="D19" s="26" t="s">
        <v>402</v>
      </c>
      <c r="E19" s="27" t="s">
        <v>403</v>
      </c>
      <c r="F19" s="15">
        <v>46027</v>
      </c>
      <c r="G19" s="15">
        <v>46028</v>
      </c>
      <c r="H19" s="15">
        <v>46029</v>
      </c>
      <c r="I19" s="15">
        <v>46030</v>
      </c>
      <c r="J19" s="15">
        <v>46031</v>
      </c>
      <c r="K19" s="15">
        <v>46034</v>
      </c>
      <c r="L19" s="15">
        <v>46035</v>
      </c>
      <c r="M19" s="15">
        <v>46036</v>
      </c>
      <c r="N19" s="15">
        <v>46037</v>
      </c>
      <c r="O19" s="15">
        <v>46038</v>
      </c>
      <c r="P19" s="15">
        <v>46041</v>
      </c>
      <c r="Q19" s="15">
        <v>46042</v>
      </c>
      <c r="R19" s="15">
        <v>46043</v>
      </c>
      <c r="S19" s="15">
        <v>46044</v>
      </c>
      <c r="T19" s="15">
        <v>46045</v>
      </c>
      <c r="U19" s="15">
        <v>46048</v>
      </c>
      <c r="V19" s="15">
        <v>46049</v>
      </c>
      <c r="W19" s="15">
        <v>46050</v>
      </c>
      <c r="X19" s="15">
        <v>46051</v>
      </c>
      <c r="Y19" s="15">
        <v>46052</v>
      </c>
      <c r="Z19" s="15">
        <v>46055</v>
      </c>
      <c r="AA19" s="15">
        <v>46056</v>
      </c>
      <c r="AB19" s="15">
        <v>46057</v>
      </c>
      <c r="AC19" s="15">
        <v>46058</v>
      </c>
      <c r="AD19" s="15">
        <v>46059</v>
      </c>
      <c r="AE19" s="15">
        <v>46062</v>
      </c>
      <c r="AF19" s="15">
        <v>46063</v>
      </c>
      <c r="AG19" s="15">
        <v>46064</v>
      </c>
      <c r="AH19" s="15">
        <v>46065</v>
      </c>
      <c r="AI19" s="15">
        <v>46066</v>
      </c>
      <c r="AJ19" s="15">
        <v>46077</v>
      </c>
      <c r="AK19" s="15">
        <v>46078</v>
      </c>
      <c r="AL19" s="15">
        <v>46079</v>
      </c>
      <c r="AM19" s="15">
        <v>46080</v>
      </c>
      <c r="AN19" s="15">
        <v>46083</v>
      </c>
      <c r="AO19" s="15">
        <v>46084</v>
      </c>
      <c r="AP19" s="15">
        <v>46085</v>
      </c>
      <c r="AQ19" s="15">
        <v>46086</v>
      </c>
      <c r="AR19" s="15">
        <v>46087</v>
      </c>
      <c r="AS19" s="15">
        <v>46090</v>
      </c>
      <c r="AT19" s="15">
        <v>46091</v>
      </c>
      <c r="AU19" s="15">
        <v>46092</v>
      </c>
      <c r="AV19" s="15">
        <v>46093</v>
      </c>
      <c r="AW19" s="15">
        <v>46094</v>
      </c>
      <c r="AX19" s="15">
        <v>46097</v>
      </c>
      <c r="AY19" s="15">
        <v>46098</v>
      </c>
      <c r="AZ19" s="15">
        <v>46099</v>
      </c>
      <c r="BA19" s="15">
        <v>46100</v>
      </c>
      <c r="BB19" s="15">
        <v>46101</v>
      </c>
      <c r="BC19" s="15">
        <v>46104</v>
      </c>
      <c r="BD19" s="15">
        <v>46105</v>
      </c>
      <c r="BE19" s="15">
        <v>46106</v>
      </c>
      <c r="BF19" s="15">
        <v>46107</v>
      </c>
      <c r="BG19" s="15">
        <v>46108</v>
      </c>
      <c r="BH19" s="15">
        <v>46111</v>
      </c>
      <c r="BI19" s="15">
        <v>46112</v>
      </c>
      <c r="BJ19" s="15">
        <v>46113</v>
      </c>
      <c r="BK19" s="15">
        <v>46114</v>
      </c>
      <c r="BL19" s="15">
        <v>46115</v>
      </c>
      <c r="BM19" s="15">
        <v>46119</v>
      </c>
      <c r="BN19" s="15">
        <v>46120</v>
      </c>
      <c r="BO19" s="15">
        <v>46121</v>
      </c>
      <c r="BP19" s="15">
        <v>46122</v>
      </c>
      <c r="BQ19" s="15">
        <v>46125</v>
      </c>
      <c r="BR19" s="15">
        <v>46126</v>
      </c>
      <c r="BS19" s="15">
        <v>46127</v>
      </c>
      <c r="BT19" s="15">
        <v>46128</v>
      </c>
      <c r="BU19" s="15">
        <v>46129</v>
      </c>
      <c r="BV19" s="15">
        <v>46132</v>
      </c>
      <c r="BW19" s="15">
        <v>46133</v>
      </c>
      <c r="BX19" s="15">
        <v>46134</v>
      </c>
      <c r="BY19" s="15">
        <v>46135</v>
      </c>
      <c r="BZ19" s="15">
        <v>46136</v>
      </c>
      <c r="CA19" s="15">
        <v>46139</v>
      </c>
      <c r="CB19" s="15">
        <v>46140</v>
      </c>
      <c r="CC19" s="15">
        <v>46141</v>
      </c>
      <c r="CD19" s="15">
        <v>46142</v>
      </c>
      <c r="CE19" s="15">
        <v>46148</v>
      </c>
      <c r="CF19" s="15">
        <v>46149</v>
      </c>
      <c r="CG19" s="15">
        <v>46150</v>
      </c>
      <c r="CH19" s="15">
        <v>46153</v>
      </c>
      <c r="CI19" s="15">
        <v>46154</v>
      </c>
      <c r="CJ19" s="15">
        <v>46155</v>
      </c>
      <c r="CK19" s="15">
        <v>46156</v>
      </c>
      <c r="CL19" s="15">
        <v>46157</v>
      </c>
      <c r="CM19" s="15">
        <v>46160</v>
      </c>
      <c r="CN19" s="15">
        <v>46161</v>
      </c>
      <c r="CO19" s="15">
        <v>46162</v>
      </c>
      <c r="CP19" s="15">
        <v>46163</v>
      </c>
      <c r="CQ19" s="15">
        <v>46164</v>
      </c>
      <c r="CR19" s="15">
        <v>46167</v>
      </c>
      <c r="CS19" s="15">
        <v>46168</v>
      </c>
      <c r="CT19" s="15">
        <v>46169</v>
      </c>
      <c r="CU19" s="15">
        <v>46170</v>
      </c>
      <c r="CV19" s="15">
        <v>46171</v>
      </c>
      <c r="CW19" s="15">
        <v>46174</v>
      </c>
      <c r="CX19" s="15">
        <v>46175</v>
      </c>
      <c r="CY19" s="15">
        <v>46176</v>
      </c>
      <c r="CZ19" s="15">
        <v>46177</v>
      </c>
      <c r="DA19" s="15">
        <v>46178</v>
      </c>
      <c r="DB19" s="15">
        <v>46181</v>
      </c>
      <c r="DC19" s="15">
        <v>46182</v>
      </c>
      <c r="DD19" s="15">
        <v>46183</v>
      </c>
      <c r="DE19" s="15">
        <v>46184</v>
      </c>
      <c r="DF19" s="15">
        <v>46185</v>
      </c>
      <c r="DG19" s="15">
        <v>46188</v>
      </c>
      <c r="DH19" s="15">
        <v>46189</v>
      </c>
      <c r="DI19" s="15">
        <v>46190</v>
      </c>
      <c r="DJ19" s="15">
        <v>46191</v>
      </c>
      <c r="DK19" s="15">
        <v>46195</v>
      </c>
      <c r="DL19" s="15">
        <v>46196</v>
      </c>
      <c r="DM19" s="15">
        <v>46197</v>
      </c>
      <c r="DN19" s="15">
        <v>46198</v>
      </c>
      <c r="DO19" s="15">
        <v>46199</v>
      </c>
      <c r="DP19" s="15">
        <v>46202</v>
      </c>
      <c r="DQ19" s="15">
        <v>46203</v>
      </c>
      <c r="DR19" s="15">
        <v>46204</v>
      </c>
      <c r="DS19" s="15">
        <v>46205</v>
      </c>
      <c r="DT19" s="15">
        <v>46206</v>
      </c>
      <c r="DU19" s="15">
        <v>46209</v>
      </c>
      <c r="DV19" s="15">
        <v>46210</v>
      </c>
      <c r="DW19" s="15">
        <v>46211</v>
      </c>
      <c r="DX19" s="15">
        <v>46212</v>
      </c>
      <c r="DY19" s="15">
        <v>46213</v>
      </c>
      <c r="DZ19" s="15">
        <v>46216</v>
      </c>
      <c r="EA19" s="15">
        <v>46217</v>
      </c>
      <c r="EB19" s="15">
        <v>46218</v>
      </c>
      <c r="EC19" s="15">
        <v>46219</v>
      </c>
      <c r="ED19" s="15">
        <v>46220</v>
      </c>
      <c r="EE19" s="15">
        <v>46223</v>
      </c>
      <c r="EF19" s="15">
        <v>46224</v>
      </c>
      <c r="EG19" s="15">
        <v>46225</v>
      </c>
      <c r="EH19" s="15">
        <v>46226</v>
      </c>
      <c r="EI19" s="15">
        <v>46227</v>
      </c>
      <c r="EJ19" s="15">
        <v>46230</v>
      </c>
      <c r="EK19" s="15">
        <v>46231</v>
      </c>
      <c r="EL19" s="15">
        <v>46232</v>
      </c>
      <c r="EM19" s="15">
        <v>46233</v>
      </c>
      <c r="EN19" s="15">
        <v>46234</v>
      </c>
      <c r="EO19" s="15">
        <v>46237</v>
      </c>
      <c r="EP19" s="15">
        <v>46238</v>
      </c>
      <c r="EQ19" s="15">
        <v>46239</v>
      </c>
      <c r="ER19" s="15">
        <v>46240</v>
      </c>
      <c r="ES19" s="15">
        <v>46241</v>
      </c>
      <c r="ET19" s="15">
        <v>46244</v>
      </c>
      <c r="EU19" s="15">
        <v>46245</v>
      </c>
      <c r="EV19" s="15">
        <v>46246</v>
      </c>
      <c r="EW19" s="15">
        <v>46247</v>
      </c>
      <c r="EX19" s="15">
        <v>46248</v>
      </c>
      <c r="EY19" s="15">
        <v>46251</v>
      </c>
      <c r="EZ19" s="15">
        <v>46252</v>
      </c>
      <c r="FA19" s="15">
        <v>46253</v>
      </c>
      <c r="FB19" s="15">
        <v>46254</v>
      </c>
      <c r="FC19" s="15">
        <v>46255</v>
      </c>
      <c r="FD19" s="15">
        <v>46258</v>
      </c>
      <c r="FE19" s="15">
        <v>46259</v>
      </c>
      <c r="FF19" s="15">
        <v>46260</v>
      </c>
      <c r="FG19" s="15">
        <v>46261</v>
      </c>
      <c r="FH19" s="15">
        <v>46262</v>
      </c>
      <c r="FI19" s="15">
        <v>46265</v>
      </c>
      <c r="FJ19" s="15">
        <v>46266</v>
      </c>
      <c r="FK19" s="15">
        <v>46267</v>
      </c>
      <c r="FL19" s="15">
        <v>46268</v>
      </c>
      <c r="FM19" s="15">
        <v>46269</v>
      </c>
      <c r="FN19" s="15">
        <v>46272</v>
      </c>
      <c r="FO19" s="15">
        <v>46273</v>
      </c>
      <c r="FP19" s="15">
        <v>46274</v>
      </c>
      <c r="FQ19" s="15">
        <v>46275</v>
      </c>
      <c r="FR19" s="15">
        <v>46276</v>
      </c>
      <c r="FS19" s="15">
        <v>46279</v>
      </c>
      <c r="FT19" s="15">
        <v>46280</v>
      </c>
      <c r="FU19" s="15">
        <v>46281</v>
      </c>
      <c r="FV19" s="15">
        <v>46282</v>
      </c>
      <c r="FW19" s="15">
        <v>46283</v>
      </c>
      <c r="FX19" s="15">
        <v>46286</v>
      </c>
      <c r="FY19" s="15">
        <v>46287</v>
      </c>
      <c r="FZ19" s="15">
        <v>46288</v>
      </c>
      <c r="GA19" s="15">
        <v>46289</v>
      </c>
      <c r="GB19" s="15">
        <v>46293</v>
      </c>
      <c r="GC19" s="15">
        <v>46294</v>
      </c>
      <c r="GD19" s="15">
        <v>46295</v>
      </c>
      <c r="GE19" s="15">
        <v>46303</v>
      </c>
      <c r="GF19" s="15">
        <v>46304</v>
      </c>
      <c r="GG19" s="15">
        <v>46307</v>
      </c>
      <c r="GH19" s="15">
        <v>46308</v>
      </c>
      <c r="GI19" s="15">
        <v>46309</v>
      </c>
      <c r="GJ19" s="15">
        <v>46310</v>
      </c>
      <c r="GK19" s="15">
        <v>46311</v>
      </c>
      <c r="GL19" s="15">
        <v>46314</v>
      </c>
      <c r="GM19" s="15">
        <v>46315</v>
      </c>
      <c r="GN19" s="15">
        <v>46316</v>
      </c>
      <c r="GO19" s="15">
        <v>46317</v>
      </c>
      <c r="GP19" s="15">
        <v>46318</v>
      </c>
      <c r="GQ19" s="15">
        <v>46321</v>
      </c>
      <c r="GR19" s="15">
        <v>46322</v>
      </c>
      <c r="GS19" s="15">
        <v>46323</v>
      </c>
      <c r="GT19" s="15">
        <v>46324</v>
      </c>
      <c r="GU19" s="15">
        <v>46325</v>
      </c>
      <c r="GV19" s="15">
        <v>46328</v>
      </c>
      <c r="GW19" s="15">
        <v>46329</v>
      </c>
      <c r="GX19" s="15">
        <v>46330</v>
      </c>
      <c r="GY19" s="15">
        <v>46331</v>
      </c>
      <c r="GZ19" s="15">
        <v>46332</v>
      </c>
      <c r="HA19" s="15">
        <v>46335</v>
      </c>
      <c r="HB19" s="15">
        <v>46336</v>
      </c>
      <c r="HC19" s="15">
        <v>46337</v>
      </c>
      <c r="HD19" s="15">
        <v>46338</v>
      </c>
      <c r="HE19" s="15">
        <v>46339</v>
      </c>
      <c r="HF19" s="15">
        <v>46342</v>
      </c>
      <c r="HG19" s="15">
        <v>46343</v>
      </c>
      <c r="HH19" s="15">
        <v>46344</v>
      </c>
      <c r="HI19" s="15">
        <v>46345</v>
      </c>
      <c r="HJ19" s="15">
        <v>46346</v>
      </c>
      <c r="HK19" s="15">
        <v>46349</v>
      </c>
      <c r="HL19" s="15">
        <v>46350</v>
      </c>
      <c r="HM19" s="15">
        <v>46351</v>
      </c>
      <c r="HN19" s="15">
        <v>46352</v>
      </c>
      <c r="HO19" s="15">
        <v>46353</v>
      </c>
      <c r="HP19" s="15">
        <v>46356</v>
      </c>
      <c r="HQ19" s="15">
        <v>46357</v>
      </c>
      <c r="HR19" s="15">
        <v>46358</v>
      </c>
      <c r="HS19" s="15">
        <v>46359</v>
      </c>
      <c r="HT19" s="15">
        <v>46360</v>
      </c>
      <c r="HU19" s="15">
        <v>46363</v>
      </c>
      <c r="HV19" s="15">
        <v>46364</v>
      </c>
      <c r="HW19" s="15">
        <v>46365</v>
      </c>
      <c r="HX19" s="15">
        <v>46366</v>
      </c>
      <c r="HY19" s="15">
        <v>46367</v>
      </c>
      <c r="HZ19" s="15">
        <v>46370</v>
      </c>
      <c r="IA19" s="15">
        <v>46371</v>
      </c>
      <c r="IB19" s="15">
        <v>46372</v>
      </c>
      <c r="IC19" s="15">
        <v>46373</v>
      </c>
      <c r="ID19" s="15">
        <v>46374</v>
      </c>
      <c r="IE19" s="15">
        <v>46377</v>
      </c>
      <c r="IF19" s="15">
        <v>46378</v>
      </c>
      <c r="IG19" s="15">
        <v>46379</v>
      </c>
      <c r="IH19" s="15">
        <v>46380</v>
      </c>
      <c r="II19" s="15">
        <v>46381</v>
      </c>
      <c r="IJ19" s="15">
        <v>46384</v>
      </c>
      <c r="IK19" s="15">
        <v>46385</v>
      </c>
      <c r="IL19" s="15">
        <v>46386</v>
      </c>
      <c r="IM19" s="15">
        <v>46387</v>
      </c>
    </row>
    <row r="20" ht="13.5" customHeight="1" spans="1:733">
      <c r="A20" s="28">
        <v>46023</v>
      </c>
      <c r="B20" s="28">
        <v>46388</v>
      </c>
      <c r="C20" s="29" t="s">
        <v>435</v>
      </c>
      <c r="D20" s="30" t="str">
        <f>[1]!s_info_name(E20)</f>
        <v>COMEX黄金</v>
      </c>
      <c r="E20" s="29" t="s">
        <v>431</v>
      </c>
      <c r="F20" s="31" t="str" cm="1">
        <f t="array" ref="F20">[1]!WSD(E20:E26,C20,A20,B20,"year=2025","TradingCalendar=SSE","rptType=1","Direction=V","Version=1","ShowParams=Y","cols=242;rows=7")</f>
        <v/>
      </c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1"/>
      <c r="BD20" s="31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  <c r="BY20" s="31"/>
      <c r="BZ20" s="31"/>
      <c r="CA20" s="31"/>
      <c r="CB20" s="31"/>
      <c r="CC20" s="31"/>
      <c r="CD20" s="31"/>
      <c r="CE20" s="31"/>
      <c r="CF20" s="31"/>
      <c r="CG20" s="31"/>
      <c r="CH20" s="31"/>
      <c r="CI20" s="31"/>
      <c r="CJ20" s="31"/>
      <c r="CK20" s="31"/>
      <c r="CL20" s="31"/>
      <c r="CM20" s="31"/>
      <c r="CN20" s="31"/>
      <c r="CO20" s="31"/>
      <c r="CP20" s="31"/>
      <c r="CQ20" s="31"/>
      <c r="CR20" s="31"/>
      <c r="CS20" s="31"/>
      <c r="CT20" s="31"/>
      <c r="CU20" s="31"/>
      <c r="CV20" s="31"/>
      <c r="CW20" s="31"/>
      <c r="CX20" s="31"/>
      <c r="CY20" s="31"/>
      <c r="CZ20" s="31"/>
      <c r="DA20" s="31"/>
      <c r="DB20" s="31"/>
      <c r="DC20" s="31"/>
      <c r="DD20" s="31"/>
      <c r="DE20" s="31"/>
      <c r="DF20" s="31"/>
      <c r="DG20" s="31"/>
      <c r="DH20" s="31"/>
      <c r="DI20" s="31"/>
      <c r="DJ20" s="31"/>
      <c r="DK20" s="31"/>
      <c r="DL20" s="31"/>
      <c r="DM20" s="31"/>
      <c r="DN20" s="31"/>
      <c r="DO20" s="31"/>
      <c r="DP20" s="31"/>
      <c r="DQ20" s="31"/>
      <c r="DR20" s="31"/>
      <c r="DS20" s="31"/>
      <c r="DT20" s="31"/>
      <c r="DU20" s="31"/>
      <c r="DV20" s="31"/>
      <c r="DW20" s="31"/>
      <c r="DX20" s="31"/>
      <c r="DY20" s="31"/>
      <c r="DZ20" s="31"/>
      <c r="EA20" s="31"/>
      <c r="EB20" s="31"/>
      <c r="EC20" s="31"/>
      <c r="ED20" s="31"/>
      <c r="EE20" s="31"/>
      <c r="EF20" s="31"/>
      <c r="EG20" s="31"/>
      <c r="EH20" s="31"/>
      <c r="EI20" s="31"/>
      <c r="EJ20" s="31"/>
      <c r="EK20" s="31"/>
      <c r="EL20" s="31"/>
      <c r="EM20" s="31"/>
      <c r="EN20" s="31"/>
      <c r="EO20" s="31"/>
      <c r="EP20" s="31"/>
      <c r="EQ20" s="31"/>
      <c r="ER20" s="31"/>
      <c r="ES20" s="31"/>
      <c r="ET20" s="31"/>
      <c r="EU20" s="31"/>
      <c r="EV20" s="31"/>
      <c r="EW20" s="31"/>
      <c r="EX20" s="31"/>
      <c r="EY20" s="31"/>
      <c r="EZ20" s="31"/>
      <c r="FA20" s="31"/>
      <c r="FB20" s="31"/>
      <c r="FC20" s="31"/>
      <c r="FD20" s="31"/>
      <c r="FE20" s="31"/>
      <c r="FF20" s="31"/>
      <c r="FG20" s="31"/>
      <c r="FH20" s="31"/>
      <c r="FI20" s="31"/>
      <c r="FJ20" s="31"/>
      <c r="FK20" s="31"/>
      <c r="FL20" s="31"/>
      <c r="FM20" s="31"/>
      <c r="FN20" s="31"/>
      <c r="FO20" s="31"/>
      <c r="FP20" s="31"/>
      <c r="FQ20" s="31"/>
      <c r="FR20" s="31"/>
      <c r="FS20" s="31"/>
      <c r="FT20" s="31"/>
      <c r="FU20" s="31"/>
      <c r="FV20" s="31"/>
      <c r="FW20" s="31"/>
      <c r="FX20" s="31"/>
      <c r="FY20" s="31"/>
      <c r="FZ20" s="31"/>
      <c r="GA20" s="31"/>
      <c r="GB20" s="31"/>
      <c r="GC20" s="31"/>
      <c r="GD20" s="31"/>
      <c r="GE20" s="31"/>
      <c r="GF20" s="31"/>
      <c r="GG20" s="31"/>
      <c r="GH20" s="31"/>
      <c r="GI20" s="31"/>
      <c r="GJ20" s="31"/>
      <c r="GK20" s="31"/>
      <c r="GL20" s="31"/>
      <c r="GM20" s="31"/>
      <c r="GN20" s="31"/>
      <c r="GO20" s="31"/>
      <c r="GP20" s="31"/>
      <c r="GQ20" s="31"/>
      <c r="GR20" s="31"/>
      <c r="GS20" s="31"/>
      <c r="GT20" s="31"/>
      <c r="GU20" s="31"/>
      <c r="GV20" s="31"/>
      <c r="GW20" s="31"/>
      <c r="GX20" s="31"/>
      <c r="GY20" s="31"/>
      <c r="GZ20" s="31"/>
      <c r="HA20" s="31"/>
      <c r="HB20" s="31"/>
      <c r="HC20" s="31"/>
      <c r="HD20" s="31"/>
      <c r="HE20" s="31"/>
      <c r="HF20" s="31"/>
      <c r="HG20" s="31"/>
      <c r="HH20" s="31"/>
      <c r="HI20" s="31"/>
      <c r="HJ20" s="31"/>
      <c r="HK20" s="31"/>
      <c r="HL20" s="31"/>
      <c r="HM20" s="31"/>
      <c r="HN20" s="31"/>
      <c r="HO20" s="31"/>
      <c r="HP20" s="31"/>
      <c r="HQ20" s="31"/>
      <c r="HR20" s="31"/>
      <c r="HS20" s="31"/>
      <c r="HT20" s="31"/>
      <c r="HU20" s="31"/>
      <c r="HV20" s="31"/>
      <c r="HW20" s="31"/>
      <c r="HX20" s="31"/>
      <c r="HY20" s="31"/>
      <c r="HZ20" s="31"/>
      <c r="IA20" s="31"/>
      <c r="IB20" s="31"/>
      <c r="IC20" s="31"/>
      <c r="ID20" s="31"/>
      <c r="IE20" s="31"/>
      <c r="IF20" s="31"/>
      <c r="IG20" s="31"/>
      <c r="IH20" s="31"/>
      <c r="II20" s="31"/>
      <c r="IJ20" s="31"/>
      <c r="IK20" s="31"/>
      <c r="IL20" s="31"/>
      <c r="IM20" s="31"/>
    </row>
    <row r="21" ht="13.5" customHeight="1" spans="1:733">
      <c r="D21" s="30" t="str">
        <f>[1]!s_info_name(E21)</f>
        <v>恒生科技</v>
      </c>
      <c r="E21" s="29" t="s">
        <v>29</v>
      </c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  <c r="CB21" s="31"/>
      <c r="CC21" s="31"/>
      <c r="CD21" s="31"/>
      <c r="CE21" s="31"/>
      <c r="CF21" s="31"/>
      <c r="CG21" s="31"/>
      <c r="CH21" s="31"/>
      <c r="CI21" s="31"/>
      <c r="CJ21" s="31"/>
      <c r="CK21" s="31"/>
      <c r="CL21" s="31"/>
      <c r="CM21" s="31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1"/>
      <c r="DB21" s="31"/>
      <c r="DC21" s="31"/>
      <c r="DD21" s="31"/>
      <c r="DE21" s="31"/>
      <c r="DF21" s="31"/>
      <c r="DG21" s="31"/>
      <c r="DH21" s="31"/>
      <c r="DI21" s="31"/>
      <c r="DJ21" s="31"/>
      <c r="DK21" s="31"/>
      <c r="DL21" s="31"/>
      <c r="DM21" s="31"/>
      <c r="DN21" s="31"/>
      <c r="DO21" s="31"/>
      <c r="DP21" s="31"/>
      <c r="DQ21" s="31"/>
      <c r="DR21" s="31"/>
      <c r="DS21" s="31"/>
      <c r="DT21" s="31"/>
      <c r="DU21" s="31"/>
      <c r="DV21" s="31"/>
      <c r="DW21" s="31"/>
      <c r="DX21" s="31"/>
      <c r="DY21" s="31"/>
      <c r="DZ21" s="31"/>
      <c r="EA21" s="31"/>
      <c r="EB21" s="31"/>
      <c r="EC21" s="31"/>
      <c r="ED21" s="31"/>
      <c r="EE21" s="31"/>
      <c r="EF21" s="31"/>
      <c r="EG21" s="31"/>
      <c r="EH21" s="31"/>
      <c r="EI21" s="31"/>
      <c r="EJ21" s="31"/>
      <c r="EK21" s="31"/>
      <c r="EL21" s="31"/>
      <c r="EM21" s="31"/>
      <c r="EN21" s="31"/>
      <c r="EO21" s="31"/>
      <c r="EP21" s="31"/>
      <c r="EQ21" s="31"/>
      <c r="ER21" s="31"/>
      <c r="ES21" s="31"/>
      <c r="ET21" s="31"/>
      <c r="EU21" s="31"/>
      <c r="EV21" s="31"/>
      <c r="EW21" s="31"/>
      <c r="EX21" s="31"/>
      <c r="EY21" s="31"/>
      <c r="EZ21" s="31"/>
      <c r="FA21" s="31"/>
      <c r="FB21" s="31"/>
      <c r="FC21" s="31"/>
      <c r="FD21" s="31"/>
      <c r="FE21" s="31"/>
      <c r="FF21" s="31"/>
      <c r="FG21" s="31"/>
      <c r="FH21" s="31"/>
      <c r="FI21" s="31"/>
      <c r="FJ21" s="31"/>
      <c r="FK21" s="31"/>
      <c r="FL21" s="31"/>
      <c r="FM21" s="31"/>
      <c r="FN21" s="31"/>
      <c r="FO21" s="31"/>
      <c r="FP21" s="31"/>
      <c r="FQ21" s="31"/>
      <c r="FR21" s="31"/>
      <c r="FS21" s="31"/>
      <c r="FT21" s="31"/>
      <c r="FU21" s="31"/>
      <c r="FV21" s="31"/>
      <c r="FW21" s="31"/>
      <c r="FX21" s="31"/>
      <c r="FY21" s="31"/>
      <c r="FZ21" s="31"/>
      <c r="GA21" s="31"/>
      <c r="GB21" s="31"/>
      <c r="GC21" s="31"/>
      <c r="GD21" s="31"/>
      <c r="GE21" s="31"/>
      <c r="GF21" s="31"/>
      <c r="GG21" s="31"/>
      <c r="GH21" s="31"/>
      <c r="GI21" s="31"/>
      <c r="GJ21" s="31"/>
      <c r="GK21" s="31"/>
      <c r="GL21" s="31"/>
      <c r="GM21" s="31"/>
      <c r="GN21" s="31"/>
      <c r="GO21" s="31"/>
      <c r="GP21" s="31"/>
      <c r="GQ21" s="31"/>
      <c r="GR21" s="31"/>
      <c r="GS21" s="31"/>
      <c r="GT21" s="31"/>
      <c r="GU21" s="31"/>
      <c r="GV21" s="31"/>
      <c r="GW21" s="31"/>
      <c r="GX21" s="31"/>
      <c r="GY21" s="31"/>
      <c r="GZ21" s="31"/>
      <c r="HA21" s="31"/>
      <c r="HB21" s="31"/>
      <c r="HC21" s="31"/>
      <c r="HD21" s="31"/>
      <c r="HE21" s="31"/>
      <c r="HF21" s="31"/>
      <c r="HG21" s="31"/>
      <c r="HH21" s="31"/>
      <c r="HI21" s="31"/>
      <c r="HJ21" s="31"/>
      <c r="HK21" s="31"/>
      <c r="HL21" s="31"/>
      <c r="HM21" s="31"/>
      <c r="HN21" s="31"/>
      <c r="HO21" s="31"/>
      <c r="HP21" s="31"/>
      <c r="HQ21" s="31"/>
      <c r="HR21" s="31"/>
      <c r="HS21" s="31"/>
      <c r="HT21" s="31"/>
      <c r="HU21" s="31"/>
      <c r="HV21" s="31"/>
      <c r="HW21" s="31"/>
      <c r="HX21" s="31"/>
      <c r="HY21" s="31"/>
      <c r="HZ21" s="31"/>
      <c r="IA21" s="31"/>
      <c r="IB21" s="31"/>
      <c r="IC21" s="31"/>
      <c r="ID21" s="31"/>
      <c r="IE21" s="31"/>
      <c r="IF21" s="31"/>
      <c r="IG21" s="31"/>
      <c r="IH21" s="31"/>
      <c r="II21" s="31"/>
      <c r="IJ21" s="31"/>
      <c r="IK21" s="31"/>
      <c r="IL21" s="31"/>
      <c r="IM21" s="31"/>
    </row>
    <row r="22" ht="13.5" customHeight="1" spans="1:733">
      <c r="D22" s="30" t="str">
        <f>[1]!s_info_name(E22)</f>
        <v>创业板指</v>
      </c>
      <c r="E22" s="29" t="s">
        <v>18</v>
      </c>
      <c r="F22" s="31">
        <v>37.0079</v>
      </c>
      <c r="G22" s="31">
        <v>37.3595</v>
      </c>
      <c r="H22" s="31">
        <v>37.451</v>
      </c>
      <c r="I22" s="31">
        <v>37.1908</v>
      </c>
      <c r="J22" s="31">
        <v>37.6192</v>
      </c>
      <c r="K22" s="31">
        <v>38.3261</v>
      </c>
      <c r="L22" s="31">
        <v>37.549</v>
      </c>
      <c r="M22" s="31">
        <v>37.8591</v>
      </c>
      <c r="N22" s="31">
        <v>38.0136</v>
      </c>
      <c r="O22" s="31">
        <v>37.9731</v>
      </c>
      <c r="P22" s="31">
        <v>37.6854</v>
      </c>
      <c r="Q22" s="31">
        <v>38.0212</v>
      </c>
      <c r="R22" s="31">
        <v>38.2182</v>
      </c>
      <c r="S22" s="31">
        <v>38.3357</v>
      </c>
      <c r="T22" s="31">
        <v>38.7191</v>
      </c>
      <c r="U22" s="31">
        <v>38.3418</v>
      </c>
      <c r="V22" s="31">
        <v>38.5399</v>
      </c>
      <c r="W22" s="31">
        <v>38.322</v>
      </c>
      <c r="X22" s="31">
        <v>38.1059</v>
      </c>
      <c r="Y22" s="31">
        <v>38.3903</v>
      </c>
      <c r="Z22" s="31">
        <v>37.399</v>
      </c>
      <c r="AA22" s="31">
        <v>38.1306</v>
      </c>
      <c r="AB22" s="31">
        <v>38.1692</v>
      </c>
      <c r="AC22" s="31">
        <v>37.6308</v>
      </c>
      <c r="AD22" s="31">
        <v>37.3789</v>
      </c>
      <c r="AE22" s="31">
        <v>38.4257</v>
      </c>
      <c r="AF22" s="31">
        <v>38.2824</v>
      </c>
      <c r="AG22" s="31">
        <v>37.9877</v>
      </c>
      <c r="AH22" s="31">
        <v>38.4958</v>
      </c>
      <c r="AI22" s="31">
        <v>37.9468</v>
      </c>
      <c r="AJ22" s="31">
        <v>38.1201</v>
      </c>
      <c r="AK22" s="31">
        <v>38.7113</v>
      </c>
      <c r="AL22" s="31">
        <v>38.6107</v>
      </c>
      <c r="AM22" s="31">
        <v>38.3481</v>
      </c>
      <c r="AN22" s="31">
        <v>38.3899</v>
      </c>
      <c r="AO22" s="31">
        <v>37.414</v>
      </c>
      <c r="AP22" s="31">
        <v>36.9877</v>
      </c>
      <c r="AQ22" s="31">
        <v>37.4839</v>
      </c>
      <c r="AR22" s="31">
        <v>37.6343</v>
      </c>
      <c r="AS22" s="31">
        <v>37.4593</v>
      </c>
      <c r="AT22" s="31">
        <v>37.9357</v>
      </c>
      <c r="AU22" s="31">
        <v>38.3978</v>
      </c>
      <c r="AV22" s="31">
        <v>38.0961</v>
      </c>
      <c r="AW22" s="31">
        <v>38.0666</v>
      </c>
      <c r="AX22" s="31">
        <v>38.5529</v>
      </c>
      <c r="AY22" s="31">
        <v>37.7766</v>
      </c>
      <c r="AZ22" s="31">
        <v>38.371</v>
      </c>
      <c r="BA22" s="31">
        <v>37.9298</v>
      </c>
      <c r="BB22" s="31">
        <v>38.3718</v>
      </c>
      <c r="BC22" s="31">
        <v>37.0295</v>
      </c>
      <c r="BD22" s="31">
        <v>37.2279</v>
      </c>
      <c r="BE22" s="31">
        <v>37.9565</v>
      </c>
      <c r="BF22" s="31">
        <v>37.4738</v>
      </c>
      <c r="BG22" s="31">
        <v>37.8347</v>
      </c>
      <c r="BH22" s="31">
        <v>37.7107</v>
      </c>
      <c r="BI22" s="31">
        <v>36.8815</v>
      </c>
      <c r="BJ22" s="31">
        <v>37.8994</v>
      </c>
      <c r="BK22" s="31">
        <v>37.0729</v>
      </c>
      <c r="BL22" s="31">
        <v>36.7097</v>
      </c>
      <c r="BM22" s="31">
        <v>36.8314</v>
      </c>
      <c r="BN22" s="31">
        <v>38.8789</v>
      </c>
      <c r="BO22" s="31">
        <v>38.6222</v>
      </c>
      <c r="BP22" s="31">
        <v>40.0652</v>
      </c>
      <c r="BQ22" s="31">
        <v>40.4873</v>
      </c>
      <c r="BR22" s="31">
        <v>41.3913</v>
      </c>
      <c r="BS22" s="31">
        <v>40.9885</v>
      </c>
      <c r="BT22" s="31">
        <v>41.0949</v>
      </c>
      <c r="BU22" s="31">
        <v>40.7862</v>
      </c>
      <c r="BV22" s="31">
        <v>40.8921</v>
      </c>
      <c r="BW22" s="31">
        <v>40.8712</v>
      </c>
      <c r="BX22" s="31">
        <v>43.1239</v>
      </c>
      <c r="BY22" s="31">
        <v>42.8649</v>
      </c>
      <c r="BZ22" s="31">
        <v>42.7754</v>
      </c>
      <c r="CA22" s="31">
        <v>42.6523</v>
      </c>
      <c r="CB22" s="31">
        <v>43.4445</v>
      </c>
      <c r="CC22" s="31">
        <v>44.6576</v>
      </c>
      <c r="CD22" s="31">
        <v>44.4141</v>
      </c>
      <c r="CE22" s="31"/>
      <c r="CF22" s="31"/>
      <c r="CG22" s="31"/>
      <c r="CH22" s="31"/>
      <c r="CI22" s="31"/>
      <c r="CJ22" s="31"/>
      <c r="CK22" s="31"/>
      <c r="CL22" s="31"/>
      <c r="CM22" s="31"/>
      <c r="CN22" s="31"/>
      <c r="CO22" s="31"/>
      <c r="CP22" s="31"/>
      <c r="CQ22" s="31"/>
      <c r="CR22" s="31"/>
      <c r="CS22" s="31"/>
      <c r="CT22" s="31"/>
      <c r="CU22" s="31"/>
      <c r="CV22" s="31"/>
      <c r="CW22" s="31"/>
      <c r="CX22" s="31"/>
      <c r="CY22" s="31"/>
      <c r="CZ22" s="31"/>
      <c r="DA22" s="31"/>
      <c r="DB22" s="31"/>
      <c r="DC22" s="31"/>
      <c r="DD22" s="31"/>
      <c r="DE22" s="31"/>
      <c r="DF22" s="31"/>
      <c r="DG22" s="31"/>
      <c r="DH22" s="31"/>
      <c r="DI22" s="31"/>
      <c r="DJ22" s="31"/>
      <c r="DK22" s="31"/>
      <c r="DL22" s="31"/>
      <c r="DM22" s="31"/>
      <c r="DN22" s="31"/>
      <c r="DO22" s="31"/>
      <c r="DP22" s="31"/>
      <c r="DQ22" s="31"/>
      <c r="DR22" s="31"/>
      <c r="DS22" s="31"/>
      <c r="DT22" s="31"/>
      <c r="DU22" s="31"/>
      <c r="DV22" s="31"/>
      <c r="DW22" s="31"/>
      <c r="DX22" s="31"/>
      <c r="DY22" s="31"/>
      <c r="DZ22" s="31"/>
      <c r="EA22" s="31"/>
      <c r="EB22" s="31"/>
      <c r="EC22" s="31"/>
      <c r="ED22" s="31"/>
      <c r="EE22" s="31"/>
      <c r="EF22" s="31"/>
      <c r="EG22" s="31"/>
      <c r="EH22" s="31"/>
      <c r="EI22" s="31"/>
      <c r="EJ22" s="31"/>
      <c r="EK22" s="31"/>
      <c r="EL22" s="31"/>
      <c r="EM22" s="31"/>
      <c r="EN22" s="31"/>
      <c r="EO22" s="31"/>
      <c r="EP22" s="31"/>
      <c r="EQ22" s="31"/>
      <c r="ER22" s="31"/>
      <c r="ES22" s="31"/>
      <c r="ET22" s="31"/>
      <c r="EU22" s="31"/>
      <c r="EV22" s="31"/>
      <c r="EW22" s="31"/>
      <c r="EX22" s="31"/>
      <c r="EY22" s="31"/>
      <c r="EZ22" s="31"/>
      <c r="FA22" s="31"/>
      <c r="FB22" s="31"/>
      <c r="FC22" s="31"/>
      <c r="FD22" s="31"/>
      <c r="FE22" s="31"/>
      <c r="FF22" s="31"/>
      <c r="FG22" s="31"/>
      <c r="FH22" s="31"/>
      <c r="FI22" s="31"/>
      <c r="FJ22" s="31"/>
      <c r="FK22" s="31"/>
      <c r="FL22" s="31"/>
      <c r="FM22" s="31"/>
      <c r="FN22" s="31"/>
      <c r="FO22" s="31"/>
      <c r="FP22" s="31"/>
      <c r="FQ22" s="31"/>
      <c r="FR22" s="31"/>
      <c r="FS22" s="31"/>
      <c r="FT22" s="31"/>
      <c r="FU22" s="31"/>
      <c r="FV22" s="31"/>
      <c r="FW22" s="31"/>
      <c r="FX22" s="31"/>
      <c r="FY22" s="31"/>
      <c r="FZ22" s="31"/>
      <c r="GA22" s="31"/>
      <c r="GB22" s="31"/>
      <c r="GC22" s="31"/>
      <c r="GD22" s="31"/>
      <c r="GE22" s="31"/>
      <c r="GF22" s="31"/>
      <c r="GG22" s="31"/>
      <c r="GH22" s="31"/>
      <c r="GI22" s="31"/>
      <c r="GJ22" s="31"/>
      <c r="GK22" s="31"/>
      <c r="GL22" s="31"/>
      <c r="GM22" s="31"/>
      <c r="GN22" s="31"/>
      <c r="GO22" s="31"/>
      <c r="GP22" s="31"/>
      <c r="GQ22" s="31"/>
      <c r="GR22" s="31"/>
      <c r="GS22" s="31"/>
      <c r="GT22" s="31"/>
      <c r="GU22" s="31"/>
      <c r="GV22" s="31"/>
      <c r="GW22" s="31"/>
      <c r="GX22" s="31"/>
      <c r="GY22" s="31"/>
      <c r="GZ22" s="31"/>
      <c r="HA22" s="31"/>
      <c r="HB22" s="31"/>
      <c r="HC22" s="31"/>
      <c r="HD22" s="31"/>
      <c r="HE22" s="31"/>
      <c r="HF22" s="31"/>
      <c r="HG22" s="31"/>
      <c r="HH22" s="31"/>
      <c r="HI22" s="31"/>
      <c r="HJ22" s="31"/>
      <c r="HK22" s="31"/>
      <c r="HL22" s="31"/>
      <c r="HM22" s="31"/>
      <c r="HN22" s="31"/>
      <c r="HO22" s="31"/>
      <c r="HP22" s="31"/>
      <c r="HQ22" s="31"/>
      <c r="HR22" s="31"/>
      <c r="HS22" s="31"/>
      <c r="HT22" s="31"/>
      <c r="HU22" s="31"/>
      <c r="HV22" s="31"/>
      <c r="HW22" s="31"/>
      <c r="HX22" s="31"/>
      <c r="HY22" s="31"/>
      <c r="HZ22" s="31"/>
      <c r="IA22" s="31"/>
      <c r="IB22" s="31"/>
      <c r="IC22" s="31"/>
      <c r="ID22" s="31"/>
      <c r="IE22" s="31"/>
      <c r="IF22" s="31"/>
      <c r="IG22" s="31"/>
      <c r="IH22" s="31"/>
      <c r="II22" s="31"/>
      <c r="IJ22" s="31"/>
      <c r="IK22" s="31"/>
      <c r="IL22" s="31"/>
      <c r="IM22" s="31"/>
    </row>
    <row r="23" ht="13.5" customHeight="1" spans="1:733">
      <c r="D23" s="30" t="str">
        <f>[1]!s_info_name(E23)</f>
        <v>深证成指</v>
      </c>
      <c r="E23" s="29" t="s">
        <v>14</v>
      </c>
      <c r="F23" s="31">
        <v>27.1356</v>
      </c>
      <c r="G23" s="31">
        <v>27.5369</v>
      </c>
      <c r="H23" s="31">
        <v>27.5364</v>
      </c>
      <c r="I23" s="31">
        <v>27.3964</v>
      </c>
      <c r="J23" s="31">
        <v>27.717</v>
      </c>
      <c r="K23" s="31">
        <v>28.1642</v>
      </c>
      <c r="L23" s="31">
        <v>27.8654</v>
      </c>
      <c r="M23" s="31">
        <v>27.9983</v>
      </c>
      <c r="N23" s="31">
        <v>28.093</v>
      </c>
      <c r="O23" s="31">
        <v>28.0818</v>
      </c>
      <c r="P23" s="31">
        <v>28.1384</v>
      </c>
      <c r="Q23" s="31">
        <v>28.1236</v>
      </c>
      <c r="R23" s="31">
        <v>28.3181</v>
      </c>
      <c r="S23" s="31">
        <v>28.4314</v>
      </c>
      <c r="T23" s="31">
        <v>28.6589</v>
      </c>
      <c r="U23" s="31">
        <v>28.4591</v>
      </c>
      <c r="V23" s="31">
        <v>28.4545</v>
      </c>
      <c r="W23" s="31">
        <v>28.5155</v>
      </c>
      <c r="X23" s="31">
        <v>28.4695</v>
      </c>
      <c r="Y23" s="31">
        <v>28.2315</v>
      </c>
      <c r="Z23" s="31">
        <v>27.4779</v>
      </c>
      <c r="AA23" s="31">
        <v>28.0642</v>
      </c>
      <c r="AB23" s="31">
        <v>28.2204</v>
      </c>
      <c r="AC23" s="31">
        <v>27.8729</v>
      </c>
      <c r="AD23" s="31">
        <v>27.8031</v>
      </c>
      <c r="AE23" s="31">
        <v>28.4078</v>
      </c>
      <c r="AF23" s="31">
        <v>28.4331</v>
      </c>
      <c r="AG23" s="31">
        <v>28.3934</v>
      </c>
      <c r="AH23" s="31">
        <v>28.6174</v>
      </c>
      <c r="AI23" s="31">
        <v>28.2686</v>
      </c>
      <c r="AJ23" s="31">
        <v>28.9793</v>
      </c>
      <c r="AK23" s="31">
        <v>29.4085</v>
      </c>
      <c r="AL23" s="31">
        <v>29.4916</v>
      </c>
      <c r="AM23" s="31">
        <v>29.5288</v>
      </c>
      <c r="AN23" s="31">
        <v>29.6433</v>
      </c>
      <c r="AO23" s="31">
        <v>28.821</v>
      </c>
      <c r="AP23" s="31">
        <v>28.6109</v>
      </c>
      <c r="AQ23" s="31">
        <v>28.9011</v>
      </c>
      <c r="AR23" s="31">
        <v>29.1178</v>
      </c>
      <c r="AS23" s="31">
        <v>29.0195</v>
      </c>
      <c r="AT23" s="31">
        <v>29.4524</v>
      </c>
      <c r="AU23" s="31">
        <v>29.7007</v>
      </c>
      <c r="AV23" s="31">
        <v>29.5707</v>
      </c>
      <c r="AW23" s="31">
        <v>29.398</v>
      </c>
      <c r="AX23" s="31">
        <v>29.5113</v>
      </c>
      <c r="AY23" s="31">
        <v>29.0882</v>
      </c>
      <c r="AZ23" s="31">
        <v>29.3415</v>
      </c>
      <c r="BA23" s="31">
        <v>28.7767</v>
      </c>
      <c r="BB23" s="31">
        <v>28.6806</v>
      </c>
      <c r="BC23" s="31">
        <v>27.691</v>
      </c>
      <c r="BD23" s="31">
        <v>28.1422</v>
      </c>
      <c r="BE23" s="31">
        <v>28.7442</v>
      </c>
      <c r="BF23" s="31">
        <v>28.371</v>
      </c>
      <c r="BG23" s="31">
        <v>28.8184</v>
      </c>
      <c r="BH23" s="31">
        <v>29.0518</v>
      </c>
      <c r="BI23" s="31">
        <v>29.1155</v>
      </c>
      <c r="BJ23" s="31">
        <v>31.4509</v>
      </c>
      <c r="BK23" s="31">
        <v>31.0102</v>
      </c>
      <c r="BL23" s="31">
        <v>30.7101</v>
      </c>
      <c r="BM23" s="31">
        <v>30.8296</v>
      </c>
      <c r="BN23" s="31">
        <v>32.2365</v>
      </c>
      <c r="BO23" s="31">
        <v>32.0935</v>
      </c>
      <c r="BP23" s="31">
        <v>32.7845</v>
      </c>
      <c r="BQ23" s="31">
        <v>33.1712</v>
      </c>
      <c r="BR23" s="31">
        <v>33.5793</v>
      </c>
      <c r="BS23" s="31">
        <v>33.2642</v>
      </c>
      <c r="BT23" s="31">
        <v>33.6023</v>
      </c>
      <c r="BU23" s="31">
        <v>33.5887</v>
      </c>
      <c r="BV23" s="31">
        <v>33.8548</v>
      </c>
      <c r="BW23" s="31">
        <v>33.8772</v>
      </c>
      <c r="BX23" s="31">
        <v>34.9036</v>
      </c>
      <c r="BY23" s="31">
        <v>34.6468</v>
      </c>
      <c r="BZ23" s="31">
        <v>34.2698</v>
      </c>
      <c r="CA23" s="31">
        <v>34.4642</v>
      </c>
      <c r="CB23" s="31">
        <v>34.4719</v>
      </c>
      <c r="CC23" s="31">
        <v>35.8182</v>
      </c>
      <c r="CD23" s="31">
        <v>35.906</v>
      </c>
      <c r="CE23" s="31"/>
      <c r="CF23" s="31"/>
      <c r="CG23" s="31"/>
      <c r="CH23" s="31"/>
      <c r="CI23" s="31"/>
      <c r="CJ23" s="31"/>
      <c r="CK23" s="31"/>
      <c r="CL23" s="31"/>
      <c r="CM23" s="31"/>
      <c r="CN23" s="31"/>
      <c r="CO23" s="31"/>
      <c r="CP23" s="31"/>
      <c r="CQ23" s="31"/>
      <c r="CR23" s="31"/>
      <c r="CS23" s="31"/>
      <c r="CT23" s="31"/>
      <c r="CU23" s="31"/>
      <c r="CV23" s="31"/>
      <c r="CW23" s="31"/>
      <c r="CX23" s="31"/>
      <c r="CY23" s="31"/>
      <c r="CZ23" s="31"/>
      <c r="DA23" s="31"/>
      <c r="DB23" s="31"/>
      <c r="DC23" s="31"/>
      <c r="DD23" s="31"/>
      <c r="DE23" s="31"/>
      <c r="DF23" s="31"/>
      <c r="DG23" s="31"/>
      <c r="DH23" s="31"/>
      <c r="DI23" s="31"/>
      <c r="DJ23" s="31"/>
      <c r="DK23" s="31"/>
      <c r="DL23" s="31"/>
      <c r="DM23" s="31"/>
      <c r="DN23" s="31"/>
      <c r="DO23" s="31"/>
      <c r="DP23" s="31"/>
      <c r="DQ23" s="31"/>
      <c r="DR23" s="31"/>
      <c r="DS23" s="31"/>
      <c r="DT23" s="31"/>
      <c r="DU23" s="31"/>
      <c r="DV23" s="31"/>
      <c r="DW23" s="31"/>
      <c r="DX23" s="31"/>
      <c r="DY23" s="31"/>
      <c r="DZ23" s="31"/>
      <c r="EA23" s="31"/>
      <c r="EB23" s="31"/>
      <c r="EC23" s="31"/>
      <c r="ED23" s="31"/>
      <c r="EE23" s="31"/>
      <c r="EF23" s="31"/>
      <c r="EG23" s="31"/>
      <c r="EH23" s="31"/>
      <c r="EI23" s="31"/>
      <c r="EJ23" s="31"/>
      <c r="EK23" s="31"/>
      <c r="EL23" s="31"/>
      <c r="EM23" s="31"/>
      <c r="EN23" s="31"/>
      <c r="EO23" s="31"/>
      <c r="EP23" s="31"/>
      <c r="EQ23" s="31"/>
      <c r="ER23" s="31"/>
      <c r="ES23" s="31"/>
      <c r="ET23" s="31"/>
      <c r="EU23" s="31"/>
      <c r="EV23" s="31"/>
      <c r="EW23" s="31"/>
      <c r="EX23" s="31"/>
      <c r="EY23" s="31"/>
      <c r="EZ23" s="31"/>
      <c r="FA23" s="31"/>
      <c r="FB23" s="31"/>
      <c r="FC23" s="31"/>
      <c r="FD23" s="31"/>
      <c r="FE23" s="31"/>
      <c r="FF23" s="31"/>
      <c r="FG23" s="31"/>
      <c r="FH23" s="31"/>
      <c r="FI23" s="31"/>
      <c r="FJ23" s="31"/>
      <c r="FK23" s="31"/>
      <c r="FL23" s="31"/>
      <c r="FM23" s="31"/>
      <c r="FN23" s="31"/>
      <c r="FO23" s="31"/>
      <c r="FP23" s="31"/>
      <c r="FQ23" s="31"/>
      <c r="FR23" s="31"/>
      <c r="FS23" s="31"/>
      <c r="FT23" s="31"/>
      <c r="FU23" s="31"/>
      <c r="FV23" s="31"/>
      <c r="FW23" s="31"/>
      <c r="FX23" s="31"/>
      <c r="FY23" s="31"/>
      <c r="FZ23" s="31"/>
      <c r="GA23" s="31"/>
      <c r="GB23" s="31"/>
      <c r="GC23" s="31"/>
      <c r="GD23" s="31"/>
      <c r="GE23" s="31"/>
      <c r="GF23" s="31"/>
      <c r="GG23" s="31"/>
      <c r="GH23" s="31"/>
      <c r="GI23" s="31"/>
      <c r="GJ23" s="31"/>
      <c r="GK23" s="31"/>
      <c r="GL23" s="31"/>
      <c r="GM23" s="31"/>
      <c r="GN23" s="31"/>
      <c r="GO23" s="31"/>
      <c r="GP23" s="31"/>
      <c r="GQ23" s="31"/>
      <c r="GR23" s="31"/>
      <c r="GS23" s="31"/>
      <c r="GT23" s="31"/>
      <c r="GU23" s="31"/>
      <c r="GV23" s="31"/>
      <c r="GW23" s="31"/>
      <c r="GX23" s="31"/>
      <c r="GY23" s="31"/>
      <c r="GZ23" s="31"/>
      <c r="HA23" s="31"/>
      <c r="HB23" s="31"/>
      <c r="HC23" s="31"/>
      <c r="HD23" s="31"/>
      <c r="HE23" s="31"/>
      <c r="HF23" s="31"/>
      <c r="HG23" s="31"/>
      <c r="HH23" s="31"/>
      <c r="HI23" s="31"/>
      <c r="HJ23" s="31"/>
      <c r="HK23" s="31"/>
      <c r="HL23" s="31"/>
      <c r="HM23" s="31"/>
      <c r="HN23" s="31"/>
      <c r="HO23" s="31"/>
      <c r="HP23" s="31"/>
      <c r="HQ23" s="31"/>
      <c r="HR23" s="31"/>
      <c r="HS23" s="31"/>
      <c r="HT23" s="31"/>
      <c r="HU23" s="31"/>
      <c r="HV23" s="31"/>
      <c r="HW23" s="31"/>
      <c r="HX23" s="31"/>
      <c r="HY23" s="31"/>
      <c r="HZ23" s="31"/>
      <c r="IA23" s="31"/>
      <c r="IB23" s="31"/>
      <c r="IC23" s="31"/>
      <c r="ID23" s="31"/>
      <c r="IE23" s="31"/>
      <c r="IF23" s="31"/>
      <c r="IG23" s="31"/>
      <c r="IH23" s="31"/>
      <c r="II23" s="31"/>
      <c r="IJ23" s="31"/>
      <c r="IK23" s="31"/>
      <c r="IL23" s="31"/>
      <c r="IM23" s="31"/>
    </row>
    <row r="24" ht="13.5" customHeight="1" spans="1:733">
      <c r="D24" s="30" t="str">
        <f>[1]!s_info_name(E24)</f>
        <v>沪深300</v>
      </c>
      <c r="E24" s="29" t="s">
        <v>16</v>
      </c>
      <c r="F24" s="31">
        <v>13.799</v>
      </c>
      <c r="G24" s="31">
        <v>13.9771</v>
      </c>
      <c r="H24" s="31">
        <v>13.9</v>
      </c>
      <c r="I24" s="31">
        <v>13.813</v>
      </c>
      <c r="J24" s="31">
        <v>13.8699</v>
      </c>
      <c r="K24" s="31">
        <v>13.9439</v>
      </c>
      <c r="L24" s="31">
        <v>13.9139</v>
      </c>
      <c r="M24" s="31">
        <v>13.8197</v>
      </c>
      <c r="N24" s="31">
        <v>13.7909</v>
      </c>
      <c r="O24" s="31">
        <v>13.7078</v>
      </c>
      <c r="P24" s="31">
        <v>13.7019</v>
      </c>
      <c r="Q24" s="31">
        <v>13.7469</v>
      </c>
      <c r="R24" s="31">
        <v>13.7106</v>
      </c>
      <c r="S24" s="31">
        <v>13.7008</v>
      </c>
      <c r="T24" s="31">
        <v>13.6172</v>
      </c>
      <c r="U24" s="31">
        <v>13.6845</v>
      </c>
      <c r="V24" s="31">
        <v>13.6768</v>
      </c>
      <c r="W24" s="31">
        <v>13.7359</v>
      </c>
      <c r="X24" s="31">
        <v>13.8481</v>
      </c>
      <c r="Y24" s="31">
        <v>13.7157</v>
      </c>
      <c r="Z24" s="31">
        <v>13.4619</v>
      </c>
      <c r="AA24" s="31">
        <v>13.5283</v>
      </c>
      <c r="AB24" s="31">
        <v>13.6838</v>
      </c>
      <c r="AC24" s="31">
        <v>13.6385</v>
      </c>
      <c r="AD24" s="31">
        <v>13.5972</v>
      </c>
      <c r="AE24" s="31">
        <v>13.7587</v>
      </c>
      <c r="AF24" s="31">
        <v>13.7884</v>
      </c>
      <c r="AG24" s="31">
        <v>13.789</v>
      </c>
      <c r="AH24" s="31">
        <v>13.7645</v>
      </c>
      <c r="AI24" s="31">
        <v>13.5717</v>
      </c>
      <c r="AJ24" s="31">
        <v>13.7332</v>
      </c>
      <c r="AK24" s="31">
        <v>13.7711</v>
      </c>
      <c r="AL24" s="31">
        <v>13.7234</v>
      </c>
      <c r="AM24" s="31">
        <v>13.7088</v>
      </c>
      <c r="AN24" s="31">
        <v>13.8887</v>
      </c>
      <c r="AO24" s="31">
        <v>13.8915</v>
      </c>
      <c r="AP24" s="31">
        <v>13.7315</v>
      </c>
      <c r="AQ24" s="31">
        <v>13.7995</v>
      </c>
      <c r="AR24" s="31">
        <v>13.8076</v>
      </c>
      <c r="AS24" s="31">
        <v>13.7849</v>
      </c>
      <c r="AT24" s="31">
        <v>13.8063</v>
      </c>
      <c r="AU24" s="31">
        <v>13.9075</v>
      </c>
      <c r="AV24" s="31">
        <v>13.9083</v>
      </c>
      <c r="AW24" s="31">
        <v>13.8665</v>
      </c>
      <c r="AX24" s="31">
        <v>13.8643</v>
      </c>
      <c r="AY24" s="31">
        <v>13.8345</v>
      </c>
      <c r="AZ24" s="31">
        <v>13.8599</v>
      </c>
      <c r="BA24" s="31">
        <v>13.7711</v>
      </c>
      <c r="BB24" s="31">
        <v>13.6872</v>
      </c>
      <c r="BC24" s="31">
        <v>13.3088</v>
      </c>
      <c r="BD24" s="31">
        <v>13.4373</v>
      </c>
      <c r="BE24" s="31">
        <v>13.5619</v>
      </c>
      <c r="BF24" s="31">
        <v>13.493</v>
      </c>
      <c r="BG24" s="31">
        <v>13.6464</v>
      </c>
      <c r="BH24" s="31">
        <v>13.7027</v>
      </c>
      <c r="BI24" s="31">
        <v>13.68</v>
      </c>
      <c r="BJ24" s="31">
        <v>13.9782</v>
      </c>
      <c r="BK24" s="31">
        <v>13.93</v>
      </c>
      <c r="BL24" s="31">
        <v>13.8001</v>
      </c>
      <c r="BM24" s="31">
        <v>13.7934</v>
      </c>
      <c r="BN24" s="31">
        <v>14.077</v>
      </c>
      <c r="BO24" s="31">
        <v>13.998</v>
      </c>
      <c r="BP24" s="31">
        <v>14.1258</v>
      </c>
      <c r="BQ24" s="31">
        <v>14.1684</v>
      </c>
      <c r="BR24" s="31">
        <v>14.2882</v>
      </c>
      <c r="BS24" s="31">
        <v>14.2762</v>
      </c>
      <c r="BT24" s="31">
        <v>14.3527</v>
      </c>
      <c r="BU24" s="31">
        <v>14.3263</v>
      </c>
      <c r="BV24" s="31">
        <v>14.4535</v>
      </c>
      <c r="BW24" s="31">
        <v>14.5041</v>
      </c>
      <c r="BX24" s="31">
        <v>14.5473</v>
      </c>
      <c r="BY24" s="31">
        <v>14.5442</v>
      </c>
      <c r="BZ24" s="31">
        <v>14.4998</v>
      </c>
      <c r="CA24" s="31">
        <v>14.4963</v>
      </c>
      <c r="CB24" s="31">
        <v>14.5703</v>
      </c>
      <c r="CC24" s="31">
        <v>14.6842</v>
      </c>
      <c r="CD24" s="31">
        <v>14.6847</v>
      </c>
      <c r="CE24" s="31"/>
      <c r="CF24" s="31"/>
      <c r="CG24" s="31"/>
      <c r="CH24" s="31"/>
      <c r="CI24" s="31"/>
      <c r="CJ24" s="31"/>
      <c r="CK24" s="31"/>
      <c r="CL24" s="31"/>
      <c r="CM24" s="31"/>
      <c r="CN24" s="31"/>
      <c r="CO24" s="31"/>
      <c r="CP24" s="31"/>
      <c r="CQ24" s="31"/>
      <c r="CR24" s="31"/>
      <c r="CS24" s="31"/>
      <c r="CT24" s="31"/>
      <c r="CU24" s="31"/>
      <c r="CV24" s="31"/>
      <c r="CW24" s="31"/>
      <c r="CX24" s="31"/>
      <c r="CY24" s="31"/>
      <c r="CZ24" s="31"/>
      <c r="DA24" s="31"/>
      <c r="DB24" s="31"/>
      <c r="DC24" s="31"/>
      <c r="DD24" s="31"/>
      <c r="DE24" s="31"/>
      <c r="DF24" s="31"/>
      <c r="DG24" s="31"/>
      <c r="DH24" s="31"/>
      <c r="DI24" s="31"/>
      <c r="DJ24" s="31"/>
      <c r="DK24" s="31"/>
      <c r="DL24" s="31"/>
      <c r="DM24" s="31"/>
      <c r="DN24" s="31"/>
      <c r="DO24" s="31"/>
      <c r="DP24" s="31"/>
      <c r="DQ24" s="31"/>
      <c r="DR24" s="31"/>
      <c r="DS24" s="31"/>
      <c r="DT24" s="31"/>
      <c r="DU24" s="31"/>
      <c r="DV24" s="31"/>
      <c r="DW24" s="31"/>
      <c r="DX24" s="31"/>
      <c r="DY24" s="31"/>
      <c r="DZ24" s="31"/>
      <c r="EA24" s="31"/>
      <c r="EB24" s="31"/>
      <c r="EC24" s="31"/>
      <c r="ED24" s="31"/>
      <c r="EE24" s="31"/>
      <c r="EF24" s="31"/>
      <c r="EG24" s="31"/>
      <c r="EH24" s="31"/>
      <c r="EI24" s="31"/>
      <c r="EJ24" s="31"/>
      <c r="EK24" s="31"/>
      <c r="EL24" s="31"/>
      <c r="EM24" s="31"/>
      <c r="EN24" s="31"/>
      <c r="EO24" s="31"/>
      <c r="EP24" s="31"/>
      <c r="EQ24" s="31"/>
      <c r="ER24" s="31"/>
      <c r="ES24" s="31"/>
      <c r="ET24" s="31"/>
      <c r="EU24" s="31"/>
      <c r="EV24" s="31"/>
      <c r="EW24" s="31"/>
      <c r="EX24" s="31"/>
      <c r="EY24" s="31"/>
      <c r="EZ24" s="31"/>
      <c r="FA24" s="31"/>
      <c r="FB24" s="31"/>
      <c r="FC24" s="31"/>
      <c r="FD24" s="31"/>
      <c r="FE24" s="31"/>
      <c r="FF24" s="31"/>
      <c r="FG24" s="31"/>
      <c r="FH24" s="31"/>
      <c r="FI24" s="31"/>
      <c r="FJ24" s="31"/>
      <c r="FK24" s="31"/>
      <c r="FL24" s="31"/>
      <c r="FM24" s="31"/>
      <c r="FN24" s="31"/>
      <c r="FO24" s="31"/>
      <c r="FP24" s="31"/>
      <c r="FQ24" s="31"/>
      <c r="FR24" s="31"/>
      <c r="FS24" s="31"/>
      <c r="FT24" s="31"/>
      <c r="FU24" s="31"/>
      <c r="FV24" s="31"/>
      <c r="FW24" s="31"/>
      <c r="FX24" s="31"/>
      <c r="FY24" s="31"/>
      <c r="FZ24" s="31"/>
      <c r="GA24" s="31"/>
      <c r="GB24" s="31"/>
      <c r="GC24" s="31"/>
      <c r="GD24" s="31"/>
      <c r="GE24" s="31"/>
      <c r="GF24" s="31"/>
      <c r="GG24" s="31"/>
      <c r="GH24" s="31"/>
      <c r="GI24" s="31"/>
      <c r="GJ24" s="31"/>
      <c r="GK24" s="31"/>
      <c r="GL24" s="31"/>
      <c r="GM24" s="31"/>
      <c r="GN24" s="31"/>
      <c r="GO24" s="31"/>
      <c r="GP24" s="31"/>
      <c r="GQ24" s="31"/>
      <c r="GR24" s="31"/>
      <c r="GS24" s="31"/>
      <c r="GT24" s="31"/>
      <c r="GU24" s="31"/>
      <c r="GV24" s="31"/>
      <c r="GW24" s="31"/>
      <c r="GX24" s="31"/>
      <c r="GY24" s="31"/>
      <c r="GZ24" s="31"/>
      <c r="HA24" s="31"/>
      <c r="HB24" s="31"/>
      <c r="HC24" s="31"/>
      <c r="HD24" s="31"/>
      <c r="HE24" s="31"/>
      <c r="HF24" s="31"/>
      <c r="HG24" s="31"/>
      <c r="HH24" s="31"/>
      <c r="HI24" s="31"/>
      <c r="HJ24" s="31"/>
      <c r="HK24" s="31"/>
      <c r="HL24" s="31"/>
      <c r="HM24" s="31"/>
      <c r="HN24" s="31"/>
      <c r="HO24" s="31"/>
      <c r="HP24" s="31"/>
      <c r="HQ24" s="31"/>
      <c r="HR24" s="31"/>
      <c r="HS24" s="31"/>
      <c r="HT24" s="31"/>
      <c r="HU24" s="31"/>
      <c r="HV24" s="31"/>
      <c r="HW24" s="31"/>
      <c r="HX24" s="31"/>
      <c r="HY24" s="31"/>
      <c r="HZ24" s="31"/>
      <c r="IA24" s="31"/>
      <c r="IB24" s="31"/>
      <c r="IC24" s="31"/>
      <c r="ID24" s="31"/>
      <c r="IE24" s="31"/>
      <c r="IF24" s="31"/>
      <c r="IG24" s="31"/>
      <c r="IH24" s="31"/>
      <c r="II24" s="31"/>
      <c r="IJ24" s="31"/>
      <c r="IK24" s="31"/>
      <c r="IL24" s="31"/>
      <c r="IM24" s="31"/>
    </row>
    <row r="25" ht="13.5" customHeight="1" spans="1:733">
      <c r="D25" s="30" t="str">
        <f>[1]!s_info_name(E25)</f>
        <v>上证指数</v>
      </c>
      <c r="E25" s="29" t="s">
        <v>11</v>
      </c>
      <c r="F25" s="31">
        <v>15.8976</v>
      </c>
      <c r="G25" s="31">
        <v>16.1203</v>
      </c>
      <c r="H25" s="31">
        <v>16.105</v>
      </c>
      <c r="I25" s="31">
        <v>16.0825</v>
      </c>
      <c r="J25" s="31">
        <v>16.2112</v>
      </c>
      <c r="K25" s="31">
        <v>16.3606</v>
      </c>
      <c r="L25" s="31">
        <v>16.2943</v>
      </c>
      <c r="M25" s="31">
        <v>16.2306</v>
      </c>
      <c r="N25" s="31">
        <v>16.173</v>
      </c>
      <c r="O25" s="31">
        <v>16.1221</v>
      </c>
      <c r="P25" s="31">
        <v>16.1549</v>
      </c>
      <c r="Q25" s="31">
        <v>16.1835</v>
      </c>
      <c r="R25" s="31">
        <v>16.1884</v>
      </c>
      <c r="S25" s="31">
        <v>16.2083</v>
      </c>
      <c r="T25" s="31">
        <v>16.233</v>
      </c>
      <c r="U25" s="31">
        <v>16.2541</v>
      </c>
      <c r="V25" s="31">
        <v>16.2929</v>
      </c>
      <c r="W25" s="31">
        <v>16.3621</v>
      </c>
      <c r="X25" s="31">
        <v>16.4108</v>
      </c>
      <c r="Y25" s="31">
        <v>16.2523</v>
      </c>
      <c r="Z25" s="31">
        <v>15.8609</v>
      </c>
      <c r="AA25" s="31">
        <v>16.0303</v>
      </c>
      <c r="AB25" s="31">
        <v>16.1849</v>
      </c>
      <c r="AC25" s="31">
        <v>16.0943</v>
      </c>
      <c r="AD25" s="31">
        <v>16.0658</v>
      </c>
      <c r="AE25" s="31">
        <v>16.2772</v>
      </c>
      <c r="AF25" s="31">
        <v>16.3114</v>
      </c>
      <c r="AG25" s="31">
        <v>16.3347</v>
      </c>
      <c r="AH25" s="31">
        <v>16.3313</v>
      </c>
      <c r="AI25" s="31">
        <v>16.1129</v>
      </c>
      <c r="AJ25" s="31">
        <v>16.3027</v>
      </c>
      <c r="AK25" s="31">
        <v>16.3998</v>
      </c>
      <c r="AL25" s="31">
        <v>16.3866</v>
      </c>
      <c r="AM25" s="31">
        <v>16.4841</v>
      </c>
      <c r="AN25" s="31">
        <v>16.7168</v>
      </c>
      <c r="AO25" s="31">
        <v>16.5716</v>
      </c>
      <c r="AP25" s="31">
        <v>16.4042</v>
      </c>
      <c r="AQ25" s="31">
        <v>16.5115</v>
      </c>
      <c r="AR25" s="31">
        <v>16.5535</v>
      </c>
      <c r="AS25" s="31">
        <v>16.5027</v>
      </c>
      <c r="AT25" s="31">
        <v>16.5676</v>
      </c>
      <c r="AU25" s="31">
        <v>16.6301</v>
      </c>
      <c r="AV25" s="31">
        <v>16.6318</v>
      </c>
      <c r="AW25" s="31">
        <v>16.5162</v>
      </c>
      <c r="AX25" s="31">
        <v>16.4766</v>
      </c>
      <c r="AY25" s="31">
        <v>16.3675</v>
      </c>
      <c r="AZ25" s="31">
        <v>16.4257</v>
      </c>
      <c r="BA25" s="31">
        <v>16.2603</v>
      </c>
      <c r="BB25" s="31">
        <v>16.0711</v>
      </c>
      <c r="BC25" s="31">
        <v>15.5456</v>
      </c>
      <c r="BD25" s="31">
        <v>15.8123</v>
      </c>
      <c r="BE25" s="31">
        <v>16.0001</v>
      </c>
      <c r="BF25" s="31">
        <v>15.9051</v>
      </c>
      <c r="BG25" s="31">
        <v>16.1201</v>
      </c>
      <c r="BH25" s="31">
        <v>16.2103</v>
      </c>
      <c r="BI25" s="31">
        <v>16.2433</v>
      </c>
      <c r="BJ25" s="31">
        <v>16.4493</v>
      </c>
      <c r="BK25" s="31">
        <v>16.3651</v>
      </c>
      <c r="BL25" s="31">
        <v>16.2091</v>
      </c>
      <c r="BM25" s="31">
        <v>16.2763</v>
      </c>
      <c r="BN25" s="31">
        <v>16.6558</v>
      </c>
      <c r="BO25" s="31">
        <v>16.5553</v>
      </c>
      <c r="BP25" s="31">
        <v>16.6315</v>
      </c>
      <c r="BQ25" s="31">
        <v>16.6426</v>
      </c>
      <c r="BR25" s="31">
        <v>16.7844</v>
      </c>
      <c r="BS25" s="31">
        <v>16.7907</v>
      </c>
      <c r="BT25" s="31">
        <v>16.8859</v>
      </c>
      <c r="BU25" s="31">
        <v>16.8949</v>
      </c>
      <c r="BV25" s="31">
        <v>17.0824</v>
      </c>
      <c r="BW25" s="31">
        <v>17.1242</v>
      </c>
      <c r="BX25" s="31">
        <v>17.1472</v>
      </c>
      <c r="BY25" s="31">
        <v>17.1333</v>
      </c>
      <c r="BZ25" s="31">
        <v>17.105</v>
      </c>
      <c r="CA25" s="31">
        <v>17.2141</v>
      </c>
      <c r="CB25" s="31">
        <v>17.3085</v>
      </c>
      <c r="CC25" s="31">
        <v>17.4123</v>
      </c>
      <c r="CD25" s="31">
        <v>17.5675</v>
      </c>
      <c r="CE25" s="31"/>
      <c r="CF25" s="31"/>
      <c r="CG25" s="31"/>
      <c r="CH25" s="31"/>
      <c r="CI25" s="31"/>
      <c r="CJ25" s="31"/>
      <c r="CK25" s="31"/>
      <c r="CL25" s="31"/>
      <c r="CM25" s="31"/>
      <c r="CN25" s="31"/>
      <c r="CO25" s="31"/>
      <c r="CP25" s="31"/>
      <c r="CQ25" s="31"/>
      <c r="CR25" s="31"/>
      <c r="CS25" s="31"/>
      <c r="CT25" s="31"/>
      <c r="CU25" s="31"/>
      <c r="CV25" s="31"/>
      <c r="CW25" s="31"/>
      <c r="CX25" s="31"/>
      <c r="CY25" s="31"/>
      <c r="CZ25" s="31"/>
      <c r="DA25" s="31"/>
      <c r="DB25" s="31"/>
      <c r="DC25" s="31"/>
      <c r="DD25" s="31"/>
      <c r="DE25" s="31"/>
      <c r="DF25" s="31"/>
      <c r="DG25" s="31"/>
      <c r="DH25" s="31"/>
      <c r="DI25" s="31"/>
      <c r="DJ25" s="31"/>
      <c r="DK25" s="31"/>
      <c r="DL25" s="31"/>
      <c r="DM25" s="31"/>
      <c r="DN25" s="31"/>
      <c r="DO25" s="31"/>
      <c r="DP25" s="31"/>
      <c r="DQ25" s="31"/>
      <c r="DR25" s="31"/>
      <c r="DS25" s="31"/>
      <c r="DT25" s="31"/>
      <c r="DU25" s="31"/>
      <c r="DV25" s="31"/>
      <c r="DW25" s="31"/>
      <c r="DX25" s="31"/>
      <c r="DY25" s="31"/>
      <c r="DZ25" s="31"/>
      <c r="EA25" s="31"/>
      <c r="EB25" s="31"/>
      <c r="EC25" s="31"/>
      <c r="ED25" s="31"/>
      <c r="EE25" s="31"/>
      <c r="EF25" s="31"/>
      <c r="EG25" s="31"/>
      <c r="EH25" s="31"/>
      <c r="EI25" s="31"/>
      <c r="EJ25" s="31"/>
      <c r="EK25" s="31"/>
      <c r="EL25" s="31"/>
      <c r="EM25" s="31"/>
      <c r="EN25" s="31"/>
      <c r="EO25" s="31"/>
      <c r="EP25" s="31"/>
      <c r="EQ25" s="31"/>
      <c r="ER25" s="31"/>
      <c r="ES25" s="31"/>
      <c r="ET25" s="31"/>
      <c r="EU25" s="31"/>
      <c r="EV25" s="31"/>
      <c r="EW25" s="31"/>
      <c r="EX25" s="31"/>
      <c r="EY25" s="31"/>
      <c r="EZ25" s="31"/>
      <c r="FA25" s="31"/>
      <c r="FB25" s="31"/>
      <c r="FC25" s="31"/>
      <c r="FD25" s="31"/>
      <c r="FE25" s="31"/>
      <c r="FF25" s="31"/>
      <c r="FG25" s="31"/>
      <c r="FH25" s="31"/>
      <c r="FI25" s="31"/>
      <c r="FJ25" s="31"/>
      <c r="FK25" s="31"/>
      <c r="FL25" s="31"/>
      <c r="FM25" s="31"/>
      <c r="FN25" s="31"/>
      <c r="FO25" s="31"/>
      <c r="FP25" s="31"/>
      <c r="FQ25" s="31"/>
      <c r="FR25" s="31"/>
      <c r="FS25" s="31"/>
      <c r="FT25" s="31"/>
      <c r="FU25" s="31"/>
      <c r="FV25" s="31"/>
      <c r="FW25" s="31"/>
      <c r="FX25" s="31"/>
      <c r="FY25" s="31"/>
      <c r="FZ25" s="31"/>
      <c r="GA25" s="31"/>
      <c r="GB25" s="31"/>
      <c r="GC25" s="31"/>
      <c r="GD25" s="31"/>
      <c r="GE25" s="31"/>
      <c r="GF25" s="31"/>
      <c r="GG25" s="31"/>
      <c r="GH25" s="31"/>
      <c r="GI25" s="31"/>
      <c r="GJ25" s="31"/>
      <c r="GK25" s="31"/>
      <c r="GL25" s="31"/>
      <c r="GM25" s="31"/>
      <c r="GN25" s="31"/>
      <c r="GO25" s="31"/>
      <c r="GP25" s="31"/>
      <c r="GQ25" s="31"/>
      <c r="GR25" s="31"/>
      <c r="GS25" s="31"/>
      <c r="GT25" s="31"/>
      <c r="GU25" s="31"/>
      <c r="GV25" s="31"/>
      <c r="GW25" s="31"/>
      <c r="GX25" s="31"/>
      <c r="GY25" s="31"/>
      <c r="GZ25" s="31"/>
      <c r="HA25" s="31"/>
      <c r="HB25" s="31"/>
      <c r="HC25" s="31"/>
      <c r="HD25" s="31"/>
      <c r="HE25" s="31"/>
      <c r="HF25" s="31"/>
      <c r="HG25" s="31"/>
      <c r="HH25" s="31"/>
      <c r="HI25" s="31"/>
      <c r="HJ25" s="31"/>
      <c r="HK25" s="31"/>
      <c r="HL25" s="31"/>
      <c r="HM25" s="31"/>
      <c r="HN25" s="31"/>
      <c r="HO25" s="31"/>
      <c r="HP25" s="31"/>
      <c r="HQ25" s="31"/>
      <c r="HR25" s="31"/>
      <c r="HS25" s="31"/>
      <c r="HT25" s="31"/>
      <c r="HU25" s="31"/>
      <c r="HV25" s="31"/>
      <c r="HW25" s="31"/>
      <c r="HX25" s="31"/>
      <c r="HY25" s="31"/>
      <c r="HZ25" s="31"/>
      <c r="IA25" s="31"/>
      <c r="IB25" s="31"/>
      <c r="IC25" s="31"/>
      <c r="ID25" s="31"/>
      <c r="IE25" s="31"/>
      <c r="IF25" s="31"/>
      <c r="IG25" s="31"/>
      <c r="IH25" s="31"/>
      <c r="II25" s="31"/>
      <c r="IJ25" s="31"/>
      <c r="IK25" s="31"/>
      <c r="IL25" s="31"/>
      <c r="IM25" s="31"/>
    </row>
    <row r="26" ht="13.5" customHeight="1" spans="1:733">
      <c r="D26" s="30" t="str">
        <f>[1]!s_info_name(E26)</f>
        <v>恒生指数</v>
      </c>
      <c r="E26" s="29" t="s">
        <v>27</v>
      </c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  <c r="CB26" s="31"/>
      <c r="CC26" s="31"/>
      <c r="CD26" s="31"/>
      <c r="CE26" s="31"/>
      <c r="CF26" s="31"/>
      <c r="CG26" s="31"/>
      <c r="CH26" s="31"/>
      <c r="CI26" s="31"/>
      <c r="CJ26" s="31"/>
      <c r="CK26" s="31"/>
      <c r="CL26" s="31"/>
      <c r="CM26" s="31"/>
      <c r="CN26" s="31"/>
      <c r="CO26" s="31"/>
      <c r="CP26" s="31"/>
      <c r="CQ26" s="31"/>
      <c r="CR26" s="31"/>
      <c r="CS26" s="31"/>
      <c r="CT26" s="31"/>
      <c r="CU26" s="31"/>
      <c r="CV26" s="31"/>
      <c r="CW26" s="31"/>
      <c r="CX26" s="31"/>
      <c r="CY26" s="31"/>
      <c r="CZ26" s="31"/>
      <c r="DA26" s="31"/>
      <c r="DB26" s="31"/>
      <c r="DC26" s="31"/>
      <c r="DD26" s="31"/>
      <c r="DE26" s="31"/>
      <c r="DF26" s="31"/>
      <c r="DG26" s="31"/>
      <c r="DH26" s="31"/>
      <c r="DI26" s="31"/>
      <c r="DJ26" s="31"/>
      <c r="DK26" s="31"/>
      <c r="DL26" s="31"/>
      <c r="DM26" s="31"/>
      <c r="DN26" s="31"/>
      <c r="DO26" s="31"/>
      <c r="DP26" s="31"/>
      <c r="DQ26" s="31"/>
      <c r="DR26" s="31"/>
      <c r="DS26" s="31"/>
      <c r="DT26" s="31"/>
      <c r="DU26" s="31"/>
      <c r="DV26" s="31"/>
      <c r="DW26" s="31"/>
      <c r="DX26" s="31"/>
      <c r="DY26" s="31"/>
      <c r="DZ26" s="31"/>
      <c r="EA26" s="31"/>
      <c r="EB26" s="31"/>
      <c r="EC26" s="31"/>
      <c r="ED26" s="31"/>
      <c r="EE26" s="31"/>
      <c r="EF26" s="31"/>
      <c r="EG26" s="31"/>
      <c r="EH26" s="31"/>
      <c r="EI26" s="31"/>
      <c r="EJ26" s="31"/>
      <c r="EK26" s="31"/>
      <c r="EL26" s="31"/>
      <c r="EM26" s="31"/>
      <c r="EN26" s="31"/>
      <c r="EO26" s="31"/>
      <c r="EP26" s="31"/>
      <c r="EQ26" s="31"/>
      <c r="ER26" s="31"/>
      <c r="ES26" s="31"/>
      <c r="ET26" s="31"/>
      <c r="EU26" s="31"/>
      <c r="EV26" s="31"/>
      <c r="EW26" s="31"/>
      <c r="EX26" s="31"/>
      <c r="EY26" s="31"/>
      <c r="EZ26" s="31"/>
      <c r="FA26" s="31"/>
      <c r="FB26" s="31"/>
      <c r="FC26" s="31"/>
      <c r="FD26" s="31"/>
      <c r="FE26" s="31"/>
      <c r="FF26" s="31"/>
      <c r="FG26" s="31"/>
      <c r="FH26" s="31"/>
      <c r="FI26" s="31"/>
      <c r="FJ26" s="31"/>
      <c r="FK26" s="31"/>
      <c r="FL26" s="31"/>
      <c r="FM26" s="31"/>
      <c r="FN26" s="31"/>
      <c r="FO26" s="31"/>
      <c r="FP26" s="31"/>
      <c r="FQ26" s="31"/>
      <c r="FR26" s="31"/>
      <c r="FS26" s="31"/>
      <c r="FT26" s="31"/>
      <c r="FU26" s="31"/>
      <c r="FV26" s="31"/>
      <c r="FW26" s="31"/>
      <c r="FX26" s="31"/>
      <c r="FY26" s="31"/>
      <c r="FZ26" s="31"/>
      <c r="GA26" s="31"/>
      <c r="GB26" s="31"/>
      <c r="GC26" s="31"/>
      <c r="GD26" s="31"/>
      <c r="GE26" s="31"/>
      <c r="GF26" s="31"/>
      <c r="GG26" s="31"/>
      <c r="GH26" s="31"/>
      <c r="GI26" s="31"/>
      <c r="GJ26" s="31"/>
      <c r="GK26" s="31"/>
      <c r="GL26" s="31"/>
      <c r="GM26" s="31"/>
      <c r="GN26" s="31"/>
      <c r="GO26" s="31"/>
      <c r="GP26" s="31"/>
      <c r="GQ26" s="31"/>
      <c r="GR26" s="31"/>
      <c r="GS26" s="31"/>
      <c r="GT26" s="31"/>
      <c r="GU26" s="31"/>
      <c r="GV26" s="31"/>
      <c r="GW26" s="31"/>
      <c r="GX26" s="31"/>
      <c r="GY26" s="31"/>
      <c r="GZ26" s="31"/>
      <c r="HA26" s="31"/>
      <c r="HB26" s="31"/>
      <c r="HC26" s="31"/>
      <c r="HD26" s="31"/>
      <c r="HE26" s="31"/>
      <c r="HF26" s="31"/>
      <c r="HG26" s="31"/>
      <c r="HH26" s="31"/>
      <c r="HI26" s="31"/>
      <c r="HJ26" s="31"/>
      <c r="HK26" s="31"/>
      <c r="HL26" s="31"/>
      <c r="HM26" s="31"/>
      <c r="HN26" s="31"/>
      <c r="HO26" s="31"/>
      <c r="HP26" s="31"/>
      <c r="HQ26" s="31"/>
      <c r="HR26" s="31"/>
      <c r="HS26" s="31"/>
      <c r="HT26" s="31"/>
      <c r="HU26" s="31"/>
      <c r="HV26" s="31"/>
      <c r="HW26" s="31"/>
      <c r="HX26" s="31"/>
      <c r="HY26" s="31"/>
      <c r="HZ26" s="31"/>
      <c r="IA26" s="31"/>
      <c r="IB26" s="31"/>
      <c r="IC26" s="31"/>
      <c r="ID26" s="31"/>
      <c r="IE26" s="31"/>
      <c r="IF26" s="31"/>
      <c r="IG26" s="31"/>
      <c r="IH26" s="31"/>
      <c r="II26" s="31"/>
      <c r="IJ26" s="31"/>
      <c r="IK26" s="31"/>
      <c r="IL26" s="31"/>
      <c r="IM26" s="31"/>
    </row>
    <row r="27" ht="16.5" customHeight="1" spans="1:733">
      <c r="A27" s="12" t="s">
        <v>399</v>
      </c>
      <c r="B27" s="12" t="s">
        <v>400</v>
      </c>
      <c r="C27" s="6" t="s">
        <v>429</v>
      </c>
      <c r="D27" s="19" t="s">
        <v>402</v>
      </c>
      <c r="E27" s="7" t="s">
        <v>403</v>
      </c>
      <c r="F27" s="10">
        <v>46027</v>
      </c>
      <c r="G27" s="10">
        <v>46028</v>
      </c>
      <c r="H27" s="10">
        <v>46029</v>
      </c>
      <c r="I27" s="10">
        <v>46030</v>
      </c>
      <c r="J27" s="10">
        <v>46031</v>
      </c>
      <c r="K27" s="10">
        <v>46034</v>
      </c>
      <c r="L27" s="10">
        <v>46035</v>
      </c>
      <c r="M27" s="10">
        <v>46036</v>
      </c>
      <c r="N27" s="10">
        <v>46037</v>
      </c>
      <c r="O27" s="10">
        <v>46038</v>
      </c>
      <c r="P27" s="10">
        <v>46041</v>
      </c>
      <c r="Q27" s="10">
        <v>46042</v>
      </c>
      <c r="R27" s="10">
        <v>46043</v>
      </c>
      <c r="S27" s="10">
        <v>46044</v>
      </c>
      <c r="T27" s="10">
        <v>46045</v>
      </c>
      <c r="U27" s="10">
        <v>46048</v>
      </c>
      <c r="V27" s="10">
        <v>46049</v>
      </c>
      <c r="W27" s="10">
        <v>46050</v>
      </c>
      <c r="X27" s="10">
        <v>46051</v>
      </c>
      <c r="Y27" s="10">
        <v>46052</v>
      </c>
      <c r="Z27" s="10">
        <v>46055</v>
      </c>
      <c r="AA27" s="10">
        <v>46056</v>
      </c>
      <c r="AB27" s="10">
        <v>46057</v>
      </c>
      <c r="AC27" s="10">
        <v>46058</v>
      </c>
      <c r="AD27" s="10">
        <v>46059</v>
      </c>
      <c r="AE27" s="10">
        <v>46062</v>
      </c>
      <c r="AF27" s="10">
        <v>46063</v>
      </c>
      <c r="AG27" s="10">
        <v>46064</v>
      </c>
      <c r="AH27" s="10">
        <v>46065</v>
      </c>
      <c r="AI27" s="10">
        <v>46066</v>
      </c>
      <c r="AJ27" s="10">
        <v>46077</v>
      </c>
      <c r="AK27" s="10">
        <v>46078</v>
      </c>
      <c r="AL27" s="10">
        <v>46079</v>
      </c>
      <c r="AM27" s="10">
        <v>46080</v>
      </c>
      <c r="AN27" s="10">
        <v>46083</v>
      </c>
      <c r="AO27" s="10">
        <v>46084</v>
      </c>
      <c r="AP27" s="10">
        <v>46085</v>
      </c>
      <c r="AQ27" s="10">
        <v>46086</v>
      </c>
      <c r="AR27" s="10">
        <v>46087</v>
      </c>
      <c r="AS27" s="10">
        <v>46090</v>
      </c>
      <c r="AT27" s="10">
        <v>46091</v>
      </c>
      <c r="AU27" s="10">
        <v>46092</v>
      </c>
      <c r="AV27" s="10">
        <v>46093</v>
      </c>
      <c r="AW27" s="10">
        <v>46094</v>
      </c>
      <c r="AX27" s="10">
        <v>46097</v>
      </c>
      <c r="AY27" s="10">
        <v>46098</v>
      </c>
      <c r="AZ27" s="10">
        <v>46099</v>
      </c>
      <c r="BA27" s="10">
        <v>46100</v>
      </c>
      <c r="BB27" s="10">
        <v>46101</v>
      </c>
      <c r="BC27" s="10">
        <v>46104</v>
      </c>
      <c r="BD27" s="10">
        <v>46105</v>
      </c>
      <c r="BE27" s="10">
        <v>46106</v>
      </c>
      <c r="BF27" s="10">
        <v>46107</v>
      </c>
      <c r="BG27" s="10">
        <v>46108</v>
      </c>
      <c r="BH27" s="10">
        <v>46111</v>
      </c>
      <c r="BI27" s="10">
        <v>46112</v>
      </c>
      <c r="BJ27" s="10">
        <v>46113</v>
      </c>
      <c r="BK27" s="10">
        <v>46114</v>
      </c>
      <c r="BL27" s="10">
        <v>46115</v>
      </c>
      <c r="BM27" s="10">
        <v>46119</v>
      </c>
      <c r="BN27" s="10">
        <v>46120</v>
      </c>
      <c r="BO27" s="10">
        <v>46121</v>
      </c>
      <c r="BP27" s="10">
        <v>46122</v>
      </c>
      <c r="BQ27" s="10">
        <v>46125</v>
      </c>
      <c r="BR27" s="10">
        <v>46126</v>
      </c>
      <c r="BS27" s="10">
        <v>46127</v>
      </c>
      <c r="BT27" s="10">
        <v>46128</v>
      </c>
      <c r="BU27" s="10">
        <v>46129</v>
      </c>
      <c r="BV27" s="10">
        <v>46132</v>
      </c>
      <c r="BW27" s="10">
        <v>46133</v>
      </c>
      <c r="BX27" s="10">
        <v>46134</v>
      </c>
      <c r="BY27" s="10">
        <v>46135</v>
      </c>
      <c r="BZ27" s="10">
        <v>46136</v>
      </c>
      <c r="CA27" s="10">
        <v>46139</v>
      </c>
      <c r="CB27" s="10">
        <v>46140</v>
      </c>
      <c r="CC27" s="10">
        <v>46141</v>
      </c>
      <c r="CD27" s="10">
        <v>46142</v>
      </c>
      <c r="CE27" s="10">
        <v>46148</v>
      </c>
      <c r="CF27" s="10">
        <v>46149</v>
      </c>
      <c r="CG27" s="10">
        <v>46150</v>
      </c>
      <c r="CH27" s="10">
        <v>46153</v>
      </c>
      <c r="CI27" s="10">
        <v>46154</v>
      </c>
      <c r="CJ27" s="10">
        <v>46155</v>
      </c>
      <c r="CK27" s="10">
        <v>46156</v>
      </c>
      <c r="CL27" s="10">
        <v>46157</v>
      </c>
      <c r="CM27" s="10">
        <v>46160</v>
      </c>
      <c r="CN27" s="10">
        <v>46161</v>
      </c>
      <c r="CO27" s="10">
        <v>46162</v>
      </c>
      <c r="CP27" s="10">
        <v>46163</v>
      </c>
      <c r="CQ27" s="10">
        <v>46164</v>
      </c>
      <c r="CR27" s="10">
        <v>46167</v>
      </c>
      <c r="CS27" s="10">
        <v>46168</v>
      </c>
      <c r="CT27" s="10">
        <v>46169</v>
      </c>
      <c r="CU27" s="10">
        <v>46170</v>
      </c>
      <c r="CV27" s="10">
        <v>46171</v>
      </c>
      <c r="CW27" s="10">
        <v>46174</v>
      </c>
      <c r="CX27" s="10">
        <v>46175</v>
      </c>
      <c r="CY27" s="10">
        <v>46176</v>
      </c>
      <c r="CZ27" s="10">
        <v>46177</v>
      </c>
      <c r="DA27" s="10">
        <v>46178</v>
      </c>
      <c r="DB27" s="10">
        <v>46181</v>
      </c>
      <c r="DC27" s="10">
        <v>46182</v>
      </c>
      <c r="DD27" s="10">
        <v>46183</v>
      </c>
      <c r="DE27" s="10">
        <v>46184</v>
      </c>
      <c r="DF27" s="10">
        <v>46185</v>
      </c>
      <c r="DG27" s="10">
        <v>46188</v>
      </c>
      <c r="DH27" s="10">
        <v>46189</v>
      </c>
      <c r="DI27" s="10">
        <v>46190</v>
      </c>
      <c r="DJ27" s="10">
        <v>46191</v>
      </c>
      <c r="DK27" s="10">
        <v>46195</v>
      </c>
      <c r="DL27" s="10">
        <v>46196</v>
      </c>
      <c r="DM27" s="10">
        <v>46197</v>
      </c>
      <c r="DN27" s="10">
        <v>46198</v>
      </c>
      <c r="DO27" s="10">
        <v>46199</v>
      </c>
      <c r="DP27" s="10">
        <v>46202</v>
      </c>
      <c r="DQ27" s="10">
        <v>46203</v>
      </c>
      <c r="DR27" s="10">
        <v>46204</v>
      </c>
      <c r="DS27" s="10">
        <v>46205</v>
      </c>
      <c r="DT27" s="10">
        <v>46206</v>
      </c>
      <c r="DU27" s="10">
        <v>46209</v>
      </c>
      <c r="DV27" s="10">
        <v>46210</v>
      </c>
      <c r="DW27" s="10">
        <v>46211</v>
      </c>
      <c r="DX27" s="10">
        <v>46212</v>
      </c>
      <c r="DY27" s="10">
        <v>46213</v>
      </c>
      <c r="DZ27" s="10">
        <v>46216</v>
      </c>
      <c r="EA27" s="10">
        <v>46217</v>
      </c>
      <c r="EB27" s="10">
        <v>46218</v>
      </c>
      <c r="EC27" s="10">
        <v>46219</v>
      </c>
      <c r="ED27" s="10">
        <v>46220</v>
      </c>
      <c r="EE27" s="10">
        <v>46223</v>
      </c>
      <c r="EF27" s="10">
        <v>46224</v>
      </c>
      <c r="EG27" s="10">
        <v>46225</v>
      </c>
      <c r="EH27" s="10">
        <v>46226</v>
      </c>
      <c r="EI27" s="10">
        <v>46227</v>
      </c>
      <c r="EJ27" s="10">
        <v>46230</v>
      </c>
      <c r="EK27" s="10">
        <v>46231</v>
      </c>
      <c r="EL27" s="10">
        <v>46232</v>
      </c>
      <c r="EM27" s="10">
        <v>46233</v>
      </c>
      <c r="EN27" s="10">
        <v>46234</v>
      </c>
      <c r="EO27" s="10">
        <v>46237</v>
      </c>
      <c r="EP27" s="10">
        <v>46238</v>
      </c>
      <c r="EQ27" s="10">
        <v>46239</v>
      </c>
      <c r="ER27" s="10">
        <v>46240</v>
      </c>
      <c r="ES27" s="10">
        <v>46241</v>
      </c>
      <c r="ET27" s="10">
        <v>46244</v>
      </c>
      <c r="EU27" s="10">
        <v>46245</v>
      </c>
      <c r="EV27" s="10">
        <v>46246</v>
      </c>
      <c r="EW27" s="10">
        <v>46247</v>
      </c>
      <c r="EX27" s="10">
        <v>46248</v>
      </c>
      <c r="EY27" s="10">
        <v>46251</v>
      </c>
      <c r="EZ27" s="10">
        <v>46252</v>
      </c>
      <c r="FA27" s="10">
        <v>46253</v>
      </c>
      <c r="FB27" s="10">
        <v>46254</v>
      </c>
      <c r="FC27" s="10">
        <v>46255</v>
      </c>
      <c r="FD27" s="10">
        <v>46258</v>
      </c>
      <c r="FE27" s="10">
        <v>46259</v>
      </c>
      <c r="FF27" s="10">
        <v>46260</v>
      </c>
      <c r="FG27" s="10">
        <v>46261</v>
      </c>
      <c r="FH27" s="10">
        <v>46262</v>
      </c>
      <c r="FI27" s="10">
        <v>46265</v>
      </c>
      <c r="FJ27" s="10">
        <v>46266</v>
      </c>
      <c r="FK27" s="10">
        <v>46267</v>
      </c>
      <c r="FL27" s="10">
        <v>46268</v>
      </c>
      <c r="FM27" s="10">
        <v>46269</v>
      </c>
      <c r="FN27" s="10">
        <v>46272</v>
      </c>
      <c r="FO27" s="10">
        <v>46273</v>
      </c>
      <c r="FP27" s="10">
        <v>46274</v>
      </c>
      <c r="FQ27" s="10">
        <v>46275</v>
      </c>
      <c r="FR27" s="10">
        <v>46276</v>
      </c>
      <c r="FS27" s="10">
        <v>46279</v>
      </c>
      <c r="FT27" s="10">
        <v>46280</v>
      </c>
      <c r="FU27" s="10">
        <v>46281</v>
      </c>
      <c r="FV27" s="10">
        <v>46282</v>
      </c>
      <c r="FW27" s="10">
        <v>46283</v>
      </c>
      <c r="FX27" s="10">
        <v>46286</v>
      </c>
      <c r="FY27" s="10">
        <v>46287</v>
      </c>
      <c r="FZ27" s="10">
        <v>46288</v>
      </c>
      <c r="GA27" s="10">
        <v>46289</v>
      </c>
      <c r="GB27" s="10">
        <v>46293</v>
      </c>
      <c r="GC27" s="10">
        <v>46294</v>
      </c>
      <c r="GD27" s="10">
        <v>46295</v>
      </c>
      <c r="GE27" s="10">
        <v>46303</v>
      </c>
      <c r="GF27" s="10">
        <v>46304</v>
      </c>
      <c r="GG27" s="10">
        <v>46307</v>
      </c>
      <c r="GH27" s="10">
        <v>46308</v>
      </c>
      <c r="GI27" s="10">
        <v>46309</v>
      </c>
      <c r="GJ27" s="10">
        <v>46310</v>
      </c>
      <c r="GK27" s="10">
        <v>46311</v>
      </c>
      <c r="GL27" s="10">
        <v>46314</v>
      </c>
      <c r="GM27" s="10">
        <v>46315</v>
      </c>
      <c r="GN27" s="10">
        <v>46316</v>
      </c>
      <c r="GO27" s="10">
        <v>46317</v>
      </c>
      <c r="GP27" s="10">
        <v>46318</v>
      </c>
      <c r="GQ27" s="10">
        <v>46321</v>
      </c>
      <c r="GR27" s="10">
        <v>46322</v>
      </c>
      <c r="GS27" s="10">
        <v>46323</v>
      </c>
      <c r="GT27" s="10">
        <v>46324</v>
      </c>
      <c r="GU27" s="10">
        <v>46325</v>
      </c>
      <c r="GV27" s="10">
        <v>46328</v>
      </c>
      <c r="GW27" s="10">
        <v>46329</v>
      </c>
      <c r="GX27" s="10">
        <v>46330</v>
      </c>
      <c r="GY27" s="10">
        <v>46331</v>
      </c>
      <c r="GZ27" s="10">
        <v>46332</v>
      </c>
      <c r="HA27" s="10">
        <v>46335</v>
      </c>
      <c r="HB27" s="10">
        <v>46336</v>
      </c>
      <c r="HC27" s="10">
        <v>46337</v>
      </c>
      <c r="HD27" s="10">
        <v>46338</v>
      </c>
      <c r="HE27" s="10">
        <v>46339</v>
      </c>
      <c r="HF27" s="10">
        <v>46342</v>
      </c>
      <c r="HG27" s="10">
        <v>46343</v>
      </c>
      <c r="HH27" s="10">
        <v>46344</v>
      </c>
      <c r="HI27" s="10">
        <v>46345</v>
      </c>
      <c r="HJ27" s="10">
        <v>46346</v>
      </c>
      <c r="HK27" s="10">
        <v>46349</v>
      </c>
      <c r="HL27" s="10">
        <v>46350</v>
      </c>
      <c r="HM27" s="10">
        <v>46351</v>
      </c>
      <c r="HN27" s="10">
        <v>46352</v>
      </c>
      <c r="HO27" s="10">
        <v>46353</v>
      </c>
      <c r="HP27" s="10">
        <v>46356</v>
      </c>
      <c r="HQ27" s="10">
        <v>46357</v>
      </c>
      <c r="HR27" s="10">
        <v>46358</v>
      </c>
      <c r="HS27" s="10">
        <v>46359</v>
      </c>
      <c r="HT27" s="10">
        <v>46360</v>
      </c>
      <c r="HU27" s="10">
        <v>46363</v>
      </c>
      <c r="HV27" s="10">
        <v>46364</v>
      </c>
      <c r="HW27" s="10">
        <v>46365</v>
      </c>
      <c r="HX27" s="10">
        <v>46366</v>
      </c>
      <c r="HY27" s="10">
        <v>46367</v>
      </c>
      <c r="HZ27" s="10">
        <v>46370</v>
      </c>
      <c r="IA27" s="10">
        <v>46371</v>
      </c>
      <c r="IB27" s="10">
        <v>46372</v>
      </c>
      <c r="IC27" s="10">
        <v>46373</v>
      </c>
      <c r="ID27" s="10">
        <v>46374</v>
      </c>
      <c r="IE27" s="10">
        <v>46377</v>
      </c>
      <c r="IF27" s="10">
        <v>46378</v>
      </c>
      <c r="IG27" s="10">
        <v>46379</v>
      </c>
      <c r="IH27" s="10">
        <v>46380</v>
      </c>
      <c r="II27" s="10">
        <v>46381</v>
      </c>
      <c r="IJ27" s="10">
        <v>46384</v>
      </c>
      <c r="IK27" s="10">
        <v>46385</v>
      </c>
      <c r="IL27" s="10">
        <v>46386</v>
      </c>
      <c r="IM27" s="10">
        <v>46387</v>
      </c>
    </row>
    <row r="28" ht="13.5" customHeight="1" spans="1:733">
      <c r="A28" s="20">
        <v>46023</v>
      </c>
      <c r="B28" s="20">
        <v>46388</v>
      </c>
      <c r="C28" s="21" t="s">
        <v>430</v>
      </c>
      <c r="D28" s="22" t="str">
        <f>[1]!s_info_name(E28)</f>
        <v>标普500</v>
      </c>
      <c r="E28" s="21" t="s">
        <v>436</v>
      </c>
      <c r="F28" s="23" cm="1">
        <f t="array" ref="F28">[1]!WSD(E28:E30,C28,A28,B28,"TradingCalendar=SSE","rptType=1","Direction=V","Version=1","ShowParams=Y","cols=242;rows=3")</f>
        <v>6902.05</v>
      </c>
      <c r="G28" s="23">
        <v>6944.82</v>
      </c>
      <c r="H28" s="23">
        <v>6920.93</v>
      </c>
      <c r="I28" s="23">
        <v>6921.46</v>
      </c>
      <c r="J28" s="23">
        <v>6966.28</v>
      </c>
      <c r="K28" s="23">
        <v>6977.27</v>
      </c>
      <c r="L28" s="23">
        <v>6963.74</v>
      </c>
      <c r="M28" s="23">
        <v>6926.6</v>
      </c>
      <c r="N28" s="23">
        <v>6944.47</v>
      </c>
      <c r="O28" s="23">
        <v>6940.01</v>
      </c>
      <c r="P28" s="23"/>
      <c r="Q28" s="23">
        <v>6796.86</v>
      </c>
      <c r="R28" s="23">
        <v>6875.62</v>
      </c>
      <c r="S28" s="23">
        <v>6913.35</v>
      </c>
      <c r="T28" s="23">
        <v>6915.61</v>
      </c>
      <c r="U28" s="23">
        <v>6950.23</v>
      </c>
      <c r="V28" s="23">
        <v>6978.6</v>
      </c>
      <c r="W28" s="23">
        <v>6978.03</v>
      </c>
      <c r="X28" s="23">
        <v>6969.01</v>
      </c>
      <c r="Y28" s="23">
        <v>6939.03</v>
      </c>
      <c r="Z28" s="23">
        <v>6976.44</v>
      </c>
      <c r="AA28" s="23">
        <v>6917.81</v>
      </c>
      <c r="AB28" s="23">
        <v>6882.72</v>
      </c>
      <c r="AC28" s="23">
        <v>6798.4</v>
      </c>
      <c r="AD28" s="23">
        <v>6932.3</v>
      </c>
      <c r="AE28" s="23">
        <v>6964.82</v>
      </c>
      <c r="AF28" s="23">
        <v>6941.81</v>
      </c>
      <c r="AG28" s="23">
        <v>6941.47</v>
      </c>
      <c r="AH28" s="23">
        <v>6832.76</v>
      </c>
      <c r="AI28" s="23">
        <v>6836.17</v>
      </c>
      <c r="AJ28" s="23">
        <v>6890.07</v>
      </c>
      <c r="AK28" s="23">
        <v>6946.13</v>
      </c>
      <c r="AL28" s="23">
        <v>6908.86</v>
      </c>
      <c r="AM28" s="23">
        <v>6878.88</v>
      </c>
      <c r="AN28" s="23">
        <v>6881.62</v>
      </c>
      <c r="AO28" s="23">
        <v>6816.63</v>
      </c>
      <c r="AP28" s="23">
        <v>6869.5</v>
      </c>
      <c r="AQ28" s="23">
        <v>6830.71</v>
      </c>
      <c r="AR28" s="23">
        <v>6740.02</v>
      </c>
      <c r="AS28" s="23">
        <v>6795.99</v>
      </c>
      <c r="AT28" s="23">
        <v>6781.48</v>
      </c>
      <c r="AU28" s="23">
        <v>6775.8</v>
      </c>
      <c r="AV28" s="23">
        <v>6672.62</v>
      </c>
      <c r="AW28" s="23">
        <v>6632.19</v>
      </c>
      <c r="AX28" s="23">
        <v>6699.38</v>
      </c>
      <c r="AY28" s="23">
        <v>6716.09</v>
      </c>
      <c r="AZ28" s="23">
        <v>6624.7</v>
      </c>
      <c r="BA28" s="23">
        <v>6606.49</v>
      </c>
      <c r="BB28" s="23">
        <v>6506.48</v>
      </c>
      <c r="BC28" s="23">
        <v>6581</v>
      </c>
      <c r="BD28" s="23">
        <v>6556.37</v>
      </c>
      <c r="BE28" s="23">
        <v>6591.9</v>
      </c>
      <c r="BF28" s="23">
        <v>6477.16</v>
      </c>
      <c r="BG28" s="23">
        <v>6368.85</v>
      </c>
      <c r="BH28" s="23">
        <v>6343.72</v>
      </c>
      <c r="BI28" s="23">
        <v>6528.52</v>
      </c>
      <c r="BJ28" s="23">
        <v>6575.32</v>
      </c>
      <c r="BK28" s="23">
        <v>6582.69</v>
      </c>
      <c r="BL28" s="23"/>
      <c r="BM28" s="23">
        <v>6616.85</v>
      </c>
      <c r="BN28" s="23">
        <v>6782.81</v>
      </c>
      <c r="BO28" s="23">
        <v>6824.66</v>
      </c>
      <c r="BP28" s="23">
        <v>6816.89</v>
      </c>
      <c r="BQ28" s="23">
        <v>6886.24</v>
      </c>
      <c r="BR28" s="23">
        <v>6967.38</v>
      </c>
      <c r="BS28" s="23">
        <v>7022.95</v>
      </c>
      <c r="BT28" s="23">
        <v>7041.28</v>
      </c>
      <c r="BU28" s="23">
        <v>7126.06</v>
      </c>
      <c r="BV28" s="23">
        <v>7109.14</v>
      </c>
      <c r="BW28" s="23">
        <v>7064.01</v>
      </c>
      <c r="BX28" s="23">
        <v>7137.9</v>
      </c>
      <c r="BY28" s="23">
        <v>7108.4</v>
      </c>
      <c r="BZ28" s="23">
        <v>7165.08</v>
      </c>
      <c r="CA28" s="23">
        <v>7173.91</v>
      </c>
      <c r="CB28" s="23">
        <v>7138.8</v>
      </c>
      <c r="CC28" s="23">
        <v>7135.95</v>
      </c>
      <c r="CD28" s="23">
        <v>7209.01</v>
      </c>
      <c r="CE28" s="23">
        <v>7365.12</v>
      </c>
      <c r="CF28" s="23">
        <v>7337.11</v>
      </c>
      <c r="CG28" s="23">
        <v>7398.93</v>
      </c>
      <c r="CH28" s="23">
        <v>7412.84</v>
      </c>
      <c r="CI28" s="23">
        <v>7400.96</v>
      </c>
      <c r="CJ28" s="23">
        <v>7444.25</v>
      </c>
      <c r="CK28" s="23">
        <v>7501.24</v>
      </c>
      <c r="CL28" s="23">
        <v>7408.5</v>
      </c>
      <c r="CM28" s="23">
        <v>7403.05</v>
      </c>
      <c r="CN28" s="23">
        <v>7353.61</v>
      </c>
      <c r="CO28" s="23">
        <v>7432.97</v>
      </c>
      <c r="CP28" s="23">
        <v>7445.72</v>
      </c>
      <c r="CQ28" s="23">
        <v>7473.47</v>
      </c>
      <c r="CR28" s="23"/>
      <c r="CS28" s="23">
        <v>7519.12</v>
      </c>
      <c r="CT28" s="23">
        <v>7520.36</v>
      </c>
      <c r="CU28" s="23">
        <v>7563.63</v>
      </c>
      <c r="CV28" s="23">
        <v>7580.06</v>
      </c>
      <c r="CW28" s="23">
        <v>7599.96</v>
      </c>
      <c r="CX28" s="23">
        <v>7609.78</v>
      </c>
      <c r="CY28" s="23">
        <v>7553.68</v>
      </c>
      <c r="CZ28" s="23">
        <v>7584.31</v>
      </c>
      <c r="DA28" s="23">
        <v>7383.74</v>
      </c>
      <c r="DB28" s="23">
        <v>7405.73</v>
      </c>
      <c r="DC28" s="23">
        <v>7386.65</v>
      </c>
      <c r="DD28" s="23">
        <v>7266.99</v>
      </c>
      <c r="DE28" s="23">
        <v>7394.3</v>
      </c>
      <c r="DF28" s="23">
        <v>7431.46</v>
      </c>
      <c r="DG28" s="23">
        <v>7554.29</v>
      </c>
      <c r="DH28" s="23">
        <v>7511.35</v>
      </c>
      <c r="DI28" s="23">
        <v>7420.1</v>
      </c>
      <c r="DJ28" s="23">
        <v>7500.58</v>
      </c>
      <c r="DK28" s="23">
        <v>7472.79</v>
      </c>
      <c r="DL28" s="23">
        <v>7365.46</v>
      </c>
      <c r="DM28" s="23">
        <v>7358.22</v>
      </c>
      <c r="DN28" s="23">
        <v>7357.49</v>
      </c>
      <c r="DO28" s="23">
        <v>7354.02</v>
      </c>
      <c r="DP28" s="23">
        <v>7440.43</v>
      </c>
      <c r="DQ28" s="23">
        <v>7499.36</v>
      </c>
      <c r="DR28" s="23">
        <v>7483.23</v>
      </c>
      <c r="DS28" s="23">
        <v>7483.24</v>
      </c>
      <c r="DT28" s="23"/>
      <c r="DU28" s="23"/>
      <c r="DV28" s="23"/>
      <c r="DW28" s="23"/>
      <c r="DX28" s="23"/>
      <c r="DY28" s="23"/>
      <c r="DZ28" s="23"/>
      <c r="EA28" s="23"/>
      <c r="EB28" s="23"/>
      <c r="EC28" s="23"/>
      <c r="ED28" s="23"/>
      <c r="EE28" s="23"/>
      <c r="EF28" s="23"/>
      <c r="EG28" s="23"/>
      <c r="EH28" s="23"/>
      <c r="EI28" s="23"/>
      <c r="EJ28" s="23"/>
      <c r="EK28" s="23"/>
      <c r="EL28" s="23"/>
      <c r="EM28" s="23"/>
      <c r="EN28" s="23"/>
      <c r="EO28" s="23"/>
      <c r="EP28" s="23"/>
      <c r="EQ28" s="23"/>
      <c r="ER28" s="23"/>
      <c r="ES28" s="23"/>
      <c r="ET28" s="23"/>
      <c r="EU28" s="23"/>
      <c r="EV28" s="23"/>
      <c r="EW28" s="23"/>
      <c r="EX28" s="23"/>
      <c r="EY28" s="23"/>
      <c r="EZ28" s="23"/>
      <c r="FA28" s="23"/>
      <c r="FB28" s="23"/>
      <c r="FC28" s="23"/>
      <c r="FD28" s="23"/>
      <c r="FE28" s="23"/>
      <c r="FF28" s="23"/>
      <c r="FG28" s="23"/>
      <c r="FH28" s="23"/>
      <c r="FI28" s="23"/>
      <c r="FJ28" s="23"/>
      <c r="FK28" s="23"/>
      <c r="FL28" s="23"/>
      <c r="FM28" s="23"/>
      <c r="FN28" s="23"/>
      <c r="FO28" s="23"/>
      <c r="FP28" s="23"/>
      <c r="FQ28" s="23"/>
      <c r="FR28" s="23"/>
      <c r="FS28" s="23"/>
      <c r="FT28" s="23"/>
      <c r="FU28" s="23"/>
      <c r="FV28" s="23"/>
      <c r="FW28" s="23"/>
      <c r="FX28" s="23"/>
      <c r="FY28" s="23"/>
      <c r="FZ28" s="23"/>
      <c r="GA28" s="23"/>
      <c r="GB28" s="23"/>
      <c r="GC28" s="23"/>
      <c r="GD28" s="23"/>
      <c r="GE28" s="23"/>
      <c r="GF28" s="23"/>
      <c r="GG28" s="23"/>
      <c r="GH28" s="23"/>
      <c r="GI28" s="23"/>
      <c r="GJ28" s="23"/>
      <c r="GK28" s="23"/>
      <c r="GL28" s="23"/>
      <c r="GM28" s="23"/>
      <c r="GN28" s="23"/>
      <c r="GO28" s="23"/>
      <c r="GP28" s="23"/>
      <c r="GQ28" s="23"/>
      <c r="GR28" s="23"/>
      <c r="GS28" s="23"/>
      <c r="GT28" s="23"/>
      <c r="GU28" s="23"/>
      <c r="GV28" s="23"/>
      <c r="GW28" s="23"/>
      <c r="GX28" s="23"/>
      <c r="GY28" s="23"/>
      <c r="GZ28" s="23"/>
      <c r="HA28" s="23"/>
      <c r="HB28" s="23"/>
      <c r="HC28" s="23"/>
      <c r="HD28" s="23"/>
      <c r="HE28" s="23"/>
      <c r="HF28" s="23"/>
      <c r="HG28" s="23"/>
      <c r="HH28" s="23"/>
      <c r="HI28" s="23"/>
      <c r="HJ28" s="23"/>
      <c r="HK28" s="23"/>
      <c r="HL28" s="23"/>
      <c r="HM28" s="23"/>
      <c r="HN28" s="23"/>
      <c r="HO28" s="23"/>
      <c r="HP28" s="23"/>
      <c r="HQ28" s="23"/>
      <c r="HR28" s="23"/>
      <c r="HS28" s="23"/>
      <c r="HT28" s="23"/>
      <c r="HU28" s="23"/>
      <c r="HV28" s="23"/>
      <c r="HW28" s="23"/>
      <c r="HX28" s="23"/>
      <c r="HY28" s="23"/>
      <c r="HZ28" s="23"/>
      <c r="IA28" s="23"/>
      <c r="IB28" s="23"/>
      <c r="IC28" s="23"/>
      <c r="ID28" s="23"/>
      <c r="IE28" s="23"/>
      <c r="IF28" s="23"/>
      <c r="IG28" s="23"/>
      <c r="IH28" s="23"/>
      <c r="II28" s="23"/>
      <c r="IJ28" s="23"/>
      <c r="IK28" s="23"/>
      <c r="IL28" s="23"/>
      <c r="IM28" s="23"/>
    </row>
    <row r="29" ht="13.5" customHeight="1" spans="1:733">
      <c r="A29" s="20">
        <v>46023</v>
      </c>
      <c r="B29" s="20">
        <v>46388</v>
      </c>
      <c r="C29" s="21" t="s">
        <v>430</v>
      </c>
      <c r="D29" s="22" t="str">
        <f>[1]!s_info_name(E29)</f>
        <v>纳斯达克指数</v>
      </c>
      <c r="E29" s="21" t="s">
        <v>437</v>
      </c>
      <c r="F29" s="23">
        <v>23395.82</v>
      </c>
      <c r="G29" s="23">
        <v>23547.17</v>
      </c>
      <c r="H29" s="23">
        <v>23584.27</v>
      </c>
      <c r="I29" s="23">
        <v>23480.02</v>
      </c>
      <c r="J29" s="23">
        <v>23671.35</v>
      </c>
      <c r="K29" s="23">
        <v>23733.9</v>
      </c>
      <c r="L29" s="23">
        <v>23709.87</v>
      </c>
      <c r="M29" s="23">
        <v>23471.75</v>
      </c>
      <c r="N29" s="23">
        <v>23530.02</v>
      </c>
      <c r="O29" s="23">
        <v>23515.39</v>
      </c>
      <c r="P29" s="23"/>
      <c r="Q29" s="23">
        <v>22954.32</v>
      </c>
      <c r="R29" s="23">
        <v>23224.82</v>
      </c>
      <c r="S29" s="23">
        <v>23436.02</v>
      </c>
      <c r="T29" s="23">
        <v>23501.24</v>
      </c>
      <c r="U29" s="23">
        <v>23601.3565</v>
      </c>
      <c r="V29" s="23">
        <v>23817.1</v>
      </c>
      <c r="W29" s="23">
        <v>23857.45</v>
      </c>
      <c r="X29" s="23">
        <v>23685.1204</v>
      </c>
      <c r="Y29" s="23">
        <v>23461.82</v>
      </c>
      <c r="Z29" s="23">
        <v>23592.11</v>
      </c>
      <c r="AA29" s="23">
        <v>23255.19</v>
      </c>
      <c r="AB29" s="23">
        <v>22904.58</v>
      </c>
      <c r="AC29" s="23">
        <v>22540.59</v>
      </c>
      <c r="AD29" s="23">
        <v>23031.21</v>
      </c>
      <c r="AE29" s="23">
        <v>23238.67</v>
      </c>
      <c r="AF29" s="23">
        <v>23102.47</v>
      </c>
      <c r="AG29" s="23">
        <v>23066.47</v>
      </c>
      <c r="AH29" s="23">
        <v>22597.15</v>
      </c>
      <c r="AI29" s="23">
        <v>22546.67</v>
      </c>
      <c r="AJ29" s="23">
        <v>22863.68</v>
      </c>
      <c r="AK29" s="23">
        <v>23152.08</v>
      </c>
      <c r="AL29" s="23">
        <v>22878.38</v>
      </c>
      <c r="AM29" s="23">
        <v>22668.21</v>
      </c>
      <c r="AN29" s="23">
        <v>22748.86</v>
      </c>
      <c r="AO29" s="23">
        <v>22516.69</v>
      </c>
      <c r="AP29" s="23">
        <v>22807.48</v>
      </c>
      <c r="AQ29" s="23">
        <v>22748.99</v>
      </c>
      <c r="AR29" s="23">
        <v>22387.68</v>
      </c>
      <c r="AS29" s="23">
        <v>22695.95</v>
      </c>
      <c r="AT29" s="23">
        <v>22697.1</v>
      </c>
      <c r="AU29" s="23">
        <v>22716.13</v>
      </c>
      <c r="AV29" s="23">
        <v>22311.98</v>
      </c>
      <c r="AW29" s="23">
        <v>22105.36</v>
      </c>
      <c r="AX29" s="23">
        <v>22374.18</v>
      </c>
      <c r="AY29" s="23">
        <v>22479.53</v>
      </c>
      <c r="AZ29" s="23">
        <v>22152.42</v>
      </c>
      <c r="BA29" s="23">
        <v>22090.69</v>
      </c>
      <c r="BB29" s="23">
        <v>21647.61</v>
      </c>
      <c r="BC29" s="23">
        <v>21946.76</v>
      </c>
      <c r="BD29" s="23">
        <v>21761.89</v>
      </c>
      <c r="BE29" s="23">
        <v>21929.83</v>
      </c>
      <c r="BF29" s="23">
        <v>21408.08</v>
      </c>
      <c r="BG29" s="23">
        <v>20948.36</v>
      </c>
      <c r="BH29" s="23">
        <v>20794.64</v>
      </c>
      <c r="BI29" s="23">
        <v>21590.63</v>
      </c>
      <c r="BJ29" s="23">
        <v>21840.95</v>
      </c>
      <c r="BK29" s="23">
        <v>21879.18</v>
      </c>
      <c r="BL29" s="23"/>
      <c r="BM29" s="23">
        <v>22017.85</v>
      </c>
      <c r="BN29" s="23">
        <v>22635</v>
      </c>
      <c r="BO29" s="23">
        <v>22822.42</v>
      </c>
      <c r="BP29" s="23">
        <v>22902.89</v>
      </c>
      <c r="BQ29" s="23">
        <v>23183.74</v>
      </c>
      <c r="BR29" s="23">
        <v>23639.08</v>
      </c>
      <c r="BS29" s="23">
        <v>24016.02</v>
      </c>
      <c r="BT29" s="23">
        <v>24102.7</v>
      </c>
      <c r="BU29" s="23">
        <v>24468.48</v>
      </c>
      <c r="BV29" s="23">
        <v>24404.39</v>
      </c>
      <c r="BW29" s="23">
        <v>24259.96</v>
      </c>
      <c r="BX29" s="23">
        <v>24657.57</v>
      </c>
      <c r="BY29" s="23">
        <v>24438.5</v>
      </c>
      <c r="BZ29" s="23">
        <v>24836.6</v>
      </c>
      <c r="CA29" s="23">
        <v>24887.1</v>
      </c>
      <c r="CB29" s="23">
        <v>24663.8</v>
      </c>
      <c r="CC29" s="23">
        <v>24673.24</v>
      </c>
      <c r="CD29" s="23">
        <v>24892.31</v>
      </c>
      <c r="CE29" s="23">
        <v>25838.94</v>
      </c>
      <c r="CF29" s="23">
        <v>25806.2</v>
      </c>
      <c r="CG29" s="23">
        <v>26247.08</v>
      </c>
      <c r="CH29" s="23">
        <v>26274.13</v>
      </c>
      <c r="CI29" s="23">
        <v>26088.2</v>
      </c>
      <c r="CJ29" s="23">
        <v>26402.34</v>
      </c>
      <c r="CK29" s="23">
        <v>26635.22</v>
      </c>
      <c r="CL29" s="23">
        <v>26225.14</v>
      </c>
      <c r="CM29" s="23">
        <v>26090.73</v>
      </c>
      <c r="CN29" s="23">
        <v>25870.71</v>
      </c>
      <c r="CO29" s="23">
        <v>26270.36</v>
      </c>
      <c r="CP29" s="23">
        <v>26293.1</v>
      </c>
      <c r="CQ29" s="23">
        <v>26343.97</v>
      </c>
      <c r="CR29" s="23"/>
      <c r="CS29" s="23">
        <v>26656.18</v>
      </c>
      <c r="CT29" s="23">
        <v>26674.73</v>
      </c>
      <c r="CU29" s="23">
        <v>26917.47</v>
      </c>
      <c r="CV29" s="23">
        <v>26972.62</v>
      </c>
      <c r="CW29" s="23">
        <v>27086.81</v>
      </c>
      <c r="CX29" s="23">
        <v>27093.9</v>
      </c>
      <c r="CY29" s="23">
        <v>26853.98</v>
      </c>
      <c r="CZ29" s="23">
        <v>26830.96</v>
      </c>
      <c r="DA29" s="23">
        <v>25709.43</v>
      </c>
      <c r="DB29" s="23">
        <v>25929.66</v>
      </c>
      <c r="DC29" s="23">
        <v>25678.82</v>
      </c>
      <c r="DD29" s="23">
        <v>25169.5</v>
      </c>
      <c r="DE29" s="23">
        <v>25809.66</v>
      </c>
      <c r="DF29" s="23">
        <v>25888.84</v>
      </c>
      <c r="DG29" s="23">
        <v>26683.94</v>
      </c>
      <c r="DH29" s="23">
        <v>26376.34</v>
      </c>
      <c r="DI29" s="23">
        <v>26021.66</v>
      </c>
      <c r="DJ29" s="23">
        <v>26517.93</v>
      </c>
      <c r="DK29" s="23">
        <v>26166.6</v>
      </c>
      <c r="DL29" s="23">
        <v>25587.04</v>
      </c>
      <c r="DM29" s="23">
        <v>25476.64</v>
      </c>
      <c r="DN29" s="23">
        <v>25358.6</v>
      </c>
      <c r="DO29" s="23">
        <v>25297.62</v>
      </c>
      <c r="DP29" s="23">
        <v>25820.14</v>
      </c>
      <c r="DQ29" s="23">
        <v>26213.72</v>
      </c>
      <c r="DR29" s="23">
        <v>26040.03</v>
      </c>
      <c r="DS29" s="23">
        <v>25832.67</v>
      </c>
      <c r="DT29" s="23"/>
      <c r="DU29" s="23"/>
      <c r="DV29" s="23"/>
      <c r="DW29" s="23"/>
      <c r="DX29" s="23"/>
      <c r="DY29" s="23"/>
      <c r="DZ29" s="23"/>
      <c r="EA29" s="23"/>
      <c r="EB29" s="23"/>
      <c r="EC29" s="23"/>
      <c r="ED29" s="23"/>
      <c r="EE29" s="23"/>
      <c r="EF29" s="23"/>
      <c r="EG29" s="23"/>
      <c r="EH29" s="23"/>
      <c r="EI29" s="23"/>
      <c r="EJ29" s="23"/>
      <c r="EK29" s="23"/>
      <c r="EL29" s="23"/>
      <c r="EM29" s="23"/>
      <c r="EN29" s="23"/>
      <c r="EO29" s="23"/>
      <c r="EP29" s="23"/>
      <c r="EQ29" s="23"/>
      <c r="ER29" s="23"/>
      <c r="ES29" s="23"/>
      <c r="ET29" s="23"/>
      <c r="EU29" s="23"/>
      <c r="EV29" s="23"/>
      <c r="EW29" s="23"/>
      <c r="EX29" s="23"/>
      <c r="EY29" s="23"/>
      <c r="EZ29" s="23"/>
      <c r="FA29" s="23"/>
      <c r="FB29" s="23"/>
      <c r="FC29" s="23"/>
      <c r="FD29" s="23"/>
      <c r="FE29" s="23"/>
      <c r="FF29" s="23"/>
      <c r="FG29" s="23"/>
      <c r="FH29" s="23"/>
      <c r="FI29" s="23"/>
      <c r="FJ29" s="23"/>
      <c r="FK29" s="23"/>
      <c r="FL29" s="23"/>
      <c r="FM29" s="23"/>
      <c r="FN29" s="23"/>
      <c r="FO29" s="23"/>
      <c r="FP29" s="23"/>
      <c r="FQ29" s="23"/>
      <c r="FR29" s="23"/>
      <c r="FS29" s="23"/>
      <c r="FT29" s="23"/>
      <c r="FU29" s="23"/>
      <c r="FV29" s="23"/>
      <c r="FW29" s="23"/>
      <c r="FX29" s="23"/>
      <c r="FY29" s="23"/>
      <c r="FZ29" s="23"/>
      <c r="GA29" s="23"/>
      <c r="GB29" s="23"/>
      <c r="GC29" s="23"/>
      <c r="GD29" s="23"/>
      <c r="GE29" s="23"/>
      <c r="GF29" s="23"/>
      <c r="GG29" s="23"/>
      <c r="GH29" s="23"/>
      <c r="GI29" s="23"/>
      <c r="GJ29" s="23"/>
      <c r="GK29" s="23"/>
      <c r="GL29" s="23"/>
      <c r="GM29" s="23"/>
      <c r="GN29" s="23"/>
      <c r="GO29" s="23"/>
      <c r="GP29" s="23"/>
      <c r="GQ29" s="23"/>
      <c r="GR29" s="23"/>
      <c r="GS29" s="23"/>
      <c r="GT29" s="23"/>
      <c r="GU29" s="23"/>
      <c r="GV29" s="23"/>
      <c r="GW29" s="23"/>
      <c r="GX29" s="23"/>
      <c r="GY29" s="23"/>
      <c r="GZ29" s="23"/>
      <c r="HA29" s="23"/>
      <c r="HB29" s="23"/>
      <c r="HC29" s="23"/>
      <c r="HD29" s="23"/>
      <c r="HE29" s="23"/>
      <c r="HF29" s="23"/>
      <c r="HG29" s="23"/>
      <c r="HH29" s="23"/>
      <c r="HI29" s="23"/>
      <c r="HJ29" s="23"/>
      <c r="HK29" s="23"/>
      <c r="HL29" s="23"/>
      <c r="HM29" s="23"/>
      <c r="HN29" s="23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</row>
    <row r="30" ht="13.5" customHeight="1" spans="1:733">
      <c r="A30" s="20">
        <v>46023</v>
      </c>
      <c r="B30" s="20">
        <v>46388</v>
      </c>
      <c r="C30" s="21" t="s">
        <v>430</v>
      </c>
      <c r="D30" s="22" t="str">
        <f>[1]!s_info_name(E30)</f>
        <v>道琼斯工业平均</v>
      </c>
      <c r="E30" s="21" t="s">
        <v>438</v>
      </c>
      <c r="F30" s="23">
        <v>48977.18</v>
      </c>
      <c r="G30" s="23">
        <v>49462.08</v>
      </c>
      <c r="H30" s="23">
        <v>48996.08</v>
      </c>
      <c r="I30" s="23">
        <v>49266.11</v>
      </c>
      <c r="J30" s="23">
        <v>49504.07</v>
      </c>
      <c r="K30" s="23">
        <v>49590.2</v>
      </c>
      <c r="L30" s="23">
        <v>49191.99</v>
      </c>
      <c r="M30" s="23">
        <v>49149.63</v>
      </c>
      <c r="N30" s="23">
        <v>49442.44</v>
      </c>
      <c r="O30" s="23">
        <v>49359.33</v>
      </c>
      <c r="P30" s="23"/>
      <c r="Q30" s="23">
        <v>48488.59</v>
      </c>
      <c r="R30" s="23">
        <v>49077.23</v>
      </c>
      <c r="S30" s="23">
        <v>49384.01</v>
      </c>
      <c r="T30" s="23">
        <v>49098.71</v>
      </c>
      <c r="U30" s="23">
        <v>49412.4</v>
      </c>
      <c r="V30" s="23">
        <v>49003.41</v>
      </c>
      <c r="W30" s="23">
        <v>49015.6</v>
      </c>
      <c r="X30" s="23">
        <v>49071.56</v>
      </c>
      <c r="Y30" s="23">
        <v>48892.47</v>
      </c>
      <c r="Z30" s="23">
        <v>49407.66</v>
      </c>
      <c r="AA30" s="23">
        <v>49240.99</v>
      </c>
      <c r="AB30" s="23">
        <v>49501.3</v>
      </c>
      <c r="AC30" s="23">
        <v>48908.72</v>
      </c>
      <c r="AD30" s="23">
        <v>50115.67</v>
      </c>
      <c r="AE30" s="23">
        <v>50135.87</v>
      </c>
      <c r="AF30" s="23">
        <v>50188.14</v>
      </c>
      <c r="AG30" s="23">
        <v>50121.4</v>
      </c>
      <c r="AH30" s="23">
        <v>49451.98</v>
      </c>
      <c r="AI30" s="23">
        <v>49500.93</v>
      </c>
      <c r="AJ30" s="23">
        <v>49174.5</v>
      </c>
      <c r="AK30" s="23">
        <v>49482.15</v>
      </c>
      <c r="AL30" s="23">
        <v>49499.2</v>
      </c>
      <c r="AM30" s="23">
        <v>48977.92</v>
      </c>
      <c r="AN30" s="23">
        <v>48904.78</v>
      </c>
      <c r="AO30" s="23">
        <v>48501.27</v>
      </c>
      <c r="AP30" s="23">
        <v>48739.41</v>
      </c>
      <c r="AQ30" s="23">
        <v>47954.74</v>
      </c>
      <c r="AR30" s="23">
        <v>47501.55</v>
      </c>
      <c r="AS30" s="23">
        <v>47740.8</v>
      </c>
      <c r="AT30" s="23">
        <v>47706.51</v>
      </c>
      <c r="AU30" s="23">
        <v>47417.27</v>
      </c>
      <c r="AV30" s="23">
        <v>46677.85</v>
      </c>
      <c r="AW30" s="23">
        <v>46558.47</v>
      </c>
      <c r="AX30" s="23">
        <v>46946.41</v>
      </c>
      <c r="AY30" s="23">
        <v>46993.26</v>
      </c>
      <c r="AZ30" s="23">
        <v>46225.15</v>
      </c>
      <c r="BA30" s="23">
        <v>46021.43</v>
      </c>
      <c r="BB30" s="23">
        <v>45577.47</v>
      </c>
      <c r="BC30" s="23">
        <v>46208.47</v>
      </c>
      <c r="BD30" s="23">
        <v>46124.06</v>
      </c>
      <c r="BE30" s="23">
        <v>46429.49</v>
      </c>
      <c r="BF30" s="23">
        <v>45960.11</v>
      </c>
      <c r="BG30" s="23">
        <v>45166.64</v>
      </c>
      <c r="BH30" s="23">
        <v>45216.14</v>
      </c>
      <c r="BI30" s="23">
        <v>46341.51</v>
      </c>
      <c r="BJ30" s="23">
        <v>46565.74</v>
      </c>
      <c r="BK30" s="23">
        <v>46504.67</v>
      </c>
      <c r="BL30" s="23"/>
      <c r="BM30" s="23">
        <v>46584.46</v>
      </c>
      <c r="BN30" s="23">
        <v>47909.92</v>
      </c>
      <c r="BO30" s="23">
        <v>48185.8</v>
      </c>
      <c r="BP30" s="23">
        <v>47916.57</v>
      </c>
      <c r="BQ30" s="23">
        <v>48218.25</v>
      </c>
      <c r="BR30" s="23">
        <v>48535.99</v>
      </c>
      <c r="BS30" s="23">
        <v>48463.72</v>
      </c>
      <c r="BT30" s="23">
        <v>48578.72</v>
      </c>
      <c r="BU30" s="23">
        <v>49447.43</v>
      </c>
      <c r="BV30" s="23">
        <v>49442.56</v>
      </c>
      <c r="BW30" s="23">
        <v>49149.38</v>
      </c>
      <c r="BX30" s="23">
        <v>49490.03</v>
      </c>
      <c r="BY30" s="23">
        <v>49310.32</v>
      </c>
      <c r="BZ30" s="23">
        <v>49230.71</v>
      </c>
      <c r="CA30" s="23">
        <v>49167.79</v>
      </c>
      <c r="CB30" s="23">
        <v>49141.93</v>
      </c>
      <c r="CC30" s="23">
        <v>48861.81</v>
      </c>
      <c r="CD30" s="23">
        <v>49652.14</v>
      </c>
      <c r="CE30" s="23">
        <v>49910.59</v>
      </c>
      <c r="CF30" s="23">
        <v>49596.97</v>
      </c>
      <c r="CG30" s="23">
        <v>49609.16</v>
      </c>
      <c r="CH30" s="23">
        <v>49704.47</v>
      </c>
      <c r="CI30" s="23">
        <v>49760.56</v>
      </c>
      <c r="CJ30" s="23">
        <v>49693.2</v>
      </c>
      <c r="CK30" s="23">
        <v>50063.46</v>
      </c>
      <c r="CL30" s="23">
        <v>49526.17</v>
      </c>
      <c r="CM30" s="23">
        <v>49686.12</v>
      </c>
      <c r="CN30" s="23">
        <v>49363.88</v>
      </c>
      <c r="CO30" s="23">
        <v>50009.35</v>
      </c>
      <c r="CP30" s="23">
        <v>50285.66</v>
      </c>
      <c r="CQ30" s="23">
        <v>50579.7</v>
      </c>
      <c r="CR30" s="23"/>
      <c r="CS30" s="23">
        <v>50461.68</v>
      </c>
      <c r="CT30" s="23">
        <v>50644.28</v>
      </c>
      <c r="CU30" s="23">
        <v>50668.97</v>
      </c>
      <c r="CV30" s="23">
        <v>51032.46</v>
      </c>
      <c r="CW30" s="23">
        <v>51078.88</v>
      </c>
      <c r="CX30" s="23">
        <v>51307.79</v>
      </c>
      <c r="CY30" s="23">
        <v>50687.07</v>
      </c>
      <c r="CZ30" s="23">
        <v>51561.93</v>
      </c>
      <c r="DA30" s="23">
        <v>50866.78</v>
      </c>
      <c r="DB30" s="23">
        <v>50786.01</v>
      </c>
      <c r="DC30" s="23">
        <v>50872.11</v>
      </c>
      <c r="DD30" s="23">
        <v>49918.78</v>
      </c>
      <c r="DE30" s="23">
        <v>50848.75</v>
      </c>
      <c r="DF30" s="23">
        <v>51202.26</v>
      </c>
      <c r="DG30" s="23">
        <v>51671.03</v>
      </c>
      <c r="DH30" s="23">
        <v>51999.67</v>
      </c>
      <c r="DI30" s="23">
        <v>51492.55</v>
      </c>
      <c r="DJ30" s="23">
        <v>51564.7</v>
      </c>
      <c r="DK30" s="23">
        <v>51712.71</v>
      </c>
      <c r="DL30" s="23">
        <v>51666.84</v>
      </c>
      <c r="DM30" s="23">
        <v>51848.9</v>
      </c>
      <c r="DN30" s="23">
        <v>51920.62</v>
      </c>
      <c r="DO30" s="23">
        <v>51876.11</v>
      </c>
      <c r="DP30" s="23">
        <v>52182.74</v>
      </c>
      <c r="DQ30" s="23">
        <v>52319.2</v>
      </c>
      <c r="DR30" s="23">
        <v>52305.24</v>
      </c>
      <c r="DS30" s="23">
        <v>52900.07</v>
      </c>
      <c r="DT30" s="23"/>
      <c r="DU30" s="23"/>
      <c r="DV30" s="23"/>
      <c r="DW30" s="23"/>
      <c r="DX30" s="23"/>
      <c r="DY30" s="23"/>
      <c r="DZ30" s="23"/>
      <c r="EA30" s="23"/>
      <c r="EB30" s="23"/>
      <c r="EC30" s="23"/>
      <c r="ED30" s="23"/>
      <c r="EE30" s="23"/>
      <c r="EF30" s="23"/>
      <c r="EG30" s="23"/>
      <c r="EH30" s="23"/>
      <c r="EI30" s="23"/>
      <c r="EJ30" s="23"/>
      <c r="EK30" s="23"/>
      <c r="EL30" s="23"/>
      <c r="EM30" s="23"/>
      <c r="EN30" s="23"/>
      <c r="EO30" s="23"/>
      <c r="EP30" s="23"/>
      <c r="EQ30" s="23"/>
      <c r="ER30" s="23"/>
      <c r="ES30" s="23"/>
      <c r="ET30" s="23"/>
      <c r="EU30" s="23"/>
      <c r="EV30" s="23"/>
      <c r="EW30" s="23"/>
      <c r="EX30" s="23"/>
      <c r="EY30" s="23"/>
      <c r="EZ30" s="23"/>
      <c r="FA30" s="23"/>
      <c r="FB30" s="23"/>
      <c r="FC30" s="23"/>
      <c r="FD30" s="23"/>
      <c r="FE30" s="23"/>
      <c r="FF30" s="23"/>
      <c r="FG30" s="23"/>
      <c r="FH30" s="23"/>
      <c r="FI30" s="23"/>
      <c r="FJ30" s="23"/>
      <c r="FK30" s="23"/>
      <c r="FL30" s="23"/>
      <c r="FM30" s="23"/>
      <c r="FN30" s="23"/>
      <c r="FO30" s="23"/>
      <c r="FP30" s="23"/>
      <c r="FQ30" s="23"/>
      <c r="FR30" s="23"/>
      <c r="FS30" s="23"/>
      <c r="FT30" s="23"/>
      <c r="FU30" s="23"/>
      <c r="FV30" s="23"/>
      <c r="FW30" s="23"/>
      <c r="FX30" s="23"/>
      <c r="FY30" s="23"/>
      <c r="FZ30" s="23"/>
      <c r="GA30" s="23"/>
      <c r="GB30" s="23"/>
      <c r="GC30" s="23"/>
      <c r="GD30" s="23"/>
      <c r="GE30" s="23"/>
      <c r="GF30" s="23"/>
      <c r="GG30" s="23"/>
      <c r="GH30" s="23"/>
      <c r="GI30" s="23"/>
      <c r="GJ30" s="23"/>
      <c r="GK30" s="23"/>
      <c r="GL30" s="23"/>
      <c r="GM30" s="23"/>
      <c r="GN30" s="23"/>
      <c r="GO30" s="23"/>
      <c r="GP30" s="23"/>
      <c r="GQ30" s="23"/>
      <c r="GR30" s="23"/>
      <c r="GS30" s="23"/>
      <c r="GT30" s="23"/>
      <c r="GU30" s="23"/>
      <c r="GV30" s="23"/>
      <c r="GW30" s="23"/>
      <c r="GX30" s="23"/>
      <c r="GY30" s="23"/>
      <c r="GZ30" s="23"/>
      <c r="HA30" s="23"/>
      <c r="HB30" s="23"/>
      <c r="HC30" s="23"/>
      <c r="HD30" s="23"/>
      <c r="HE30" s="23"/>
      <c r="HF30" s="23"/>
      <c r="HG30" s="23"/>
      <c r="HH30" s="23"/>
      <c r="HI30" s="23"/>
      <c r="HJ30" s="23"/>
      <c r="HK30" s="23"/>
      <c r="HL30" s="23"/>
      <c r="HM30" s="23"/>
      <c r="HN30" s="23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</row>
    <row r="32" ht="16.5" customHeight="1" spans="1:733">
      <c r="A32" s="24" t="s">
        <v>399</v>
      </c>
      <c r="B32" s="24" t="s">
        <v>400</v>
      </c>
      <c r="C32" s="25" t="s">
        <v>439</v>
      </c>
      <c r="D32" s="26" t="s">
        <v>402</v>
      </c>
      <c r="E32" s="27" t="s">
        <v>403</v>
      </c>
      <c r="F32" s="15">
        <v>45113</v>
      </c>
      <c r="G32" s="15">
        <v>45114</v>
      </c>
      <c r="H32" s="15">
        <v>45117</v>
      </c>
      <c r="I32" s="15">
        <v>45118</v>
      </c>
      <c r="J32" s="15">
        <v>45119</v>
      </c>
      <c r="K32" s="15">
        <v>45120</v>
      </c>
      <c r="L32" s="15">
        <v>45121</v>
      </c>
      <c r="M32" s="15">
        <v>45124</v>
      </c>
      <c r="N32" s="15">
        <v>45125</v>
      </c>
      <c r="O32" s="15">
        <v>45126</v>
      </c>
      <c r="P32" s="15">
        <v>45127</v>
      </c>
      <c r="Q32" s="15">
        <v>45128</v>
      </c>
      <c r="R32" s="15">
        <v>45131</v>
      </c>
      <c r="S32" s="15">
        <v>45132</v>
      </c>
      <c r="T32" s="15">
        <v>45133</v>
      </c>
      <c r="U32" s="15">
        <v>45134</v>
      </c>
      <c r="V32" s="15">
        <v>45135</v>
      </c>
      <c r="W32" s="15">
        <v>45138</v>
      </c>
      <c r="X32" s="15">
        <v>45139</v>
      </c>
      <c r="Y32" s="15">
        <v>45140</v>
      </c>
      <c r="Z32" s="15">
        <v>45141</v>
      </c>
      <c r="AA32" s="15">
        <v>45142</v>
      </c>
      <c r="AB32" s="15">
        <v>45145</v>
      </c>
      <c r="AC32" s="15">
        <v>45146</v>
      </c>
      <c r="AD32" s="15">
        <v>45147</v>
      </c>
      <c r="AE32" s="15">
        <v>45148</v>
      </c>
      <c r="AF32" s="15">
        <v>45149</v>
      </c>
      <c r="AG32" s="15">
        <v>45152</v>
      </c>
      <c r="AH32" s="15">
        <v>45153</v>
      </c>
      <c r="AI32" s="15">
        <v>45154</v>
      </c>
      <c r="AJ32" s="15">
        <v>45155</v>
      </c>
      <c r="AK32" s="15">
        <v>45156</v>
      </c>
      <c r="AL32" s="15">
        <v>45159</v>
      </c>
      <c r="AM32" s="15">
        <v>45160</v>
      </c>
      <c r="AN32" s="15">
        <v>45161</v>
      </c>
      <c r="AO32" s="15">
        <v>45162</v>
      </c>
      <c r="AP32" s="15">
        <v>45163</v>
      </c>
      <c r="AQ32" s="15">
        <v>45166</v>
      </c>
      <c r="AR32" s="15">
        <v>45167</v>
      </c>
      <c r="AS32" s="15">
        <v>45168</v>
      </c>
      <c r="AT32" s="15">
        <v>45169</v>
      </c>
      <c r="AU32" s="15">
        <v>45170</v>
      </c>
      <c r="AV32" s="15">
        <v>45173</v>
      </c>
      <c r="AW32" s="15">
        <v>45174</v>
      </c>
      <c r="AX32" s="15">
        <v>45175</v>
      </c>
      <c r="AY32" s="15">
        <v>45176</v>
      </c>
      <c r="AZ32" s="15">
        <v>45177</v>
      </c>
      <c r="BA32" s="15">
        <v>45180</v>
      </c>
      <c r="BB32" s="15">
        <v>45181</v>
      </c>
      <c r="BC32" s="15">
        <v>45182</v>
      </c>
      <c r="BD32" s="15">
        <v>45183</v>
      </c>
      <c r="BE32" s="15">
        <v>45184</v>
      </c>
      <c r="BF32" s="15">
        <v>45187</v>
      </c>
      <c r="BG32" s="15">
        <v>45188</v>
      </c>
      <c r="BH32" s="15">
        <v>45189</v>
      </c>
      <c r="BI32" s="15">
        <v>45190</v>
      </c>
      <c r="BJ32" s="15">
        <v>45191</v>
      </c>
      <c r="BK32" s="15">
        <v>45194</v>
      </c>
      <c r="BL32" s="15">
        <v>45195</v>
      </c>
      <c r="BM32" s="15">
        <v>45196</v>
      </c>
      <c r="BN32" s="15">
        <v>45197</v>
      </c>
      <c r="BO32" s="15">
        <v>45208</v>
      </c>
      <c r="BP32" s="15">
        <v>45209</v>
      </c>
      <c r="BQ32" s="15">
        <v>45210</v>
      </c>
      <c r="BR32" s="15">
        <v>45211</v>
      </c>
      <c r="BS32" s="15">
        <v>45212</v>
      </c>
      <c r="BT32" s="15">
        <v>45215</v>
      </c>
      <c r="BU32" s="15">
        <v>45216</v>
      </c>
      <c r="BV32" s="15">
        <v>45217</v>
      </c>
      <c r="BW32" s="15">
        <v>45218</v>
      </c>
      <c r="BX32" s="15">
        <v>45219</v>
      </c>
      <c r="BY32" s="15">
        <v>45222</v>
      </c>
      <c r="BZ32" s="15">
        <v>45223</v>
      </c>
      <c r="CA32" s="15">
        <v>45224</v>
      </c>
      <c r="CB32" s="15">
        <v>45225</v>
      </c>
      <c r="CC32" s="15">
        <v>45226</v>
      </c>
      <c r="CD32" s="15">
        <v>45229</v>
      </c>
      <c r="CE32" s="15">
        <v>45230</v>
      </c>
      <c r="CF32" s="15">
        <v>45231</v>
      </c>
      <c r="CG32" s="15">
        <v>45232</v>
      </c>
      <c r="CH32" s="15">
        <v>45233</v>
      </c>
      <c r="CI32" s="15">
        <v>45236</v>
      </c>
      <c r="CJ32" s="15">
        <v>45237</v>
      </c>
      <c r="CK32" s="15">
        <v>45238</v>
      </c>
      <c r="CL32" s="15">
        <v>45239</v>
      </c>
      <c r="CM32" s="15">
        <v>45240</v>
      </c>
      <c r="CN32" s="15">
        <v>45243</v>
      </c>
      <c r="CO32" s="15">
        <v>45244</v>
      </c>
      <c r="CP32" s="15">
        <v>45245</v>
      </c>
      <c r="CQ32" s="15">
        <v>45246</v>
      </c>
      <c r="CR32" s="15">
        <v>45247</v>
      </c>
      <c r="CS32" s="15">
        <v>45250</v>
      </c>
      <c r="CT32" s="15">
        <v>45251</v>
      </c>
      <c r="CU32" s="15">
        <v>45252</v>
      </c>
      <c r="CV32" s="15">
        <v>45253</v>
      </c>
      <c r="CW32" s="15">
        <v>45254</v>
      </c>
      <c r="CX32" s="15">
        <v>45257</v>
      </c>
      <c r="CY32" s="15">
        <v>45258</v>
      </c>
      <c r="CZ32" s="15">
        <v>45259</v>
      </c>
      <c r="DA32" s="15">
        <v>45260</v>
      </c>
      <c r="DB32" s="15">
        <v>45261</v>
      </c>
      <c r="DC32" s="15">
        <v>45264</v>
      </c>
      <c r="DD32" s="15">
        <v>45265</v>
      </c>
      <c r="DE32" s="15">
        <v>45266</v>
      </c>
      <c r="DF32" s="15">
        <v>45267</v>
      </c>
      <c r="DG32" s="15">
        <v>45268</v>
      </c>
      <c r="DH32" s="15">
        <v>45271</v>
      </c>
      <c r="DI32" s="15">
        <v>45272</v>
      </c>
      <c r="DJ32" s="15">
        <v>45273</v>
      </c>
      <c r="DK32" s="15">
        <v>45274</v>
      </c>
      <c r="DL32" s="15">
        <v>45275</v>
      </c>
      <c r="DM32" s="15">
        <v>45278</v>
      </c>
      <c r="DN32" s="15">
        <v>45279</v>
      </c>
      <c r="DO32" s="15">
        <v>45280</v>
      </c>
      <c r="DP32" s="15">
        <v>45281</v>
      </c>
      <c r="DQ32" s="15">
        <v>45282</v>
      </c>
      <c r="DR32" s="15">
        <v>45285</v>
      </c>
      <c r="DS32" s="15">
        <v>45286</v>
      </c>
      <c r="DT32" s="15">
        <v>45287</v>
      </c>
      <c r="DU32" s="15">
        <v>45288</v>
      </c>
      <c r="DV32" s="15">
        <v>45289</v>
      </c>
      <c r="DW32" s="15">
        <v>45293</v>
      </c>
      <c r="DX32" s="15">
        <v>45294</v>
      </c>
      <c r="DY32" s="15">
        <v>45295</v>
      </c>
      <c r="DZ32" s="15">
        <v>45296</v>
      </c>
      <c r="EA32" s="15">
        <v>45299</v>
      </c>
      <c r="EB32" s="15">
        <v>45300</v>
      </c>
      <c r="EC32" s="15">
        <v>45301</v>
      </c>
      <c r="ED32" s="15">
        <v>45302</v>
      </c>
      <c r="EE32" s="15">
        <v>45303</v>
      </c>
      <c r="EF32" s="15">
        <v>45306</v>
      </c>
      <c r="EG32" s="15">
        <v>45307</v>
      </c>
      <c r="EH32" s="15">
        <v>45308</v>
      </c>
      <c r="EI32" s="15">
        <v>45309</v>
      </c>
      <c r="EJ32" s="15">
        <v>45310</v>
      </c>
      <c r="EK32" s="15">
        <v>45313</v>
      </c>
      <c r="EL32" s="15">
        <v>45314</v>
      </c>
      <c r="EM32" s="15">
        <v>45315</v>
      </c>
      <c r="EN32" s="15">
        <v>45316</v>
      </c>
      <c r="EO32" s="15">
        <v>45317</v>
      </c>
      <c r="EP32" s="15">
        <v>45320</v>
      </c>
      <c r="EQ32" s="15">
        <v>45321</v>
      </c>
      <c r="ER32" s="15">
        <v>45322</v>
      </c>
      <c r="ES32" s="15">
        <v>45323</v>
      </c>
      <c r="ET32" s="15">
        <v>45324</v>
      </c>
      <c r="EU32" s="15">
        <v>45327</v>
      </c>
      <c r="EV32" s="15">
        <v>45328</v>
      </c>
      <c r="EW32" s="15">
        <v>45329</v>
      </c>
      <c r="EX32" s="15">
        <v>45330</v>
      </c>
      <c r="EY32" s="15">
        <v>45341</v>
      </c>
      <c r="EZ32" s="15">
        <v>45342</v>
      </c>
      <c r="FA32" s="15">
        <v>45343</v>
      </c>
      <c r="FB32" s="15">
        <v>45344</v>
      </c>
      <c r="FC32" s="15">
        <v>45345</v>
      </c>
      <c r="FD32" s="15">
        <v>45348</v>
      </c>
      <c r="FE32" s="15">
        <v>45349</v>
      </c>
      <c r="FF32" s="15">
        <v>45350</v>
      </c>
      <c r="FG32" s="15">
        <v>45351</v>
      </c>
      <c r="FH32" s="15">
        <v>45352</v>
      </c>
      <c r="FI32" s="15">
        <v>45355</v>
      </c>
      <c r="FJ32" s="15">
        <v>45356</v>
      </c>
      <c r="FK32" s="15">
        <v>45357</v>
      </c>
      <c r="FL32" s="15">
        <v>45358</v>
      </c>
      <c r="FM32" s="15">
        <v>45359</v>
      </c>
      <c r="FN32" s="15">
        <v>45362</v>
      </c>
      <c r="FO32" s="15">
        <v>45363</v>
      </c>
      <c r="FP32" s="15">
        <v>45364</v>
      </c>
      <c r="FQ32" s="15">
        <v>45365</v>
      </c>
      <c r="FR32" s="15">
        <v>45366</v>
      </c>
      <c r="FS32" s="15">
        <v>45369</v>
      </c>
      <c r="FT32" s="15">
        <v>45370</v>
      </c>
      <c r="FU32" s="15">
        <v>45371</v>
      </c>
      <c r="FV32" s="15">
        <v>45372</v>
      </c>
      <c r="FW32" s="15">
        <v>45373</v>
      </c>
      <c r="FX32" s="15">
        <v>45376</v>
      </c>
      <c r="FY32" s="15">
        <v>45377</v>
      </c>
      <c r="FZ32" s="15">
        <v>45378</v>
      </c>
      <c r="GA32" s="15">
        <v>45379</v>
      </c>
      <c r="GB32" s="15">
        <v>45380</v>
      </c>
      <c r="GC32" s="15">
        <v>45383</v>
      </c>
      <c r="GD32" s="15">
        <v>45384</v>
      </c>
      <c r="GE32" s="15">
        <v>45385</v>
      </c>
      <c r="GF32" s="15">
        <v>45390</v>
      </c>
      <c r="GG32" s="15">
        <v>45391</v>
      </c>
      <c r="GH32" s="15">
        <v>45392</v>
      </c>
      <c r="GI32" s="15">
        <v>45393</v>
      </c>
      <c r="GJ32" s="15">
        <v>45394</v>
      </c>
      <c r="GK32" s="15">
        <v>45397</v>
      </c>
      <c r="GL32" s="15">
        <v>45398</v>
      </c>
      <c r="GM32" s="15">
        <v>45399</v>
      </c>
      <c r="GN32" s="15">
        <v>45400</v>
      </c>
      <c r="GO32" s="15">
        <v>45401</v>
      </c>
      <c r="GP32" s="15">
        <v>45404</v>
      </c>
      <c r="GQ32" s="15">
        <v>45405</v>
      </c>
      <c r="GR32" s="15">
        <v>45406</v>
      </c>
      <c r="GS32" s="15">
        <v>45407</v>
      </c>
      <c r="GT32" s="15">
        <v>45408</v>
      </c>
      <c r="GU32" s="15">
        <v>45411</v>
      </c>
      <c r="GV32" s="15">
        <v>45412</v>
      </c>
      <c r="GW32" s="15">
        <v>45418</v>
      </c>
      <c r="GX32" s="15">
        <v>45419</v>
      </c>
      <c r="GY32" s="15">
        <v>45420</v>
      </c>
      <c r="GZ32" s="15">
        <v>45421</v>
      </c>
      <c r="HA32" s="15">
        <v>45422</v>
      </c>
      <c r="HB32" s="15">
        <v>45425</v>
      </c>
      <c r="HC32" s="15">
        <v>45426</v>
      </c>
      <c r="HD32" s="15">
        <v>45427</v>
      </c>
      <c r="HE32" s="15">
        <v>45428</v>
      </c>
      <c r="HF32" s="15">
        <v>45429</v>
      </c>
      <c r="HG32" s="15">
        <v>45432</v>
      </c>
      <c r="HH32" s="15">
        <v>45433</v>
      </c>
      <c r="HI32" s="15">
        <v>45434</v>
      </c>
      <c r="HJ32" s="15">
        <v>45435</v>
      </c>
      <c r="HK32" s="15">
        <v>45436</v>
      </c>
      <c r="HL32" s="15">
        <v>45439</v>
      </c>
      <c r="HM32" s="15">
        <v>45440</v>
      </c>
      <c r="HN32" s="15">
        <v>45441</v>
      </c>
      <c r="HO32" s="15">
        <v>45442</v>
      </c>
      <c r="HP32" s="15">
        <v>45443</v>
      </c>
      <c r="HQ32" s="15">
        <v>45446</v>
      </c>
      <c r="HR32" s="15">
        <v>45447</v>
      </c>
      <c r="HS32" s="15">
        <v>45448</v>
      </c>
      <c r="HT32" s="15">
        <v>45449</v>
      </c>
      <c r="HU32" s="15">
        <v>45450</v>
      </c>
      <c r="HV32" s="15">
        <v>45454</v>
      </c>
      <c r="HW32" s="15">
        <v>45455</v>
      </c>
      <c r="HX32" s="15">
        <v>45456</v>
      </c>
      <c r="HY32" s="15">
        <v>45457</v>
      </c>
      <c r="HZ32" s="15">
        <v>45460</v>
      </c>
      <c r="IA32" s="15">
        <v>45461</v>
      </c>
      <c r="IB32" s="15">
        <v>45462</v>
      </c>
      <c r="IC32" s="15">
        <v>45463</v>
      </c>
      <c r="ID32" s="15">
        <v>45464</v>
      </c>
      <c r="IE32" s="15">
        <v>45467</v>
      </c>
      <c r="IF32" s="15">
        <v>45468</v>
      </c>
      <c r="IG32" s="15">
        <v>45469</v>
      </c>
      <c r="IH32" s="15">
        <v>45470</v>
      </c>
      <c r="II32" s="15">
        <v>45471</v>
      </c>
      <c r="IJ32" s="15">
        <v>45474</v>
      </c>
      <c r="IK32" s="15">
        <v>45475</v>
      </c>
      <c r="IL32" s="15">
        <v>45476</v>
      </c>
      <c r="IM32" s="15">
        <v>45477</v>
      </c>
      <c r="IN32" s="10">
        <v>45478</v>
      </c>
      <c r="IO32" s="10">
        <v>45481</v>
      </c>
      <c r="IP32" s="10">
        <v>45482</v>
      </c>
      <c r="IQ32" s="10">
        <v>45483</v>
      </c>
      <c r="IR32" s="10">
        <v>45484</v>
      </c>
      <c r="IS32" s="10">
        <v>45485</v>
      </c>
      <c r="IT32" s="10">
        <v>45488</v>
      </c>
      <c r="IU32" s="10">
        <v>45489</v>
      </c>
      <c r="IV32" s="10">
        <v>45490</v>
      </c>
      <c r="IW32" s="10">
        <v>45491</v>
      </c>
      <c r="IX32" s="10">
        <v>45492</v>
      </c>
      <c r="IY32" s="10">
        <v>45495</v>
      </c>
      <c r="IZ32" s="10">
        <v>45496</v>
      </c>
      <c r="JA32" s="10">
        <v>45497</v>
      </c>
      <c r="JB32" s="10">
        <v>45498</v>
      </c>
      <c r="JC32" s="10">
        <v>45499</v>
      </c>
      <c r="JD32" s="10">
        <v>45502</v>
      </c>
      <c r="JE32" s="10">
        <v>45503</v>
      </c>
      <c r="JF32" s="10">
        <v>45504</v>
      </c>
      <c r="JG32" s="10">
        <v>45505</v>
      </c>
      <c r="JH32" s="10">
        <v>45506</v>
      </c>
      <c r="JI32" s="10">
        <v>45509</v>
      </c>
      <c r="JJ32" s="10">
        <v>45510</v>
      </c>
      <c r="JK32" s="10">
        <v>45511</v>
      </c>
      <c r="JL32" s="10">
        <v>45512</v>
      </c>
      <c r="JM32" s="10">
        <v>45513</v>
      </c>
      <c r="JN32" s="10">
        <v>45516</v>
      </c>
      <c r="JO32" s="10">
        <v>45517</v>
      </c>
      <c r="JP32" s="10">
        <v>45518</v>
      </c>
      <c r="JQ32" s="10">
        <v>45519</v>
      </c>
      <c r="JR32" s="10">
        <v>45520</v>
      </c>
      <c r="JS32" s="10">
        <v>45523</v>
      </c>
      <c r="JT32" s="10">
        <v>45524</v>
      </c>
      <c r="JU32" s="10">
        <v>45525</v>
      </c>
      <c r="JV32" s="10">
        <v>45526</v>
      </c>
      <c r="JW32" s="10">
        <v>45527</v>
      </c>
      <c r="JX32" s="10">
        <v>45530</v>
      </c>
      <c r="JY32" s="10">
        <v>45531</v>
      </c>
      <c r="JZ32" s="10">
        <v>45532</v>
      </c>
      <c r="KA32" s="10">
        <v>45533</v>
      </c>
      <c r="KB32" s="10">
        <v>45534</v>
      </c>
      <c r="KC32" s="10">
        <v>45537</v>
      </c>
      <c r="KD32" s="10">
        <v>45538</v>
      </c>
      <c r="KE32" s="10">
        <v>45539</v>
      </c>
      <c r="KF32" s="10">
        <v>45540</v>
      </c>
      <c r="KG32" s="10">
        <v>45541</v>
      </c>
      <c r="KH32" s="10">
        <v>45544</v>
      </c>
      <c r="KI32" s="10">
        <v>45545</v>
      </c>
      <c r="KJ32" s="10">
        <v>45546</v>
      </c>
      <c r="KK32" s="10">
        <v>45547</v>
      </c>
      <c r="KL32" s="10">
        <v>45548</v>
      </c>
      <c r="KM32" s="10">
        <v>45553</v>
      </c>
      <c r="KN32" s="10">
        <v>45554</v>
      </c>
      <c r="KO32" s="10">
        <v>45555</v>
      </c>
      <c r="KP32" s="10">
        <v>45558</v>
      </c>
      <c r="KQ32" s="10">
        <v>45559</v>
      </c>
      <c r="KR32" s="10">
        <v>45560</v>
      </c>
      <c r="KS32" s="10">
        <v>45561</v>
      </c>
      <c r="KT32" s="10">
        <v>45562</v>
      </c>
      <c r="KU32" s="10">
        <v>45565</v>
      </c>
      <c r="KV32" s="10">
        <v>45573</v>
      </c>
      <c r="KW32" s="10">
        <v>45574</v>
      </c>
      <c r="KX32" s="10">
        <v>45575</v>
      </c>
      <c r="KY32" s="10">
        <v>45576</v>
      </c>
      <c r="KZ32" s="10">
        <v>45579</v>
      </c>
      <c r="LA32" s="10">
        <v>45580</v>
      </c>
      <c r="LB32" s="10">
        <v>45581</v>
      </c>
      <c r="LC32" s="10">
        <v>45582</v>
      </c>
      <c r="LD32" s="10">
        <v>45583</v>
      </c>
      <c r="LE32" s="10">
        <v>45586</v>
      </c>
      <c r="LF32" s="10">
        <v>45587</v>
      </c>
      <c r="LG32" s="10">
        <v>45588</v>
      </c>
      <c r="LH32" s="10">
        <v>45589</v>
      </c>
      <c r="LI32" s="10">
        <v>45590</v>
      </c>
      <c r="LJ32" s="10">
        <v>45593</v>
      </c>
      <c r="LK32" s="10">
        <v>45594</v>
      </c>
      <c r="LL32" s="10">
        <v>45595</v>
      </c>
      <c r="LM32" s="10">
        <v>45596</v>
      </c>
      <c r="LN32" s="10">
        <v>45597</v>
      </c>
      <c r="LO32" s="10">
        <v>45600</v>
      </c>
      <c r="LP32" s="10">
        <v>45601</v>
      </c>
      <c r="LQ32" s="10">
        <v>45602</v>
      </c>
      <c r="LR32" s="10">
        <v>45603</v>
      </c>
      <c r="LS32" s="10">
        <v>45604</v>
      </c>
      <c r="LT32" s="10">
        <v>45607</v>
      </c>
      <c r="LU32" s="10">
        <v>45608</v>
      </c>
      <c r="LV32" s="10">
        <v>45609</v>
      </c>
      <c r="LW32" s="10">
        <v>45610</v>
      </c>
      <c r="LX32" s="10">
        <v>45611</v>
      </c>
      <c r="LY32" s="10">
        <v>45614</v>
      </c>
      <c r="LZ32" s="10">
        <v>45615</v>
      </c>
      <c r="MA32" s="10">
        <v>45616</v>
      </c>
      <c r="MB32" s="10">
        <v>45617</v>
      </c>
      <c r="MC32" s="10">
        <v>45618</v>
      </c>
      <c r="MD32" s="10">
        <v>45621</v>
      </c>
      <c r="ME32" s="10">
        <v>45622</v>
      </c>
      <c r="MF32" s="10">
        <v>45623</v>
      </c>
      <c r="MG32" s="10">
        <v>45624</v>
      </c>
      <c r="MH32" s="10">
        <v>45625</v>
      </c>
      <c r="MI32" s="10">
        <v>45628</v>
      </c>
      <c r="MJ32" s="10">
        <v>45629</v>
      </c>
      <c r="MK32" s="10">
        <v>45630</v>
      </c>
      <c r="ML32" s="10">
        <v>45631</v>
      </c>
      <c r="MM32" s="10">
        <v>45632</v>
      </c>
      <c r="MN32" s="10">
        <v>45635</v>
      </c>
      <c r="MO32" s="10">
        <v>45636</v>
      </c>
      <c r="MP32" s="10">
        <v>45637</v>
      </c>
      <c r="MQ32" s="10">
        <v>45638</v>
      </c>
      <c r="MR32" s="10">
        <v>45639</v>
      </c>
      <c r="MS32" s="10">
        <v>45642</v>
      </c>
      <c r="MT32" s="10">
        <v>45643</v>
      </c>
      <c r="MU32" s="10">
        <v>45644</v>
      </c>
      <c r="MV32" s="10">
        <v>45645</v>
      </c>
      <c r="MW32" s="10">
        <v>45646</v>
      </c>
      <c r="MX32" s="10">
        <v>45649</v>
      </c>
      <c r="MY32" s="10">
        <v>45650</v>
      </c>
      <c r="MZ32" s="10">
        <v>45651</v>
      </c>
      <c r="NA32" s="10">
        <v>45652</v>
      </c>
      <c r="NB32" s="10">
        <v>45653</v>
      </c>
      <c r="NC32" s="10">
        <v>45656</v>
      </c>
      <c r="ND32" s="10">
        <v>45657</v>
      </c>
      <c r="NE32" s="10">
        <v>45659</v>
      </c>
      <c r="NF32" s="10">
        <v>45660</v>
      </c>
      <c r="NG32" s="10">
        <v>45663</v>
      </c>
      <c r="NH32" s="10">
        <v>45664</v>
      </c>
      <c r="NI32" s="10">
        <v>45665</v>
      </c>
      <c r="NJ32" s="10">
        <v>45666</v>
      </c>
      <c r="NK32" s="10">
        <v>45667</v>
      </c>
      <c r="NL32" s="10">
        <v>45670</v>
      </c>
      <c r="NM32" s="10">
        <v>45671</v>
      </c>
      <c r="NN32" s="10">
        <v>45672</v>
      </c>
      <c r="NO32" s="10">
        <v>45673</v>
      </c>
      <c r="NP32" s="10">
        <v>45674</v>
      </c>
      <c r="NQ32" s="10">
        <v>45677</v>
      </c>
      <c r="NR32" s="10">
        <v>45678</v>
      </c>
      <c r="NS32" s="10">
        <v>45679</v>
      </c>
      <c r="NT32" s="10">
        <v>45680</v>
      </c>
      <c r="NU32" s="10">
        <v>45681</v>
      </c>
      <c r="NV32" s="10">
        <v>45684</v>
      </c>
      <c r="NW32" s="10">
        <v>45693</v>
      </c>
      <c r="NX32" s="10">
        <v>45694</v>
      </c>
      <c r="NY32" s="10">
        <v>45695</v>
      </c>
      <c r="NZ32" s="10">
        <v>45698</v>
      </c>
      <c r="OA32" s="10">
        <v>45699</v>
      </c>
      <c r="OB32" s="10">
        <v>45700</v>
      </c>
      <c r="OC32" s="10">
        <v>45701</v>
      </c>
      <c r="OD32" s="10">
        <v>45702</v>
      </c>
      <c r="OE32" s="10">
        <v>45705</v>
      </c>
      <c r="OF32" s="10">
        <v>45706</v>
      </c>
      <c r="OG32" s="10">
        <v>45707</v>
      </c>
      <c r="OH32" s="10">
        <v>45708</v>
      </c>
      <c r="OI32" s="10">
        <v>45709</v>
      </c>
      <c r="OJ32" s="10">
        <v>45712</v>
      </c>
      <c r="OK32" s="10">
        <v>45713</v>
      </c>
      <c r="OL32" s="10">
        <v>45714</v>
      </c>
      <c r="OM32" s="10">
        <v>45715</v>
      </c>
      <c r="ON32" s="10">
        <v>45716</v>
      </c>
      <c r="OO32" s="10">
        <v>45719</v>
      </c>
      <c r="OP32" s="10">
        <v>45720</v>
      </c>
      <c r="OQ32" s="10">
        <v>45721</v>
      </c>
      <c r="OR32" s="10">
        <v>45722</v>
      </c>
      <c r="OS32" s="10">
        <v>45723</v>
      </c>
      <c r="OT32" s="10">
        <v>45726</v>
      </c>
      <c r="OU32" s="10">
        <v>45727</v>
      </c>
      <c r="OV32" s="10">
        <v>45728</v>
      </c>
      <c r="OW32" s="10">
        <v>45729</v>
      </c>
      <c r="OX32" s="10">
        <v>45730</v>
      </c>
      <c r="OY32" s="10">
        <v>45733</v>
      </c>
      <c r="OZ32" s="10">
        <v>45734</v>
      </c>
      <c r="PA32" s="10">
        <v>45735</v>
      </c>
      <c r="PB32" s="10">
        <v>45736</v>
      </c>
      <c r="PC32" s="10">
        <v>45737</v>
      </c>
      <c r="PD32" s="10">
        <v>45740</v>
      </c>
      <c r="PE32" s="10">
        <v>45741</v>
      </c>
      <c r="PF32" s="10">
        <v>45742</v>
      </c>
      <c r="PG32" s="10">
        <v>45743</v>
      </c>
      <c r="PH32" s="10">
        <v>45744</v>
      </c>
      <c r="PI32" s="10">
        <v>45747</v>
      </c>
      <c r="PJ32" s="10">
        <v>45748</v>
      </c>
      <c r="PK32" s="10">
        <v>45749</v>
      </c>
      <c r="PL32" s="10">
        <v>45750</v>
      </c>
      <c r="PM32" s="10">
        <v>45754</v>
      </c>
      <c r="PN32" s="10">
        <v>45755</v>
      </c>
      <c r="PO32" s="10">
        <v>45756</v>
      </c>
      <c r="PP32" s="10">
        <v>45757</v>
      </c>
      <c r="PQ32" s="10">
        <v>45758</v>
      </c>
      <c r="PR32" s="10">
        <v>45761</v>
      </c>
      <c r="PS32" s="10">
        <v>45762</v>
      </c>
      <c r="PT32" s="10">
        <v>45763</v>
      </c>
      <c r="PU32" s="10">
        <v>45764</v>
      </c>
      <c r="PV32" s="10">
        <v>45765</v>
      </c>
      <c r="PW32" s="10">
        <v>45768</v>
      </c>
      <c r="PX32" s="10">
        <v>45769</v>
      </c>
      <c r="PY32" s="10">
        <v>45770</v>
      </c>
      <c r="PZ32" s="10">
        <v>45771</v>
      </c>
      <c r="QA32" s="10">
        <v>45772</v>
      </c>
      <c r="QB32" s="10">
        <v>45775</v>
      </c>
      <c r="QC32" s="10">
        <v>45776</v>
      </c>
      <c r="QD32" s="10">
        <v>45777</v>
      </c>
      <c r="QE32" s="10">
        <v>45783</v>
      </c>
      <c r="QF32" s="10">
        <v>45784</v>
      </c>
      <c r="QG32" s="10">
        <v>45785</v>
      </c>
      <c r="QH32" s="10">
        <v>45786</v>
      </c>
      <c r="QI32" s="10">
        <v>45789</v>
      </c>
      <c r="QJ32" s="10">
        <v>45790</v>
      </c>
      <c r="QK32" s="10">
        <v>45791</v>
      </c>
      <c r="QL32" s="10">
        <v>45792</v>
      </c>
      <c r="QM32" s="10">
        <v>45793</v>
      </c>
      <c r="QN32" s="10">
        <v>45796</v>
      </c>
      <c r="QO32" s="10">
        <v>45797</v>
      </c>
      <c r="QP32" s="10">
        <v>45798</v>
      </c>
      <c r="QQ32" s="10">
        <v>45799</v>
      </c>
      <c r="QR32" s="10">
        <v>45800</v>
      </c>
      <c r="QS32" s="10">
        <v>45803</v>
      </c>
      <c r="QT32" s="10">
        <v>45804</v>
      </c>
      <c r="QU32" s="10">
        <v>45805</v>
      </c>
      <c r="QV32" s="10">
        <v>45806</v>
      </c>
      <c r="QW32" s="10">
        <v>45807</v>
      </c>
      <c r="QX32" s="10">
        <v>45811</v>
      </c>
      <c r="QY32" s="10">
        <v>45812</v>
      </c>
      <c r="QZ32" s="10">
        <v>45813</v>
      </c>
      <c r="RA32" s="10">
        <v>45814</v>
      </c>
      <c r="RB32" s="10">
        <v>45817</v>
      </c>
      <c r="RC32" s="10">
        <v>45818</v>
      </c>
      <c r="RD32" s="10">
        <v>45819</v>
      </c>
      <c r="RE32" s="10">
        <v>45820</v>
      </c>
      <c r="RF32" s="10">
        <v>45821</v>
      </c>
      <c r="RG32" s="10">
        <v>45824</v>
      </c>
      <c r="RH32" s="10">
        <v>45825</v>
      </c>
      <c r="RI32" s="10">
        <v>45826</v>
      </c>
      <c r="RJ32" s="10">
        <v>45827</v>
      </c>
      <c r="RK32" s="10">
        <v>45828</v>
      </c>
      <c r="RL32" s="10">
        <v>45831</v>
      </c>
      <c r="RM32" s="10">
        <v>45832</v>
      </c>
      <c r="RN32" s="10">
        <v>45833</v>
      </c>
      <c r="RO32" s="10">
        <v>45834</v>
      </c>
      <c r="RP32" s="10">
        <v>45835</v>
      </c>
      <c r="RQ32" s="10">
        <v>45838</v>
      </c>
      <c r="RR32" s="10">
        <v>45839</v>
      </c>
      <c r="RS32" s="10">
        <v>45840</v>
      </c>
      <c r="RT32" s="10">
        <v>45841</v>
      </c>
      <c r="RU32" s="10">
        <v>45842</v>
      </c>
      <c r="RV32" s="10">
        <v>45845</v>
      </c>
      <c r="RW32" s="10">
        <v>45846</v>
      </c>
      <c r="RX32" s="10">
        <v>45847</v>
      </c>
      <c r="RY32" s="10">
        <v>45848</v>
      </c>
      <c r="RZ32" s="10">
        <v>45849</v>
      </c>
      <c r="SA32" s="10">
        <v>45852</v>
      </c>
      <c r="SB32" s="10">
        <v>45853</v>
      </c>
      <c r="SC32" s="10">
        <v>45854</v>
      </c>
      <c r="SD32" s="10">
        <v>45855</v>
      </c>
      <c r="SE32" s="10">
        <v>45856</v>
      </c>
      <c r="SF32" s="10">
        <v>45859</v>
      </c>
      <c r="SG32" s="10">
        <v>45860</v>
      </c>
      <c r="SH32" s="10">
        <v>45861</v>
      </c>
      <c r="SI32" s="10">
        <v>45862</v>
      </c>
      <c r="SJ32" s="10">
        <v>45863</v>
      </c>
      <c r="SK32" s="10">
        <v>45866</v>
      </c>
      <c r="SL32" s="10">
        <v>45867</v>
      </c>
      <c r="SM32" s="10">
        <v>45868</v>
      </c>
      <c r="SN32" s="10">
        <v>45869</v>
      </c>
      <c r="SO32" s="10">
        <v>45870</v>
      </c>
      <c r="SP32" s="10">
        <v>45873</v>
      </c>
      <c r="SQ32" s="10">
        <v>45874</v>
      </c>
      <c r="SR32" s="10">
        <v>45875</v>
      </c>
      <c r="SS32" s="10">
        <v>45876</v>
      </c>
      <c r="ST32" s="10">
        <v>45877</v>
      </c>
      <c r="SU32" s="10">
        <v>45880</v>
      </c>
      <c r="SV32" s="10">
        <v>45881</v>
      </c>
      <c r="SW32" s="10">
        <v>45882</v>
      </c>
      <c r="SX32" s="10">
        <v>45883</v>
      </c>
      <c r="SY32" s="10">
        <v>45884</v>
      </c>
      <c r="SZ32" s="10">
        <v>45887</v>
      </c>
      <c r="TA32" s="10">
        <v>45888</v>
      </c>
      <c r="TB32" s="10">
        <v>45889</v>
      </c>
      <c r="TC32" s="10">
        <v>45890</v>
      </c>
      <c r="TD32" s="10">
        <v>45891</v>
      </c>
      <c r="TE32" s="10">
        <v>45894</v>
      </c>
      <c r="TF32" s="10">
        <v>45895</v>
      </c>
      <c r="TG32" s="10">
        <v>45896</v>
      </c>
      <c r="TH32" s="10">
        <v>45897</v>
      </c>
      <c r="TI32" s="10">
        <v>45898</v>
      </c>
      <c r="TJ32" s="10">
        <v>45901</v>
      </c>
      <c r="TK32" s="10">
        <v>45902</v>
      </c>
      <c r="TL32" s="10">
        <v>45903</v>
      </c>
      <c r="TM32" s="10">
        <v>45904</v>
      </c>
      <c r="TN32" s="10">
        <v>45905</v>
      </c>
      <c r="TO32" s="10">
        <v>45908</v>
      </c>
      <c r="TP32" s="10">
        <v>45909</v>
      </c>
      <c r="TQ32" s="10">
        <v>45910</v>
      </c>
      <c r="TR32" s="10">
        <v>45911</v>
      </c>
      <c r="TS32" s="10">
        <v>45912</v>
      </c>
      <c r="TT32" s="10">
        <v>45915</v>
      </c>
      <c r="TU32" s="10">
        <v>45916</v>
      </c>
      <c r="TV32" s="10">
        <v>45917</v>
      </c>
      <c r="TW32" s="10">
        <v>45918</v>
      </c>
      <c r="TX32" s="10">
        <v>45919</v>
      </c>
      <c r="TY32" s="10">
        <v>45922</v>
      </c>
      <c r="TZ32" s="10">
        <v>45923</v>
      </c>
      <c r="UA32" s="10">
        <v>45924</v>
      </c>
      <c r="UB32" s="10">
        <v>45925</v>
      </c>
      <c r="UC32" s="10">
        <v>45926</v>
      </c>
      <c r="UD32" s="10">
        <v>45929</v>
      </c>
      <c r="UE32" s="10">
        <v>45930</v>
      </c>
      <c r="UF32" s="10">
        <v>45939</v>
      </c>
      <c r="UG32" s="10">
        <v>45940</v>
      </c>
      <c r="UH32" s="10">
        <v>45943</v>
      </c>
      <c r="UI32" s="10">
        <v>45944</v>
      </c>
      <c r="UJ32" s="10">
        <v>45945</v>
      </c>
      <c r="UK32" s="10">
        <v>45946</v>
      </c>
      <c r="UL32" s="10">
        <v>45947</v>
      </c>
      <c r="UM32" s="10">
        <v>45950</v>
      </c>
      <c r="UN32" s="10">
        <v>45951</v>
      </c>
      <c r="UO32" s="10">
        <v>45952</v>
      </c>
      <c r="UP32" s="10">
        <v>45953</v>
      </c>
      <c r="UQ32" s="10">
        <v>45954</v>
      </c>
      <c r="UR32" s="10">
        <v>45957</v>
      </c>
      <c r="US32" s="10">
        <v>45958</v>
      </c>
      <c r="UT32" s="10">
        <v>45959</v>
      </c>
      <c r="UU32" s="10">
        <v>45960</v>
      </c>
      <c r="UV32" s="10">
        <v>45961</v>
      </c>
      <c r="UW32" s="10">
        <v>45964</v>
      </c>
      <c r="UX32" s="10">
        <v>45965</v>
      </c>
      <c r="UY32" s="10">
        <v>45966</v>
      </c>
      <c r="UZ32" s="10">
        <v>45967</v>
      </c>
      <c r="VA32" s="10">
        <v>45968</v>
      </c>
      <c r="VB32" s="10">
        <v>45971</v>
      </c>
      <c r="VC32" s="10">
        <v>45972</v>
      </c>
      <c r="VD32" s="10">
        <v>45973</v>
      </c>
      <c r="VE32" s="10">
        <v>45974</v>
      </c>
      <c r="VF32" s="10">
        <v>45975</v>
      </c>
      <c r="VG32" s="10">
        <v>45978</v>
      </c>
      <c r="VH32" s="10">
        <v>45979</v>
      </c>
      <c r="VI32" s="10">
        <v>45980</v>
      </c>
      <c r="VJ32" s="10">
        <v>45981</v>
      </c>
      <c r="VK32" s="10">
        <v>45982</v>
      </c>
      <c r="VL32" s="10">
        <v>45985</v>
      </c>
      <c r="VM32" s="10">
        <v>45986</v>
      </c>
      <c r="VN32" s="10">
        <v>45987</v>
      </c>
      <c r="VO32" s="10">
        <v>45988</v>
      </c>
      <c r="VP32" s="10">
        <v>45989</v>
      </c>
      <c r="VQ32" s="10">
        <v>45992</v>
      </c>
      <c r="VR32" s="10">
        <v>45993</v>
      </c>
      <c r="VS32" s="10">
        <v>45994</v>
      </c>
      <c r="VT32" s="10">
        <v>45995</v>
      </c>
      <c r="VU32" s="10">
        <v>45996</v>
      </c>
      <c r="VV32" s="10">
        <v>45999</v>
      </c>
      <c r="VW32" s="10">
        <v>46000</v>
      </c>
      <c r="VX32" s="10">
        <v>46001</v>
      </c>
      <c r="VY32" s="10">
        <v>46002</v>
      </c>
      <c r="VZ32" s="10">
        <v>46003</v>
      </c>
      <c r="WA32" s="10">
        <v>46006</v>
      </c>
      <c r="WB32" s="10">
        <v>46007</v>
      </c>
      <c r="WC32" s="10">
        <v>46008</v>
      </c>
      <c r="WD32" s="10">
        <v>46009</v>
      </c>
      <c r="WE32" s="10">
        <v>46010</v>
      </c>
      <c r="WF32" s="10">
        <v>46013</v>
      </c>
      <c r="WG32" s="10">
        <v>46014</v>
      </c>
      <c r="WH32" s="10">
        <v>46015</v>
      </c>
      <c r="WI32" s="10">
        <v>46016</v>
      </c>
      <c r="WJ32" s="10">
        <v>46017</v>
      </c>
      <c r="WK32" s="10">
        <v>46020</v>
      </c>
      <c r="WL32" s="10">
        <v>46021</v>
      </c>
      <c r="WM32" s="10">
        <v>46022</v>
      </c>
      <c r="WN32" s="10">
        <v>46027</v>
      </c>
      <c r="WO32" s="10">
        <v>46028</v>
      </c>
      <c r="WP32" s="10">
        <v>46029</v>
      </c>
      <c r="WQ32" s="10">
        <v>46030</v>
      </c>
      <c r="WR32" s="10">
        <v>46031</v>
      </c>
      <c r="WS32" s="10">
        <v>46034</v>
      </c>
      <c r="WT32" s="10">
        <v>46035</v>
      </c>
      <c r="WU32" s="10">
        <v>46036</v>
      </c>
      <c r="WV32" s="10">
        <v>46037</v>
      </c>
      <c r="WW32" s="10">
        <v>46038</v>
      </c>
      <c r="WX32" s="10">
        <v>46041</v>
      </c>
      <c r="WY32" s="10">
        <v>46042</v>
      </c>
      <c r="WZ32" s="10">
        <v>46043</v>
      </c>
      <c r="XA32" s="10">
        <v>46044</v>
      </c>
      <c r="XB32" s="10">
        <v>46045</v>
      </c>
      <c r="XC32" s="10">
        <v>46048</v>
      </c>
      <c r="XD32" s="10">
        <v>46049</v>
      </c>
      <c r="XE32" s="10">
        <v>46050</v>
      </c>
      <c r="XF32" s="10">
        <v>46051</v>
      </c>
      <c r="XG32" s="10">
        <v>46052</v>
      </c>
      <c r="XH32" s="10">
        <v>46055</v>
      </c>
      <c r="XI32" s="10">
        <v>46056</v>
      </c>
      <c r="XJ32" s="10">
        <v>46057</v>
      </c>
      <c r="XK32" s="10">
        <v>46058</v>
      </c>
      <c r="XL32" s="10">
        <v>46059</v>
      </c>
      <c r="XM32" s="10">
        <v>46062</v>
      </c>
      <c r="XN32" s="10">
        <v>46063</v>
      </c>
      <c r="XO32" s="10">
        <v>46064</v>
      </c>
      <c r="XP32" s="10">
        <v>46065</v>
      </c>
      <c r="XQ32" s="10">
        <v>46066</v>
      </c>
      <c r="XR32" s="10">
        <v>46077</v>
      </c>
      <c r="XS32" s="10">
        <v>46078</v>
      </c>
      <c r="XT32" s="10">
        <v>46079</v>
      </c>
      <c r="XU32" s="10">
        <v>46080</v>
      </c>
      <c r="XV32" s="10">
        <v>46083</v>
      </c>
      <c r="XW32" s="10">
        <v>46084</v>
      </c>
      <c r="XX32" s="10">
        <v>46085</v>
      </c>
      <c r="XY32" s="10">
        <v>46086</v>
      </c>
      <c r="XZ32" s="10">
        <v>46087</v>
      </c>
      <c r="YA32" s="10">
        <v>46090</v>
      </c>
      <c r="YB32" s="10">
        <v>46091</v>
      </c>
      <c r="YC32" s="10">
        <v>46092</v>
      </c>
      <c r="YD32" s="10">
        <v>46093</v>
      </c>
      <c r="YE32" s="10">
        <v>46094</v>
      </c>
      <c r="YF32" s="10">
        <v>46097</v>
      </c>
      <c r="YG32" s="10">
        <v>46098</v>
      </c>
      <c r="YH32" s="10">
        <v>46099</v>
      </c>
      <c r="YI32" s="10">
        <v>46100</v>
      </c>
      <c r="YJ32" s="10">
        <v>46101</v>
      </c>
      <c r="YK32" s="10">
        <v>46104</v>
      </c>
      <c r="YL32" s="10">
        <v>46105</v>
      </c>
      <c r="YM32" s="10">
        <v>46106</v>
      </c>
      <c r="YN32" s="10">
        <v>46107</v>
      </c>
      <c r="YO32" s="10">
        <v>46108</v>
      </c>
      <c r="YP32" s="10">
        <v>46111</v>
      </c>
      <c r="YQ32" s="10">
        <v>46112</v>
      </c>
      <c r="YR32" s="10">
        <v>46113</v>
      </c>
      <c r="YS32" s="10">
        <v>46114</v>
      </c>
      <c r="YT32" s="10">
        <v>46115</v>
      </c>
      <c r="YU32" s="10">
        <v>46119</v>
      </c>
      <c r="YV32" s="10">
        <v>46120</v>
      </c>
      <c r="YW32" s="10">
        <v>46121</v>
      </c>
      <c r="YX32" s="10">
        <v>46122</v>
      </c>
      <c r="YY32" s="10">
        <v>46125</v>
      </c>
      <c r="YZ32" s="10">
        <v>46126</v>
      </c>
      <c r="ZA32" s="10">
        <v>46127</v>
      </c>
      <c r="ZB32" s="10">
        <v>46128</v>
      </c>
      <c r="ZC32" s="10">
        <v>46129</v>
      </c>
      <c r="ZD32" s="10">
        <v>46132</v>
      </c>
      <c r="ZE32" s="10">
        <v>46133</v>
      </c>
      <c r="ZF32" s="10">
        <v>46134</v>
      </c>
      <c r="ZG32" s="10">
        <v>46135</v>
      </c>
      <c r="ZH32" s="10">
        <v>46136</v>
      </c>
      <c r="ZI32" s="10">
        <v>46139</v>
      </c>
      <c r="ZJ32" s="10">
        <v>46140</v>
      </c>
      <c r="ZK32" s="10">
        <v>46141</v>
      </c>
      <c r="ZL32" s="10">
        <v>46142</v>
      </c>
      <c r="ZM32" s="10">
        <v>46148</v>
      </c>
      <c r="ZN32" s="10">
        <v>46149</v>
      </c>
      <c r="ZO32" s="10">
        <v>46150</v>
      </c>
      <c r="ZP32" s="10">
        <v>46153</v>
      </c>
      <c r="ZQ32" s="10">
        <v>46154</v>
      </c>
      <c r="ZR32" s="10">
        <v>46155</v>
      </c>
      <c r="ZS32" s="10">
        <v>46156</v>
      </c>
      <c r="ZT32" s="10">
        <v>46157</v>
      </c>
      <c r="ZU32" s="10">
        <v>46160</v>
      </c>
      <c r="ZV32" s="10">
        <v>46161</v>
      </c>
      <c r="ZW32" s="10">
        <v>46162</v>
      </c>
      <c r="ZX32" s="10">
        <v>46163</v>
      </c>
      <c r="ZY32" s="10">
        <v>46164</v>
      </c>
      <c r="ZZ32" s="10">
        <v>46167</v>
      </c>
      <c r="AAA32" s="10">
        <v>46168</v>
      </c>
      <c r="AAB32" s="10">
        <v>46169</v>
      </c>
      <c r="AAC32" s="10">
        <v>46170</v>
      </c>
      <c r="AAD32" s="10">
        <v>46171</v>
      </c>
      <c r="AAE32" s="10">
        <v>46174</v>
      </c>
      <c r="AAF32" s="10">
        <v>46175</v>
      </c>
      <c r="AAG32" s="10">
        <v>46176</v>
      </c>
      <c r="AAH32" s="10">
        <v>46177</v>
      </c>
      <c r="AAI32" s="10">
        <v>46178</v>
      </c>
      <c r="AAJ32" s="10">
        <v>46181</v>
      </c>
      <c r="AAK32" s="10">
        <v>46182</v>
      </c>
      <c r="AAL32" s="10">
        <v>46183</v>
      </c>
      <c r="AAM32" s="10">
        <v>46184</v>
      </c>
      <c r="AAN32" s="10">
        <v>46185</v>
      </c>
      <c r="AAO32" s="10">
        <v>46188</v>
      </c>
      <c r="AAP32" s="10">
        <v>46189</v>
      </c>
      <c r="AAQ32" s="10">
        <v>46190</v>
      </c>
      <c r="AAR32" s="10">
        <v>46191</v>
      </c>
      <c r="AAS32" s="10">
        <v>46195</v>
      </c>
      <c r="AAT32" s="10">
        <v>46196</v>
      </c>
      <c r="AAU32" s="10">
        <v>46197</v>
      </c>
      <c r="AAV32" s="10">
        <v>46198</v>
      </c>
      <c r="AAW32" s="10">
        <v>46199</v>
      </c>
      <c r="AAX32" s="10">
        <v>46202</v>
      </c>
      <c r="AAY32" s="10">
        <v>46203</v>
      </c>
      <c r="AAZ32" s="10">
        <v>46204</v>
      </c>
      <c r="ABA32" s="10">
        <v>46205</v>
      </c>
      <c r="ABB32" s="10">
        <v>46206</v>
      </c>
      <c r="ABC32" s="10">
        <v>46209</v>
      </c>
      <c r="ABD32" s="10">
        <v>46205</v>
      </c>
      <c r="ABE32" s="10">
        <v>46206</v>
      </c>
    </row>
    <row r="33" ht="13.5" customHeight="1" spans="1:765">
      <c r="A33" s="28" t="str">
        <f ca="1">TEXT(EDATE(TODAY(),-36),"YYYYMMDD")</f>
        <v>20230706</v>
      </c>
      <c r="B33" s="28" t="str">
        <f ca="1">TEXT(TODAY(),"YYYYMMDD")</f>
        <v>20260706</v>
      </c>
      <c r="C33" s="29" t="s">
        <v>440</v>
      </c>
      <c r="D33" s="30" t="str">
        <f>[1]!s_info_name(E33)</f>
        <v>上证指数</v>
      </c>
      <c r="E33" s="29" t="s">
        <v>11</v>
      </c>
      <c r="F33" s="31" cm="1">
        <f ca="1" t="array" ref="F33">[1]!WSD(E33:E38,C33,A33,B33,"TradingCalendar=SSE","rptType=1","Direction=V","Version=1","ShowParams=Y","cols=726;rows=6")</f>
        <v>12.9730997085571</v>
      </c>
      <c r="G33" s="31">
        <v>12.9398002624512</v>
      </c>
      <c r="H33" s="31">
        <v>12.9630002975464</v>
      </c>
      <c r="I33" s="31">
        <v>13.0349998474121</v>
      </c>
      <c r="J33" s="31">
        <v>12.930100440979</v>
      </c>
      <c r="K33" s="31">
        <v>13.1022996902466</v>
      </c>
      <c r="L33" s="31">
        <v>13.0938997268677</v>
      </c>
      <c r="M33" s="31">
        <v>12.9861001968384</v>
      </c>
      <c r="N33" s="31">
        <v>12.9351997375488</v>
      </c>
      <c r="O33" s="31">
        <v>12.9455995559692</v>
      </c>
      <c r="P33" s="31">
        <v>12.831600189209</v>
      </c>
      <c r="Q33" s="31">
        <v>12.8220996856689</v>
      </c>
      <c r="R33" s="31">
        <v>12.8197002410889</v>
      </c>
      <c r="S33" s="31">
        <v>13.0901002883911</v>
      </c>
      <c r="T33" s="31">
        <v>13.0335998535156</v>
      </c>
      <c r="U33" s="31">
        <v>13.0205001831055</v>
      </c>
      <c r="V33" s="31">
        <v>13.2665004730225</v>
      </c>
      <c r="W33" s="31">
        <v>13.3245000839233</v>
      </c>
      <c r="X33" s="31">
        <v>13.3270998001099</v>
      </c>
      <c r="Y33" s="31">
        <v>13.1956996917725</v>
      </c>
      <c r="Z33" s="31">
        <v>13.2516002655029</v>
      </c>
      <c r="AA33" s="31">
        <v>13.3078002929687</v>
      </c>
      <c r="AB33" s="31">
        <v>13.2313995361328</v>
      </c>
      <c r="AC33" s="31">
        <v>13.2037000656128</v>
      </c>
      <c r="AD33" s="31">
        <v>13.140700340271</v>
      </c>
      <c r="AE33" s="31">
        <v>13.2014999389648</v>
      </c>
      <c r="AF33" s="31">
        <v>12.9397001266479</v>
      </c>
      <c r="AG33" s="31">
        <v>12.9306001663208</v>
      </c>
      <c r="AH33" s="31">
        <v>12.9419002532959</v>
      </c>
      <c r="AI33" s="31">
        <v>12.8281002044678</v>
      </c>
      <c r="AJ33" s="31">
        <v>12.8727998733521</v>
      </c>
      <c r="AK33" s="31">
        <v>12.7931995391846</v>
      </c>
      <c r="AL33" s="31">
        <v>12.6614999771118</v>
      </c>
      <c r="AM33" s="31">
        <v>12.8309001922607</v>
      </c>
      <c r="AN33" s="31">
        <v>12.6784000396729</v>
      </c>
      <c r="AO33" s="31">
        <v>12.694899559021</v>
      </c>
      <c r="AP33" s="31">
        <v>12.6393995285034</v>
      </c>
      <c r="AQ33" s="31">
        <v>12.8765001296997</v>
      </c>
      <c r="AR33" s="31">
        <v>13.002799987793</v>
      </c>
      <c r="AS33" s="31">
        <v>13.1003999710083</v>
      </c>
      <c r="AT33" s="31">
        <v>13.0496997833252</v>
      </c>
      <c r="AU33" s="31">
        <v>13.0909996032715</v>
      </c>
      <c r="AV33" s="31">
        <v>13.2812995910645</v>
      </c>
      <c r="AW33" s="31">
        <v>13.1829996109009</v>
      </c>
      <c r="AX33" s="31">
        <v>13.1955995559692</v>
      </c>
      <c r="AY33" s="31">
        <v>13.0604000091553</v>
      </c>
      <c r="AZ33" s="31">
        <v>13.0425996780396</v>
      </c>
      <c r="BA33" s="31">
        <v>13.1482000350952</v>
      </c>
      <c r="BB33" s="31">
        <v>13.1267004013062</v>
      </c>
      <c r="BC33" s="31">
        <v>13.0820999145508</v>
      </c>
      <c r="BD33" s="31">
        <v>13.1211996078491</v>
      </c>
      <c r="BE33" s="31">
        <v>13.0894002914429</v>
      </c>
      <c r="BF33" s="31">
        <v>13.1070003509521</v>
      </c>
      <c r="BG33" s="31">
        <v>13.1224002838135</v>
      </c>
      <c r="BH33" s="31">
        <v>13.0640001296997</v>
      </c>
      <c r="BI33" s="31">
        <v>12.981499671936</v>
      </c>
      <c r="BJ33" s="31">
        <v>13.1632995605469</v>
      </c>
      <c r="BK33" s="31">
        <v>13.0958003997803</v>
      </c>
      <c r="BL33" s="31">
        <v>13.0411996841431</v>
      </c>
      <c r="BM33" s="31">
        <v>13.0572004318237</v>
      </c>
      <c r="BN33" s="31">
        <v>13.0745000839233</v>
      </c>
      <c r="BO33" s="31">
        <v>13.0361003875732</v>
      </c>
      <c r="BP33" s="31">
        <v>12.9411001205444</v>
      </c>
      <c r="BQ33" s="31">
        <v>12.9661998748779</v>
      </c>
      <c r="BR33" s="31">
        <v>13.0994997024536</v>
      </c>
      <c r="BS33" s="31">
        <v>13.0469999313354</v>
      </c>
      <c r="BT33" s="31">
        <v>12.9934997558594</v>
      </c>
      <c r="BU33" s="31">
        <v>13.0566997528076</v>
      </c>
      <c r="BV33" s="31">
        <v>12.9500999450684</v>
      </c>
      <c r="BW33" s="31">
        <v>12.722900390625</v>
      </c>
      <c r="BX33" s="31">
        <v>12.6194000244141</v>
      </c>
      <c r="BY33" s="31">
        <v>12.4490995407104</v>
      </c>
      <c r="BZ33" s="31">
        <v>12.5155000686646</v>
      </c>
      <c r="CA33" s="31">
        <v>12.5047998428345</v>
      </c>
      <c r="CB33" s="31">
        <v>12.5940999984741</v>
      </c>
      <c r="CC33" s="31">
        <v>12.6528997421265</v>
      </c>
      <c r="CD33" s="31">
        <v>12.6288003921509</v>
      </c>
      <c r="CE33" s="31">
        <v>12.6176996231079</v>
      </c>
      <c r="CF33" s="31">
        <v>12.6395998001099</v>
      </c>
      <c r="CG33" s="31">
        <v>12.5968999862671</v>
      </c>
      <c r="CH33" s="31">
        <v>12.667799949646</v>
      </c>
      <c r="CI33" s="31">
        <v>12.7431001663208</v>
      </c>
      <c r="CJ33" s="31">
        <v>12.7416000366211</v>
      </c>
      <c r="CK33" s="31">
        <v>12.7204999923706</v>
      </c>
      <c r="CL33" s="31">
        <v>12.7295999526978</v>
      </c>
      <c r="CM33" s="31">
        <v>12.6809997558594</v>
      </c>
      <c r="CN33" s="31">
        <v>12.6934995651245</v>
      </c>
      <c r="CO33" s="31">
        <v>12.7265996932983</v>
      </c>
      <c r="CP33" s="31">
        <v>12.789999961853</v>
      </c>
      <c r="CQ33" s="31">
        <v>12.7161998748779</v>
      </c>
      <c r="CR33" s="31">
        <v>12.7171001434326</v>
      </c>
      <c r="CS33" s="31">
        <v>12.7672004699707</v>
      </c>
      <c r="CT33" s="31">
        <v>12.7645998001099</v>
      </c>
      <c r="CU33" s="31">
        <v>12.6795997619629</v>
      </c>
      <c r="CV33" s="31">
        <v>12.75</v>
      </c>
      <c r="CW33" s="31">
        <v>12.6810998916626</v>
      </c>
      <c r="CX33" s="31">
        <v>12.6338996887207</v>
      </c>
      <c r="CY33" s="31">
        <v>12.6542997360229</v>
      </c>
      <c r="CZ33" s="31">
        <v>12.5886001586914</v>
      </c>
      <c r="DA33" s="31">
        <v>12.6429004669189</v>
      </c>
      <c r="DB33" s="31">
        <v>12.6625003814697</v>
      </c>
      <c r="DC33" s="31">
        <v>12.6268997192383</v>
      </c>
      <c r="DD33" s="31">
        <v>12.4271001815796</v>
      </c>
      <c r="DE33" s="31">
        <v>12.4022998809814</v>
      </c>
      <c r="DF33" s="31">
        <v>12.3956003189087</v>
      </c>
      <c r="DG33" s="31">
        <v>12.423999786377</v>
      </c>
      <c r="DH33" s="31">
        <v>12.5106000900269</v>
      </c>
      <c r="DI33" s="31">
        <v>12.5680999755859</v>
      </c>
      <c r="DJ33" s="31">
        <v>12.4287004470825</v>
      </c>
      <c r="DK33" s="31">
        <v>12.3950996398926</v>
      </c>
      <c r="DL33" s="31">
        <v>12.3252000808716</v>
      </c>
      <c r="DM33" s="31">
        <v>12.2981004714966</v>
      </c>
      <c r="DN33" s="31">
        <v>12.3155002593994</v>
      </c>
      <c r="DO33" s="31">
        <v>12.1978998184204</v>
      </c>
      <c r="DP33" s="31">
        <v>12.250599861145</v>
      </c>
      <c r="DQ33" s="31">
        <v>12.2600002288818</v>
      </c>
      <c r="DR33" s="31">
        <v>12.2878999710083</v>
      </c>
      <c r="DS33" s="31">
        <v>12.2249002456665</v>
      </c>
      <c r="DT33" s="31">
        <v>12.3073997497559</v>
      </c>
      <c r="DU33" s="31">
        <v>12.4524002075195</v>
      </c>
      <c r="DV33" s="31">
        <v>12.5382995605469</v>
      </c>
      <c r="DW33" s="31">
        <v>12.4982004165649</v>
      </c>
      <c r="DX33" s="31">
        <v>12.5255002975464</v>
      </c>
      <c r="DY33" s="31">
        <v>12.4909000396729</v>
      </c>
      <c r="DZ33" s="31">
        <v>12.3915004730225</v>
      </c>
      <c r="EA33" s="31">
        <v>12.2479000091553</v>
      </c>
      <c r="EB33" s="31">
        <v>12.2627000808716</v>
      </c>
      <c r="EC33" s="31">
        <v>12.1851997375488</v>
      </c>
      <c r="ED33" s="31">
        <v>12.2003002166748</v>
      </c>
      <c r="EE33" s="31">
        <v>12.1870002746582</v>
      </c>
      <c r="EF33" s="31">
        <v>12.2184000015259</v>
      </c>
      <c r="EG33" s="31">
        <v>12.2541999816895</v>
      </c>
      <c r="EH33" s="31">
        <v>12.0142002105713</v>
      </c>
      <c r="EI33" s="31">
        <v>12.0696001052856</v>
      </c>
      <c r="EJ33" s="31">
        <v>12.0153999328613</v>
      </c>
      <c r="EK33" s="31">
        <v>11.7298002243042</v>
      </c>
      <c r="EL33" s="31">
        <v>11.7769002914429</v>
      </c>
      <c r="EM33" s="31">
        <v>11.9980001449585</v>
      </c>
      <c r="EN33" s="31">
        <v>12.362099647522</v>
      </c>
      <c r="EO33" s="31">
        <v>12.4040002822876</v>
      </c>
      <c r="EP33" s="31">
        <v>12.3252000808716</v>
      </c>
      <c r="EQ33" s="31">
        <v>12.1111001968384</v>
      </c>
      <c r="ER33" s="31">
        <v>11.9680004119873</v>
      </c>
      <c r="ES33" s="31">
        <v>11.8865003585815</v>
      </c>
      <c r="ET33" s="31">
        <v>11.7523002624512</v>
      </c>
      <c r="EU33" s="31">
        <v>11.6817998886108</v>
      </c>
      <c r="EV33" s="31">
        <v>12.0016002655029</v>
      </c>
      <c r="EW33" s="31">
        <v>12.1391000747681</v>
      </c>
      <c r="EX33" s="31">
        <v>12.2624998092651</v>
      </c>
      <c r="EY33" s="31">
        <v>12.4851999282837</v>
      </c>
      <c r="EZ33" s="31">
        <v>12.5445995330811</v>
      </c>
      <c r="FA33" s="31">
        <v>12.6578998565674</v>
      </c>
      <c r="FB33" s="31">
        <v>12.8116998672485</v>
      </c>
      <c r="FC33" s="31">
        <v>12.8621997833252</v>
      </c>
      <c r="FD33" s="31">
        <v>12.7385997772217</v>
      </c>
      <c r="FE33" s="31">
        <v>12.8956003189087</v>
      </c>
      <c r="FF33" s="31">
        <v>12.6686000823975</v>
      </c>
      <c r="FG33" s="31">
        <v>12.8959999084473</v>
      </c>
      <c r="FH33" s="31">
        <v>12.9387998580933</v>
      </c>
      <c r="FI33" s="31">
        <v>13.0060997009277</v>
      </c>
      <c r="FJ33" s="31">
        <v>13.0605001449585</v>
      </c>
      <c r="FK33" s="31">
        <v>13.0240001678467</v>
      </c>
      <c r="FL33" s="31">
        <v>12.9893999099731</v>
      </c>
      <c r="FM33" s="31">
        <v>13.0970001220703</v>
      </c>
      <c r="FN33" s="31">
        <v>13.15149974823</v>
      </c>
      <c r="FO33" s="31">
        <v>13.040599822998</v>
      </c>
      <c r="FP33" s="31">
        <v>12.9736003875732</v>
      </c>
      <c r="FQ33" s="31">
        <v>12.9764995574951</v>
      </c>
      <c r="FR33" s="31">
        <v>13.0325002670288</v>
      </c>
      <c r="FS33" s="31">
        <v>13.148699760437</v>
      </c>
      <c r="FT33" s="31">
        <v>13.061900138855</v>
      </c>
      <c r="FU33" s="31">
        <v>13.145899772644</v>
      </c>
      <c r="FV33" s="31">
        <v>13.1254997253418</v>
      </c>
      <c r="FW33" s="31">
        <v>13.069899559021</v>
      </c>
      <c r="FX33" s="31">
        <v>13.0018997192383</v>
      </c>
      <c r="FY33" s="31">
        <v>13.0314998626709</v>
      </c>
      <c r="FZ33" s="31">
        <v>12.8938999176025</v>
      </c>
      <c r="GA33" s="31">
        <v>12.9329996109009</v>
      </c>
      <c r="GB33" s="31">
        <v>13.0857000350952</v>
      </c>
      <c r="GC33" s="31">
        <v>13.2154998779297</v>
      </c>
      <c r="GD33" s="31">
        <v>13.2309999465942</v>
      </c>
      <c r="GE33" s="31">
        <v>13.2054996490479</v>
      </c>
      <c r="GF33" s="31">
        <v>13.1408996582031</v>
      </c>
      <c r="GG33" s="31">
        <v>13.1344995498657</v>
      </c>
      <c r="GH33" s="31">
        <v>13.0514001846313</v>
      </c>
      <c r="GI33" s="31">
        <v>13.0626001358032</v>
      </c>
      <c r="GJ33" s="31">
        <v>12.9945001602173</v>
      </c>
      <c r="GK33" s="31">
        <v>13.1925001144409</v>
      </c>
      <c r="GL33" s="31">
        <v>13.0159997940063</v>
      </c>
      <c r="GM33" s="31">
        <v>13.2695999145508</v>
      </c>
      <c r="GN33" s="31">
        <v>13.2754001617432</v>
      </c>
      <c r="GO33" s="31">
        <v>13.2617998123169</v>
      </c>
      <c r="GP33" s="31">
        <v>13.1861000061035</v>
      </c>
      <c r="GQ33" s="31">
        <v>13.0936002731323</v>
      </c>
      <c r="GR33" s="31">
        <v>13.1715002059937</v>
      </c>
      <c r="GS33" s="31">
        <v>13.1953001022339</v>
      </c>
      <c r="GT33" s="31">
        <v>13.3392000198364</v>
      </c>
      <c r="GU33" s="31">
        <v>13.4093999862671</v>
      </c>
      <c r="GV33" s="31">
        <v>13.6107997894287</v>
      </c>
      <c r="GW33" s="31">
        <v>13.7334003448486</v>
      </c>
      <c r="GX33" s="31">
        <v>13.7659997940063</v>
      </c>
      <c r="GY33" s="31">
        <v>13.6923999786377</v>
      </c>
      <c r="GZ33" s="31">
        <v>13.785400390625</v>
      </c>
      <c r="HA33" s="31">
        <v>13.8163003921509</v>
      </c>
      <c r="HB33" s="31">
        <v>13.7811002731323</v>
      </c>
      <c r="HC33" s="31">
        <v>13.7613000869751</v>
      </c>
      <c r="HD33" s="31">
        <v>13.6519002914429</v>
      </c>
      <c r="HE33" s="31">
        <v>13.6700000762939</v>
      </c>
      <c r="HF33" s="31">
        <v>13.7931995391846</v>
      </c>
      <c r="HG33" s="31">
        <v>13.87380027771</v>
      </c>
      <c r="HH33" s="31">
        <v>13.8246002197266</v>
      </c>
      <c r="HI33" s="31">
        <v>13.8246002197266</v>
      </c>
      <c r="HJ33" s="31">
        <v>13.6521997451782</v>
      </c>
      <c r="HK33" s="31">
        <v>13.5408000946045</v>
      </c>
      <c r="HL33" s="31">
        <v>13.707200050354</v>
      </c>
      <c r="HM33" s="31">
        <v>13.6529998779297</v>
      </c>
      <c r="HN33" s="31">
        <v>13.6639995574951</v>
      </c>
      <c r="HO33" s="31">
        <v>13.5790004730225</v>
      </c>
      <c r="HP33" s="31">
        <v>13.5578002929687</v>
      </c>
      <c r="HQ33" s="31">
        <v>13.5454998016357</v>
      </c>
      <c r="HR33" s="31">
        <v>13.5961999893188</v>
      </c>
      <c r="HS33" s="31">
        <v>13.4886999130249</v>
      </c>
      <c r="HT33" s="31">
        <v>13.4331998825073</v>
      </c>
      <c r="HU33" s="31">
        <v>13.4596004486084</v>
      </c>
      <c r="HV33" s="31">
        <v>13.3559999465942</v>
      </c>
      <c r="HW33" s="31">
        <v>13.4017000198364</v>
      </c>
      <c r="HX33" s="31">
        <v>13.3712997436523</v>
      </c>
      <c r="HY33" s="31">
        <v>13.3807001113892</v>
      </c>
      <c r="HZ33" s="31">
        <v>13.2593002319336</v>
      </c>
      <c r="IA33" s="31">
        <v>13.3242998123169</v>
      </c>
      <c r="IB33" s="31">
        <v>13.3065004348755</v>
      </c>
      <c r="IC33" s="31">
        <v>13.2763004302979</v>
      </c>
      <c r="ID33" s="31">
        <v>13.2541999816895</v>
      </c>
      <c r="IE33" s="31">
        <v>13.1291999816895</v>
      </c>
      <c r="IF33" s="31">
        <v>13.0773000717163</v>
      </c>
      <c r="IG33" s="31">
        <v>13.1625003814697</v>
      </c>
      <c r="IH33" s="31">
        <v>13.0825004577637</v>
      </c>
      <c r="II33" s="31">
        <v>13.1963996887207</v>
      </c>
      <c r="IJ33" s="31">
        <v>13.331000328064</v>
      </c>
      <c r="IK33" s="31">
        <v>13.3736000061035</v>
      </c>
      <c r="IL33" s="31">
        <v>13.3141002655029</v>
      </c>
      <c r="IM33" s="31">
        <v>13.2259998321533</v>
      </c>
      <c r="IN33" s="31">
        <v>13.1665000915527</v>
      </c>
      <c r="IO33" s="31">
        <v>13.0803003311157</v>
      </c>
      <c r="IP33" s="31">
        <v>13.2223997116089</v>
      </c>
      <c r="IQ33" s="31">
        <v>13.132399559021</v>
      </c>
      <c r="IR33" s="31">
        <v>13.2392997741699</v>
      </c>
      <c r="IS33" s="31">
        <v>13.2433004379272</v>
      </c>
      <c r="IT33" s="31">
        <v>13.2871999740601</v>
      </c>
      <c r="IU33" s="31">
        <v>13.2938003540039</v>
      </c>
      <c r="IV33" s="31">
        <v>13.2142000198364</v>
      </c>
      <c r="IW33" s="31">
        <v>13.2980003356934</v>
      </c>
      <c r="IX33" s="31">
        <v>13.3126001358032</v>
      </c>
      <c r="IY33" s="31">
        <v>13.207799911499</v>
      </c>
      <c r="IZ33" s="31">
        <v>13.0291004180908</v>
      </c>
      <c r="JA33" s="31">
        <v>12.9860000610352</v>
      </c>
      <c r="JB33" s="31">
        <v>12.9027996063232</v>
      </c>
      <c r="JC33" s="31">
        <v>12.8774995803833</v>
      </c>
      <c r="JD33" s="31">
        <v>12.8994998931885</v>
      </c>
      <c r="JE33" s="31">
        <v>12.8395004272461</v>
      </c>
      <c r="JF33" s="31">
        <v>13.0602998733521</v>
      </c>
      <c r="JG33" s="31">
        <v>13.0465002059937</v>
      </c>
      <c r="JH33" s="31">
        <v>12.9366998672485</v>
      </c>
      <c r="JI33" s="31">
        <v>12.7419996261597</v>
      </c>
      <c r="JJ33" s="31">
        <v>12.7473001480103</v>
      </c>
      <c r="JK33" s="31">
        <v>12.7714996337891</v>
      </c>
      <c r="JL33" s="31">
        <v>12.7652997970581</v>
      </c>
      <c r="JM33" s="31">
        <v>12.7210998535156</v>
      </c>
      <c r="JN33" s="31">
        <v>12.7039003372192</v>
      </c>
      <c r="JO33" s="31">
        <v>12.7519998550415</v>
      </c>
      <c r="JP33" s="31">
        <v>12.6947002410889</v>
      </c>
      <c r="JQ33" s="31">
        <v>12.8190002441406</v>
      </c>
      <c r="JR33" s="31">
        <v>12.8484001159668</v>
      </c>
      <c r="JS33" s="31">
        <v>12.9175996780396</v>
      </c>
      <c r="JT33" s="31">
        <v>12.8016996383667</v>
      </c>
      <c r="JU33" s="31">
        <v>12.7503004074097</v>
      </c>
      <c r="JV33" s="31">
        <v>12.7283000946045</v>
      </c>
      <c r="JW33" s="31">
        <v>12.743200302124</v>
      </c>
      <c r="JX33" s="31">
        <v>12.737099647522</v>
      </c>
      <c r="JY33" s="31">
        <v>12.7333002090454</v>
      </c>
      <c r="JZ33" s="31">
        <v>12.6838998794556</v>
      </c>
      <c r="KA33" s="31">
        <v>12.542799949646</v>
      </c>
      <c r="KB33" s="31">
        <v>12.5369997024536</v>
      </c>
      <c r="KC33" s="31">
        <v>12.5097999572754</v>
      </c>
      <c r="KD33" s="31">
        <v>12.4535999298096</v>
      </c>
      <c r="KE33" s="31">
        <v>12.3554000854492</v>
      </c>
      <c r="KF33" s="31">
        <v>12.358099937439</v>
      </c>
      <c r="KG33" s="31">
        <v>12.2741003036499</v>
      </c>
      <c r="KH33" s="31">
        <v>12.1343002319336</v>
      </c>
      <c r="KI33" s="31">
        <v>12.1870002746582</v>
      </c>
      <c r="KJ33" s="31">
        <v>12.0662002563477</v>
      </c>
      <c r="KK33" s="31">
        <v>12.0437002182007</v>
      </c>
      <c r="KL33" s="31">
        <v>12.0131998062134</v>
      </c>
      <c r="KM33" s="31">
        <v>12.095100402832</v>
      </c>
      <c r="KN33" s="31">
        <v>12.1611995697021</v>
      </c>
      <c r="KO33" s="31">
        <v>12.1803998947144</v>
      </c>
      <c r="KP33" s="31">
        <v>12.2384004592896</v>
      </c>
      <c r="KQ33" s="31">
        <v>12.7410001754761</v>
      </c>
      <c r="KR33" s="31">
        <v>12.8821001052856</v>
      </c>
      <c r="KS33" s="31">
        <v>13.3114995956421</v>
      </c>
      <c r="KT33" s="31">
        <v>13.6204996109009</v>
      </c>
      <c r="KU33" s="31">
        <v>14.6778001785278</v>
      </c>
      <c r="KV33" s="31">
        <v>15.3133001327515</v>
      </c>
      <c r="KW33" s="31">
        <v>14.3640003204346</v>
      </c>
      <c r="KX33" s="31">
        <v>14.5784997940063</v>
      </c>
      <c r="KY33" s="31">
        <v>14.2538003921509</v>
      </c>
      <c r="KZ33" s="31">
        <v>14.5621995925903</v>
      </c>
      <c r="LA33" s="31">
        <v>14.1753997802734</v>
      </c>
      <c r="LB33" s="31">
        <v>14.1971998214722</v>
      </c>
      <c r="LC33" s="31">
        <v>14.0516996383667</v>
      </c>
      <c r="LD33" s="31">
        <v>14.4281997680664</v>
      </c>
      <c r="LE33" s="31">
        <v>14.4270000457764</v>
      </c>
      <c r="LF33" s="31">
        <v>14.3837003707886</v>
      </c>
      <c r="LG33" s="31">
        <v>14.4446001052856</v>
      </c>
      <c r="LH33" s="31">
        <v>14.34850025177</v>
      </c>
      <c r="LI33" s="31">
        <v>14.4033002853394</v>
      </c>
      <c r="LJ33" s="31">
        <v>14.4884996414185</v>
      </c>
      <c r="LK33" s="31">
        <v>14.3929996490479</v>
      </c>
      <c r="LL33" s="31">
        <v>14.2646999359131</v>
      </c>
      <c r="LM33" s="31">
        <v>14.0694999694824</v>
      </c>
      <c r="LN33" s="31">
        <v>14.0677995681763</v>
      </c>
      <c r="LO33" s="31">
        <v>14.2089996337891</v>
      </c>
      <c r="LP33" s="31">
        <v>14.5233001708984</v>
      </c>
      <c r="LQ33" s="31">
        <v>14.4927997589111</v>
      </c>
      <c r="LR33" s="31">
        <v>14.854100227356</v>
      </c>
      <c r="LS33" s="31">
        <v>14.7632999420166</v>
      </c>
      <c r="LT33" s="31">
        <v>14.8101997375488</v>
      </c>
      <c r="LU33" s="31">
        <v>14.6035995483398</v>
      </c>
      <c r="LV33" s="31">
        <v>14.6999998092651</v>
      </c>
      <c r="LW33" s="31">
        <v>14.4729995727539</v>
      </c>
      <c r="LX33" s="31">
        <v>14.2885999679565</v>
      </c>
      <c r="LY33" s="31">
        <v>14.2763996124268</v>
      </c>
      <c r="LZ33" s="31">
        <v>14.3528003692627</v>
      </c>
      <c r="MA33" s="31">
        <v>14.4334001541138</v>
      </c>
      <c r="MB33" s="31">
        <v>14.4413995742798</v>
      </c>
      <c r="MC33" s="31">
        <v>14.0292997360229</v>
      </c>
      <c r="MD33" s="31">
        <v>14.0152997970581</v>
      </c>
      <c r="ME33" s="31">
        <v>14.0160999298096</v>
      </c>
      <c r="MF33" s="31">
        <v>14.2238998413086</v>
      </c>
      <c r="MG33" s="31">
        <v>14.1612997055054</v>
      </c>
      <c r="MH33" s="31">
        <v>14.279899597168</v>
      </c>
      <c r="MI33" s="31">
        <v>14.4141998291016</v>
      </c>
      <c r="MJ33" s="31">
        <v>14.4961996078491</v>
      </c>
      <c r="MK33" s="31">
        <v>14.4643001556396</v>
      </c>
      <c r="ML33" s="31">
        <v>14.4687995910645</v>
      </c>
      <c r="MM33" s="31">
        <v>14.6150999069214</v>
      </c>
      <c r="MN33" s="31">
        <v>14.6106996536255</v>
      </c>
      <c r="MO33" s="31">
        <v>14.6930999755859</v>
      </c>
      <c r="MP33" s="31">
        <v>14.708399772644</v>
      </c>
      <c r="MQ33" s="31">
        <v>14.836199760437</v>
      </c>
      <c r="MR33" s="31">
        <v>14.5620002746582</v>
      </c>
      <c r="MS33" s="31">
        <v>14.5712995529175</v>
      </c>
      <c r="MT33" s="31">
        <v>14.4819002151489</v>
      </c>
      <c r="MU33" s="31">
        <v>14.5790004730225</v>
      </c>
      <c r="MV33" s="31">
        <v>14.524299621582</v>
      </c>
      <c r="MW33" s="31">
        <v>14.5107002258301</v>
      </c>
      <c r="MX33" s="31">
        <v>14.4973001480103</v>
      </c>
      <c r="MY33" s="31">
        <v>14.6817998886108</v>
      </c>
      <c r="MZ33" s="31">
        <v>14.7024002075195</v>
      </c>
      <c r="NA33" s="31">
        <v>14.7023000717163</v>
      </c>
      <c r="NB33" s="31">
        <v>14.7103996276855</v>
      </c>
      <c r="NC33" s="31">
        <v>14.7648000717163</v>
      </c>
      <c r="ND33" s="31">
        <v>14.5543003082275</v>
      </c>
      <c r="NE33" s="31">
        <v>14.1646995544434</v>
      </c>
      <c r="NF33" s="31">
        <v>13.9657001495361</v>
      </c>
      <c r="NG33" s="31">
        <v>13.9305000305176</v>
      </c>
      <c r="NH33" s="31">
        <v>14.0347003936768</v>
      </c>
      <c r="NI33" s="31">
        <v>14.0544004440308</v>
      </c>
      <c r="NJ33" s="31">
        <v>13.9621000289917</v>
      </c>
      <c r="NK33" s="31">
        <v>13.7781000137329</v>
      </c>
      <c r="NL33" s="31">
        <v>13.7402000427246</v>
      </c>
      <c r="NM33" s="31">
        <v>14.0593004226685</v>
      </c>
      <c r="NN33" s="31">
        <v>13.9940004348755</v>
      </c>
      <c r="NO33" s="31">
        <v>14.0424003601074</v>
      </c>
      <c r="NP33" s="31">
        <v>14.0574998855591</v>
      </c>
      <c r="NQ33" s="31">
        <v>14.0440998077393</v>
      </c>
      <c r="NR33" s="31">
        <v>14.0249004364014</v>
      </c>
      <c r="NS33" s="31">
        <v>13.9041004180908</v>
      </c>
      <c r="NT33" s="31">
        <v>13.9977998733521</v>
      </c>
      <c r="NU33" s="31">
        <v>14.0673999786377</v>
      </c>
      <c r="NV33" s="31">
        <v>14.0732002258301</v>
      </c>
      <c r="NW33" s="31">
        <v>13.9652004241943</v>
      </c>
      <c r="NX33" s="31">
        <v>14.1183004379272</v>
      </c>
      <c r="NY33" s="31">
        <v>14.2378997802734</v>
      </c>
      <c r="NZ33" s="31">
        <v>14.3169002532959</v>
      </c>
      <c r="OA33" s="31">
        <v>14.3190002441406</v>
      </c>
      <c r="OB33" s="31">
        <v>14.4388999938965</v>
      </c>
      <c r="OC33" s="31">
        <v>14.3853998184204</v>
      </c>
      <c r="OD33" s="31">
        <v>14.4495000839233</v>
      </c>
      <c r="OE33" s="31">
        <v>14.4829998016357</v>
      </c>
      <c r="OF33" s="31">
        <v>14.3692998886108</v>
      </c>
      <c r="OG33" s="31">
        <v>14.4666996002197</v>
      </c>
      <c r="OH33" s="31">
        <v>14.4499998092651</v>
      </c>
      <c r="OI33" s="31">
        <v>14.5708999633789</v>
      </c>
      <c r="OJ33" s="31">
        <v>14.5201997756958</v>
      </c>
      <c r="OK33" s="31">
        <v>14.3877000808716</v>
      </c>
      <c r="OL33" s="31">
        <v>14.5192003250122</v>
      </c>
      <c r="OM33" s="31">
        <v>14.5583000183105</v>
      </c>
      <c r="ON33" s="31">
        <v>14.3331003189087</v>
      </c>
      <c r="OO33" s="31">
        <v>14.3121995925903</v>
      </c>
      <c r="OP33" s="31">
        <v>14.2793998718262</v>
      </c>
      <c r="OQ33" s="31">
        <v>14.37380027771</v>
      </c>
      <c r="OR33" s="31">
        <v>14.5131998062134</v>
      </c>
      <c r="OS33" s="31">
        <v>14.4795999526978</v>
      </c>
      <c r="OT33" s="31">
        <v>14.4331998825073</v>
      </c>
      <c r="OU33" s="31">
        <v>14.4930000305176</v>
      </c>
      <c r="OV33" s="31">
        <v>14.4513998031616</v>
      </c>
      <c r="OW33" s="31">
        <v>14.4071998596191</v>
      </c>
      <c r="OX33" s="31">
        <v>14.6765003204346</v>
      </c>
      <c r="OY33" s="31">
        <v>14.7058000564575</v>
      </c>
      <c r="OZ33" s="31">
        <v>14.7260999679565</v>
      </c>
      <c r="PA33" s="31">
        <v>14.7236003875732</v>
      </c>
      <c r="PB33" s="31">
        <v>14.6143999099731</v>
      </c>
      <c r="PC33" s="31">
        <v>14.4453001022339</v>
      </c>
      <c r="PD33" s="31">
        <v>14.430100440979</v>
      </c>
      <c r="PE33" s="31">
        <v>14.4481000900269</v>
      </c>
      <c r="PF33" s="31">
        <v>14.4158000946045</v>
      </c>
      <c r="PG33" s="31">
        <v>14.4277000427246</v>
      </c>
      <c r="PH33" s="31">
        <v>14.3013000488281</v>
      </c>
      <c r="PI33" s="31">
        <v>14.2293996810913</v>
      </c>
      <c r="PJ33" s="31">
        <v>14.2550001144409</v>
      </c>
      <c r="PK33" s="31">
        <v>14.2688999176025</v>
      </c>
      <c r="PL33" s="31">
        <v>14.2440004348755</v>
      </c>
      <c r="PM33" s="31">
        <v>13.2722997665405</v>
      </c>
      <c r="PN33" s="31">
        <v>13.5018997192383</v>
      </c>
      <c r="PO33" s="31">
        <v>13.6552000045776</v>
      </c>
      <c r="PP33" s="31">
        <v>13.7869997024536</v>
      </c>
      <c r="PQ33" s="31">
        <v>13.845100402832</v>
      </c>
      <c r="PR33" s="31">
        <v>13.9428997039795</v>
      </c>
      <c r="PS33" s="31">
        <v>13.9821996688843</v>
      </c>
      <c r="PT33" s="31">
        <v>14.0438995361328</v>
      </c>
      <c r="PU33" s="31">
        <v>14.0586996078491</v>
      </c>
      <c r="PV33" s="31">
        <v>14.0593996047974</v>
      </c>
      <c r="PW33" s="31">
        <v>14.0820999145508</v>
      </c>
      <c r="PX33" s="31">
        <v>14.1272001266479</v>
      </c>
      <c r="PY33" s="31">
        <v>14.086799621582</v>
      </c>
      <c r="PZ33" s="31">
        <v>14.0982999801636</v>
      </c>
      <c r="QA33" s="31">
        <v>14.0943002700806</v>
      </c>
      <c r="QB33" s="31">
        <v>14.1922998428345</v>
      </c>
      <c r="QC33" s="31">
        <v>14.2285003662109</v>
      </c>
      <c r="QD33" s="31">
        <v>14.2132997512817</v>
      </c>
      <c r="QE33" s="31">
        <v>14.3515996932983</v>
      </c>
      <c r="QF33" s="31">
        <v>14.4718999862671</v>
      </c>
      <c r="QG33" s="31">
        <v>14.5003004074097</v>
      </c>
      <c r="QH33" s="31">
        <v>14.4589996337891</v>
      </c>
      <c r="QI33" s="31">
        <v>14.5380001068115</v>
      </c>
      <c r="QJ33" s="31">
        <v>14.5710000991821</v>
      </c>
      <c r="QK33" s="31">
        <v>14.6990003585815</v>
      </c>
      <c r="QL33" s="31">
        <v>14.6015996932983</v>
      </c>
      <c r="QM33" s="31">
        <v>14.540599822998</v>
      </c>
      <c r="QN33" s="31">
        <v>14.5406999588013</v>
      </c>
      <c r="QO33" s="31">
        <v>14.6010999679565</v>
      </c>
      <c r="QP33" s="31">
        <v>14.6367998123169</v>
      </c>
      <c r="QQ33" s="31">
        <v>14.6101999282837</v>
      </c>
      <c r="QR33" s="31">
        <v>14.4805002212524</v>
      </c>
      <c r="QS33" s="31">
        <v>14.4760999679565</v>
      </c>
      <c r="QT33" s="31">
        <v>14.4569997787476</v>
      </c>
      <c r="QU33" s="31">
        <v>14.4483995437622</v>
      </c>
      <c r="QV33" s="31">
        <v>14.5361003875732</v>
      </c>
      <c r="QW33" s="31">
        <v>14.4895000457764</v>
      </c>
      <c r="QX33" s="31">
        <v>14.5572996139526</v>
      </c>
      <c r="QY33" s="31">
        <v>14.608699798584</v>
      </c>
      <c r="QZ33" s="31">
        <v>14.6415996551514</v>
      </c>
      <c r="RA33" s="31">
        <v>14.6423997879028</v>
      </c>
      <c r="RB33" s="31">
        <v>14.6912002563477</v>
      </c>
      <c r="RC33" s="31">
        <v>14.6314001083374</v>
      </c>
      <c r="RD33" s="31">
        <v>14.7018003463745</v>
      </c>
      <c r="RE33" s="31">
        <v>14.7069997787476</v>
      </c>
      <c r="RF33" s="31">
        <v>14.6163997650146</v>
      </c>
      <c r="RG33" s="31">
        <v>14.6645002365112</v>
      </c>
      <c r="RH33" s="31">
        <v>14.6570997238159</v>
      </c>
      <c r="RI33" s="31">
        <v>14.6723003387451</v>
      </c>
      <c r="RJ33" s="31">
        <v>14.6331996917725</v>
      </c>
      <c r="RK33" s="31">
        <v>14.6430997848511</v>
      </c>
      <c r="RL33" s="31">
        <v>14.7637996673584</v>
      </c>
      <c r="RM33" s="31">
        <v>14.9160995483398</v>
      </c>
      <c r="RN33" s="31">
        <v>15.0677003860474</v>
      </c>
      <c r="RO33" s="31">
        <v>15.0671997070312</v>
      </c>
      <c r="RP33" s="31">
        <v>14.9343996047974</v>
      </c>
      <c r="RQ33" s="31">
        <v>15.0136003494263</v>
      </c>
      <c r="RR33" s="31">
        <v>15.0893001556396</v>
      </c>
      <c r="RS33" s="31">
        <v>15.0790004730225</v>
      </c>
      <c r="RT33" s="31">
        <v>15.0930004119873</v>
      </c>
      <c r="RU33" s="31">
        <v>15.152099609375</v>
      </c>
      <c r="RV33" s="31">
        <v>15.1478996276855</v>
      </c>
      <c r="RW33" s="31">
        <v>15.2378997802734</v>
      </c>
      <c r="RX33" s="31">
        <v>15.2329998016357</v>
      </c>
      <c r="RY33" s="31">
        <v>15.3118000030518</v>
      </c>
      <c r="RZ33" s="31">
        <v>15.2974004745483</v>
      </c>
      <c r="SA33" s="31">
        <v>15.3354997634888</v>
      </c>
      <c r="SB33" s="31">
        <v>15.2882995605469</v>
      </c>
      <c r="SC33" s="31">
        <v>15.2818002700806</v>
      </c>
      <c r="SD33" s="31">
        <v>15.3219003677368</v>
      </c>
      <c r="SE33" s="31">
        <v>15.3900995254517</v>
      </c>
      <c r="SF33" s="31">
        <v>15.4750003814697</v>
      </c>
      <c r="SG33" s="31">
        <v>15.5532999038696</v>
      </c>
      <c r="SH33" s="31">
        <v>15.5635995864868</v>
      </c>
      <c r="SI33" s="31">
        <v>15.6414003372192</v>
      </c>
      <c r="SJ33" s="31">
        <v>15.5836000442505</v>
      </c>
      <c r="SK33" s="31">
        <v>15.5972995758057</v>
      </c>
      <c r="SL33" s="31">
        <v>15.631799697876</v>
      </c>
      <c r="SM33" s="31">
        <v>15.6679000854492</v>
      </c>
      <c r="SN33" s="31">
        <v>15.479100227356</v>
      </c>
      <c r="SO33" s="31">
        <v>15.4188995361328</v>
      </c>
      <c r="SP33" s="31">
        <v>15.5206003189087</v>
      </c>
      <c r="SQ33" s="31">
        <v>15.6688003540039</v>
      </c>
      <c r="SR33" s="31">
        <v>15.7230997085571</v>
      </c>
      <c r="SS33" s="31">
        <v>15.7242002487183</v>
      </c>
      <c r="ST33" s="31">
        <v>15.6876001358032</v>
      </c>
      <c r="SU33" s="31">
        <v>15.7047996520996</v>
      </c>
      <c r="SV33" s="31">
        <v>15.7881002426147</v>
      </c>
      <c r="SW33" s="31">
        <v>15.8362998962402</v>
      </c>
      <c r="SX33" s="31">
        <v>15.7771997451782</v>
      </c>
      <c r="SY33" s="31">
        <v>15.8767995834351</v>
      </c>
      <c r="SZ33" s="31">
        <v>15.9839000701904</v>
      </c>
      <c r="TA33" s="31">
        <v>15.972900390625</v>
      </c>
      <c r="TB33" s="31">
        <v>16.1264991760254</v>
      </c>
      <c r="TC33" s="31">
        <v>16.1606998443604</v>
      </c>
      <c r="TD33" s="31">
        <v>16.4088001251221</v>
      </c>
      <c r="TE33" s="31">
        <v>16.6315994262695</v>
      </c>
      <c r="TF33" s="31">
        <v>16.5736999511719</v>
      </c>
      <c r="TG33" s="31">
        <v>16.288200378418</v>
      </c>
      <c r="TH33" s="31">
        <v>16.5659008026123</v>
      </c>
      <c r="TI33" s="31">
        <v>16.5610008239746</v>
      </c>
      <c r="TJ33" s="31">
        <v>16.5914001464844</v>
      </c>
      <c r="TK33" s="31">
        <v>16.5636005401611</v>
      </c>
      <c r="TL33" s="31">
        <v>16.3812999725342</v>
      </c>
      <c r="TM33" s="31">
        <v>16.1968002319336</v>
      </c>
      <c r="TN33" s="31">
        <v>16.3428001403809</v>
      </c>
      <c r="TO33" s="31">
        <v>16.3976001739502</v>
      </c>
      <c r="TP33" s="31">
        <v>16.3103008270264</v>
      </c>
      <c r="TQ33" s="31">
        <v>16.3432006835938</v>
      </c>
      <c r="TR33" s="31">
        <v>16.585599899292</v>
      </c>
      <c r="TS33" s="31">
        <v>16.5834007263184</v>
      </c>
      <c r="TT33" s="31">
        <v>16.5415000915527</v>
      </c>
      <c r="TU33" s="31">
        <v>16.5400009155273</v>
      </c>
      <c r="TV33" s="31">
        <v>16.6053009033203</v>
      </c>
      <c r="TW33" s="31">
        <v>16.400899887085</v>
      </c>
      <c r="TX33" s="31">
        <v>16.3658008575439</v>
      </c>
      <c r="TY33" s="31">
        <v>16.3827991485596</v>
      </c>
      <c r="TZ33" s="31">
        <v>16.3819007873535</v>
      </c>
      <c r="UA33" s="31">
        <v>16.5090999603271</v>
      </c>
      <c r="UB33" s="31">
        <v>16.5079002380371</v>
      </c>
      <c r="UC33" s="31">
        <v>16.4109001159668</v>
      </c>
      <c r="UD33" s="31">
        <v>16.5417003631592</v>
      </c>
      <c r="UE33" s="31">
        <v>16.6235008239746</v>
      </c>
      <c r="UF33" s="31">
        <v>16.8332004547119</v>
      </c>
      <c r="UG33" s="31">
        <v>16.6891002655029</v>
      </c>
      <c r="UH33" s="31">
        <v>16.6686992645264</v>
      </c>
      <c r="UI33" s="31">
        <v>16.5925998687744</v>
      </c>
      <c r="UJ33" s="31">
        <v>16.7754001617432</v>
      </c>
      <c r="UK33" s="31">
        <v>16.8176002502441</v>
      </c>
      <c r="UL33" s="31">
        <v>16.5128993988037</v>
      </c>
      <c r="UM33" s="31">
        <v>16.5921993255615</v>
      </c>
      <c r="UN33" s="31">
        <v>16.7921009063721</v>
      </c>
      <c r="UO33" s="31">
        <v>16.8057994842529</v>
      </c>
      <c r="UP33" s="31">
        <v>16.8486995697021</v>
      </c>
      <c r="UQ33" s="31">
        <v>16.9473991394043</v>
      </c>
      <c r="UR33" s="31">
        <v>17.0898990631104</v>
      </c>
      <c r="US33" s="31">
        <v>17.0048999786377</v>
      </c>
      <c r="UT33" s="31">
        <v>16.9601001739502</v>
      </c>
      <c r="UU33" s="31">
        <v>16.81369972229</v>
      </c>
      <c r="UV33" s="31">
        <v>16.4543991088867</v>
      </c>
      <c r="UW33" s="31">
        <v>16.5557994842529</v>
      </c>
      <c r="UX33" s="31">
        <v>16.5151996612549</v>
      </c>
      <c r="UY33" s="31">
        <v>16.5338001251221</v>
      </c>
      <c r="UZ33" s="31">
        <v>16.6909999847412</v>
      </c>
      <c r="VA33" s="31">
        <v>16.6466999053955</v>
      </c>
      <c r="VB33" s="31">
        <v>16.7397994995117</v>
      </c>
      <c r="VC33" s="31">
        <v>16.6760005950928</v>
      </c>
      <c r="VD33" s="31">
        <v>16.6951999664307</v>
      </c>
      <c r="VE33" s="31">
        <v>16.7931995391846</v>
      </c>
      <c r="VF33" s="31">
        <v>16.6422004699707</v>
      </c>
      <c r="VG33" s="31">
        <v>16.5629997253418</v>
      </c>
      <c r="VH33" s="31">
        <v>16.4452991485596</v>
      </c>
      <c r="VI33" s="31">
        <v>16.4983005523682</v>
      </c>
      <c r="VJ33" s="31">
        <v>16.4647006988525</v>
      </c>
      <c r="VK33" s="31">
        <v>16.1002006530762</v>
      </c>
      <c r="VL33" s="31">
        <v>16.0879001617432</v>
      </c>
      <c r="VM33" s="31">
        <v>16.2236003875732</v>
      </c>
      <c r="VN33" s="31">
        <v>16.1926002502441</v>
      </c>
      <c r="VO33" s="31">
        <v>16.235200881958</v>
      </c>
      <c r="VP33" s="31">
        <v>16.2703990936279</v>
      </c>
      <c r="VQ33" s="31">
        <v>16.3745002746582</v>
      </c>
      <c r="VR33" s="31">
        <v>16.3145999908447</v>
      </c>
      <c r="VS33" s="31">
        <v>16.2236003875732</v>
      </c>
      <c r="VT33" s="31">
        <v>16.2220001220703</v>
      </c>
      <c r="VU33" s="31">
        <v>16.3269004821777</v>
      </c>
      <c r="VV33" s="31">
        <v>16.4015007019043</v>
      </c>
      <c r="VW33" s="31">
        <v>16.3400001525879</v>
      </c>
      <c r="VX33" s="31">
        <v>16.2924995422363</v>
      </c>
      <c r="VY33" s="31">
        <v>16.1769008636475</v>
      </c>
      <c r="VZ33" s="31">
        <v>16.2397994995117</v>
      </c>
      <c r="WA33" s="31">
        <v>16.1557006835938</v>
      </c>
      <c r="WB33" s="31">
        <v>15.9858999252319</v>
      </c>
      <c r="WC33" s="31">
        <v>16.1695995330811</v>
      </c>
      <c r="WD33" s="31">
        <v>16.2178993225098</v>
      </c>
      <c r="WE33" s="31">
        <v>16.2612991333008</v>
      </c>
      <c r="WF33" s="31">
        <v>16.3633003234863</v>
      </c>
      <c r="WG33" s="31">
        <v>16.3824005126953</v>
      </c>
      <c r="WH33" s="31">
        <v>16.4580993652344</v>
      </c>
      <c r="WI33" s="31">
        <v>16.5207996368408</v>
      </c>
      <c r="WJ33" s="31">
        <v>16.5340995788574</v>
      </c>
      <c r="WK33" s="31">
        <v>16.5578994750977</v>
      </c>
      <c r="WL33" s="31">
        <v>16.565299987793</v>
      </c>
      <c r="WM33" s="31">
        <v>16.5904006958008</v>
      </c>
      <c r="WN33" s="31">
        <v>16.8040008544922</v>
      </c>
      <c r="WO33" s="31">
        <v>17.0400009155273</v>
      </c>
      <c r="WP33" s="31">
        <v>17.0244007110596</v>
      </c>
      <c r="WQ33" s="31">
        <v>17.0002994537354</v>
      </c>
      <c r="WR33" s="31">
        <v>17.1354007720947</v>
      </c>
      <c r="WS33" s="31">
        <v>17.2887992858887</v>
      </c>
      <c r="WT33" s="31">
        <v>17.2180995941162</v>
      </c>
      <c r="WU33" s="31">
        <v>17.1387996673584</v>
      </c>
      <c r="WV33" s="31">
        <v>17.0764007568359</v>
      </c>
      <c r="WW33" s="31">
        <v>17.0154991149902</v>
      </c>
      <c r="WX33" s="31">
        <v>17.0492992401123</v>
      </c>
      <c r="WY33" s="31">
        <v>17.0541000366211</v>
      </c>
      <c r="WZ33" s="31">
        <v>17.0571994781494</v>
      </c>
      <c r="XA33" s="31">
        <v>17.0737991333008</v>
      </c>
      <c r="XB33" s="31">
        <v>17.0976009368896</v>
      </c>
      <c r="XC33" s="31">
        <v>17.1149997711182</v>
      </c>
      <c r="XD33" s="31">
        <v>17.1502990722656</v>
      </c>
      <c r="XE33" s="31">
        <v>17.233699798584</v>
      </c>
      <c r="XF33" s="31">
        <v>17.2828006744385</v>
      </c>
      <c r="XG33" s="31">
        <v>17.1140995025635</v>
      </c>
      <c r="XH33" s="31">
        <v>16.6903991699219</v>
      </c>
      <c r="XI33" s="31">
        <v>16.8656997680664</v>
      </c>
      <c r="XJ33" s="31">
        <v>17.0265998840332</v>
      </c>
      <c r="XK33" s="31">
        <v>16.9242000579834</v>
      </c>
      <c r="XL33" s="31">
        <v>16.8899993896484</v>
      </c>
      <c r="XM33" s="31">
        <v>17.1063995361328</v>
      </c>
      <c r="XN33" s="31">
        <v>17.1429004669189</v>
      </c>
      <c r="XO33" s="31">
        <v>17.1613998413086</v>
      </c>
      <c r="XP33" s="31">
        <v>17.154899597168</v>
      </c>
      <c r="XQ33" s="31">
        <v>16.9321002960205</v>
      </c>
      <c r="XR33" s="31">
        <v>17.1028003692627</v>
      </c>
      <c r="XS33" s="31">
        <v>17.1870994567871</v>
      </c>
      <c r="XT33" s="31">
        <v>17.1587009429932</v>
      </c>
      <c r="XU33" s="31">
        <v>17.2003993988037</v>
      </c>
      <c r="XV33" s="31">
        <v>17.3241004943848</v>
      </c>
      <c r="XW33" s="31">
        <v>17.1664009094238</v>
      </c>
      <c r="XX33" s="31">
        <v>16.9923000335693</v>
      </c>
      <c r="XY33" s="31">
        <v>17.0834007263184</v>
      </c>
      <c r="XZ33" s="31">
        <v>17.1247005462646</v>
      </c>
      <c r="YA33" s="31">
        <v>17.0492000579834</v>
      </c>
      <c r="YB33" s="31">
        <v>17.118200302124</v>
      </c>
      <c r="YC33" s="31">
        <v>17.1798000335693</v>
      </c>
      <c r="YD33" s="31">
        <v>17.1798992156982</v>
      </c>
      <c r="YE33" s="31">
        <v>17.0503005981445</v>
      </c>
      <c r="YF33" s="31">
        <v>17.0060005187988</v>
      </c>
      <c r="YG33" s="31">
        <v>16.8812999725342</v>
      </c>
      <c r="YH33" s="31">
        <v>16.9335994720459</v>
      </c>
      <c r="YI33" s="31">
        <v>16.7626991271973</v>
      </c>
      <c r="YJ33" s="31">
        <v>16.5902996063232</v>
      </c>
      <c r="YK33" s="31">
        <v>16.0037002563477</v>
      </c>
      <c r="YL33" s="31">
        <v>16.2730007171631</v>
      </c>
      <c r="YM33" s="31">
        <v>16.4601993560791</v>
      </c>
      <c r="YN33" s="31">
        <v>16.3444995880127</v>
      </c>
      <c r="YO33" s="31">
        <v>16.5182991027832</v>
      </c>
      <c r="YP33" s="31">
        <v>16.5646991729736</v>
      </c>
      <c r="YQ33" s="31">
        <v>16.5519008636475</v>
      </c>
      <c r="YR33" s="31">
        <v>16.7553997039795</v>
      </c>
      <c r="YS33" s="31">
        <v>16.6399002075195</v>
      </c>
      <c r="YT33" s="31">
        <v>16.4789009094238</v>
      </c>
      <c r="YU33" s="31">
        <v>16.528299331665</v>
      </c>
      <c r="YV33" s="31">
        <v>16.9099998474121</v>
      </c>
      <c r="YW33" s="31">
        <v>16.806999206543</v>
      </c>
      <c r="YX33" s="31">
        <v>16.8703994750977</v>
      </c>
      <c r="YY33" s="31">
        <v>16.8731994628906</v>
      </c>
      <c r="YZ33" s="31">
        <v>17.0161991119385</v>
      </c>
      <c r="ZA33" s="31">
        <v>17.023099899292</v>
      </c>
      <c r="ZB33" s="31">
        <v>17.113000869751</v>
      </c>
      <c r="ZC33" s="31">
        <v>17.1189002990723</v>
      </c>
      <c r="ZD33" s="31">
        <v>17.2698993682861</v>
      </c>
      <c r="ZE33" s="31">
        <v>17.3139991760254</v>
      </c>
      <c r="ZF33" s="31">
        <v>17.3311996459961</v>
      </c>
      <c r="ZG33" s="31">
        <v>17.279899597168</v>
      </c>
      <c r="ZH33" s="31">
        <v>17.2339992523193</v>
      </c>
      <c r="ZI33" s="31">
        <v>17.3255004882813</v>
      </c>
      <c r="ZJ33" s="31">
        <v>17.3939990997314</v>
      </c>
      <c r="ZK33" s="31">
        <v>17.4734001159668</v>
      </c>
      <c r="ZL33" s="31">
        <v>17.5594997406006</v>
      </c>
      <c r="ZM33" s="31">
        <v>17.7203006744385</v>
      </c>
      <c r="ZN33" s="31">
        <v>17.7672996520996</v>
      </c>
      <c r="ZO33" s="31">
        <v>17.7586994171143</v>
      </c>
      <c r="ZP33" s="31">
        <v>17.8920001983643</v>
      </c>
      <c r="ZQ33" s="31">
        <v>17.8542003631592</v>
      </c>
      <c r="ZR33" s="31">
        <v>17.9444999694824</v>
      </c>
      <c r="ZS33" s="31">
        <v>17.7045993804932</v>
      </c>
      <c r="ZT33" s="31">
        <v>17.5447998046875</v>
      </c>
      <c r="ZU33" s="31">
        <v>17.5301990509033</v>
      </c>
      <c r="ZV33" s="31">
        <v>17.6868000030518</v>
      </c>
      <c r="ZW33" s="31">
        <v>17.6702995300293</v>
      </c>
      <c r="ZX33" s="31">
        <v>17.3360004425049</v>
      </c>
      <c r="ZY33" s="31">
        <v>17.4645004272461</v>
      </c>
      <c r="ZZ33" s="31">
        <v>17.6445007324219</v>
      </c>
      <c r="AAA33" s="31">
        <v>17.63330078125</v>
      </c>
      <c r="AAB33" s="31">
        <v>17.4165000915527</v>
      </c>
      <c r="AAC33" s="31">
        <v>17.4398994445801</v>
      </c>
      <c r="AAD33" s="31">
        <v>17.3302001953125</v>
      </c>
      <c r="AAE33" s="31">
        <v>17.2924995422363</v>
      </c>
      <c r="AAF33" s="31">
        <v>17.3733997344971</v>
      </c>
      <c r="AAG33" s="31">
        <v>17.4123001098633</v>
      </c>
      <c r="AAH33" s="31">
        <v>17.3015995025635</v>
      </c>
      <c r="AAI33" s="31">
        <v>17.1660003662109</v>
      </c>
      <c r="AAJ33" s="31">
        <v>16.9260997772217</v>
      </c>
      <c r="AAK33" s="31">
        <v>17.1033000946045</v>
      </c>
      <c r="AAL33" s="31">
        <v>17.0499992370605</v>
      </c>
      <c r="AAM33" s="31">
        <v>17.0328998565674</v>
      </c>
      <c r="AAN33" s="31">
        <v>17.2110996246338</v>
      </c>
      <c r="AAO33" s="31">
        <v>17.2413997650146</v>
      </c>
      <c r="AAP33" s="31">
        <v>17.1840991973877</v>
      </c>
      <c r="AAQ33" s="31">
        <v>17.2457008361816</v>
      </c>
      <c r="AAR33" s="31">
        <v>17.1417999267578</v>
      </c>
      <c r="AAS33" s="31">
        <v>17.4435997009277</v>
      </c>
      <c r="AAT33" s="31">
        <v>17.2283000946045</v>
      </c>
      <c r="AAU33" s="31">
        <v>17.2313995361328</v>
      </c>
      <c r="AAV33" s="31">
        <v>17.2632999420166</v>
      </c>
      <c r="AAW33" s="31">
        <v>16.8841991424561</v>
      </c>
      <c r="AAX33" s="31">
        <v>17.0879001617432</v>
      </c>
      <c r="AAY33" s="31">
        <v>17.1315002441406</v>
      </c>
      <c r="AAZ33" s="31">
        <v>17.198299407959</v>
      </c>
      <c r="ABA33" s="31">
        <v>16.8787994384766</v>
      </c>
      <c r="ABB33" s="31">
        <v>16.9409999847412</v>
      </c>
      <c r="ABC33" s="31">
        <v>16.9409008026123</v>
      </c>
      <c r="ABD33" s="31"/>
      <c r="ABE33" s="31"/>
      <c r="ABF33" s="32"/>
      <c r="ABG33" s="32"/>
      <c r="ABH33" s="32"/>
      <c r="ABI33" s="32"/>
      <c r="ABJ33" s="32"/>
      <c r="ABK33" s="32"/>
      <c r="ABL33" s="32"/>
      <c r="ABM33" s="32"/>
      <c r="ABN33" s="32"/>
      <c r="ABO33" s="32"/>
      <c r="ABP33" s="32"/>
      <c r="ABQ33" s="32"/>
      <c r="ABR33" s="32"/>
      <c r="ABS33" s="32"/>
      <c r="ABT33" s="32"/>
      <c r="ABU33" s="32"/>
      <c r="ABV33" s="32"/>
      <c r="ABW33" s="32"/>
      <c r="ABX33" s="32"/>
      <c r="ABY33" s="32"/>
      <c r="ABZ33" s="32"/>
      <c r="ACA33" s="32"/>
      <c r="ACB33" s="32"/>
      <c r="ACC33" s="32"/>
      <c r="ACD33" s="32"/>
      <c r="ACE33" s="32"/>
      <c r="ACF33" s="32"/>
      <c r="ACG33" s="32"/>
      <c r="ACH33" s="32"/>
      <c r="ACI33" s="32"/>
      <c r="ACJ33" s="32"/>
      <c r="ACK33" s="32"/>
    </row>
    <row r="34" ht="13.5" customHeight="1" spans="1:765">
      <c r="A34" s="28"/>
      <c r="B34" s="28"/>
      <c r="C34" s="29"/>
      <c r="D34" s="30" t="str">
        <f>[1]!s_info_name(E34)</f>
        <v>深证成指</v>
      </c>
      <c r="E34" s="29" t="s">
        <v>14</v>
      </c>
      <c r="F34" s="31">
        <v>23.253999710083</v>
      </c>
      <c r="G34" s="31">
        <v>23.0977001190186</v>
      </c>
      <c r="H34" s="31">
        <v>23.2133007049561</v>
      </c>
      <c r="I34" s="31">
        <v>23.3840007781982</v>
      </c>
      <c r="J34" s="31">
        <v>23.1707992553711</v>
      </c>
      <c r="K34" s="31">
        <v>23.5294990539551</v>
      </c>
      <c r="L34" s="31">
        <v>23.476900100708</v>
      </c>
      <c r="M34" s="31">
        <v>23.3293991088867</v>
      </c>
      <c r="N34" s="31">
        <v>23.2572002410889</v>
      </c>
      <c r="O34" s="31">
        <v>23.1837005615234</v>
      </c>
      <c r="P34" s="31">
        <v>22.9778995513916</v>
      </c>
      <c r="Q34" s="31">
        <v>22.9787998199463</v>
      </c>
      <c r="R34" s="31">
        <v>22.8458995819092</v>
      </c>
      <c r="S34" s="31">
        <v>23.4489994049072</v>
      </c>
      <c r="T34" s="31">
        <v>23.2490005493164</v>
      </c>
      <c r="U34" s="31">
        <v>23.1711006164551</v>
      </c>
      <c r="V34" s="31">
        <v>23.557300567627</v>
      </c>
      <c r="W34" s="31">
        <v>23.7665004730225</v>
      </c>
      <c r="X34" s="31">
        <v>23.6746006011963</v>
      </c>
      <c r="Y34" s="31">
        <v>23.5853004455566</v>
      </c>
      <c r="Z34" s="31">
        <v>23.7087001800537</v>
      </c>
      <c r="AA34" s="31">
        <v>23.8376007080078</v>
      </c>
      <c r="AB34" s="31">
        <v>23.6226997375488</v>
      </c>
      <c r="AC34" s="31">
        <v>23.5478000640869</v>
      </c>
      <c r="AD34" s="31">
        <v>23.4377994537354</v>
      </c>
      <c r="AE34" s="31">
        <v>23.463399887085</v>
      </c>
      <c r="AF34" s="31">
        <v>22.9720993041992</v>
      </c>
      <c r="AG34" s="31">
        <v>22.8820991516113</v>
      </c>
      <c r="AH34" s="31">
        <v>22.7684001922607</v>
      </c>
      <c r="AI34" s="31">
        <v>22.5816993713379</v>
      </c>
      <c r="AJ34" s="31">
        <v>22.7080993652344</v>
      </c>
      <c r="AK34" s="31">
        <v>22.327600479126</v>
      </c>
      <c r="AL34" s="31">
        <v>22.0545997619629</v>
      </c>
      <c r="AM34" s="31">
        <v>22.2227993011475</v>
      </c>
      <c r="AN34" s="31">
        <v>21.8265991210938</v>
      </c>
      <c r="AO34" s="31">
        <v>22.0104007720947</v>
      </c>
      <c r="AP34" s="31">
        <v>21.7350997924805</v>
      </c>
      <c r="AQ34" s="31">
        <v>22.0610008239746</v>
      </c>
      <c r="AR34" s="31">
        <v>22.4109992980957</v>
      </c>
      <c r="AS34" s="31">
        <v>22.5303993225098</v>
      </c>
      <c r="AT34" s="31">
        <v>22.7991008758545</v>
      </c>
      <c r="AU34" s="31">
        <v>22.9188995361328</v>
      </c>
      <c r="AV34" s="31">
        <v>23.2448997497559</v>
      </c>
      <c r="AW34" s="31">
        <v>23.0914993286133</v>
      </c>
      <c r="AX34" s="31">
        <v>23.0389003753662</v>
      </c>
      <c r="AY34" s="31">
        <v>22.6368999481201</v>
      </c>
      <c r="AZ34" s="31">
        <v>22.5531005859375</v>
      </c>
      <c r="BA34" s="31">
        <v>22.7730007171631</v>
      </c>
      <c r="BB34" s="31">
        <v>22.7588005065918</v>
      </c>
      <c r="BC34" s="31">
        <v>22.5294990539551</v>
      </c>
      <c r="BD34" s="31">
        <v>22.4176006317139</v>
      </c>
      <c r="BE34" s="31">
        <v>22.316499710083</v>
      </c>
      <c r="BF34" s="31">
        <v>22.4332008361816</v>
      </c>
      <c r="BG34" s="31">
        <v>22.2919006347656</v>
      </c>
      <c r="BH34" s="31">
        <v>22.1697998046875</v>
      </c>
      <c r="BI34" s="31">
        <v>21.9599990844727</v>
      </c>
      <c r="BJ34" s="31">
        <v>22.3582000732422</v>
      </c>
      <c r="BK34" s="31">
        <v>22.2413005828857</v>
      </c>
      <c r="BL34" s="31">
        <v>22.0997009277344</v>
      </c>
      <c r="BM34" s="31">
        <v>22.1816997528076</v>
      </c>
      <c r="BN34" s="31">
        <v>22.1888008117676</v>
      </c>
      <c r="BO34" s="31">
        <v>22.1790008544922</v>
      </c>
      <c r="BP34" s="31">
        <v>22.0447998046875</v>
      </c>
      <c r="BQ34" s="31">
        <v>22.0993003845215</v>
      </c>
      <c r="BR34" s="31">
        <v>22.3015995025635</v>
      </c>
      <c r="BS34" s="31">
        <v>22.0802993774414</v>
      </c>
      <c r="BT34" s="31">
        <v>21.7959995269775</v>
      </c>
      <c r="BU34" s="31">
        <v>21.8306999206543</v>
      </c>
      <c r="BV34" s="31">
        <v>21.5792007446289</v>
      </c>
      <c r="BW34" s="31">
        <v>21.216100692749</v>
      </c>
      <c r="BX34" s="31">
        <v>21.0319004058838</v>
      </c>
      <c r="BY34" s="31">
        <v>20.6919002532959</v>
      </c>
      <c r="BZ34" s="31">
        <v>20.8365001678467</v>
      </c>
      <c r="CA34" s="31">
        <v>20.8855991363525</v>
      </c>
      <c r="CB34" s="31">
        <v>21.0571002960205</v>
      </c>
      <c r="CC34" s="31">
        <v>21.6476001739502</v>
      </c>
      <c r="CD34" s="31">
        <v>22.2539005279541</v>
      </c>
      <c r="CE34" s="31">
        <v>21.9596004486084</v>
      </c>
      <c r="CF34" s="31">
        <v>21.9037990570068</v>
      </c>
      <c r="CG34" s="31">
        <v>21.7031993865967</v>
      </c>
      <c r="CH34" s="31">
        <v>21.9377994537354</v>
      </c>
      <c r="CI34" s="31">
        <v>22.3798999786377</v>
      </c>
      <c r="CJ34" s="31">
        <v>22.3314990997314</v>
      </c>
      <c r="CK34" s="31">
        <v>22.3134002685547</v>
      </c>
      <c r="CL34" s="31">
        <v>22.2693996429443</v>
      </c>
      <c r="CM34" s="31">
        <v>22.1522006988525</v>
      </c>
      <c r="CN34" s="31">
        <v>22.1683006286621</v>
      </c>
      <c r="CO34" s="31">
        <v>22.2078990936279</v>
      </c>
      <c r="CP34" s="31">
        <v>22.3700008392334</v>
      </c>
      <c r="CQ34" s="31">
        <v>22.1107006072998</v>
      </c>
      <c r="CR34" s="31">
        <v>22.1487007141113</v>
      </c>
      <c r="CS34" s="31">
        <v>22.2355995178223</v>
      </c>
      <c r="CT34" s="31">
        <v>22.1944007873535</v>
      </c>
      <c r="CU34" s="31">
        <v>21.8950004577637</v>
      </c>
      <c r="CV34" s="31">
        <v>22.0674991607666</v>
      </c>
      <c r="CW34" s="31">
        <v>21.8691005706787</v>
      </c>
      <c r="CX34" s="31">
        <v>21.7378997802734</v>
      </c>
      <c r="CY34" s="31">
        <v>21.8462009429932</v>
      </c>
      <c r="CZ34" s="31">
        <v>21.6429996490479</v>
      </c>
      <c r="DA34" s="31">
        <v>21.6121006011963</v>
      </c>
      <c r="DB34" s="31">
        <v>21.5711002349854</v>
      </c>
      <c r="DC34" s="31">
        <v>21.4433002471924</v>
      </c>
      <c r="DD34" s="31">
        <v>21.0433006286621</v>
      </c>
      <c r="DE34" s="31">
        <v>21.1728992462158</v>
      </c>
      <c r="DF34" s="31">
        <v>21.1322002410889</v>
      </c>
      <c r="DG34" s="31">
        <v>21.1956005096436</v>
      </c>
      <c r="DH34" s="31">
        <v>21.1364994049072</v>
      </c>
      <c r="DI34" s="31">
        <v>21.1235008239746</v>
      </c>
      <c r="DJ34" s="31">
        <v>20.8006000518799</v>
      </c>
      <c r="DK34" s="31">
        <v>20.675199508667</v>
      </c>
      <c r="DL34" s="31">
        <v>20.6047992706299</v>
      </c>
      <c r="DM34" s="31">
        <v>20.3887004852295</v>
      </c>
      <c r="DN34" s="31">
        <v>20.3889999389648</v>
      </c>
      <c r="DO34" s="31">
        <v>20.1245002746582</v>
      </c>
      <c r="DP34" s="31">
        <v>20.332799911499</v>
      </c>
      <c r="DQ34" s="31">
        <v>20.2670993804932</v>
      </c>
      <c r="DR34" s="31">
        <v>20.3453006744385</v>
      </c>
      <c r="DS34" s="31">
        <v>20.1424007415771</v>
      </c>
      <c r="DT34" s="31">
        <v>20.2138996124268</v>
      </c>
      <c r="DU34" s="31">
        <v>20.7418003082275</v>
      </c>
      <c r="DV34" s="31">
        <v>20.9018993377686</v>
      </c>
      <c r="DW34" s="31">
        <v>20.6438999176025</v>
      </c>
      <c r="DX34" s="31">
        <v>20.5114994049072</v>
      </c>
      <c r="DY34" s="31">
        <v>20.266300201416</v>
      </c>
      <c r="DZ34" s="31">
        <v>20.068000793457</v>
      </c>
      <c r="EA34" s="31">
        <v>19.7017993927002</v>
      </c>
      <c r="EB34" s="31">
        <v>19.7569999694824</v>
      </c>
      <c r="EC34" s="31">
        <v>19.6530990600586</v>
      </c>
      <c r="ED34" s="31">
        <v>19.9186992645264</v>
      </c>
      <c r="EE34" s="31">
        <v>19.8176002502441</v>
      </c>
      <c r="EF34" s="31">
        <v>19.7479000091553</v>
      </c>
      <c r="EG34" s="31">
        <v>19.8078994750977</v>
      </c>
      <c r="EH34" s="31">
        <v>19.3101005554199</v>
      </c>
      <c r="EI34" s="31">
        <v>19.4708995819092</v>
      </c>
      <c r="EJ34" s="31">
        <v>19.3491992950439</v>
      </c>
      <c r="EK34" s="31">
        <v>18.6769008636475</v>
      </c>
      <c r="EL34" s="31">
        <v>18.9176998138428</v>
      </c>
      <c r="EM34" s="31">
        <v>19.1387004852295</v>
      </c>
      <c r="EN34" s="31">
        <v>19.5396995544434</v>
      </c>
      <c r="EO34" s="31">
        <v>19.3584003448486</v>
      </c>
      <c r="EP34" s="31">
        <v>18.9915008544922</v>
      </c>
      <c r="EQ34" s="31">
        <v>18.5156002044678</v>
      </c>
      <c r="ER34" s="31">
        <v>18.1916999816895</v>
      </c>
      <c r="ES34" s="31">
        <v>18.217399597168</v>
      </c>
      <c r="ET34" s="31">
        <v>17.8230991363525</v>
      </c>
      <c r="EU34" s="31">
        <v>17.6243991851807</v>
      </c>
      <c r="EV34" s="31">
        <v>18.698299407959</v>
      </c>
      <c r="EW34" s="31">
        <v>19.2017002105713</v>
      </c>
      <c r="EX34" s="31">
        <v>19.4246006011963</v>
      </c>
      <c r="EY34" s="31">
        <v>19.5804004669189</v>
      </c>
      <c r="EZ34" s="31">
        <v>19.593900680542</v>
      </c>
      <c r="FA34" s="31">
        <v>19.7658004760742</v>
      </c>
      <c r="FB34" s="31">
        <v>19.9202003479004</v>
      </c>
      <c r="FC34" s="31">
        <v>19.979700088501</v>
      </c>
      <c r="FD34" s="31">
        <v>19.9480991363525</v>
      </c>
      <c r="FE34" s="31">
        <v>20.3572998046875</v>
      </c>
      <c r="FF34" s="31">
        <v>20.0548992156982</v>
      </c>
      <c r="FG34" s="31">
        <v>20.5918006896973</v>
      </c>
      <c r="FH34" s="31">
        <v>20.7630996704102</v>
      </c>
      <c r="FI34" s="31">
        <v>20.7677001953125</v>
      </c>
      <c r="FJ34" s="31">
        <v>20.7469997406006</v>
      </c>
      <c r="FK34" s="31">
        <v>20.6996994018555</v>
      </c>
      <c r="FL34" s="31">
        <v>20.4426002502441</v>
      </c>
      <c r="FM34" s="31">
        <v>20.6457004547119</v>
      </c>
      <c r="FN34" s="31">
        <v>21.0918998718262</v>
      </c>
      <c r="FO34" s="31">
        <v>21.1760997772217</v>
      </c>
      <c r="FP34" s="31">
        <v>21.1215000152588</v>
      </c>
      <c r="FQ34" s="31">
        <v>21.0335006713867</v>
      </c>
      <c r="FR34" s="31">
        <v>21.1993007659912</v>
      </c>
      <c r="FS34" s="31">
        <v>21.5023994445801</v>
      </c>
      <c r="FT34" s="31">
        <v>21.361400604248</v>
      </c>
      <c r="FU34" s="31">
        <v>21.4101009368896</v>
      </c>
      <c r="FV34" s="31">
        <v>21.3705005645752</v>
      </c>
      <c r="FW34" s="31">
        <v>21.1161003112793</v>
      </c>
      <c r="FX34" s="31">
        <v>20.8267993927002</v>
      </c>
      <c r="FY34" s="31">
        <v>20.8971004486084</v>
      </c>
      <c r="FZ34" s="31">
        <v>20.3705997467041</v>
      </c>
      <c r="GA34" s="31">
        <v>20.7266998291016</v>
      </c>
      <c r="GB34" s="31">
        <v>21.1940994262695</v>
      </c>
      <c r="GC34" s="31">
        <v>21.5751991271973</v>
      </c>
      <c r="GD34" s="31">
        <v>21.4748001098633</v>
      </c>
      <c r="GE34" s="31">
        <v>21.353099822998</v>
      </c>
      <c r="GF34" s="31">
        <v>21.0403003692627</v>
      </c>
      <c r="GG34" s="31">
        <v>21.1383991241455</v>
      </c>
      <c r="GH34" s="31">
        <v>20.8384990692139</v>
      </c>
      <c r="GI34" s="31">
        <v>20.843900680542</v>
      </c>
      <c r="GJ34" s="31">
        <v>20.6644992828369</v>
      </c>
      <c r="GK34" s="31">
        <v>20.9619007110596</v>
      </c>
      <c r="GL34" s="31">
        <v>20.4032001495361</v>
      </c>
      <c r="GM34" s="31">
        <v>20.8997001647949</v>
      </c>
      <c r="GN34" s="31">
        <v>20.8922004699707</v>
      </c>
      <c r="GO34" s="31">
        <v>20.6912002563477</v>
      </c>
      <c r="GP34" s="31">
        <v>20.3780994415283</v>
      </c>
      <c r="GQ34" s="31">
        <v>20.2245998382568</v>
      </c>
      <c r="GR34" s="31">
        <v>20.3631000518799</v>
      </c>
      <c r="GS34" s="31">
        <v>20.4570999145508</v>
      </c>
      <c r="GT34" s="31">
        <v>21.1765003204346</v>
      </c>
      <c r="GU34" s="31">
        <v>22.2998008728027</v>
      </c>
      <c r="GV34" s="31">
        <v>22.5093002319336</v>
      </c>
      <c r="GW34" s="31">
        <v>22.9706001281738</v>
      </c>
      <c r="GX34" s="31">
        <v>22.9719009399414</v>
      </c>
      <c r="GY34" s="31">
        <v>22.676399230957</v>
      </c>
      <c r="GZ34" s="31">
        <v>23.0020008087158</v>
      </c>
      <c r="HA34" s="31">
        <v>22.8875999450684</v>
      </c>
      <c r="HB34" s="31">
        <v>22.7721996307373</v>
      </c>
      <c r="HC34" s="31">
        <v>22.7670993804932</v>
      </c>
      <c r="HD34" s="31">
        <v>22.5545997619629</v>
      </c>
      <c r="HE34" s="31">
        <v>22.5944995880127</v>
      </c>
      <c r="HF34" s="31">
        <v>22.8409996032715</v>
      </c>
      <c r="HG34" s="31">
        <v>22.9449996948242</v>
      </c>
      <c r="HH34" s="31">
        <v>22.7810001373291</v>
      </c>
      <c r="HI34" s="31">
        <v>22.7873992919922</v>
      </c>
      <c r="HJ34" s="31">
        <v>22.4356994628906</v>
      </c>
      <c r="HK34" s="31">
        <v>22.1814994812012</v>
      </c>
      <c r="HL34" s="31">
        <v>22.363000869751</v>
      </c>
      <c r="HM34" s="31">
        <v>22.1184997558594</v>
      </c>
      <c r="HN34" s="31">
        <v>22.19580078125</v>
      </c>
      <c r="HO34" s="31">
        <v>22.1144008636475</v>
      </c>
      <c r="HP34" s="31">
        <v>22.0699996948242</v>
      </c>
      <c r="HQ34" s="31">
        <v>22.0835990905762</v>
      </c>
      <c r="HR34" s="31">
        <v>22.3166007995605</v>
      </c>
      <c r="HS34" s="31">
        <v>22.1494007110596</v>
      </c>
      <c r="HT34" s="31">
        <v>22.0097999572754</v>
      </c>
      <c r="HU34" s="31">
        <v>21.8512992858887</v>
      </c>
      <c r="HV34" s="31">
        <v>21.8570995330811</v>
      </c>
      <c r="HW34" s="31">
        <v>21.8738994598389</v>
      </c>
      <c r="HX34" s="31">
        <v>21.7450008392334</v>
      </c>
      <c r="HY34" s="31">
        <v>21.8132991790771</v>
      </c>
      <c r="HZ34" s="31">
        <v>21.7621994018555</v>
      </c>
      <c r="IA34" s="31">
        <v>21.823299407959</v>
      </c>
      <c r="IB34" s="31">
        <v>21.600700378418</v>
      </c>
      <c r="IC34" s="31">
        <v>21.2716999053955</v>
      </c>
      <c r="ID34" s="31">
        <v>21.2514991760254</v>
      </c>
      <c r="IE34" s="31">
        <v>20.9344997406006</v>
      </c>
      <c r="IF34" s="31">
        <v>20.8015995025635</v>
      </c>
      <c r="IG34" s="31">
        <v>21.0872993469238</v>
      </c>
      <c r="IH34" s="31">
        <v>20.7660007476807</v>
      </c>
      <c r="II34" s="31">
        <v>20.7681999206543</v>
      </c>
      <c r="IJ34" s="31">
        <v>20.9001007080078</v>
      </c>
      <c r="IK34" s="31">
        <v>20.7129993438721</v>
      </c>
      <c r="IL34" s="31">
        <v>20.5858993530273</v>
      </c>
      <c r="IM34" s="31">
        <v>20.3836002349854</v>
      </c>
      <c r="IN34" s="31">
        <v>20.4253005981445</v>
      </c>
      <c r="IO34" s="31">
        <v>20.1310005187988</v>
      </c>
      <c r="IP34" s="31">
        <v>20.4479999542236</v>
      </c>
      <c r="IQ34" s="31">
        <v>20.394100189209</v>
      </c>
      <c r="IR34" s="31">
        <v>20.7903003692627</v>
      </c>
      <c r="IS34" s="31">
        <v>20.7716999053955</v>
      </c>
      <c r="IT34" s="31">
        <v>20.6571006774902</v>
      </c>
      <c r="IU34" s="31">
        <v>20.7980003356934</v>
      </c>
      <c r="IV34" s="31">
        <v>20.725700378418</v>
      </c>
      <c r="IW34" s="31">
        <v>20.8465003967285</v>
      </c>
      <c r="IX34" s="31">
        <v>20.899299621582</v>
      </c>
      <c r="IY34" s="31">
        <v>20.8075008392334</v>
      </c>
      <c r="IZ34" s="31">
        <v>20.1959991455078</v>
      </c>
      <c r="JA34" s="31">
        <v>19.960599899292</v>
      </c>
      <c r="JB34" s="31">
        <v>19.9473991394043</v>
      </c>
      <c r="JC34" s="31">
        <v>20.1965007781982</v>
      </c>
      <c r="JD34" s="31">
        <v>19.9832000732422</v>
      </c>
      <c r="JE34" s="31">
        <v>19.8439998626709</v>
      </c>
      <c r="JF34" s="31">
        <v>20.4743995666504</v>
      </c>
      <c r="JG34" s="31">
        <v>20.269100189209</v>
      </c>
      <c r="JH34" s="31">
        <v>20.0069007873535</v>
      </c>
      <c r="JI34" s="31">
        <v>19.5629997253418</v>
      </c>
      <c r="JJ34" s="31">
        <v>19.7119007110596</v>
      </c>
      <c r="JK34" s="31">
        <v>19.6961994171143</v>
      </c>
      <c r="JL34" s="31">
        <v>19.6966991424561</v>
      </c>
      <c r="JM34" s="31">
        <v>19.5739994049072</v>
      </c>
      <c r="JN34" s="31">
        <v>19.5287990570068</v>
      </c>
      <c r="JO34" s="31">
        <v>19.582799911499</v>
      </c>
      <c r="JP34" s="31">
        <v>19.3642997741699</v>
      </c>
      <c r="JQ34" s="31">
        <v>19.4983005523682</v>
      </c>
      <c r="JR34" s="31">
        <v>19.4472007751465</v>
      </c>
      <c r="JS34" s="31">
        <v>19.4874992370605</v>
      </c>
      <c r="JT34" s="31">
        <v>19.2056007385254</v>
      </c>
      <c r="JU34" s="31">
        <v>19.1537990570068</v>
      </c>
      <c r="JV34" s="31">
        <v>19.0256004333496</v>
      </c>
      <c r="JW34" s="31">
        <v>19.0312004089355</v>
      </c>
      <c r="JX34" s="31">
        <v>19.1238994598389</v>
      </c>
      <c r="JY34" s="31">
        <v>18.907600402832</v>
      </c>
      <c r="JZ34" s="31">
        <v>18.8621006011963</v>
      </c>
      <c r="KA34" s="31">
        <v>19.157600402832</v>
      </c>
      <c r="KB34" s="31">
        <v>19.770299911499</v>
      </c>
      <c r="KC34" s="31">
        <v>19.830099105835</v>
      </c>
      <c r="KD34" s="31">
        <v>20.0361995697021</v>
      </c>
      <c r="KE34" s="31">
        <v>19.9416999816895</v>
      </c>
      <c r="KF34" s="31">
        <v>20.0044002532959</v>
      </c>
      <c r="KG34" s="31">
        <v>19.7227993011475</v>
      </c>
      <c r="KH34" s="31">
        <v>19.5575008392334</v>
      </c>
      <c r="KI34" s="31">
        <v>19.5646991729736</v>
      </c>
      <c r="KJ34" s="31">
        <v>19.6147003173828</v>
      </c>
      <c r="KK34" s="31">
        <v>19.4902000427246</v>
      </c>
      <c r="KL34" s="31">
        <v>19.3176002502441</v>
      </c>
      <c r="KM34" s="31">
        <v>19.3922004699707</v>
      </c>
      <c r="KN34" s="31">
        <v>19.6152000427246</v>
      </c>
      <c r="KO34" s="31">
        <v>19.5806007385254</v>
      </c>
      <c r="KP34" s="31">
        <v>19.5902004241943</v>
      </c>
      <c r="KQ34" s="31">
        <v>20.4265995025635</v>
      </c>
      <c r="KR34" s="31">
        <v>20.673999786377</v>
      </c>
      <c r="KS34" s="31">
        <v>21.5828990936279</v>
      </c>
      <c r="KT34" s="31">
        <v>22.979700088501</v>
      </c>
      <c r="KU34" s="31">
        <v>25.3920993804932</v>
      </c>
      <c r="KV34" s="31">
        <v>27.5564002990723</v>
      </c>
      <c r="KW34" s="31">
        <v>25.2761993408203</v>
      </c>
      <c r="KX34" s="31">
        <v>25.1713008880615</v>
      </c>
      <c r="KY34" s="31">
        <v>24.1956005096436</v>
      </c>
      <c r="KZ34" s="31">
        <v>24.8094005584717</v>
      </c>
      <c r="LA34" s="31">
        <v>24.1608009338379</v>
      </c>
      <c r="LB34" s="31">
        <v>23.9232997894287</v>
      </c>
      <c r="LC34" s="31">
        <v>23.7332000732422</v>
      </c>
      <c r="LD34" s="31">
        <v>24.7796993255615</v>
      </c>
      <c r="LE34" s="31">
        <v>24.9342002868652</v>
      </c>
      <c r="LF34" s="31">
        <v>25.1453990936279</v>
      </c>
      <c r="LG34" s="31">
        <v>25.0361995697021</v>
      </c>
      <c r="LH34" s="31">
        <v>24.6558990478516</v>
      </c>
      <c r="LI34" s="31">
        <v>25.0662002563477</v>
      </c>
      <c r="LJ34" s="31">
        <v>25.4027004241943</v>
      </c>
      <c r="LK34" s="31">
        <v>25.3278007507324</v>
      </c>
      <c r="LL34" s="31">
        <v>25.1588001251221</v>
      </c>
      <c r="LM34" s="31">
        <v>25.8103008270264</v>
      </c>
      <c r="LN34" s="31">
        <v>25.5361995697021</v>
      </c>
      <c r="LO34" s="31">
        <v>26.0361995697021</v>
      </c>
      <c r="LP34" s="31">
        <v>26.8208999633789</v>
      </c>
      <c r="LQ34" s="31">
        <v>26.7148990631104</v>
      </c>
      <c r="LR34" s="31">
        <v>27.4097003936768</v>
      </c>
      <c r="LS34" s="31">
        <v>27.2138996124268</v>
      </c>
      <c r="LT34" s="31">
        <v>27.675199508667</v>
      </c>
      <c r="LU34" s="31">
        <v>27.5079002380371</v>
      </c>
      <c r="LV34" s="31">
        <v>27.5909996032715</v>
      </c>
      <c r="LW34" s="31">
        <v>26.8582000732422</v>
      </c>
      <c r="LX34" s="31">
        <v>26.184700012207</v>
      </c>
      <c r="LY34" s="31">
        <v>25.7674999237061</v>
      </c>
      <c r="LZ34" s="31">
        <v>26.1975994110107</v>
      </c>
      <c r="MA34" s="31">
        <v>26.3822002410889</v>
      </c>
      <c r="MB34" s="31">
        <v>26.3512001037598</v>
      </c>
      <c r="MC34" s="31">
        <v>25.4281997680664</v>
      </c>
      <c r="MD34" s="31">
        <v>25.4074001312256</v>
      </c>
      <c r="ME34" s="31">
        <v>25.2318992614746</v>
      </c>
      <c r="MF34" s="31">
        <v>25.7772006988525</v>
      </c>
      <c r="MG34" s="31">
        <v>25.4715995788574</v>
      </c>
      <c r="MH34" s="31">
        <v>25.8757991790771</v>
      </c>
      <c r="MI34" s="31">
        <v>26.2271003723145</v>
      </c>
      <c r="MJ34" s="31">
        <v>26.1473999023438</v>
      </c>
      <c r="MK34" s="31">
        <v>25.8799991607666</v>
      </c>
      <c r="ML34" s="31">
        <v>25.9141006469727</v>
      </c>
      <c r="MM34" s="31">
        <v>26.298999786377</v>
      </c>
      <c r="MN34" s="31">
        <v>26.1718006134033</v>
      </c>
      <c r="MO34" s="31">
        <v>26.3661003112793</v>
      </c>
      <c r="MP34" s="31">
        <v>26.4594993591309</v>
      </c>
      <c r="MQ34" s="31">
        <v>26.7385997772217</v>
      </c>
      <c r="MR34" s="31">
        <v>26.1420993804932</v>
      </c>
      <c r="MS34" s="31">
        <v>25.2343997955322</v>
      </c>
      <c r="MT34" s="31">
        <v>25.1658000946045</v>
      </c>
      <c r="MU34" s="31">
        <v>25.2821998596191</v>
      </c>
      <c r="MV34" s="31">
        <v>25.407600402832</v>
      </c>
      <c r="MW34" s="31">
        <v>25.3868007659912</v>
      </c>
      <c r="MX34" s="31">
        <v>25.1599006652832</v>
      </c>
      <c r="MY34" s="31">
        <v>25.4899997711182</v>
      </c>
      <c r="MZ34" s="31">
        <v>25.3369007110596</v>
      </c>
      <c r="NA34" s="31">
        <v>25.4521999359131</v>
      </c>
      <c r="NB34" s="31">
        <v>25.4340991973877</v>
      </c>
      <c r="NC34" s="31">
        <v>25.4447994232178</v>
      </c>
      <c r="ND34" s="31">
        <v>24.8708992004395</v>
      </c>
      <c r="NE34" s="31">
        <v>24.095100402832</v>
      </c>
      <c r="NF34" s="31">
        <v>23.6765003204346</v>
      </c>
      <c r="NG34" s="31">
        <v>23.6394996643066</v>
      </c>
      <c r="NH34" s="31">
        <v>23.8677997589111</v>
      </c>
      <c r="NI34" s="31">
        <v>23.7521991729736</v>
      </c>
      <c r="NJ34" s="31">
        <v>23.7961006164551</v>
      </c>
      <c r="NK34" s="31">
        <v>23.3801002502441</v>
      </c>
      <c r="NL34" s="31">
        <v>23.3826999664307</v>
      </c>
      <c r="NM34" s="31">
        <v>24.2385997772217</v>
      </c>
      <c r="NN34" s="31">
        <v>23.9995994567871</v>
      </c>
      <c r="NO34" s="31">
        <v>24.0699996948242</v>
      </c>
      <c r="NP34" s="31">
        <v>24.2140007019043</v>
      </c>
      <c r="NQ34" s="31">
        <v>24.4284000396729</v>
      </c>
      <c r="NR34" s="31">
        <v>24.50830078125</v>
      </c>
      <c r="NS34" s="31">
        <v>24.4671001434326</v>
      </c>
      <c r="NT34" s="31">
        <v>24.3712005615234</v>
      </c>
      <c r="NU34" s="31">
        <v>24.627799987793</v>
      </c>
      <c r="NV34" s="31">
        <v>24.3255004882813</v>
      </c>
      <c r="NW34" s="31">
        <v>24.3334999084473</v>
      </c>
      <c r="NX34" s="31">
        <v>24.8827991485596</v>
      </c>
      <c r="NY34" s="31">
        <v>25.3127002716064</v>
      </c>
      <c r="NZ34" s="31">
        <v>25.448600769043</v>
      </c>
      <c r="OA34" s="31">
        <v>25.2817001342773</v>
      </c>
      <c r="OB34" s="31">
        <v>25.6357002258301</v>
      </c>
      <c r="OC34" s="31">
        <v>25.4743003845215</v>
      </c>
      <c r="OD34" s="31">
        <v>25.7576007843018</v>
      </c>
      <c r="OE34" s="31">
        <v>25.8234004974365</v>
      </c>
      <c r="OF34" s="31">
        <v>25.4375991821289</v>
      </c>
      <c r="OG34" s="31">
        <v>25.7863006591797</v>
      </c>
      <c r="OH34" s="31">
        <v>25.8341007232666</v>
      </c>
      <c r="OI34" s="31">
        <v>26.1439990997314</v>
      </c>
      <c r="OJ34" s="31">
        <v>26.1891994476318</v>
      </c>
      <c r="OK34" s="31">
        <v>25.8610992431641</v>
      </c>
      <c r="OL34" s="31">
        <v>26.0680999755859</v>
      </c>
      <c r="OM34" s="31">
        <v>26.0321998596191</v>
      </c>
      <c r="ON34" s="31">
        <v>25.3570003509521</v>
      </c>
      <c r="OO34" s="31">
        <v>25.472900390625</v>
      </c>
      <c r="OP34" s="31">
        <v>25.5112991333008</v>
      </c>
      <c r="OQ34" s="31">
        <v>25.5811996459961</v>
      </c>
      <c r="OR34" s="31">
        <v>26.0083999633789</v>
      </c>
      <c r="OS34" s="31">
        <v>25.8843002319336</v>
      </c>
      <c r="OT34" s="31">
        <v>25.8320007324219</v>
      </c>
      <c r="OU34" s="31">
        <v>25.9055995941162</v>
      </c>
      <c r="OV34" s="31">
        <v>25.8693008422852</v>
      </c>
      <c r="OW34" s="31">
        <v>25.6497993469238</v>
      </c>
      <c r="OX34" s="31">
        <v>26.2476997375488</v>
      </c>
      <c r="OY34" s="31">
        <v>26.1646003723145</v>
      </c>
      <c r="OZ34" s="31">
        <v>26.2773990631104</v>
      </c>
      <c r="PA34" s="31">
        <v>26.2198009490967</v>
      </c>
      <c r="PB34" s="31">
        <v>25.7289009094238</v>
      </c>
      <c r="PC34" s="31">
        <v>25.2817993164063</v>
      </c>
      <c r="PD34" s="31">
        <v>25.1462001800537</v>
      </c>
      <c r="PE34" s="31">
        <v>24.9197998046875</v>
      </c>
      <c r="PF34" s="31">
        <v>24.9174003601074</v>
      </c>
      <c r="PG34" s="31">
        <v>25.0468997955322</v>
      </c>
      <c r="PH34" s="31">
        <v>24.8698997497559</v>
      </c>
      <c r="PI34" s="31">
        <v>24.7996006011963</v>
      </c>
      <c r="PJ34" s="31">
        <v>25.6770000457764</v>
      </c>
      <c r="PK34" s="31">
        <v>25.6828994750977</v>
      </c>
      <c r="PL34" s="31">
        <v>25.5265007019043</v>
      </c>
      <c r="PM34" s="31">
        <v>23.1443996429443</v>
      </c>
      <c r="PN34" s="31">
        <v>23.3794002532959</v>
      </c>
      <c r="PO34" s="31">
        <v>23.5960998535156</v>
      </c>
      <c r="PP34" s="31">
        <v>24.1016998291016</v>
      </c>
      <c r="PQ34" s="31">
        <v>24.2467002868652</v>
      </c>
      <c r="PR34" s="31">
        <v>24.388599395752</v>
      </c>
      <c r="PS34" s="31">
        <v>24.2080993652344</v>
      </c>
      <c r="PT34" s="31">
        <v>24.0037994384766</v>
      </c>
      <c r="PU34" s="31">
        <v>23.9755001068115</v>
      </c>
      <c r="PV34" s="31">
        <v>23.9479999542236</v>
      </c>
      <c r="PW34" s="31">
        <v>24.3740997314453</v>
      </c>
      <c r="PX34" s="31">
        <v>24.3439998626709</v>
      </c>
      <c r="PY34" s="31">
        <v>24.5105991363525</v>
      </c>
      <c r="PZ34" s="31">
        <v>24.4109001159668</v>
      </c>
      <c r="QA34" s="31">
        <v>24.7835006713867</v>
      </c>
      <c r="QB34" s="31">
        <v>24.4927997589111</v>
      </c>
      <c r="QC34" s="31">
        <v>24.5317001342773</v>
      </c>
      <c r="QD34" s="31">
        <v>24.395299911499</v>
      </c>
      <c r="QE34" s="31">
        <v>24.8036994934082</v>
      </c>
      <c r="QF34" s="31">
        <v>24.8801002502441</v>
      </c>
      <c r="QG34" s="31">
        <v>25.1151008605957</v>
      </c>
      <c r="QH34" s="31">
        <v>24.9654998779297</v>
      </c>
      <c r="QI34" s="31">
        <v>25.3992004394531</v>
      </c>
      <c r="QJ34" s="31">
        <v>25.3565998077393</v>
      </c>
      <c r="QK34" s="31">
        <v>25.5344009399414</v>
      </c>
      <c r="QL34" s="31">
        <v>25.1676006317139</v>
      </c>
      <c r="QM34" s="31">
        <v>25.1481990814209</v>
      </c>
      <c r="QN34" s="31">
        <v>25.1438999176025</v>
      </c>
      <c r="QO34" s="31">
        <v>25.3640003204346</v>
      </c>
      <c r="QP34" s="31">
        <v>25.4818992614746</v>
      </c>
      <c r="QQ34" s="31">
        <v>25.2980003356934</v>
      </c>
      <c r="QR34" s="31">
        <v>25.1219997406006</v>
      </c>
      <c r="QS34" s="31">
        <v>24.9775009155273</v>
      </c>
      <c r="QT34" s="31">
        <v>24.8279991149902</v>
      </c>
      <c r="QU34" s="31">
        <v>24.7509002685547</v>
      </c>
      <c r="QV34" s="31">
        <v>25.0347995758057</v>
      </c>
      <c r="QW34" s="31">
        <v>24.8213996887207</v>
      </c>
      <c r="QX34" s="31">
        <v>24.8850002288818</v>
      </c>
      <c r="QY34" s="31">
        <v>25.0727005004883</v>
      </c>
      <c r="QZ34" s="31">
        <v>25.19580078125</v>
      </c>
      <c r="RA34" s="31">
        <v>25.1655006408691</v>
      </c>
      <c r="RB34" s="31">
        <v>25.2903003692627</v>
      </c>
      <c r="RC34" s="31">
        <v>25.0911998748779</v>
      </c>
      <c r="RD34" s="31">
        <v>26.3334007263184</v>
      </c>
      <c r="RE34" s="31">
        <v>26.2593002319336</v>
      </c>
      <c r="RF34" s="31">
        <v>25.9855003356934</v>
      </c>
      <c r="RG34" s="31">
        <v>26.0785007476807</v>
      </c>
      <c r="RH34" s="31">
        <v>26.0349006652832</v>
      </c>
      <c r="RI34" s="31">
        <v>26.0951995849609</v>
      </c>
      <c r="RJ34" s="31">
        <v>25.7651996612549</v>
      </c>
      <c r="RK34" s="31">
        <v>25.6562995910645</v>
      </c>
      <c r="RL34" s="31">
        <v>25.7408008575439</v>
      </c>
      <c r="RM34" s="31">
        <v>26.1534996032715</v>
      </c>
      <c r="RN34" s="31">
        <v>26.5853996276855</v>
      </c>
      <c r="RO34" s="31">
        <v>26.4080009460449</v>
      </c>
      <c r="RP34" s="31">
        <v>26.4622993469238</v>
      </c>
      <c r="RQ34" s="31">
        <v>26.6471004486084</v>
      </c>
      <c r="RR34" s="31">
        <v>26.6762008666992</v>
      </c>
      <c r="RS34" s="31">
        <v>26.5340003967285</v>
      </c>
      <c r="RT34" s="31">
        <v>26.8164005279541</v>
      </c>
      <c r="RU34" s="31">
        <v>26.7665996551514</v>
      </c>
      <c r="RV34" s="31">
        <v>26.613000869751</v>
      </c>
      <c r="RW34" s="31">
        <v>26.9423999786377</v>
      </c>
      <c r="RX34" s="31">
        <v>26.9314994812012</v>
      </c>
      <c r="RY34" s="31">
        <v>27.0503997802734</v>
      </c>
      <c r="RZ34" s="31">
        <v>27.2042999267578</v>
      </c>
      <c r="SA34" s="31">
        <v>27.1453990936279</v>
      </c>
      <c r="SB34" s="31">
        <v>27.2409000396729</v>
      </c>
      <c r="SC34" s="31">
        <v>27.1888999938965</v>
      </c>
      <c r="SD34" s="31">
        <v>27.5414009094238</v>
      </c>
      <c r="SE34" s="31">
        <v>27.6781005859375</v>
      </c>
      <c r="SF34" s="31">
        <v>27.9409008026123</v>
      </c>
      <c r="SG34" s="31">
        <v>28.2175006866455</v>
      </c>
      <c r="SH34" s="31">
        <v>28.1058006286621</v>
      </c>
      <c r="SI34" s="31">
        <v>28.4395008087158</v>
      </c>
      <c r="SJ34" s="31">
        <v>28.3215999603271</v>
      </c>
      <c r="SK34" s="31">
        <v>28.4256992340088</v>
      </c>
      <c r="SL34" s="31">
        <v>27.62619972229</v>
      </c>
      <c r="SM34" s="31">
        <v>27.4141006469727</v>
      </c>
      <c r="SN34" s="31">
        <v>26.7630004882813</v>
      </c>
      <c r="SO34" s="31">
        <v>26.7171993255615</v>
      </c>
      <c r="SP34" s="31">
        <v>26.8008003234863</v>
      </c>
      <c r="SQ34" s="31">
        <v>26.9580993652344</v>
      </c>
      <c r="SR34" s="31">
        <v>27.1236991882324</v>
      </c>
      <c r="SS34" s="31">
        <v>27.085599899292</v>
      </c>
      <c r="ST34" s="31">
        <v>27.0270004272461</v>
      </c>
      <c r="SU34" s="31">
        <v>27.3857002258301</v>
      </c>
      <c r="SV34" s="31">
        <v>27.5062007904053</v>
      </c>
      <c r="SW34" s="31">
        <v>27.8903999328613</v>
      </c>
      <c r="SX34" s="31">
        <v>27.6599006652832</v>
      </c>
      <c r="SY34" s="31">
        <v>28.0478992462158</v>
      </c>
      <c r="SZ34" s="31">
        <v>28.4881992340088</v>
      </c>
      <c r="TA34" s="31">
        <v>28.4692993164063</v>
      </c>
      <c r="TB34" s="31">
        <v>28.74049949646</v>
      </c>
      <c r="TC34" s="31">
        <v>28.6487007141113</v>
      </c>
      <c r="TD34" s="31">
        <v>29.3143005371094</v>
      </c>
      <c r="TE34" s="31">
        <v>29.9775009155273</v>
      </c>
      <c r="TF34" s="31">
        <v>29.8850002288818</v>
      </c>
      <c r="TG34" s="31">
        <v>29.3190994262695</v>
      </c>
      <c r="TH34" s="31">
        <v>29.9342994689941</v>
      </c>
      <c r="TI34" s="31">
        <v>30.2332992553711</v>
      </c>
      <c r="TJ34" s="31">
        <v>30.4480991363525</v>
      </c>
      <c r="TK34" s="31">
        <v>29.8605995178223</v>
      </c>
      <c r="TL34" s="31">
        <v>29.5536003112793</v>
      </c>
      <c r="TM34" s="31">
        <v>28.8064002990723</v>
      </c>
      <c r="TN34" s="31">
        <v>29.8127002716064</v>
      </c>
      <c r="TO34" s="31">
        <v>30.0240001678467</v>
      </c>
      <c r="TP34" s="31">
        <v>29.6856994628906</v>
      </c>
      <c r="TQ34" s="31">
        <v>29.7562999725342</v>
      </c>
      <c r="TR34" s="31">
        <v>30.637300491333</v>
      </c>
      <c r="TS34" s="31">
        <v>30.5184993743896</v>
      </c>
      <c r="TT34" s="31">
        <v>30.7089996337891</v>
      </c>
      <c r="TU34" s="31">
        <v>30.804500579834</v>
      </c>
      <c r="TV34" s="31">
        <v>31.1585998535156</v>
      </c>
      <c r="TW34" s="31">
        <v>30.81369972229</v>
      </c>
      <c r="TX34" s="31">
        <v>30.798900604248</v>
      </c>
      <c r="TY34" s="31">
        <v>30.9750995635986</v>
      </c>
      <c r="TZ34" s="31">
        <v>30.8500995635986</v>
      </c>
      <c r="UA34" s="31">
        <v>31.3623008728027</v>
      </c>
      <c r="UB34" s="31">
        <v>31.5307006835938</v>
      </c>
      <c r="UC34" s="31">
        <v>31.0562992095947</v>
      </c>
      <c r="UD34" s="31">
        <v>31.652099609375</v>
      </c>
      <c r="UE34" s="31">
        <v>31.7880001068115</v>
      </c>
      <c r="UF34" s="31">
        <v>32.2713012695313</v>
      </c>
      <c r="UG34" s="31">
        <v>31.5132007598877</v>
      </c>
      <c r="UH34" s="31">
        <v>31.2147998809814</v>
      </c>
      <c r="UI34" s="31">
        <v>30.5347003936768</v>
      </c>
      <c r="UJ34" s="31">
        <v>31.0058002471924</v>
      </c>
      <c r="UK34" s="31">
        <v>30.9193000793457</v>
      </c>
      <c r="UL34" s="31">
        <v>30.0156993865967</v>
      </c>
      <c r="UM34" s="31">
        <v>30.2183990478516</v>
      </c>
      <c r="UN34" s="31">
        <v>30.5433006286621</v>
      </c>
      <c r="UO34" s="31">
        <v>30.4662990570068</v>
      </c>
      <c r="UP34" s="31">
        <v>30.5359992980957</v>
      </c>
      <c r="UQ34" s="31">
        <v>31.0333995819092</v>
      </c>
      <c r="UR34" s="31">
        <v>31.2562999725342</v>
      </c>
      <c r="US34" s="31">
        <v>30.9622993469238</v>
      </c>
      <c r="UT34" s="31">
        <v>31.395299911499</v>
      </c>
      <c r="UU34" s="31">
        <v>30.8202991485596</v>
      </c>
      <c r="UV34" s="31">
        <v>30.8304996490479</v>
      </c>
      <c r="UW34" s="31">
        <v>30.8778991699219</v>
      </c>
      <c r="UX34" s="31">
        <v>30.3694000244141</v>
      </c>
      <c r="UY34" s="31">
        <v>30.4591007232666</v>
      </c>
      <c r="UZ34" s="31">
        <v>30.960599899292</v>
      </c>
      <c r="VA34" s="31">
        <v>30.8726005554199</v>
      </c>
      <c r="VB34" s="31">
        <v>30.987699508667</v>
      </c>
      <c r="VC34" s="31">
        <v>30.7108993530273</v>
      </c>
      <c r="VD34" s="31">
        <v>30.5888996124268</v>
      </c>
      <c r="VE34" s="31">
        <v>31.1096992492676</v>
      </c>
      <c r="VF34" s="31">
        <v>30.5555000305176</v>
      </c>
      <c r="VG34" s="31">
        <v>30.4780006408691</v>
      </c>
      <c r="VH34" s="31">
        <v>30.1870994567871</v>
      </c>
      <c r="VI34" s="31">
        <v>30.1693992614746</v>
      </c>
      <c r="VJ34" s="31">
        <v>29.9302997589111</v>
      </c>
      <c r="VK34" s="31">
        <v>28.9804992675781</v>
      </c>
      <c r="VL34" s="31">
        <v>29.0918998718262</v>
      </c>
      <c r="VM34" s="31">
        <v>29.4652996063232</v>
      </c>
      <c r="VN34" s="31">
        <v>29.6951007843018</v>
      </c>
      <c r="VO34" s="31">
        <v>29.6247997283936</v>
      </c>
      <c r="VP34" s="31">
        <v>29.8677005767822</v>
      </c>
      <c r="VQ34" s="31">
        <v>30.2150993347168</v>
      </c>
      <c r="VR34" s="31">
        <v>30.0158004760742</v>
      </c>
      <c r="VS34" s="31">
        <v>29.7929000854492</v>
      </c>
      <c r="VT34" s="31">
        <v>29.8812007904053</v>
      </c>
      <c r="VU34" s="31">
        <v>30.182300567627</v>
      </c>
      <c r="VV34" s="31">
        <v>30.5494003295898</v>
      </c>
      <c r="VW34" s="31">
        <v>30.3834991455078</v>
      </c>
      <c r="VX34" s="31">
        <v>30.4676990509033</v>
      </c>
      <c r="VY34" s="31">
        <v>30.1191997528076</v>
      </c>
      <c r="VZ34" s="31">
        <v>30.3567008972168</v>
      </c>
      <c r="WA34" s="31">
        <v>30.3637008666992</v>
      </c>
      <c r="WB34" s="31">
        <v>29.9535007476807</v>
      </c>
      <c r="WC34" s="31">
        <v>30.6093997955322</v>
      </c>
      <c r="WD34" s="31">
        <v>30.2472991943359</v>
      </c>
      <c r="WE34" s="31">
        <v>30.4496994018555</v>
      </c>
      <c r="WF34" s="31">
        <v>30.8442993164063</v>
      </c>
      <c r="WG34" s="31">
        <v>30.9218006134033</v>
      </c>
      <c r="WH34" s="31">
        <v>31.1604995727539</v>
      </c>
      <c r="WI34" s="31">
        <v>31.2721996307373</v>
      </c>
      <c r="WJ34" s="31">
        <v>31.4431991577148</v>
      </c>
      <c r="WK34" s="31">
        <v>31.2982006072998</v>
      </c>
      <c r="WL34" s="31">
        <v>31.4204006195068</v>
      </c>
      <c r="WM34" s="31">
        <v>31.2409992218018</v>
      </c>
      <c r="WN34" s="31">
        <v>31.9011993408203</v>
      </c>
      <c r="WO34" s="31">
        <v>32.3674011230469</v>
      </c>
      <c r="WP34" s="31">
        <v>32.3690986633301</v>
      </c>
      <c r="WQ34" s="31">
        <v>32.2111015319824</v>
      </c>
      <c r="WR34" s="31">
        <v>32.5820999145508</v>
      </c>
      <c r="WS34" s="31">
        <v>33.1041984558105</v>
      </c>
      <c r="WT34" s="31">
        <v>32.7509994506836</v>
      </c>
      <c r="WU34" s="31">
        <v>32.9103012084961</v>
      </c>
      <c r="WV34" s="31">
        <v>33.0084991455078</v>
      </c>
      <c r="WW34" s="31">
        <v>32.9412002563477</v>
      </c>
      <c r="WX34" s="31">
        <v>32.9939994812012</v>
      </c>
      <c r="WY34" s="31">
        <v>32.7332000732422</v>
      </c>
      <c r="WZ34" s="31">
        <v>32.8835983276367</v>
      </c>
      <c r="XA34" s="31">
        <v>33.0512008666992</v>
      </c>
      <c r="XB34" s="31">
        <v>33.3095016479492</v>
      </c>
      <c r="XC34" s="31">
        <v>33.0438003540039</v>
      </c>
      <c r="XD34" s="31">
        <v>33.0304985046387</v>
      </c>
      <c r="XE34" s="31">
        <v>33.0747985839844</v>
      </c>
      <c r="XF34" s="31">
        <v>32.9986000061035</v>
      </c>
      <c r="XG34" s="31">
        <v>32.7246017456055</v>
      </c>
      <c r="XH34" s="31">
        <v>31.8673992156982</v>
      </c>
      <c r="XI34" s="31">
        <v>32.535099029541</v>
      </c>
      <c r="XJ34" s="31">
        <v>32.6950988769531</v>
      </c>
      <c r="XK34" s="31">
        <v>32.2790985107422</v>
      </c>
      <c r="XL34" s="31">
        <v>32.1966018676758</v>
      </c>
      <c r="XM34" s="31">
        <v>32.8042984008789</v>
      </c>
      <c r="XN34" s="31">
        <v>32.8321990966797</v>
      </c>
      <c r="XO34" s="31">
        <v>32.7752990722656</v>
      </c>
      <c r="XP34" s="31">
        <v>33.0172996520996</v>
      </c>
      <c r="XQ34" s="31">
        <v>32.611198425293</v>
      </c>
      <c r="XR34" s="31">
        <v>33.0410003662109</v>
      </c>
      <c r="XS34" s="31">
        <v>33.5392990112305</v>
      </c>
      <c r="XT34" s="31">
        <v>33.611499786377</v>
      </c>
      <c r="XU34" s="31">
        <v>33.6542015075684</v>
      </c>
      <c r="XV34" s="31">
        <v>33.4833984375</v>
      </c>
      <c r="XW34" s="31">
        <v>32.5201988220215</v>
      </c>
      <c r="XX34" s="31">
        <v>32.279598236084</v>
      </c>
      <c r="XY34" s="31">
        <v>32.6073989868164</v>
      </c>
      <c r="XZ34" s="31">
        <v>32.8107986450195</v>
      </c>
      <c r="YA34" s="31">
        <v>32.6012001037598</v>
      </c>
      <c r="YB34" s="31">
        <v>32.8446998596191</v>
      </c>
      <c r="YC34" s="31">
        <v>33.1239013671875</v>
      </c>
      <c r="YD34" s="31">
        <v>32.9658012390137</v>
      </c>
      <c r="YE34" s="31">
        <v>32.7154998779297</v>
      </c>
      <c r="YF34" s="31">
        <v>32.7821006774902</v>
      </c>
      <c r="YG34" s="31">
        <v>32.309398651123</v>
      </c>
      <c r="YH34" s="31">
        <v>32.5556983947754</v>
      </c>
      <c r="YI34" s="31">
        <v>31.9169998168945</v>
      </c>
      <c r="YJ34" s="31">
        <v>31.8020000457764</v>
      </c>
      <c r="YK34" s="31">
        <v>30.7122993469238</v>
      </c>
      <c r="YL34" s="31">
        <v>31.1779003143311</v>
      </c>
      <c r="YM34" s="31">
        <v>31.7611999511719</v>
      </c>
      <c r="YN34" s="31">
        <v>31.32080078125</v>
      </c>
      <c r="YO34" s="31">
        <v>31.7859001159668</v>
      </c>
      <c r="YP34" s="31">
        <v>31.9332008361816</v>
      </c>
      <c r="YQ34" s="31">
        <v>31.6012992858887</v>
      </c>
      <c r="YR34" s="31">
        <v>33.2974014282227</v>
      </c>
      <c r="YS34" s="31">
        <v>32.82080078125</v>
      </c>
      <c r="YT34" s="31">
        <v>32.4748001098633</v>
      </c>
      <c r="YU34" s="31">
        <v>32.5805015563965</v>
      </c>
      <c r="YV34" s="31">
        <v>33.848201751709</v>
      </c>
      <c r="YW34" s="31">
        <v>33.6996994018555</v>
      </c>
      <c r="YX34" s="31">
        <v>34.3706016540527</v>
      </c>
      <c r="YY34" s="31">
        <v>34.7426986694336</v>
      </c>
      <c r="YZ34" s="31">
        <v>35.0686988830566</v>
      </c>
      <c r="ZA34" s="31">
        <v>34.5957984924316</v>
      </c>
      <c r="ZB34" s="31">
        <v>34.9235992431641</v>
      </c>
      <c r="ZC34" s="31">
        <v>34.8109016418457</v>
      </c>
      <c r="ZD34" s="31">
        <v>34.9683990478516</v>
      </c>
      <c r="ZE34" s="31">
        <v>34.9790992736816</v>
      </c>
      <c r="ZF34" s="31">
        <v>35.8869018554688</v>
      </c>
      <c r="ZG34" s="31">
        <v>35.4938011169434</v>
      </c>
      <c r="ZH34" s="31">
        <v>34.9355010986328</v>
      </c>
      <c r="ZI34" s="31">
        <v>34.913501739502</v>
      </c>
      <c r="ZJ34" s="31">
        <v>34.6528015136719</v>
      </c>
      <c r="ZK34" s="31">
        <v>35.6161003112793</v>
      </c>
      <c r="ZL34" s="31">
        <v>35.2683982849121</v>
      </c>
      <c r="ZM34" s="31">
        <v>36.7262992858887</v>
      </c>
      <c r="ZN34" s="31">
        <v>37.0441017150879</v>
      </c>
      <c r="ZO34" s="31">
        <v>36.8616981506348</v>
      </c>
      <c r="ZP34" s="31">
        <v>37.5068016052246</v>
      </c>
      <c r="ZQ34" s="31">
        <v>37.3068008422852</v>
      </c>
      <c r="ZR34" s="31">
        <v>37.8723983764648</v>
      </c>
      <c r="ZS34" s="31">
        <v>37.0932006835938</v>
      </c>
      <c r="ZT34" s="31">
        <v>36.6778984069824</v>
      </c>
      <c r="ZU34" s="31">
        <v>36.5672988891602</v>
      </c>
      <c r="ZV34" s="31">
        <v>36.6717987060547</v>
      </c>
      <c r="ZW34" s="31">
        <v>36.5915985107422</v>
      </c>
      <c r="ZX34" s="31">
        <v>35.9019012451172</v>
      </c>
      <c r="ZY34" s="31">
        <v>36.6531982421875</v>
      </c>
      <c r="ZZ34" s="31">
        <v>37.2020988464355</v>
      </c>
      <c r="AAA34" s="31">
        <v>37.2070999145508</v>
      </c>
      <c r="AAB34" s="31">
        <v>36.8672981262207</v>
      </c>
      <c r="AAC34" s="31">
        <v>37.0937004089355</v>
      </c>
      <c r="AAD34" s="31">
        <v>36.5709991455078</v>
      </c>
      <c r="AAE34" s="31">
        <v>36.0820999145508</v>
      </c>
      <c r="AAF34" s="31">
        <v>36.5793991088867</v>
      </c>
      <c r="AAG34" s="31">
        <v>36.7756996154785</v>
      </c>
      <c r="AAH34" s="31">
        <v>36.6265983581543</v>
      </c>
      <c r="AAI34" s="31">
        <v>35.8777008056641</v>
      </c>
      <c r="AAJ34" s="31">
        <v>34.7911987304688</v>
      </c>
      <c r="AAK34" s="31">
        <v>35.7285003662109</v>
      </c>
      <c r="AAL34" s="31">
        <v>35.0717010498047</v>
      </c>
      <c r="AAM34" s="31">
        <v>34.878101348877</v>
      </c>
      <c r="AAN34" s="31">
        <v>35.2420997619629</v>
      </c>
      <c r="AAO34" s="31">
        <v>37.0755996704102</v>
      </c>
      <c r="AAP34" s="31">
        <v>37.3585014343262</v>
      </c>
      <c r="AAQ34" s="31">
        <v>37.7588005065918</v>
      </c>
      <c r="AAR34" s="31">
        <v>37.9976005554199</v>
      </c>
      <c r="AAS34" s="31">
        <v>38.7812004089355</v>
      </c>
      <c r="AAT34" s="31">
        <v>37.6234016418457</v>
      </c>
      <c r="AAU34" s="31">
        <v>38.0377006530762</v>
      </c>
      <c r="AAV34" s="31">
        <v>38.6343002319336</v>
      </c>
      <c r="AAW34" s="31">
        <v>37.3855018615723</v>
      </c>
      <c r="AAX34" s="31">
        <v>37.4294013977051</v>
      </c>
      <c r="AAY34" s="31">
        <v>38.1997985839844</v>
      </c>
      <c r="AAZ34" s="31">
        <v>38.1615982055664</v>
      </c>
      <c r="ABA34" s="31">
        <v>36.8604011535645</v>
      </c>
      <c r="ABB34" s="31">
        <v>37.1804008483887</v>
      </c>
      <c r="ABC34" s="31">
        <v>37.1803016662598</v>
      </c>
      <c r="ABD34" s="31"/>
      <c r="ABE34" s="31"/>
      <c r="ABF34" s="32"/>
      <c r="ABG34" s="32"/>
      <c r="ABH34" s="32"/>
      <c r="ABI34" s="32"/>
      <c r="ABJ34" s="32"/>
      <c r="ABK34" s="32"/>
      <c r="ABL34" s="32"/>
      <c r="ABM34" s="32"/>
      <c r="ABN34" s="32"/>
      <c r="ABO34" s="32"/>
      <c r="ABP34" s="32"/>
      <c r="ABQ34" s="32"/>
      <c r="ABR34" s="32"/>
      <c r="ABS34" s="32"/>
      <c r="ABT34" s="32"/>
      <c r="ABU34" s="32"/>
      <c r="ABV34" s="32"/>
      <c r="ABW34" s="32"/>
      <c r="ABX34" s="32"/>
      <c r="ABY34" s="32"/>
      <c r="ABZ34" s="32"/>
      <c r="ACA34" s="32"/>
      <c r="ACB34" s="32"/>
      <c r="ACC34" s="32"/>
      <c r="ACD34" s="32"/>
      <c r="ACE34" s="32"/>
      <c r="ACF34" s="32"/>
      <c r="ACG34" s="32"/>
      <c r="ACH34" s="32"/>
      <c r="ACI34" s="32"/>
      <c r="ACJ34" s="32"/>
      <c r="ACK34" s="32"/>
    </row>
    <row r="35" ht="13.5" customHeight="1" spans="1:765">
      <c r="A35" s="28"/>
      <c r="B35" s="28"/>
      <c r="C35" s="29"/>
      <c r="D35" s="30" t="str">
        <f>[1]!s_info_name(E35)</f>
        <v>沪深300</v>
      </c>
      <c r="E35" s="29" t="s">
        <v>16</v>
      </c>
      <c r="F35" s="31">
        <v>11.6929998397827</v>
      </c>
      <c r="G35" s="31">
        <v>11.6471996307373</v>
      </c>
      <c r="H35" s="31">
        <v>11.6827001571655</v>
      </c>
      <c r="I35" s="31">
        <v>11.7504997253418</v>
      </c>
      <c r="J35" s="31">
        <v>11.6660995483398</v>
      </c>
      <c r="K35" s="31">
        <v>11.8437995910645</v>
      </c>
      <c r="L35" s="31">
        <v>11.8492002487183</v>
      </c>
      <c r="M35" s="31">
        <v>11.7150001525879</v>
      </c>
      <c r="N35" s="31">
        <v>11.6590003967285</v>
      </c>
      <c r="O35" s="31">
        <v>11.6595001220703</v>
      </c>
      <c r="P35" s="31">
        <v>11.5768003463745</v>
      </c>
      <c r="Q35" s="31">
        <v>11.5704002380371</v>
      </c>
      <c r="R35" s="31">
        <v>11.5380001068115</v>
      </c>
      <c r="S35" s="31">
        <v>11.8395004272461</v>
      </c>
      <c r="T35" s="31">
        <v>11.7732000350952</v>
      </c>
      <c r="U35" s="31">
        <v>11.7817001342773</v>
      </c>
      <c r="V35" s="31">
        <v>12.0466003417969</v>
      </c>
      <c r="W35" s="31">
        <v>12.0958003997803</v>
      </c>
      <c r="X35" s="31">
        <v>12.0733995437622</v>
      </c>
      <c r="Y35" s="31">
        <v>11.9379997253418</v>
      </c>
      <c r="Z35" s="31">
        <v>12.0198001861572</v>
      </c>
      <c r="AA35" s="31">
        <v>12.0927000045776</v>
      </c>
      <c r="AB35" s="31">
        <v>12.0089998245239</v>
      </c>
      <c r="AC35" s="31">
        <v>11.9883003234863</v>
      </c>
      <c r="AD35" s="31">
        <v>11.9484996795654</v>
      </c>
      <c r="AE35" s="31">
        <v>11.9889001846313</v>
      </c>
      <c r="AF35" s="31">
        <v>11.7325000762939</v>
      </c>
      <c r="AG35" s="31">
        <v>11.6561002731323</v>
      </c>
      <c r="AH35" s="31">
        <v>11.6709003448486</v>
      </c>
      <c r="AI35" s="31">
        <v>11.5756998062134</v>
      </c>
      <c r="AJ35" s="31">
        <v>11.5934000015259</v>
      </c>
      <c r="AK35" s="31">
        <v>11.4912996292114</v>
      </c>
      <c r="AL35" s="31">
        <v>11.3512001037598</v>
      </c>
      <c r="AM35" s="31">
        <v>11.4890003204346</v>
      </c>
      <c r="AN35" s="31">
        <v>11.3509998321533</v>
      </c>
      <c r="AO35" s="31">
        <v>11.3929004669189</v>
      </c>
      <c r="AP35" s="31">
        <v>11.3604001998901</v>
      </c>
      <c r="AQ35" s="31">
        <v>11.5805997848511</v>
      </c>
      <c r="AR35" s="31">
        <v>11.6254997253418</v>
      </c>
      <c r="AS35" s="31">
        <v>11.6958999633789</v>
      </c>
      <c r="AT35" s="31">
        <v>11.6529998779297</v>
      </c>
      <c r="AU35" s="31">
        <v>11.7084999084473</v>
      </c>
      <c r="AV35" s="31">
        <v>11.8871002197266</v>
      </c>
      <c r="AW35" s="31">
        <v>11.7941999435425</v>
      </c>
      <c r="AX35" s="31">
        <v>11.7798004150391</v>
      </c>
      <c r="AY35" s="31">
        <v>11.6586999893188</v>
      </c>
      <c r="AZ35" s="31">
        <v>11.6142997741699</v>
      </c>
      <c r="BA35" s="31">
        <v>11.6870002746582</v>
      </c>
      <c r="BB35" s="31">
        <v>11.6693000793457</v>
      </c>
      <c r="BC35" s="31">
        <v>11.6319999694824</v>
      </c>
      <c r="BD35" s="31">
        <v>11.6641998291016</v>
      </c>
      <c r="BE35" s="31">
        <v>11.5886001586914</v>
      </c>
      <c r="BF35" s="31">
        <v>11.6157999038696</v>
      </c>
      <c r="BG35" s="31">
        <v>11.6346998214722</v>
      </c>
      <c r="BH35" s="31">
        <v>11.59850025177</v>
      </c>
      <c r="BI35" s="31">
        <v>11.507399559021</v>
      </c>
      <c r="BJ35" s="31">
        <v>11.6812000274658</v>
      </c>
      <c r="BK35" s="31">
        <v>11.6159000396729</v>
      </c>
      <c r="BL35" s="31">
        <v>11.546199798584</v>
      </c>
      <c r="BM35" s="31">
        <v>11.5412998199463</v>
      </c>
      <c r="BN35" s="31">
        <v>11.521900177002</v>
      </c>
      <c r="BO35" s="31">
        <v>11.5146999359131</v>
      </c>
      <c r="BP35" s="31">
        <v>11.4267997741699</v>
      </c>
      <c r="BQ35" s="31">
        <v>11.4512996673584</v>
      </c>
      <c r="BR35" s="31">
        <v>11.585000038147</v>
      </c>
      <c r="BS35" s="31">
        <v>11.5179004669189</v>
      </c>
      <c r="BT35" s="31">
        <v>11.4472999572754</v>
      </c>
      <c r="BU35" s="31">
        <v>11.5150003433228</v>
      </c>
      <c r="BV35" s="31">
        <v>11.4517002105713</v>
      </c>
      <c r="BW35" s="31">
        <v>11.2030000686646</v>
      </c>
      <c r="BX35" s="31">
        <v>11.1127996444702</v>
      </c>
      <c r="BY35" s="31">
        <v>11.003399848938</v>
      </c>
      <c r="BZ35" s="31">
        <v>11.0080003738403</v>
      </c>
      <c r="CA35" s="31">
        <v>10.9687995910645</v>
      </c>
      <c r="CB35" s="31">
        <v>11.0593996047974</v>
      </c>
      <c r="CC35" s="31">
        <v>11.1363000869751</v>
      </c>
      <c r="CD35" s="31">
        <v>11.1021003723145</v>
      </c>
      <c r="CE35" s="31">
        <v>11.1363000869751</v>
      </c>
      <c r="CF35" s="31">
        <v>11.1541996002197</v>
      </c>
      <c r="CG35" s="31">
        <v>11.1282997131348</v>
      </c>
      <c r="CH35" s="31">
        <v>11.1842002868652</v>
      </c>
      <c r="CI35" s="31">
        <v>11.2493000030518</v>
      </c>
      <c r="CJ35" s="31">
        <v>11.2232999801636</v>
      </c>
      <c r="CK35" s="31">
        <v>11.1928997039795</v>
      </c>
      <c r="CL35" s="31">
        <v>11.2252998352051</v>
      </c>
      <c r="CM35" s="31">
        <v>11.1631002426147</v>
      </c>
      <c r="CN35" s="31">
        <v>11.1513996124268</v>
      </c>
      <c r="CO35" s="31">
        <v>11.1621999740601</v>
      </c>
      <c r="CP35" s="31">
        <v>11.2285003662109</v>
      </c>
      <c r="CQ35" s="31">
        <v>11.1498003005981</v>
      </c>
      <c r="CR35" s="31">
        <v>11.1219997406006</v>
      </c>
      <c r="CS35" s="31">
        <v>11.1450004577637</v>
      </c>
      <c r="CT35" s="31">
        <v>11.1605997085571</v>
      </c>
      <c r="CU35" s="31">
        <v>11.0789003372192</v>
      </c>
      <c r="CV35" s="31">
        <v>11.1223001480103</v>
      </c>
      <c r="CW35" s="31">
        <v>11.0705003738403</v>
      </c>
      <c r="CX35" s="31">
        <v>10.9883003234863</v>
      </c>
      <c r="CY35" s="31">
        <v>10.9952001571655</v>
      </c>
      <c r="CZ35" s="31">
        <v>10.9145002365112</v>
      </c>
      <c r="DA35" s="31">
        <v>10.9697999954224</v>
      </c>
      <c r="DB35" s="31">
        <v>10.9477996826172</v>
      </c>
      <c r="DC35" s="31">
        <v>10.8927001953125</v>
      </c>
      <c r="DD35" s="31">
        <v>10.7103996276855</v>
      </c>
      <c r="DE35" s="31">
        <v>10.6858997344971</v>
      </c>
      <c r="DF35" s="31">
        <v>10.6759996414185</v>
      </c>
      <c r="DG35" s="31">
        <v>10.7074003219604</v>
      </c>
      <c r="DH35" s="31">
        <v>10.7648000717163</v>
      </c>
      <c r="DI35" s="31">
        <v>10.8076000213623</v>
      </c>
      <c r="DJ35" s="31">
        <v>10.6527996063232</v>
      </c>
      <c r="DK35" s="31">
        <v>10.6071996688843</v>
      </c>
      <c r="DL35" s="31">
        <v>10.5631999969482</v>
      </c>
      <c r="DM35" s="31">
        <v>10.5578002929687</v>
      </c>
      <c r="DN35" s="31">
        <v>10.5776996612549</v>
      </c>
      <c r="DO35" s="31">
        <v>10.483099937439</v>
      </c>
      <c r="DP35" s="31">
        <v>10.5466995239258</v>
      </c>
      <c r="DQ35" s="31">
        <v>10.5838003158569</v>
      </c>
      <c r="DR35" s="31">
        <v>10.6240997314453</v>
      </c>
      <c r="DS35" s="31">
        <v>10.586799621582</v>
      </c>
      <c r="DT35" s="31">
        <v>10.6461000442505</v>
      </c>
      <c r="DU35" s="31">
        <v>10.8043003082275</v>
      </c>
      <c r="DV35" s="31">
        <v>10.854700088501</v>
      </c>
      <c r="DW35" s="31">
        <v>10.7658996582031</v>
      </c>
      <c r="DX35" s="31">
        <v>10.7807998657227</v>
      </c>
      <c r="DY35" s="31">
        <v>10.7333002090454</v>
      </c>
      <c r="DZ35" s="31">
        <v>10.6826000213623</v>
      </c>
      <c r="EA35" s="31">
        <v>10.5719003677368</v>
      </c>
      <c r="EB35" s="31">
        <v>10.5801000595093</v>
      </c>
      <c r="EC35" s="31">
        <v>10.5124998092651</v>
      </c>
      <c r="ED35" s="31">
        <v>10.5120000839233</v>
      </c>
      <c r="EE35" s="31">
        <v>10.5016002655029</v>
      </c>
      <c r="EF35" s="31">
        <v>10.520899772644</v>
      </c>
      <c r="EG35" s="31">
        <v>10.581000328064</v>
      </c>
      <c r="EH35" s="31">
        <v>10.3833999633789</v>
      </c>
      <c r="EI35" s="31">
        <v>10.4906997680664</v>
      </c>
      <c r="EJ35" s="31">
        <v>10.4688997268677</v>
      </c>
      <c r="EK35" s="31">
        <v>10.3352003097534</v>
      </c>
      <c r="EL35" s="31">
        <v>10.3605003356934</v>
      </c>
      <c r="EM35" s="31">
        <v>10.5458002090454</v>
      </c>
      <c r="EN35" s="31">
        <v>10.81369972229</v>
      </c>
      <c r="EO35" s="31">
        <v>10.8528995513916</v>
      </c>
      <c r="EP35" s="31">
        <v>10.8169002532959</v>
      </c>
      <c r="EQ35" s="31">
        <v>10.6515998840332</v>
      </c>
      <c r="ER35" s="31">
        <v>10.6059999465942</v>
      </c>
      <c r="ES35" s="31">
        <v>10.5631999969482</v>
      </c>
      <c r="ET35" s="31">
        <v>10.5031995773315</v>
      </c>
      <c r="EU35" s="31">
        <v>10.6124000549316</v>
      </c>
      <c r="EV35" s="31">
        <v>10.8724002838135</v>
      </c>
      <c r="EW35" s="31">
        <v>10.9244003295898</v>
      </c>
      <c r="EX35" s="31">
        <v>10.9530000686646</v>
      </c>
      <c r="EY35" s="31">
        <v>11.1588001251221</v>
      </c>
      <c r="EZ35" s="31">
        <v>11.1997003555298</v>
      </c>
      <c r="FA35" s="31">
        <v>11.3213996887207</v>
      </c>
      <c r="FB35" s="31">
        <v>11.4399003982544</v>
      </c>
      <c r="FC35" s="31">
        <v>11.4392995834351</v>
      </c>
      <c r="FD35" s="31">
        <v>11.2692003250122</v>
      </c>
      <c r="FE35" s="31">
        <v>11.3801002502441</v>
      </c>
      <c r="FF35" s="31">
        <v>11.274299621582</v>
      </c>
      <c r="FG35" s="31">
        <v>11.4357004165649</v>
      </c>
      <c r="FH35" s="31">
        <v>11.4764995574951</v>
      </c>
      <c r="FI35" s="31">
        <v>11.5256004333496</v>
      </c>
      <c r="FJ35" s="31">
        <v>11.627799987793</v>
      </c>
      <c r="FK35" s="31">
        <v>11.5684003829956</v>
      </c>
      <c r="FL35" s="31">
        <v>11.5453996658325</v>
      </c>
      <c r="FM35" s="31">
        <v>11.6272001266479</v>
      </c>
      <c r="FN35" s="31">
        <v>11.683500289917</v>
      </c>
      <c r="FO35" s="31">
        <v>11.5954999923706</v>
      </c>
      <c r="FP35" s="31">
        <v>11.510199546814</v>
      </c>
      <c r="FQ35" s="31">
        <v>11.512900352478</v>
      </c>
      <c r="FR35" s="31">
        <v>11.5279998779297</v>
      </c>
      <c r="FS35" s="31">
        <v>11.6189002990723</v>
      </c>
      <c r="FT35" s="31">
        <v>11.5474996566772</v>
      </c>
      <c r="FU35" s="31">
        <v>11.6084995269775</v>
      </c>
      <c r="FV35" s="31">
        <v>11.5937004089355</v>
      </c>
      <c r="FW35" s="31">
        <v>11.5488004684448</v>
      </c>
      <c r="FX35" s="31">
        <v>11.5279998779297</v>
      </c>
      <c r="FY35" s="31">
        <v>11.5832004547119</v>
      </c>
      <c r="FZ35" s="31">
        <v>11.4909000396729</v>
      </c>
      <c r="GA35" s="31">
        <v>11.5128002166748</v>
      </c>
      <c r="GB35" s="31">
        <v>11.6589002609253</v>
      </c>
      <c r="GC35" s="31">
        <v>11.7749996185303</v>
      </c>
      <c r="GD35" s="31">
        <v>11.7825002670288</v>
      </c>
      <c r="GE35" s="31">
        <v>11.7519998550415</v>
      </c>
      <c r="GF35" s="31">
        <v>11.7063999176025</v>
      </c>
      <c r="GG35" s="31">
        <v>11.6716995239258</v>
      </c>
      <c r="GH35" s="31">
        <v>11.608099937439</v>
      </c>
      <c r="GI35" s="31">
        <v>11.5956001281738</v>
      </c>
      <c r="GJ35" s="31">
        <v>11.5160999298096</v>
      </c>
      <c r="GK35" s="31">
        <v>11.7878999710083</v>
      </c>
      <c r="GL35" s="31">
        <v>11.7004995346069</v>
      </c>
      <c r="GM35" s="31">
        <v>11.8563003540039</v>
      </c>
      <c r="GN35" s="31">
        <v>11.8561000823975</v>
      </c>
      <c r="GO35" s="31">
        <v>11.8305997848511</v>
      </c>
      <c r="GP35" s="31">
        <v>11.7383003234863</v>
      </c>
      <c r="GQ35" s="31">
        <v>11.6524000167847</v>
      </c>
      <c r="GR35" s="31">
        <v>11.68869972229</v>
      </c>
      <c r="GS35" s="31">
        <v>11.7189998626709</v>
      </c>
      <c r="GT35" s="31">
        <v>11.8422002792358</v>
      </c>
      <c r="GU35" s="31">
        <v>11.9441003799438</v>
      </c>
      <c r="GV35" s="31">
        <v>12.0680999755859</v>
      </c>
      <c r="GW35" s="31">
        <v>12.1570997238159</v>
      </c>
      <c r="GX35" s="31">
        <v>12.1822004318237</v>
      </c>
      <c r="GY35" s="31">
        <v>12.1218004226685</v>
      </c>
      <c r="GZ35" s="31">
        <v>12.1822996139526</v>
      </c>
      <c r="HA35" s="31">
        <v>12.2080001831055</v>
      </c>
      <c r="HB35" s="31">
        <v>12.2004995346069</v>
      </c>
      <c r="HC35" s="31">
        <v>12.1640996932983</v>
      </c>
      <c r="HD35" s="31">
        <v>12.0728998184204</v>
      </c>
      <c r="HE35" s="31">
        <v>12.1124000549316</v>
      </c>
      <c r="HF35" s="31">
        <v>12.2152004241943</v>
      </c>
      <c r="HG35" s="31">
        <v>12.2775001525879</v>
      </c>
      <c r="HH35" s="31">
        <v>12.2462997436523</v>
      </c>
      <c r="HI35" s="31">
        <v>12.2573003768921</v>
      </c>
      <c r="HJ35" s="31">
        <v>12.1361999511719</v>
      </c>
      <c r="HK35" s="31">
        <v>12.027099609375</v>
      </c>
      <c r="HL35" s="31">
        <v>12.1653995513916</v>
      </c>
      <c r="HM35" s="31">
        <v>12.1147003173828</v>
      </c>
      <c r="HN35" s="31">
        <v>12.1336002349854</v>
      </c>
      <c r="HO35" s="31">
        <v>12.0574998855591</v>
      </c>
      <c r="HP35" s="31">
        <v>12.0167999267578</v>
      </c>
      <c r="HQ35" s="31">
        <v>12.0641002655029</v>
      </c>
      <c r="HR35" s="31">
        <v>12.1187000274658</v>
      </c>
      <c r="HS35" s="31">
        <v>12.0565004348755</v>
      </c>
      <c r="HT35" s="31">
        <v>12.0684003829956</v>
      </c>
      <c r="HU35" s="31">
        <v>12.0412998199463</v>
      </c>
      <c r="HV35" s="31">
        <v>11.9223003387451</v>
      </c>
      <c r="HW35" s="31">
        <v>11.9426002502441</v>
      </c>
      <c r="HX35" s="31">
        <v>11.914400100708</v>
      </c>
      <c r="HY35" s="31">
        <v>11.9441995620728</v>
      </c>
      <c r="HZ35" s="31">
        <v>11.8401002883911</v>
      </c>
      <c r="IA35" s="31">
        <v>11.8824996948242</v>
      </c>
      <c r="IB35" s="31">
        <v>11.8810997009277</v>
      </c>
      <c r="IC35" s="31">
        <v>11.8559999465942</v>
      </c>
      <c r="ID35" s="31">
        <v>11.8271999359131</v>
      </c>
      <c r="IE35" s="31">
        <v>11.7917003631592</v>
      </c>
      <c r="IF35" s="31">
        <v>11.7510004043579</v>
      </c>
      <c r="IG35" s="31">
        <v>11.793999671936</v>
      </c>
      <c r="IH35" s="31">
        <v>11.7582998275757</v>
      </c>
      <c r="II35" s="31">
        <v>11.8431997299194</v>
      </c>
      <c r="IJ35" s="31">
        <v>11.9387998580933</v>
      </c>
      <c r="IK35" s="31">
        <v>11.9876003265381</v>
      </c>
      <c r="IL35" s="31">
        <v>11.9453001022339</v>
      </c>
      <c r="IM35" s="31">
        <v>11.9187002182007</v>
      </c>
      <c r="IN35" s="31">
        <v>11.8224000930786</v>
      </c>
      <c r="IO35" s="31">
        <v>11.786600112915</v>
      </c>
      <c r="IP35" s="31">
        <v>11.8950996398926</v>
      </c>
      <c r="IQ35" s="31">
        <v>11.8332996368408</v>
      </c>
      <c r="IR35" s="31">
        <v>11.9041004180908</v>
      </c>
      <c r="IS35" s="31">
        <v>11.9195003509521</v>
      </c>
      <c r="IT35" s="31">
        <v>11.9968996047974</v>
      </c>
      <c r="IU35" s="31">
        <v>12.0276002883911</v>
      </c>
      <c r="IV35" s="31">
        <v>11.9799995422363</v>
      </c>
      <c r="IW35" s="31">
        <v>12.0644998550415</v>
      </c>
      <c r="IX35" s="31">
        <v>12.0846004486084</v>
      </c>
      <c r="IY35" s="31">
        <v>11.9624004364014</v>
      </c>
      <c r="IZ35" s="31">
        <v>11.805100440979</v>
      </c>
      <c r="JA35" s="31">
        <v>11.7786998748779</v>
      </c>
      <c r="JB35" s="31">
        <v>11.6868000030518</v>
      </c>
      <c r="JC35" s="31">
        <v>11.6398000717163</v>
      </c>
      <c r="JD35" s="31">
        <v>11.6373996734619</v>
      </c>
      <c r="JE35" s="31">
        <v>11.5490999221802</v>
      </c>
      <c r="JF35" s="31">
        <v>11.7009000778198</v>
      </c>
      <c r="JG35" s="31">
        <v>11.6667995452881</v>
      </c>
      <c r="JH35" s="31">
        <v>11.5713996887207</v>
      </c>
      <c r="JI35" s="31">
        <v>11.4107999801636</v>
      </c>
      <c r="JJ35" s="31">
        <v>11.3770999908447</v>
      </c>
      <c r="JK35" s="31">
        <v>11.3894996643066</v>
      </c>
      <c r="JL35" s="31">
        <v>11.3858995437622</v>
      </c>
      <c r="JM35" s="31">
        <v>11.3642997741699</v>
      </c>
      <c r="JN35" s="31">
        <v>11.354100227356</v>
      </c>
      <c r="JO35" s="31">
        <v>11.3964996337891</v>
      </c>
      <c r="JP35" s="31">
        <v>11.3528003692627</v>
      </c>
      <c r="JQ35" s="31">
        <v>11.4666996002197</v>
      </c>
      <c r="JR35" s="31">
        <v>11.5172004699707</v>
      </c>
      <c r="JS35" s="31">
        <v>11.5888996124268</v>
      </c>
      <c r="JT35" s="31">
        <v>11.5127000808716</v>
      </c>
      <c r="JU35" s="31">
        <v>11.4715003967285</v>
      </c>
      <c r="JV35" s="31">
        <v>11.4826002120972</v>
      </c>
      <c r="JW35" s="31">
        <v>11.5068998336792</v>
      </c>
      <c r="JX35" s="31">
        <v>11.4903001785278</v>
      </c>
      <c r="JY35" s="31">
        <v>11.4968996047974</v>
      </c>
      <c r="JZ35" s="31">
        <v>11.4296998977661</v>
      </c>
      <c r="KA35" s="31">
        <v>11.2721996307373</v>
      </c>
      <c r="KB35" s="31">
        <v>11.2639999389648</v>
      </c>
      <c r="KC35" s="31">
        <v>11.2590999603271</v>
      </c>
      <c r="KD35" s="31">
        <v>11.1986999511719</v>
      </c>
      <c r="KE35" s="31">
        <v>11.1001996994019</v>
      </c>
      <c r="KF35" s="31">
        <v>11.0846004486084</v>
      </c>
      <c r="KG35" s="31">
        <v>11.0204000473022</v>
      </c>
      <c r="KH35" s="31">
        <v>10.8832998275757</v>
      </c>
      <c r="KI35" s="31">
        <v>10.9320001602173</v>
      </c>
      <c r="KJ35" s="31">
        <v>10.8235998153687</v>
      </c>
      <c r="KK35" s="31">
        <v>10.7979001998901</v>
      </c>
      <c r="KL35" s="31">
        <v>10.7809000015259</v>
      </c>
      <c r="KM35" s="31">
        <v>10.8654003143311</v>
      </c>
      <c r="KN35" s="31">
        <v>10.9041996002197</v>
      </c>
      <c r="KO35" s="31">
        <v>10.941499710083</v>
      </c>
      <c r="KP35" s="31">
        <v>11.0047998428345</v>
      </c>
      <c r="KQ35" s="31">
        <v>11.4728002548218</v>
      </c>
      <c r="KR35" s="31">
        <v>11.6176996231079</v>
      </c>
      <c r="KS35" s="31">
        <v>12.0122003555298</v>
      </c>
      <c r="KT35" s="31">
        <v>12.3261995315552</v>
      </c>
      <c r="KU35" s="31">
        <v>13.2601003646851</v>
      </c>
      <c r="KV35" s="31">
        <v>13.8699998855591</v>
      </c>
      <c r="KW35" s="31">
        <v>12.972900390625</v>
      </c>
      <c r="KX35" s="31">
        <v>13.2011995315552</v>
      </c>
      <c r="KY35" s="31">
        <v>12.9238004684448</v>
      </c>
      <c r="KZ35" s="31">
        <v>13.1862001419067</v>
      </c>
      <c r="LA35" s="31">
        <v>12.8142004013062</v>
      </c>
      <c r="LB35" s="31">
        <v>12.7853002548218</v>
      </c>
      <c r="LC35" s="31">
        <v>12.6464996337891</v>
      </c>
      <c r="LD35" s="31">
        <v>12.9989995956421</v>
      </c>
      <c r="LE35" s="31">
        <v>12.9631004333496</v>
      </c>
      <c r="LF35" s="31">
        <v>12.9225997924805</v>
      </c>
      <c r="LG35" s="31">
        <v>12.9478998184204</v>
      </c>
      <c r="LH35" s="31">
        <v>12.8261995315552</v>
      </c>
      <c r="LI35" s="31">
        <v>12.8648996353149</v>
      </c>
      <c r="LJ35" s="31">
        <v>12.8784999847412</v>
      </c>
      <c r="LK35" s="31">
        <v>12.8073997497559</v>
      </c>
      <c r="LL35" s="31">
        <v>12.6338996887207</v>
      </c>
      <c r="LM35" s="31">
        <v>12.3909997940063</v>
      </c>
      <c r="LN35" s="31">
        <v>12.4444999694824</v>
      </c>
      <c r="LO35" s="31">
        <v>12.5631999969482</v>
      </c>
      <c r="LP35" s="31">
        <v>12.8269996643066</v>
      </c>
      <c r="LQ35" s="31">
        <v>12.7523002624512</v>
      </c>
      <c r="LR35" s="31">
        <v>13.1042003631592</v>
      </c>
      <c r="LS35" s="31">
        <v>12.975700378418</v>
      </c>
      <c r="LT35" s="31">
        <v>12.9792003631592</v>
      </c>
      <c r="LU35" s="31">
        <v>12.8268003463745</v>
      </c>
      <c r="LV35" s="31">
        <v>12.9271001815796</v>
      </c>
      <c r="LW35" s="31">
        <v>12.7665996551514</v>
      </c>
      <c r="LX35" s="31">
        <v>12.6125001907349</v>
      </c>
      <c r="LY35" s="31">
        <v>12.6243000030518</v>
      </c>
      <c r="LZ35" s="31">
        <v>12.654899597168</v>
      </c>
      <c r="MA35" s="31">
        <v>12.6759996414185</v>
      </c>
      <c r="MB35" s="31">
        <v>12.6787996292114</v>
      </c>
      <c r="MC35" s="31">
        <v>12.3371000289917</v>
      </c>
      <c r="MD35" s="31">
        <v>12.3029003143311</v>
      </c>
      <c r="ME35" s="31">
        <v>12.3156995773315</v>
      </c>
      <c r="MF35" s="31">
        <v>12.4996004104614</v>
      </c>
      <c r="MG35" s="31">
        <v>12.4065999984741</v>
      </c>
      <c r="MH35" s="31">
        <v>12.4998998641968</v>
      </c>
      <c r="MI35" s="31">
        <v>12.5763998031616</v>
      </c>
      <c r="MJ35" s="31">
        <v>12.6424999237061</v>
      </c>
      <c r="MK35" s="31">
        <v>12.6381998062134</v>
      </c>
      <c r="ML35" s="31">
        <v>12.5992002487183</v>
      </c>
      <c r="MM35" s="31">
        <v>12.7389001846313</v>
      </c>
      <c r="MN35" s="31">
        <v>12.7440004348755</v>
      </c>
      <c r="MO35" s="31">
        <v>12.8241996765137</v>
      </c>
      <c r="MP35" s="31">
        <v>12.779899597168</v>
      </c>
      <c r="MQ35" s="31">
        <v>12.9097995758057</v>
      </c>
      <c r="MR35" s="31">
        <v>12.6559000015259</v>
      </c>
      <c r="MS35" s="31">
        <v>12.7217998504639</v>
      </c>
      <c r="MT35" s="31">
        <v>12.7411003112793</v>
      </c>
      <c r="MU35" s="31">
        <v>12.8154001235962</v>
      </c>
      <c r="MV35" s="31">
        <v>12.7882995605469</v>
      </c>
      <c r="MW35" s="31">
        <v>12.7307996749878</v>
      </c>
      <c r="MX35" s="31">
        <v>12.8228998184204</v>
      </c>
      <c r="MY35" s="31">
        <v>12.9919996261597</v>
      </c>
      <c r="MZ35" s="31">
        <v>13.0492000579834</v>
      </c>
      <c r="NA35" s="31">
        <v>13.019700050354</v>
      </c>
      <c r="NB35" s="31">
        <v>13.0052995681763</v>
      </c>
      <c r="NC35" s="31">
        <v>13.0866003036499</v>
      </c>
      <c r="ND35" s="31">
        <v>12.9294004440308</v>
      </c>
      <c r="NE35" s="31">
        <v>12.5611000061035</v>
      </c>
      <c r="NF35" s="31">
        <v>12.4348001480103</v>
      </c>
      <c r="NG35" s="31">
        <v>12.4074001312256</v>
      </c>
      <c r="NH35" s="31">
        <v>12.4753999710083</v>
      </c>
      <c r="NI35" s="31">
        <v>12.4877996444702</v>
      </c>
      <c r="NJ35" s="31">
        <v>12.407600402832</v>
      </c>
      <c r="NK35" s="31">
        <v>12.2568998336792</v>
      </c>
      <c r="NL35" s="31">
        <v>12.2103004455566</v>
      </c>
      <c r="NM35" s="31">
        <v>12.4651002883911</v>
      </c>
      <c r="NN35" s="31">
        <v>12.3985996246338</v>
      </c>
      <c r="NO35" s="31">
        <v>12.433500289917</v>
      </c>
      <c r="NP35" s="31">
        <v>12.4383001327515</v>
      </c>
      <c r="NQ35" s="31">
        <v>12.434100151062</v>
      </c>
      <c r="NR35" s="31">
        <v>12.4137001037598</v>
      </c>
      <c r="NS35" s="31">
        <v>12.2966003417969</v>
      </c>
      <c r="NT35" s="31">
        <v>12.382399559021</v>
      </c>
      <c r="NU35" s="31">
        <v>12.4282999038696</v>
      </c>
      <c r="NV35" s="31">
        <v>12.4423999786377</v>
      </c>
      <c r="NW35" s="31">
        <v>12.3184003829956</v>
      </c>
      <c r="NX35" s="31">
        <v>12.4359998703003</v>
      </c>
      <c r="NY35" s="31">
        <v>12.5502996444702</v>
      </c>
      <c r="NZ35" s="31">
        <v>12.5819997787476</v>
      </c>
      <c r="OA35" s="31">
        <v>12.5817003250122</v>
      </c>
      <c r="OB35" s="31">
        <v>12.684100151062</v>
      </c>
      <c r="OC35" s="31">
        <v>12.6554002761841</v>
      </c>
      <c r="OD35" s="31">
        <v>12.7430000305176</v>
      </c>
      <c r="OE35" s="31">
        <v>12.7622003555298</v>
      </c>
      <c r="OF35" s="31">
        <v>12.6999998092651</v>
      </c>
      <c r="OG35" s="31">
        <v>12.7416000366211</v>
      </c>
      <c r="OH35" s="31">
        <v>12.7030000686646</v>
      </c>
      <c r="OI35" s="31">
        <v>12.8030004501343</v>
      </c>
      <c r="OJ35" s="31">
        <v>12.7566003799438</v>
      </c>
      <c r="OK35" s="31">
        <v>12.611499786377</v>
      </c>
      <c r="OL35" s="31">
        <v>12.6946001052856</v>
      </c>
      <c r="OM35" s="31">
        <v>12.7363004684448</v>
      </c>
      <c r="ON35" s="31">
        <v>12.5543003082275</v>
      </c>
      <c r="OO35" s="31">
        <v>12.5359001159668</v>
      </c>
      <c r="OP35" s="31">
        <v>12.4462003707886</v>
      </c>
      <c r="OQ35" s="31">
        <v>12.5357999801636</v>
      </c>
      <c r="OR35" s="31">
        <v>12.6515998840332</v>
      </c>
      <c r="OS35" s="31">
        <v>12.6217002868652</v>
      </c>
      <c r="OT35" s="31">
        <v>12.5548000335693</v>
      </c>
      <c r="OU35" s="31">
        <v>12.6012001037598</v>
      </c>
      <c r="OV35" s="31">
        <v>12.5570001602173</v>
      </c>
      <c r="OW35" s="31">
        <v>12.5424003601074</v>
      </c>
      <c r="OX35" s="31">
        <v>12.8185997009277</v>
      </c>
      <c r="OY35" s="31">
        <v>12.8162002563477</v>
      </c>
      <c r="OZ35" s="31">
        <v>12.8269996643066</v>
      </c>
      <c r="PA35" s="31">
        <v>12.8486003875732</v>
      </c>
      <c r="PB35" s="31">
        <v>12.7013998031616</v>
      </c>
      <c r="PC35" s="31">
        <v>12.5448999404907</v>
      </c>
      <c r="PD35" s="31">
        <v>12.5521001815796</v>
      </c>
      <c r="PE35" s="31">
        <v>12.546199798584</v>
      </c>
      <c r="PF35" s="31">
        <v>12.5018997192383</v>
      </c>
      <c r="PG35" s="31">
        <v>12.5327997207642</v>
      </c>
      <c r="PH35" s="31">
        <v>12.434700012207</v>
      </c>
      <c r="PI35" s="31">
        <v>12.37619972229</v>
      </c>
      <c r="PJ35" s="31">
        <v>12.4336996078491</v>
      </c>
      <c r="PK35" s="31">
        <v>12.4376001358032</v>
      </c>
      <c r="PL35" s="31">
        <v>12.4221000671387</v>
      </c>
      <c r="PM35" s="31">
        <v>11.6708002090454</v>
      </c>
      <c r="PN35" s="31">
        <v>11.9029998779297</v>
      </c>
      <c r="PO35" s="31">
        <v>11.9692001342773</v>
      </c>
      <c r="PP35" s="31">
        <v>12.0675001144409</v>
      </c>
      <c r="PQ35" s="31">
        <v>12.0907001495361</v>
      </c>
      <c r="PR35" s="31">
        <v>12.1405000686646</v>
      </c>
      <c r="PS35" s="31">
        <v>12.171799659729</v>
      </c>
      <c r="PT35" s="31">
        <v>12.2559995651245</v>
      </c>
      <c r="PU35" s="31">
        <v>12.2538995742798</v>
      </c>
      <c r="PV35" s="31">
        <v>12.2632999420166</v>
      </c>
      <c r="PW35" s="31">
        <v>12.2489004135132</v>
      </c>
      <c r="PX35" s="31">
        <v>12.2931003570557</v>
      </c>
      <c r="PY35" s="31">
        <v>12.2686996459961</v>
      </c>
      <c r="PZ35" s="31">
        <v>12.290599822998</v>
      </c>
      <c r="QA35" s="31">
        <v>12.2608995437622</v>
      </c>
      <c r="QB35" s="31">
        <v>12.3204002380371</v>
      </c>
      <c r="QC35" s="31">
        <v>12.3046998977661</v>
      </c>
      <c r="QD35" s="31">
        <v>12.2087001800537</v>
      </c>
      <c r="QE35" s="31">
        <v>12.2957000732422</v>
      </c>
      <c r="QF35" s="31">
        <v>12.4081001281738</v>
      </c>
      <c r="QG35" s="31">
        <v>12.4450998306274</v>
      </c>
      <c r="QH35" s="31">
        <v>12.4390001296997</v>
      </c>
      <c r="QI35" s="31">
        <v>12.5362997055054</v>
      </c>
      <c r="QJ35" s="31">
        <v>12.5712995529175</v>
      </c>
      <c r="QK35" s="31">
        <v>12.7193002700806</v>
      </c>
      <c r="QL35" s="31">
        <v>12.6352996826172</v>
      </c>
      <c r="QM35" s="31">
        <v>12.5611000061035</v>
      </c>
      <c r="QN35" s="31">
        <v>12.5256996154785</v>
      </c>
      <c r="QO35" s="31">
        <v>12.5909004211426</v>
      </c>
      <c r="QP35" s="31">
        <v>12.6491003036499</v>
      </c>
      <c r="QQ35" s="31">
        <v>12.6485996246338</v>
      </c>
      <c r="QR35" s="31">
        <v>12.546799659729</v>
      </c>
      <c r="QS35" s="31">
        <v>12.4877004623413</v>
      </c>
      <c r="QT35" s="31">
        <v>12.4516000747681</v>
      </c>
      <c r="QU35" s="31">
        <v>12.4428997039795</v>
      </c>
      <c r="QV35" s="31">
        <v>12.4884996414185</v>
      </c>
      <c r="QW35" s="31">
        <v>12.4616003036499</v>
      </c>
      <c r="QX35" s="31">
        <v>12.5010995864868</v>
      </c>
      <c r="QY35" s="31">
        <v>12.5353002548218</v>
      </c>
      <c r="QZ35" s="31">
        <v>12.5643997192383</v>
      </c>
      <c r="RA35" s="31">
        <v>12.5614004135132</v>
      </c>
      <c r="RB35" s="31">
        <v>12.5712003707886</v>
      </c>
      <c r="RC35" s="31">
        <v>12.5275001525879</v>
      </c>
      <c r="RD35" s="31">
        <v>12.8037996292114</v>
      </c>
      <c r="RE35" s="31">
        <v>12.7797002792358</v>
      </c>
      <c r="RF35" s="31">
        <v>12.7194995880127</v>
      </c>
      <c r="RG35" s="31">
        <v>12.7786998748779</v>
      </c>
      <c r="RH35" s="31">
        <v>12.7818002700806</v>
      </c>
      <c r="RI35" s="31">
        <v>12.8156003952026</v>
      </c>
      <c r="RJ35" s="31">
        <v>12.7975997924805</v>
      </c>
      <c r="RK35" s="31">
        <v>12.8261995315552</v>
      </c>
      <c r="RL35" s="31">
        <v>12.90149974823</v>
      </c>
      <c r="RM35" s="31">
        <v>13.0250997543335</v>
      </c>
      <c r="RN35" s="31">
        <v>13.1709003448486</v>
      </c>
      <c r="RO35" s="31">
        <v>13.1642999649048</v>
      </c>
      <c r="RP35" s="31">
        <v>13.0223999023437</v>
      </c>
      <c r="RQ35" s="31">
        <v>13.065899848938</v>
      </c>
      <c r="RR35" s="31">
        <v>13.1154003143311</v>
      </c>
      <c r="RS35" s="31">
        <v>13.1225004196167</v>
      </c>
      <c r="RT35" s="31">
        <v>13.1583003997803</v>
      </c>
      <c r="RU35" s="31">
        <v>13.2299995422363</v>
      </c>
      <c r="RV35" s="31">
        <v>13.1865997314453</v>
      </c>
      <c r="RW35" s="31">
        <v>13.262900352478</v>
      </c>
      <c r="RX35" s="31">
        <v>13.2666997909546</v>
      </c>
      <c r="RY35" s="31">
        <v>13.3386001586914</v>
      </c>
      <c r="RZ35" s="31">
        <v>13.3088998794556</v>
      </c>
      <c r="SA35" s="31">
        <v>13.3252000808716</v>
      </c>
      <c r="SB35" s="31">
        <v>13.3163003921509</v>
      </c>
      <c r="SC35" s="31">
        <v>13.2861995697021</v>
      </c>
      <c r="SD35" s="31">
        <v>13.3168001174927</v>
      </c>
      <c r="SE35" s="31">
        <v>13.3872003555298</v>
      </c>
      <c r="SF35" s="31">
        <v>13.4485998153687</v>
      </c>
      <c r="SG35" s="31">
        <v>13.5284004211426</v>
      </c>
      <c r="SH35" s="31">
        <v>13.5424995422363</v>
      </c>
      <c r="SI35" s="31">
        <v>13.5888004302979</v>
      </c>
      <c r="SJ35" s="31">
        <v>13.5068998336792</v>
      </c>
      <c r="SK35" s="31">
        <v>13.5171003341675</v>
      </c>
      <c r="SL35" s="31">
        <v>13.3535995483398</v>
      </c>
      <c r="SM35" s="31">
        <v>13.3929996490479</v>
      </c>
      <c r="SN35" s="31">
        <v>13.1864995956421</v>
      </c>
      <c r="SO35" s="31">
        <v>13.1154003143311</v>
      </c>
      <c r="SP35" s="31">
        <v>13.1662998199463</v>
      </c>
      <c r="SQ35" s="31">
        <v>13.293399810791</v>
      </c>
      <c r="SR35" s="31">
        <v>13.3172998428345</v>
      </c>
      <c r="SS35" s="31">
        <v>13.3337001800537</v>
      </c>
      <c r="ST35" s="31">
        <v>13.3051996231079</v>
      </c>
      <c r="SU35" s="31">
        <v>13.2980003356934</v>
      </c>
      <c r="SV35" s="31">
        <v>13.3866996765137</v>
      </c>
      <c r="SW35" s="31">
        <v>13.4224004745483</v>
      </c>
      <c r="SX35" s="31">
        <v>13.4224996566772</v>
      </c>
      <c r="SY35" s="31">
        <v>13.4561996459961</v>
      </c>
      <c r="SZ35" s="31">
        <v>13.539999961853</v>
      </c>
      <c r="TA35" s="31">
        <v>13.5347003936768</v>
      </c>
      <c r="TB35" s="31">
        <v>13.6688995361328</v>
      </c>
      <c r="TC35" s="31">
        <v>13.7271995544434</v>
      </c>
      <c r="TD35" s="31">
        <v>13.9697999954224</v>
      </c>
      <c r="TE35" s="31">
        <v>14.181300163269</v>
      </c>
      <c r="TF35" s="31">
        <v>14.1136999130249</v>
      </c>
      <c r="TG35" s="31">
        <v>13.8596000671387</v>
      </c>
      <c r="TH35" s="31">
        <v>14.0934000015259</v>
      </c>
      <c r="TI35" s="31">
        <v>14.1515998840332</v>
      </c>
      <c r="TJ35" s="31">
        <v>14.1368999481201</v>
      </c>
      <c r="TK35" s="31">
        <v>14.1414003372192</v>
      </c>
      <c r="TL35" s="31">
        <v>14.0109996795654</v>
      </c>
      <c r="TM35" s="31">
        <v>13.853099822998</v>
      </c>
      <c r="TN35" s="31">
        <v>13.9751996994019</v>
      </c>
      <c r="TO35" s="31">
        <v>13.9860000610352</v>
      </c>
      <c r="TP35" s="31">
        <v>13.9022998809814</v>
      </c>
      <c r="TQ35" s="31">
        <v>13.9430999755859</v>
      </c>
      <c r="TR35" s="31">
        <v>14.180100440979</v>
      </c>
      <c r="TS35" s="31">
        <v>14.1308002471924</v>
      </c>
      <c r="TT35" s="31">
        <v>14.1326999664307</v>
      </c>
      <c r="TU35" s="31">
        <v>14.0896997451782</v>
      </c>
      <c r="TV35" s="31">
        <v>14.1590995788574</v>
      </c>
      <c r="TW35" s="31">
        <v>13.9616003036499</v>
      </c>
      <c r="TX35" s="31">
        <v>13.9609003067017</v>
      </c>
      <c r="TY35" s="31">
        <v>13.9723997116089</v>
      </c>
      <c r="TZ35" s="31">
        <v>14.0132999420166</v>
      </c>
      <c r="UA35" s="31">
        <v>14.0963001251221</v>
      </c>
      <c r="UB35" s="31">
        <v>14.1333999633789</v>
      </c>
      <c r="UC35" s="31">
        <v>14.0418996810913</v>
      </c>
      <c r="UD35" s="31">
        <v>14.1851997375488</v>
      </c>
      <c r="UE35" s="31">
        <v>14.2225999832153</v>
      </c>
      <c r="UF35" s="31">
        <v>14.4153003692627</v>
      </c>
      <c r="UG35" s="31">
        <v>14.2453002929687</v>
      </c>
      <c r="UH35" s="31">
        <v>14.1894998550415</v>
      </c>
      <c r="UI35" s="31">
        <v>14.1444997787476</v>
      </c>
      <c r="UJ35" s="31">
        <v>14.3058004379272</v>
      </c>
      <c r="UK35" s="31">
        <v>14.4041004180908</v>
      </c>
      <c r="UL35" s="31">
        <v>14.1536998748779</v>
      </c>
      <c r="UM35" s="31">
        <v>14.2164001464844</v>
      </c>
      <c r="UN35" s="31">
        <v>14.3729000091553</v>
      </c>
      <c r="UO35" s="31">
        <v>14.3983001708984</v>
      </c>
      <c r="UP35" s="31">
        <v>14.4575996398926</v>
      </c>
      <c r="UQ35" s="31">
        <v>14.5550003051758</v>
      </c>
      <c r="UR35" s="31">
        <v>14.6921997070312</v>
      </c>
      <c r="US35" s="31">
        <v>14.622200012207</v>
      </c>
      <c r="UT35" s="31">
        <v>14.6152000427246</v>
      </c>
      <c r="UU35" s="31">
        <v>14.4942998886108</v>
      </c>
      <c r="UV35" s="31">
        <v>14.1146001815796</v>
      </c>
      <c r="UW35" s="31">
        <v>14.203800201416</v>
      </c>
      <c r="UX35" s="31">
        <v>14.1715002059937</v>
      </c>
      <c r="UY35" s="31">
        <v>14.1770000457764</v>
      </c>
      <c r="UZ35" s="31">
        <v>14.3295001983643</v>
      </c>
      <c r="VA35" s="31">
        <v>14.2847995758057</v>
      </c>
      <c r="VB35" s="31">
        <v>14.3641004562378</v>
      </c>
      <c r="VC35" s="31">
        <v>14.2722997665405</v>
      </c>
      <c r="VD35" s="31">
        <v>14.311900138855</v>
      </c>
      <c r="VE35" s="31">
        <v>14.4074001312256</v>
      </c>
      <c r="VF35" s="31">
        <v>14.2372999191284</v>
      </c>
      <c r="VG35" s="31">
        <v>14.1352996826172</v>
      </c>
      <c r="VH35" s="31">
        <v>14.0559997558594</v>
      </c>
      <c r="VI35" s="31">
        <v>14.1603002548218</v>
      </c>
      <c r="VJ35" s="31">
        <v>14.1386995315552</v>
      </c>
      <c r="VK35" s="31">
        <v>13.8715000152588</v>
      </c>
      <c r="VL35" s="31">
        <v>13.8076000213623</v>
      </c>
      <c r="VM35" s="31">
        <v>13.9184999465942</v>
      </c>
      <c r="VN35" s="31">
        <v>13.9204998016357</v>
      </c>
      <c r="VO35" s="31">
        <v>13.9465999603271</v>
      </c>
      <c r="VP35" s="31">
        <v>13.940899848938</v>
      </c>
      <c r="VQ35" s="31">
        <v>14.0524997711182</v>
      </c>
      <c r="VR35" s="31">
        <v>14.0177001953125</v>
      </c>
      <c r="VS35" s="31">
        <v>13.9351997375488</v>
      </c>
      <c r="VT35" s="31">
        <v>13.9561004638672</v>
      </c>
      <c r="VU35" s="31">
        <v>14.0186996459961</v>
      </c>
      <c r="VV35" s="31">
        <v>14.0805997848511</v>
      </c>
      <c r="VW35" s="31">
        <v>14.0336999893188</v>
      </c>
      <c r="VX35" s="31">
        <v>13.9724998474121</v>
      </c>
      <c r="VY35" s="31">
        <v>13.8800001144409</v>
      </c>
      <c r="VZ35" s="31">
        <v>13.9089002609253</v>
      </c>
      <c r="WA35" s="31">
        <v>13.8929004669189</v>
      </c>
      <c r="WB35" s="31">
        <v>13.7673997879028</v>
      </c>
      <c r="WC35" s="31">
        <v>13.9591999053955</v>
      </c>
      <c r="WD35" s="31">
        <v>13.9586000442505</v>
      </c>
      <c r="WE35" s="31">
        <v>13.9670000076294</v>
      </c>
      <c r="WF35" s="31">
        <v>14.0539999008179</v>
      </c>
      <c r="WG35" s="31">
        <v>14.0942001342773</v>
      </c>
      <c r="WH35" s="31">
        <v>14.114800453186</v>
      </c>
      <c r="WI35" s="31">
        <v>14.1337995529175</v>
      </c>
      <c r="WJ35" s="31">
        <v>14.1461000442505</v>
      </c>
      <c r="WK35" s="31">
        <v>14.1572999954224</v>
      </c>
      <c r="WL35" s="31">
        <v>14.1850996017456</v>
      </c>
      <c r="WM35" s="31">
        <v>14.1724004745483</v>
      </c>
      <c r="WN35" s="31">
        <v>14.3331003189087</v>
      </c>
      <c r="WO35" s="31">
        <v>14.5183000564575</v>
      </c>
      <c r="WP35" s="31">
        <v>14.4391002655029</v>
      </c>
      <c r="WQ35" s="31">
        <v>14.3492002487183</v>
      </c>
      <c r="WR35" s="31">
        <v>14.4075002670288</v>
      </c>
      <c r="WS35" s="31">
        <v>14.4837999343872</v>
      </c>
      <c r="WT35" s="31">
        <v>14.4555997848511</v>
      </c>
      <c r="WU35" s="31">
        <v>14.3477001190186</v>
      </c>
      <c r="WV35" s="31">
        <v>14.3163003921509</v>
      </c>
      <c r="WW35" s="31">
        <v>14.22350025177</v>
      </c>
      <c r="WX35" s="31">
        <v>14.2172002792358</v>
      </c>
      <c r="WY35" s="31">
        <v>14.2216997146606</v>
      </c>
      <c r="WZ35" s="31">
        <v>14.1767997741699</v>
      </c>
      <c r="XA35" s="31">
        <v>14.1667003631592</v>
      </c>
      <c r="XB35" s="31">
        <v>14.079400062561</v>
      </c>
      <c r="XC35" s="31">
        <v>14.1451997756958</v>
      </c>
      <c r="XD35" s="31">
        <v>14.1372995376587</v>
      </c>
      <c r="XE35" s="31">
        <v>14.1970996856689</v>
      </c>
      <c r="XF35" s="31">
        <v>14.3128004074097</v>
      </c>
      <c r="XG35" s="31">
        <v>14.1752004623413</v>
      </c>
      <c r="XH35" s="31">
        <v>13.9057998657227</v>
      </c>
      <c r="XI35" s="31">
        <v>13.9736003875732</v>
      </c>
      <c r="XJ35" s="31">
        <v>14.1321001052856</v>
      </c>
      <c r="XK35" s="31">
        <v>14.0847997665405</v>
      </c>
      <c r="XL35" s="31">
        <v>14.0408000946045</v>
      </c>
      <c r="XM35" s="31">
        <v>14.1986999511719</v>
      </c>
      <c r="XN35" s="31">
        <v>14.2298002243042</v>
      </c>
      <c r="XO35" s="31">
        <v>14.2290000915527</v>
      </c>
      <c r="XP35" s="31">
        <v>14.2037000656128</v>
      </c>
      <c r="XQ35" s="31">
        <v>14.010199546814</v>
      </c>
      <c r="XR35" s="31">
        <v>14.1521997451782</v>
      </c>
      <c r="XS35" s="31">
        <v>14.2014999389648</v>
      </c>
      <c r="XT35" s="31">
        <v>14.1501998901367</v>
      </c>
      <c r="XU35" s="31">
        <v>14.1260995864868</v>
      </c>
      <c r="XV35" s="31">
        <v>14.2791004180908</v>
      </c>
      <c r="XW35" s="31">
        <v>14.2791996002197</v>
      </c>
      <c r="XX35" s="31">
        <v>14.1143999099731</v>
      </c>
      <c r="XY35" s="31">
        <v>14.1838998794556</v>
      </c>
      <c r="XZ35" s="31">
        <v>14.1906003952026</v>
      </c>
      <c r="YA35" s="31">
        <v>14.1520004272461</v>
      </c>
      <c r="YB35" s="31">
        <v>14.1546001434326</v>
      </c>
      <c r="YC35" s="31">
        <v>14.2607002258301</v>
      </c>
      <c r="YD35" s="31">
        <v>14.2607002258301</v>
      </c>
      <c r="YE35" s="31">
        <v>14.208399772644</v>
      </c>
      <c r="YF35" s="31">
        <v>14.1993999481201</v>
      </c>
      <c r="YG35" s="31">
        <v>14.1605997085571</v>
      </c>
      <c r="YH35" s="31">
        <v>14.1822004318237</v>
      </c>
      <c r="YI35" s="31">
        <v>14.0904998779297</v>
      </c>
      <c r="YJ35" s="31">
        <v>14.0240001678467</v>
      </c>
      <c r="YK35" s="31">
        <v>13.6115999221802</v>
      </c>
      <c r="YL35" s="31">
        <v>13.7405004501343</v>
      </c>
      <c r="YM35" s="31">
        <v>13.8647003173828</v>
      </c>
      <c r="YN35" s="31">
        <v>13.7880001068115</v>
      </c>
      <c r="YO35" s="31">
        <v>13.9127998352051</v>
      </c>
      <c r="YP35" s="31">
        <v>13.9575004577637</v>
      </c>
      <c r="YQ35" s="31">
        <v>13.8915996551514</v>
      </c>
      <c r="YR35" s="31">
        <v>14.1183996200562</v>
      </c>
      <c r="YS35" s="31">
        <v>14.0452995300293</v>
      </c>
      <c r="YT35" s="31">
        <v>13.911600112915</v>
      </c>
      <c r="YU35" s="31">
        <v>13.9043998718262</v>
      </c>
      <c r="YV35" s="31">
        <v>14.1855001449585</v>
      </c>
      <c r="YW35" s="31">
        <v>14.1048002243042</v>
      </c>
      <c r="YX35" s="31">
        <v>14.2194004058838</v>
      </c>
      <c r="YY35" s="31">
        <v>14.2615003585815</v>
      </c>
      <c r="YZ35" s="31">
        <v>14.3758001327515</v>
      </c>
      <c r="ZA35" s="31">
        <v>14.3575000762939</v>
      </c>
      <c r="ZB35" s="31">
        <v>14.4310998916626</v>
      </c>
      <c r="ZC35" s="31">
        <v>14.4034004211426</v>
      </c>
      <c r="ZD35" s="31">
        <v>14.5233001708984</v>
      </c>
      <c r="ZE35" s="31">
        <v>14.5768995285034</v>
      </c>
      <c r="ZF35" s="31">
        <v>14.6094999313354</v>
      </c>
      <c r="ZG35" s="31">
        <v>14.6038999557495</v>
      </c>
      <c r="ZH35" s="31">
        <v>14.5458002090454</v>
      </c>
      <c r="ZI35" s="31">
        <v>14.541600227356</v>
      </c>
      <c r="ZJ35" s="31">
        <v>14.6106004714966</v>
      </c>
      <c r="ZK35" s="31">
        <v>14.709400177002</v>
      </c>
      <c r="ZL35" s="31">
        <v>14.6354999542236</v>
      </c>
      <c r="ZM35" s="31">
        <v>14.786600112915</v>
      </c>
      <c r="ZN35" s="31">
        <v>14.7677001953125</v>
      </c>
      <c r="ZO35" s="31">
        <v>14.7058000564575</v>
      </c>
      <c r="ZP35" s="31">
        <v>14.8549003601074</v>
      </c>
      <c r="ZQ35" s="31">
        <v>14.8264999389648</v>
      </c>
      <c r="ZR35" s="31">
        <v>14.8989000320435</v>
      </c>
      <c r="ZS35" s="31">
        <v>14.7255001068115</v>
      </c>
      <c r="ZT35" s="31">
        <v>14.6059999465942</v>
      </c>
      <c r="ZU35" s="31">
        <v>14.5537996292114</v>
      </c>
      <c r="ZV35" s="31">
        <v>14.6338996887207</v>
      </c>
      <c r="ZW35" s="31">
        <v>14.5741996765137</v>
      </c>
      <c r="ZX35" s="31">
        <v>14.3954000473022</v>
      </c>
      <c r="ZY35" s="31">
        <v>14.4856996536255</v>
      </c>
      <c r="ZZ35" s="31">
        <v>14.6388998031616</v>
      </c>
      <c r="AAA35" s="31">
        <v>14.7041997909546</v>
      </c>
      <c r="AAB35" s="31">
        <v>14.5729999542236</v>
      </c>
      <c r="AAC35" s="31">
        <v>14.5641002655029</v>
      </c>
      <c r="AAD35" s="31">
        <v>14.5590000152588</v>
      </c>
      <c r="AAE35" s="31">
        <v>14.5167999267578</v>
      </c>
      <c r="AAF35" s="31">
        <v>14.6600999832153</v>
      </c>
      <c r="AAG35" s="31">
        <v>14.6774997711182</v>
      </c>
      <c r="AAH35" s="31">
        <v>14.5438003540039</v>
      </c>
      <c r="AAI35" s="31">
        <v>14.3873996734619</v>
      </c>
      <c r="AAJ35" s="31">
        <v>14.2327003479004</v>
      </c>
      <c r="AAK35" s="31">
        <v>14.3653001785278</v>
      </c>
      <c r="AAL35" s="31">
        <v>14.296799659729</v>
      </c>
      <c r="AAM35" s="31">
        <v>14.2515001296997</v>
      </c>
      <c r="AAN35" s="31">
        <v>14.4180002212524</v>
      </c>
      <c r="AAO35" s="31">
        <v>14.7889003753662</v>
      </c>
      <c r="AAP35" s="31">
        <v>14.6875</v>
      </c>
      <c r="AAQ35" s="31">
        <v>14.7313995361328</v>
      </c>
      <c r="AAR35" s="31">
        <v>14.6375999450684</v>
      </c>
      <c r="AAS35" s="31">
        <v>14.9286003112793</v>
      </c>
      <c r="AAT35" s="31">
        <v>14.6496000289917</v>
      </c>
      <c r="AAU35" s="31">
        <v>14.621000289917</v>
      </c>
      <c r="AAV35" s="31">
        <v>14.7136001586914</v>
      </c>
      <c r="AAW35" s="31">
        <v>14.3392000198364</v>
      </c>
      <c r="AAX35" s="31">
        <v>14.4888000488281</v>
      </c>
      <c r="AAY35" s="31">
        <v>14.5066003799438</v>
      </c>
      <c r="AAZ35" s="31">
        <v>14.5138998031616</v>
      </c>
      <c r="ABA35" s="31">
        <v>14.2372999191284</v>
      </c>
      <c r="ABB35" s="31">
        <v>14.3227996826172</v>
      </c>
      <c r="ABC35" s="31">
        <v>14.322699546814</v>
      </c>
      <c r="ABD35" s="31"/>
      <c r="ABE35" s="31"/>
      <c r="ABF35" s="32"/>
      <c r="ABG35" s="32"/>
      <c r="ABH35" s="32"/>
      <c r="ABI35" s="32"/>
      <c r="ABJ35" s="32"/>
      <c r="ABK35" s="32"/>
      <c r="ABL35" s="32"/>
      <c r="ABM35" s="32"/>
      <c r="ABN35" s="32"/>
      <c r="ABO35" s="32"/>
      <c r="ABP35" s="32"/>
      <c r="ABQ35" s="32"/>
      <c r="ABR35" s="32"/>
      <c r="ABS35" s="32"/>
      <c r="ABT35" s="32"/>
      <c r="ABU35" s="32"/>
      <c r="ABV35" s="32"/>
      <c r="ABW35" s="32"/>
      <c r="ABX35" s="32"/>
      <c r="ABY35" s="32"/>
      <c r="ABZ35" s="32"/>
      <c r="ACA35" s="32"/>
      <c r="ACB35" s="32"/>
      <c r="ACC35" s="32"/>
      <c r="ACD35" s="32"/>
      <c r="ACE35" s="32"/>
      <c r="ACF35" s="32"/>
      <c r="ACG35" s="32"/>
      <c r="ACH35" s="32"/>
      <c r="ACI35" s="32"/>
      <c r="ACJ35" s="32"/>
      <c r="ACK35" s="32"/>
    </row>
    <row r="36" ht="13.5" customHeight="1" spans="1:765">
      <c r="A36" s="28"/>
      <c r="B36" s="28"/>
      <c r="C36" s="29"/>
      <c r="D36" s="30" t="str">
        <f>[1]!s_info_name(E36)</f>
        <v>创业板指</v>
      </c>
      <c r="E36" s="29" t="s">
        <v>18</v>
      </c>
      <c r="F36" s="31">
        <v>32.2274017333984</v>
      </c>
      <c r="G36" s="31">
        <v>31.8840999603271</v>
      </c>
      <c r="H36" s="31">
        <v>32.3123016357422</v>
      </c>
      <c r="I36" s="31">
        <v>32.5699005126953</v>
      </c>
      <c r="J36" s="31">
        <v>32.3003997802734</v>
      </c>
      <c r="K36" s="31">
        <v>32.8959007263184</v>
      </c>
      <c r="L36" s="31">
        <v>32.7009010314941</v>
      </c>
      <c r="M36" s="31">
        <v>32.4496002197266</v>
      </c>
      <c r="N36" s="31">
        <v>32.3386993408203</v>
      </c>
      <c r="O36" s="31">
        <v>32.0225982666016</v>
      </c>
      <c r="P36" s="31">
        <v>31.7245998382568</v>
      </c>
      <c r="Q36" s="31">
        <v>31.8460998535156</v>
      </c>
      <c r="R36" s="31">
        <v>31.6264991760254</v>
      </c>
      <c r="S36" s="31">
        <v>32.3105010986328</v>
      </c>
      <c r="T36" s="31">
        <v>31.5379009246826</v>
      </c>
      <c r="U36" s="31">
        <v>31.4468002319336</v>
      </c>
      <c r="V36" s="31">
        <v>31.9318008422852</v>
      </c>
      <c r="W36" s="31">
        <v>32.119701385498</v>
      </c>
      <c r="X36" s="31">
        <v>31.9403991699219</v>
      </c>
      <c r="Y36" s="31">
        <v>31.8551006317139</v>
      </c>
      <c r="Z36" s="31">
        <v>32.1430015563965</v>
      </c>
      <c r="AA36" s="31">
        <v>32.3894996643066</v>
      </c>
      <c r="AB36" s="31">
        <v>32.0070991516113</v>
      </c>
      <c r="AC36" s="31">
        <v>31.8495998382568</v>
      </c>
      <c r="AD36" s="31">
        <v>31.8572998046875</v>
      </c>
      <c r="AE36" s="31">
        <v>31.979700088501</v>
      </c>
      <c r="AF36" s="31">
        <v>31.2451000213623</v>
      </c>
      <c r="AG36" s="31">
        <v>31.2388000488281</v>
      </c>
      <c r="AH36" s="31">
        <v>30.9769992828369</v>
      </c>
      <c r="AI36" s="31">
        <v>30.8015995025635</v>
      </c>
      <c r="AJ36" s="31">
        <v>31.0044994354248</v>
      </c>
      <c r="AK36" s="31">
        <v>30.5888004302979</v>
      </c>
      <c r="AL36" s="31">
        <v>30.281400680542</v>
      </c>
      <c r="AM36" s="31">
        <v>30.1867008209229</v>
      </c>
      <c r="AN36" s="31">
        <v>29.5130996704102</v>
      </c>
      <c r="AO36" s="31">
        <v>29.9552001953125</v>
      </c>
      <c r="AP36" s="31">
        <v>29.1123008728027</v>
      </c>
      <c r="AQ36" s="31">
        <v>29.2544994354248</v>
      </c>
      <c r="AR36" s="31">
        <v>29.9584007263184</v>
      </c>
      <c r="AS36" s="31">
        <v>29.8724002838135</v>
      </c>
      <c r="AT36" s="31">
        <v>30.7196998596191</v>
      </c>
      <c r="AU36" s="31">
        <v>30.6996994018555</v>
      </c>
      <c r="AV36" s="31">
        <v>30.9778003692627</v>
      </c>
      <c r="AW36" s="31">
        <v>30.8880004882813</v>
      </c>
      <c r="AX36" s="31">
        <v>30.7548999786377</v>
      </c>
      <c r="AY36" s="31">
        <v>30.1072006225586</v>
      </c>
      <c r="AZ36" s="31">
        <v>30.0132007598877</v>
      </c>
      <c r="BA36" s="31">
        <v>30.2446994781494</v>
      </c>
      <c r="BB36" s="31">
        <v>30.0445995330811</v>
      </c>
      <c r="BC36" s="31">
        <v>29.7185001373291</v>
      </c>
      <c r="BD36" s="31">
        <v>29.4978008270264</v>
      </c>
      <c r="BE36" s="31">
        <v>29.4209995269775</v>
      </c>
      <c r="BF36" s="31">
        <v>29.6714000701904</v>
      </c>
      <c r="BG36" s="31">
        <v>29.4097003936768</v>
      </c>
      <c r="BH36" s="31">
        <v>29.1744003295898</v>
      </c>
      <c r="BI36" s="31">
        <v>28.8974990844727</v>
      </c>
      <c r="BJ36" s="31">
        <v>29.5289993286133</v>
      </c>
      <c r="BK36" s="31">
        <v>29.4335994720459</v>
      </c>
      <c r="BL36" s="31">
        <v>29.1923007965088</v>
      </c>
      <c r="BM36" s="31">
        <v>29.415599822998</v>
      </c>
      <c r="BN36" s="31">
        <v>29.3740997314453</v>
      </c>
      <c r="BO36" s="31">
        <v>29.3412990570068</v>
      </c>
      <c r="BP36" s="31">
        <v>29.203800201416</v>
      </c>
      <c r="BQ36" s="31">
        <v>29.430700302124</v>
      </c>
      <c r="BR36" s="31">
        <v>29.656099319458</v>
      </c>
      <c r="BS36" s="31">
        <v>29.331600189209</v>
      </c>
      <c r="BT36" s="31">
        <v>28.7674007415771</v>
      </c>
      <c r="BU36" s="31">
        <v>28.8239994049072</v>
      </c>
      <c r="BV36" s="31">
        <v>28.4825992584229</v>
      </c>
      <c r="BW36" s="31">
        <v>28.1159992218018</v>
      </c>
      <c r="BX36" s="31">
        <v>27.6884994506836</v>
      </c>
      <c r="BY36" s="31">
        <v>27.1916999816895</v>
      </c>
      <c r="BZ36" s="31">
        <v>27.3736991882324</v>
      </c>
      <c r="CA36" s="31">
        <v>27.0795993804932</v>
      </c>
      <c r="CB36" s="31">
        <v>27.7968006134033</v>
      </c>
      <c r="CC36" s="31">
        <v>28.4766006469727</v>
      </c>
      <c r="CD36" s="31">
        <v>28.976900100708</v>
      </c>
      <c r="CE36" s="31">
        <v>28.9253005981445</v>
      </c>
      <c r="CF36" s="31">
        <v>28.7961006164551</v>
      </c>
      <c r="CG36" s="31">
        <v>28.5244007110596</v>
      </c>
      <c r="CH36" s="31">
        <v>28.9113006591797</v>
      </c>
      <c r="CI36" s="31">
        <v>29.8129005432129</v>
      </c>
      <c r="CJ36" s="31">
        <v>29.6406993865967</v>
      </c>
      <c r="CK36" s="31">
        <v>29.6767997741699</v>
      </c>
      <c r="CL36" s="31">
        <v>29.5639991760254</v>
      </c>
      <c r="CM36" s="31">
        <v>29.3875007629395</v>
      </c>
      <c r="CN36" s="31">
        <v>29.4365005493164</v>
      </c>
      <c r="CO36" s="31">
        <v>29.386999130249</v>
      </c>
      <c r="CP36" s="31">
        <v>29.5548992156982</v>
      </c>
      <c r="CQ36" s="31">
        <v>29.0205993652344</v>
      </c>
      <c r="CR36" s="31">
        <v>29.111400604248</v>
      </c>
      <c r="CS36" s="31">
        <v>29.2096996307373</v>
      </c>
      <c r="CT36" s="31">
        <v>29.0909996032715</v>
      </c>
      <c r="CU36" s="31">
        <v>28.6070995330811</v>
      </c>
      <c r="CV36" s="31">
        <v>28.7674999237061</v>
      </c>
      <c r="CW36" s="31">
        <v>28.4347991943359</v>
      </c>
      <c r="CX36" s="31">
        <v>28.25119972229</v>
      </c>
      <c r="CY36" s="31">
        <v>28.4388999938965</v>
      </c>
      <c r="CZ36" s="31">
        <v>28.1502990722656</v>
      </c>
      <c r="DA36" s="31">
        <v>28.2162990570068</v>
      </c>
      <c r="DB36" s="31">
        <v>28.2362995147705</v>
      </c>
      <c r="DC36" s="31">
        <v>27.9832000732422</v>
      </c>
      <c r="DD36" s="31">
        <v>27.4449996948242</v>
      </c>
      <c r="DE36" s="31">
        <v>27.6082992553711</v>
      </c>
      <c r="DF36" s="31">
        <v>27.5499000549316</v>
      </c>
      <c r="DG36" s="31">
        <v>27.809700012207</v>
      </c>
      <c r="DH36" s="31">
        <v>28.2108001708984</v>
      </c>
      <c r="DI36" s="31">
        <v>28.0508003234863</v>
      </c>
      <c r="DJ36" s="31">
        <v>27.5944004058838</v>
      </c>
      <c r="DK36" s="31">
        <v>27.4337005615234</v>
      </c>
      <c r="DL36" s="31">
        <v>27.2530002593994</v>
      </c>
      <c r="DM36" s="31">
        <v>26.8537006378174</v>
      </c>
      <c r="DN36" s="31">
        <v>26.9533004760742</v>
      </c>
      <c r="DO36" s="31">
        <v>26.6093997955322</v>
      </c>
      <c r="DP36" s="31">
        <v>27.0221996307373</v>
      </c>
      <c r="DQ36" s="31">
        <v>26.9034996032715</v>
      </c>
      <c r="DR36" s="31">
        <v>26.9832992553711</v>
      </c>
      <c r="DS36" s="31">
        <v>26.6485004425049</v>
      </c>
      <c r="DT36" s="31">
        <v>26.6772994995117</v>
      </c>
      <c r="DU36" s="31">
        <v>27.7008991241455</v>
      </c>
      <c r="DV36" s="31">
        <v>27.8486003875732</v>
      </c>
      <c r="DW36" s="31">
        <v>27.334400177002</v>
      </c>
      <c r="DX36" s="31">
        <v>27.036600112915</v>
      </c>
      <c r="DY36" s="31">
        <v>26.5580005645752</v>
      </c>
      <c r="DZ36" s="31">
        <v>26.1776008605957</v>
      </c>
      <c r="EA36" s="31">
        <v>25.7425994873047</v>
      </c>
      <c r="EB36" s="31">
        <v>25.8211994171143</v>
      </c>
      <c r="EC36" s="31">
        <v>25.7390003204346</v>
      </c>
      <c r="ED36" s="31">
        <v>26.2175006866455</v>
      </c>
      <c r="EE36" s="31">
        <v>25.9932994842529</v>
      </c>
      <c r="EF36" s="31">
        <v>25.762300491333</v>
      </c>
      <c r="EG36" s="31">
        <v>25.8292999267578</v>
      </c>
      <c r="EH36" s="31">
        <v>25.0697002410889</v>
      </c>
      <c r="EI36" s="31">
        <v>25.4923992156982</v>
      </c>
      <c r="EJ36" s="31">
        <v>25.2758007049561</v>
      </c>
      <c r="EK36" s="31">
        <v>24.5457992553711</v>
      </c>
      <c r="EL36" s="31">
        <v>24.8421001434326</v>
      </c>
      <c r="EM36" s="31">
        <v>25.0081996917725</v>
      </c>
      <c r="EN36" s="31">
        <v>25.3514003753662</v>
      </c>
      <c r="EO36" s="31">
        <v>24.8066997528076</v>
      </c>
      <c r="EP36" s="31">
        <v>23.9869995117188</v>
      </c>
      <c r="EQ36" s="31">
        <v>23.4009990692139</v>
      </c>
      <c r="ER36" s="31">
        <v>23.2131996154785</v>
      </c>
      <c r="ES36" s="31">
        <v>23.4472007751465</v>
      </c>
      <c r="ET36" s="31">
        <v>22.8803005218506</v>
      </c>
      <c r="EU36" s="31">
        <v>23.0977001190186</v>
      </c>
      <c r="EV36" s="31">
        <v>24.6446990966797</v>
      </c>
      <c r="EW36" s="31">
        <v>25.1865997314453</v>
      </c>
      <c r="EX36" s="31">
        <v>25.4671001434326</v>
      </c>
      <c r="EY36" s="31">
        <v>25.7075996398926</v>
      </c>
      <c r="EZ36" s="31">
        <v>25.6944999694824</v>
      </c>
      <c r="FA36" s="31">
        <v>25.8227996826172</v>
      </c>
      <c r="FB36" s="31">
        <v>25.8575000762939</v>
      </c>
      <c r="FC36" s="31">
        <v>25.8600997924805</v>
      </c>
      <c r="FD36" s="31">
        <v>25.7765007019043</v>
      </c>
      <c r="FE36" s="31">
        <v>26.3652992248535</v>
      </c>
      <c r="FF36" s="31">
        <v>26.6574001312256</v>
      </c>
      <c r="FG36" s="31">
        <v>27.1928997039795</v>
      </c>
      <c r="FH36" s="31">
        <v>27.4053001403809</v>
      </c>
      <c r="FI36" s="31">
        <v>27.5412006378174</v>
      </c>
      <c r="FJ36" s="31">
        <v>27.5475997924805</v>
      </c>
      <c r="FK36" s="31">
        <v>27.5139999389648</v>
      </c>
      <c r="FL36" s="31">
        <v>26.8754005432129</v>
      </c>
      <c r="FM36" s="31">
        <v>27.0855007171631</v>
      </c>
      <c r="FN36" s="31">
        <v>28.334400177002</v>
      </c>
      <c r="FO36" s="31">
        <v>28.578800201416</v>
      </c>
      <c r="FP36" s="31">
        <v>28.4067001342773</v>
      </c>
      <c r="FQ36" s="31">
        <v>28.2467002868652</v>
      </c>
      <c r="FR36" s="31">
        <v>28.2087001800537</v>
      </c>
      <c r="FS36" s="31">
        <v>28.8386001586914</v>
      </c>
      <c r="FT36" s="31">
        <v>28.5569000244141</v>
      </c>
      <c r="FU36" s="31">
        <v>28.6222991943359</v>
      </c>
      <c r="FV36" s="31">
        <v>28.4435005187988</v>
      </c>
      <c r="FW36" s="31">
        <v>28.0130996704102</v>
      </c>
      <c r="FX36" s="31">
        <v>27.4836006164551</v>
      </c>
      <c r="FY36" s="31">
        <v>27.6186008453369</v>
      </c>
      <c r="FZ36" s="31">
        <v>26.8880004882813</v>
      </c>
      <c r="GA36" s="31">
        <v>27.0965003967285</v>
      </c>
      <c r="GB36" s="31">
        <v>27.304500579834</v>
      </c>
      <c r="GC36" s="31">
        <v>27.9542007446289</v>
      </c>
      <c r="GD36" s="31">
        <v>27.8129005432129</v>
      </c>
      <c r="GE36" s="31">
        <v>27.5184001922607</v>
      </c>
      <c r="GF36" s="31">
        <v>27.0270004272461</v>
      </c>
      <c r="GG36" s="31">
        <v>27.3488998413086</v>
      </c>
      <c r="GH36" s="31">
        <v>26.8390998840332</v>
      </c>
      <c r="GI36" s="31">
        <v>26.7126007080078</v>
      </c>
      <c r="GJ36" s="31">
        <v>26.3985004425049</v>
      </c>
      <c r="GK36" s="31">
        <v>26.8539009094238</v>
      </c>
      <c r="GL36" s="31">
        <v>26.238899230957</v>
      </c>
      <c r="GM36" s="31">
        <v>26.7882995605469</v>
      </c>
      <c r="GN36" s="31">
        <v>26.6900005340576</v>
      </c>
      <c r="GO36" s="31">
        <v>26.2154006958008</v>
      </c>
      <c r="GP36" s="31">
        <v>25.8715000152588</v>
      </c>
      <c r="GQ36" s="31">
        <v>25.8267002105713</v>
      </c>
      <c r="GR36" s="31">
        <v>26.2604999542236</v>
      </c>
      <c r="GS36" s="31">
        <v>26.9493999481201</v>
      </c>
      <c r="GT36" s="31">
        <v>27.8840999603271</v>
      </c>
      <c r="GU36" s="31">
        <v>28.8649005889893</v>
      </c>
      <c r="GV36" s="31">
        <v>28.5545997619629</v>
      </c>
      <c r="GW36" s="31">
        <v>29.1623001098633</v>
      </c>
      <c r="GX36" s="31">
        <v>29.1383991241455</v>
      </c>
      <c r="GY36" s="31">
        <v>28.713399887085</v>
      </c>
      <c r="GZ36" s="31">
        <v>29.2215995788574</v>
      </c>
      <c r="HA36" s="31">
        <v>28.8840007781982</v>
      </c>
      <c r="HB36" s="31">
        <v>28.6466999053955</v>
      </c>
      <c r="HC36" s="31">
        <v>28.6210994720459</v>
      </c>
      <c r="HD36" s="31">
        <v>28.3589000701904</v>
      </c>
      <c r="HE36" s="31">
        <v>28.4300994873047</v>
      </c>
      <c r="HF36" s="31">
        <v>28.721700668335</v>
      </c>
      <c r="HG36" s="31">
        <v>28.8672008514404</v>
      </c>
      <c r="HH36" s="31">
        <v>28.6389999389648</v>
      </c>
      <c r="HI36" s="31">
        <v>28.8801002502441</v>
      </c>
      <c r="HJ36" s="31">
        <v>28.4783000946045</v>
      </c>
      <c r="HK36" s="31">
        <v>27.9689998626709</v>
      </c>
      <c r="HL36" s="31">
        <v>28.1336002349854</v>
      </c>
      <c r="HM36" s="31">
        <v>27.7742004394531</v>
      </c>
      <c r="HN36" s="31">
        <v>27.8362007141113</v>
      </c>
      <c r="HO36" s="31">
        <v>27.880500793457</v>
      </c>
      <c r="HP36" s="31">
        <v>27.738899230957</v>
      </c>
      <c r="HQ36" s="31">
        <v>27.9395999908447</v>
      </c>
      <c r="HR36" s="31">
        <v>28.2833003997803</v>
      </c>
      <c r="HS36" s="31">
        <v>28.158899307251</v>
      </c>
      <c r="HT36" s="31">
        <v>27.9438991546631</v>
      </c>
      <c r="HU36" s="31">
        <v>27.3876991271973</v>
      </c>
      <c r="HV36" s="31">
        <v>27.5062999725342</v>
      </c>
      <c r="HW36" s="31">
        <v>27.3820991516113</v>
      </c>
      <c r="HX36" s="31">
        <v>27.335599899292</v>
      </c>
      <c r="HY36" s="31">
        <v>27.4724998474121</v>
      </c>
      <c r="HZ36" s="31">
        <v>27.7150001525879</v>
      </c>
      <c r="IA36" s="31">
        <v>27.75950050354</v>
      </c>
      <c r="IB36" s="31">
        <v>27.4381999969482</v>
      </c>
      <c r="IC36" s="31">
        <v>27.0583000183105</v>
      </c>
      <c r="ID36" s="31">
        <v>26.9479007720947</v>
      </c>
      <c r="IE36" s="31">
        <v>26.5741004943848</v>
      </c>
      <c r="IF36" s="31">
        <v>26.11669921875</v>
      </c>
      <c r="IG36" s="31">
        <v>26.584400177002</v>
      </c>
      <c r="IH36" s="31">
        <v>26.1805992126465</v>
      </c>
      <c r="II36" s="31">
        <v>25.8757991790771</v>
      </c>
      <c r="IJ36" s="31">
        <v>25.8414993286133</v>
      </c>
      <c r="IK36" s="31">
        <v>25.5522003173828</v>
      </c>
      <c r="IL36" s="31">
        <v>25.4755992889404</v>
      </c>
      <c r="IM36" s="31">
        <v>25.2567005157471</v>
      </c>
      <c r="IN36" s="31">
        <v>25.3994007110596</v>
      </c>
      <c r="IO36" s="31">
        <v>24.9860992431641</v>
      </c>
      <c r="IP36" s="31">
        <v>25.3075008392334</v>
      </c>
      <c r="IQ36" s="31">
        <v>25.2341995239258</v>
      </c>
      <c r="IR36" s="31">
        <v>25.785400390625</v>
      </c>
      <c r="IS36" s="31">
        <v>25.7835998535156</v>
      </c>
      <c r="IT36" s="31">
        <v>25.5886993408203</v>
      </c>
      <c r="IU36" s="31">
        <v>25.9062995910645</v>
      </c>
      <c r="IV36" s="31">
        <v>25.956600189209</v>
      </c>
      <c r="IW36" s="31">
        <v>26.2926006317139</v>
      </c>
      <c r="IX36" s="31">
        <v>26.4069995880127</v>
      </c>
      <c r="IY36" s="31">
        <v>26.359899520874</v>
      </c>
      <c r="IZ36" s="31">
        <v>25.5387992858887</v>
      </c>
      <c r="JA36" s="31">
        <v>25.2334003448486</v>
      </c>
      <c r="JB36" s="31">
        <v>25.1868991851807</v>
      </c>
      <c r="JC36" s="31">
        <v>25.3950004577637</v>
      </c>
      <c r="JD36" s="31">
        <v>24.7998008728027</v>
      </c>
      <c r="JE36" s="31">
        <v>24.7145004272461</v>
      </c>
      <c r="JF36" s="31">
        <v>25.6065998077393</v>
      </c>
      <c r="JG36" s="31">
        <v>25.2600994110107</v>
      </c>
      <c r="JH36" s="31">
        <v>24.9179992675781</v>
      </c>
      <c r="JI36" s="31">
        <v>24.4645004272461</v>
      </c>
      <c r="JJ36" s="31">
        <v>24.7954998016357</v>
      </c>
      <c r="JK36" s="31">
        <v>24.7108001708984</v>
      </c>
      <c r="JL36" s="31">
        <v>24.5972995758057</v>
      </c>
      <c r="JM36" s="31">
        <v>24.3374004364014</v>
      </c>
      <c r="JN36" s="31">
        <v>24.691499710083</v>
      </c>
      <c r="JO36" s="31">
        <v>24.8759002685547</v>
      </c>
      <c r="JP36" s="31">
        <v>24.4895000457764</v>
      </c>
      <c r="JQ36" s="31">
        <v>24.6289005279541</v>
      </c>
      <c r="JR36" s="31">
        <v>24.5956001281738</v>
      </c>
      <c r="JS36" s="31">
        <v>24.5960998535156</v>
      </c>
      <c r="JT36" s="31">
        <v>24.2609996795654</v>
      </c>
      <c r="JU36" s="31">
        <v>24.1623001098633</v>
      </c>
      <c r="JV36" s="31">
        <v>23.9454002380371</v>
      </c>
      <c r="JW36" s="31">
        <v>23.8852005004883</v>
      </c>
      <c r="JX36" s="31">
        <v>23.7994003295898</v>
      </c>
      <c r="JY36" s="31">
        <v>23.1553001403809</v>
      </c>
      <c r="JZ36" s="31">
        <v>23.1474990844727</v>
      </c>
      <c r="KA36" s="31">
        <v>23.5769996643066</v>
      </c>
      <c r="KB36" s="31">
        <v>24.3493003845215</v>
      </c>
      <c r="KC36" s="31">
        <v>23.7045001983643</v>
      </c>
      <c r="KD36" s="31">
        <v>23.9990997314453</v>
      </c>
      <c r="KE36" s="31">
        <v>23.9740009307861</v>
      </c>
      <c r="KF36" s="31">
        <v>24.1235008239746</v>
      </c>
      <c r="KG36" s="31">
        <v>23.7008991241455</v>
      </c>
      <c r="KH36" s="31">
        <v>23.7098999023438</v>
      </c>
      <c r="KI36" s="31">
        <v>23.7234992980957</v>
      </c>
      <c r="KJ36" s="31">
        <v>23.9885997772217</v>
      </c>
      <c r="KK36" s="31">
        <v>23.8768997192383</v>
      </c>
      <c r="KL36" s="31">
        <v>23.5946998596191</v>
      </c>
      <c r="KM36" s="31">
        <v>23.5828990936279</v>
      </c>
      <c r="KN36" s="31">
        <v>23.7978992462158</v>
      </c>
      <c r="KO36" s="31">
        <v>23.648099899292</v>
      </c>
      <c r="KP36" s="31">
        <v>23.5345001220703</v>
      </c>
      <c r="KQ36" s="31">
        <v>24.7565994262695</v>
      </c>
      <c r="KR36" s="31">
        <v>25.1525001525879</v>
      </c>
      <c r="KS36" s="31">
        <v>26.243200302124</v>
      </c>
      <c r="KT36" s="31">
        <v>28.823299407959</v>
      </c>
      <c r="KU36" s="31">
        <v>33.2154006958008</v>
      </c>
      <c r="KV36" s="31">
        <v>38.8358993530273</v>
      </c>
      <c r="KW36" s="31">
        <v>34.5971984863281</v>
      </c>
      <c r="KX36" s="31">
        <v>33.7094993591309</v>
      </c>
      <c r="KY36" s="31">
        <v>31.9344005584717</v>
      </c>
      <c r="KZ36" s="31">
        <v>32.7341003417969</v>
      </c>
      <c r="LA36" s="31">
        <v>31.6905002593994</v>
      </c>
      <c r="LB36" s="31">
        <v>31.0014991760254</v>
      </c>
      <c r="LC36" s="31">
        <v>30.9046001434326</v>
      </c>
      <c r="LD36" s="31">
        <v>33.2557983398438</v>
      </c>
      <c r="LE36" s="31">
        <v>32.9034996032715</v>
      </c>
      <c r="LF36" s="31">
        <v>32.9936981201172</v>
      </c>
      <c r="LG36" s="31">
        <v>31.7978000640869</v>
      </c>
      <c r="LH36" s="31">
        <v>31.3700008392334</v>
      </c>
      <c r="LI36" s="31">
        <v>32.4226989746094</v>
      </c>
      <c r="LJ36" s="31">
        <v>33.1152000427246</v>
      </c>
      <c r="LK36" s="31">
        <v>32.6829986572266</v>
      </c>
      <c r="LL36" s="31">
        <v>32.8322982788086</v>
      </c>
      <c r="LM36" s="31">
        <v>33.1132011413574</v>
      </c>
      <c r="LN36" s="31">
        <v>32.5660018920898</v>
      </c>
      <c r="LO36" s="31">
        <v>33.510799407959</v>
      </c>
      <c r="LP36" s="31">
        <v>35.0746002197266</v>
      </c>
      <c r="LQ36" s="31">
        <v>34.7507019042969</v>
      </c>
      <c r="LR36" s="31">
        <v>36.0988006591797</v>
      </c>
      <c r="LS36" s="31">
        <v>35.7285003662109</v>
      </c>
      <c r="LT36" s="31">
        <v>36.7644996643066</v>
      </c>
      <c r="LU36" s="31">
        <v>36.7783012390137</v>
      </c>
      <c r="LV36" s="31">
        <v>37.1101989746094</v>
      </c>
      <c r="LW36" s="31">
        <v>35.8704986572266</v>
      </c>
      <c r="LX36" s="31">
        <v>34.4962005615234</v>
      </c>
      <c r="LY36" s="31">
        <v>33.6897010803223</v>
      </c>
      <c r="LZ36" s="31">
        <v>34.671501159668</v>
      </c>
      <c r="MA36" s="31">
        <v>34.8517990112305</v>
      </c>
      <c r="MB36" s="31">
        <v>34.8210983276367</v>
      </c>
      <c r="MC36" s="31">
        <v>33.4550018310547</v>
      </c>
      <c r="MD36" s="31">
        <v>33.4966011047363</v>
      </c>
      <c r="ME36" s="31">
        <v>33.1528015136719</v>
      </c>
      <c r="MF36" s="31">
        <v>34.086799621582</v>
      </c>
      <c r="MG36" s="31">
        <v>33.4943008422852</v>
      </c>
      <c r="MH36" s="31">
        <v>34.3065986633301</v>
      </c>
      <c r="MI36" s="31">
        <v>34.7939987182617</v>
      </c>
      <c r="MJ36" s="31">
        <v>34.6455993652344</v>
      </c>
      <c r="MK36" s="31">
        <v>34.1841011047363</v>
      </c>
      <c r="ML36" s="31">
        <v>34.263801574707</v>
      </c>
      <c r="MM36" s="31">
        <v>34.9618988037109</v>
      </c>
      <c r="MN36" s="31">
        <v>34.7127990722656</v>
      </c>
      <c r="MO36" s="31">
        <v>34.9709014892578</v>
      </c>
      <c r="MP36" s="31">
        <v>34.9576988220215</v>
      </c>
      <c r="MQ36" s="31">
        <v>35.4485015869141</v>
      </c>
      <c r="MR36" s="31">
        <v>34.5942993164063</v>
      </c>
      <c r="MS36" s="31">
        <v>34.122200012207</v>
      </c>
      <c r="MT36" s="31">
        <v>34.1076011657715</v>
      </c>
      <c r="MU36" s="31">
        <v>34.1587982177734</v>
      </c>
      <c r="MV36" s="31">
        <v>34.3474998474121</v>
      </c>
      <c r="MW36" s="31">
        <v>34.2957992553711</v>
      </c>
      <c r="MX36" s="31">
        <v>33.980598449707</v>
      </c>
      <c r="MY36" s="31">
        <v>34.3843994140625</v>
      </c>
      <c r="MZ36" s="31">
        <v>34.1992988586426</v>
      </c>
      <c r="NA36" s="31">
        <v>34.2841987609863</v>
      </c>
      <c r="NB36" s="31">
        <v>34.1973991394043</v>
      </c>
      <c r="NC36" s="31">
        <v>34.206600189209</v>
      </c>
      <c r="ND36" s="31">
        <v>33.2579002380371</v>
      </c>
      <c r="NE36" s="31">
        <v>32.0297012329102</v>
      </c>
      <c r="NF36" s="31">
        <v>31.3470993041992</v>
      </c>
      <c r="NG36" s="31">
        <v>31.2926998138428</v>
      </c>
      <c r="NH36" s="31">
        <v>31.4974002838135</v>
      </c>
      <c r="NI36" s="31">
        <v>31.2292995452881</v>
      </c>
      <c r="NJ36" s="31">
        <v>31.255199432373</v>
      </c>
      <c r="NK36" s="31">
        <v>30.7427005767822</v>
      </c>
      <c r="NL36" s="31">
        <v>30.8633003234863</v>
      </c>
      <c r="NM36" s="31">
        <v>32.2921981811523</v>
      </c>
      <c r="NN36" s="31">
        <v>31.7019004821777</v>
      </c>
      <c r="NO36" s="31">
        <v>31.869800567627</v>
      </c>
      <c r="NP36" s="31">
        <v>32.1161994934082</v>
      </c>
      <c r="NQ36" s="31">
        <v>32.6722984313965</v>
      </c>
      <c r="NR36" s="31">
        <v>32.7849006652832</v>
      </c>
      <c r="NS36" s="31">
        <v>33.4015007019043</v>
      </c>
      <c r="NT36" s="31">
        <v>33.2593002319336</v>
      </c>
      <c r="NU36" s="31">
        <v>33.7401008605957</v>
      </c>
      <c r="NV36" s="31">
        <v>32.9001998901367</v>
      </c>
      <c r="NW36" s="31">
        <v>32.9296989440918</v>
      </c>
      <c r="NX36" s="31">
        <v>33.8394012451172</v>
      </c>
      <c r="NY36" s="31">
        <v>34.6176986694336</v>
      </c>
      <c r="NZ36" s="31">
        <v>34.7775993347168</v>
      </c>
      <c r="OA36" s="31">
        <v>34.3193016052246</v>
      </c>
      <c r="OB36" s="31">
        <v>34.9155006408691</v>
      </c>
      <c r="OC36" s="31">
        <v>34.7205009460449</v>
      </c>
      <c r="OD36" s="31">
        <v>34.2759017944336</v>
      </c>
      <c r="OE36" s="31">
        <v>35.4062004089355</v>
      </c>
      <c r="OF36" s="31">
        <v>34.6549987792969</v>
      </c>
      <c r="OG36" s="31">
        <v>35.372200012207</v>
      </c>
      <c r="OH36" s="31">
        <v>35.3620986938477</v>
      </c>
      <c r="OI36" s="31">
        <v>35.195499420166</v>
      </c>
      <c r="OJ36" s="31">
        <v>35.0912017822266</v>
      </c>
      <c r="OK36" s="31">
        <v>34.5624008178711</v>
      </c>
      <c r="OL36" s="31">
        <v>34.9561996459961</v>
      </c>
      <c r="OM36" s="31">
        <v>34.7865982055664</v>
      </c>
      <c r="ON36" s="31">
        <v>33.5448989868164</v>
      </c>
      <c r="OO36" s="31">
        <v>33.7486991882324</v>
      </c>
      <c r="OP36" s="31">
        <v>33.7058982849121</v>
      </c>
      <c r="OQ36" s="31">
        <v>33.7061004638672</v>
      </c>
      <c r="OR36" s="31">
        <v>34.3717002868652</v>
      </c>
      <c r="OS36" s="31">
        <v>33.9281005859375</v>
      </c>
      <c r="OT36" s="31">
        <v>33.8513984680176</v>
      </c>
      <c r="OU36" s="31">
        <v>33.8650016784668</v>
      </c>
      <c r="OV36" s="31">
        <v>33.6232986450195</v>
      </c>
      <c r="OW36" s="31">
        <v>33.217098236084</v>
      </c>
      <c r="OX36" s="31">
        <v>34.1254997253418</v>
      </c>
      <c r="OY36" s="31">
        <v>33.3237991333008</v>
      </c>
      <c r="OZ36" s="31">
        <v>33.4906997680664</v>
      </c>
      <c r="PA36" s="31">
        <v>33.3552017211914</v>
      </c>
      <c r="PB36" s="31">
        <v>33.0407981872559</v>
      </c>
      <c r="PC36" s="31">
        <v>32.4165000915527</v>
      </c>
      <c r="PD36" s="31">
        <v>32.4230995178223</v>
      </c>
      <c r="PE36" s="31">
        <v>32.3218994140625</v>
      </c>
      <c r="PF36" s="31">
        <v>32.2449989318848</v>
      </c>
      <c r="PG36" s="31">
        <v>32.3498001098633</v>
      </c>
      <c r="PH36" s="31">
        <v>32.2206001281738</v>
      </c>
      <c r="PI36" s="31">
        <v>31.8551006317139</v>
      </c>
      <c r="PJ36" s="31">
        <v>31.9339008331299</v>
      </c>
      <c r="PK36" s="31">
        <v>31.9505004882813</v>
      </c>
      <c r="PL36" s="31">
        <v>31.3365993499756</v>
      </c>
      <c r="PM36" s="31">
        <v>27.5436992645264</v>
      </c>
      <c r="PN36" s="31">
        <v>28.1329002380371</v>
      </c>
      <c r="PO36" s="31">
        <v>28.4515991210938</v>
      </c>
      <c r="PP36" s="31">
        <v>29.0951995849609</v>
      </c>
      <c r="PQ36" s="31">
        <v>29.5004997253418</v>
      </c>
      <c r="PR36" s="31">
        <v>29.6786994934082</v>
      </c>
      <c r="PS36" s="31">
        <v>29.0757007598877</v>
      </c>
      <c r="PT36" s="31">
        <v>28.7399005889893</v>
      </c>
      <c r="PU36" s="31">
        <v>28.7733993530273</v>
      </c>
      <c r="PV36" s="31">
        <v>28.9062004089355</v>
      </c>
      <c r="PW36" s="31">
        <v>29.7395992279053</v>
      </c>
      <c r="PX36" s="31">
        <v>29.6044006347656</v>
      </c>
      <c r="PY36" s="31">
        <v>29.7616996765137</v>
      </c>
      <c r="PZ36" s="31">
        <v>28.974100112915</v>
      </c>
      <c r="QA36" s="31">
        <v>29.0056991577148</v>
      </c>
      <c r="QB36" s="31">
        <v>29.1380996704102</v>
      </c>
      <c r="QC36" s="31">
        <v>28.9403991699219</v>
      </c>
      <c r="QD36" s="31">
        <v>29.1770000457764</v>
      </c>
      <c r="QE36" s="31">
        <v>29.6856002807617</v>
      </c>
      <c r="QF36" s="31">
        <v>29.9447994232178</v>
      </c>
      <c r="QG36" s="31">
        <v>30.5308990478516</v>
      </c>
      <c r="QH36" s="31">
        <v>30.2525997161865</v>
      </c>
      <c r="QI36" s="31">
        <v>31.191499710083</v>
      </c>
      <c r="QJ36" s="31">
        <v>31.0701007843018</v>
      </c>
      <c r="QK36" s="31">
        <v>31.3577003479004</v>
      </c>
      <c r="QL36" s="31">
        <v>30.7919998168945</v>
      </c>
      <c r="QM36" s="31">
        <v>30.7063007354736</v>
      </c>
      <c r="QN36" s="31">
        <v>30.6424007415771</v>
      </c>
      <c r="QO36" s="31">
        <v>31.0118007659912</v>
      </c>
      <c r="QP36" s="31">
        <v>31.2679996490479</v>
      </c>
      <c r="QQ36" s="31">
        <v>30.9698009490967</v>
      </c>
      <c r="QR36" s="31">
        <v>30.6798000335693</v>
      </c>
      <c r="QS36" s="31">
        <v>30.3985004425049</v>
      </c>
      <c r="QT36" s="31">
        <v>30.2294006347656</v>
      </c>
      <c r="QU36" s="31">
        <v>30.1210994720459</v>
      </c>
      <c r="QV36" s="31">
        <v>30.5266990661621</v>
      </c>
      <c r="QW36" s="31">
        <v>30.2021007537842</v>
      </c>
      <c r="QX36" s="31">
        <v>30.3861999511719</v>
      </c>
      <c r="QY36" s="31">
        <v>30.6553993225098</v>
      </c>
      <c r="QZ36" s="31">
        <v>30.9890995025635</v>
      </c>
      <c r="RA36" s="31">
        <v>30.9202003479004</v>
      </c>
      <c r="RB36" s="31">
        <v>31.2196006774902</v>
      </c>
      <c r="RC36" s="31">
        <v>30.8421001434326</v>
      </c>
      <c r="RD36" s="31">
        <v>31.1956996917725</v>
      </c>
      <c r="RE36" s="31">
        <v>31.2556991577148</v>
      </c>
      <c r="RF36" s="31">
        <v>30.994800567627</v>
      </c>
      <c r="RG36" s="31">
        <v>31.1741008758545</v>
      </c>
      <c r="RH36" s="31">
        <v>31.0237007141113</v>
      </c>
      <c r="RI36" s="31">
        <v>31.0993003845215</v>
      </c>
      <c r="RJ36" s="31">
        <v>30.6487007141113</v>
      </c>
      <c r="RK36" s="31">
        <v>30.3771991729736</v>
      </c>
      <c r="RL36" s="31">
        <v>30.4855003356934</v>
      </c>
      <c r="RM36" s="31">
        <v>31.1088008880615</v>
      </c>
      <c r="RN36" s="31">
        <v>32.0091018676758</v>
      </c>
      <c r="RO36" s="31">
        <v>31.7975006103516</v>
      </c>
      <c r="RP36" s="31">
        <v>31.9094009399414</v>
      </c>
      <c r="RQ36" s="31">
        <v>32.3630981445313</v>
      </c>
      <c r="RR36" s="31">
        <v>32.2649993896484</v>
      </c>
      <c r="RS36" s="31">
        <v>31.8946990966797</v>
      </c>
      <c r="RT36" s="31">
        <v>32.4711990356445</v>
      </c>
      <c r="RU36" s="31">
        <v>32.3765983581543</v>
      </c>
      <c r="RV36" s="31">
        <v>31.9853000640869</v>
      </c>
      <c r="RW36" s="31">
        <v>32.6580009460449</v>
      </c>
      <c r="RX36" s="31">
        <v>32.7158012390137</v>
      </c>
      <c r="RY36" s="31">
        <v>32.7928009033203</v>
      </c>
      <c r="RZ36" s="31">
        <v>33.0588989257813</v>
      </c>
      <c r="SA36" s="31">
        <v>32.890998840332</v>
      </c>
      <c r="SB36" s="31">
        <v>33.2958984375</v>
      </c>
      <c r="SC36" s="31">
        <v>33.2122001647949</v>
      </c>
      <c r="SD36" s="31">
        <v>33.7421989440918</v>
      </c>
      <c r="SE36" s="31">
        <v>33.8907012939453</v>
      </c>
      <c r="SF36" s="31">
        <v>34.1819000244141</v>
      </c>
      <c r="SG36" s="31">
        <v>34.3819999694824</v>
      </c>
      <c r="SH36" s="31">
        <v>34.3889007568359</v>
      </c>
      <c r="SI36" s="31">
        <v>34.8899993896484</v>
      </c>
      <c r="SJ36" s="31">
        <v>34.810001373291</v>
      </c>
      <c r="SK36" s="31">
        <v>35.0814018249512</v>
      </c>
      <c r="SL36" s="31">
        <v>35.6814002990723</v>
      </c>
      <c r="SM36" s="31">
        <v>35.1063995361328</v>
      </c>
      <c r="SN36" s="31">
        <v>33.7215995788574</v>
      </c>
      <c r="SO36" s="31">
        <v>33.6189002990723</v>
      </c>
      <c r="SP36" s="31">
        <v>33.7919006347656</v>
      </c>
      <c r="SQ36" s="31">
        <v>33.9141998291016</v>
      </c>
      <c r="SR36" s="31">
        <v>34.163200378418</v>
      </c>
      <c r="SS36" s="31">
        <v>33.9458999633789</v>
      </c>
      <c r="ST36" s="31">
        <v>33.7947998046875</v>
      </c>
      <c r="SU36" s="31">
        <v>34.4310989379883</v>
      </c>
      <c r="SV36" s="31">
        <v>34.7631988525391</v>
      </c>
      <c r="SW36" s="31">
        <v>35.7294998168945</v>
      </c>
      <c r="SX36" s="31">
        <v>35.3863983154297</v>
      </c>
      <c r="SY36" s="31">
        <v>36.206901550293</v>
      </c>
      <c r="SZ36" s="31">
        <v>37.1021995544434</v>
      </c>
      <c r="TA36" s="31">
        <v>37.3513984680176</v>
      </c>
      <c r="TB36" s="31">
        <v>37.4911994934082</v>
      </c>
      <c r="TC36" s="31">
        <v>37.3983001708984</v>
      </c>
      <c r="TD36" s="31">
        <v>38.863899230957</v>
      </c>
      <c r="TE36" s="31">
        <v>40.0811996459961</v>
      </c>
      <c r="TF36" s="31">
        <v>39.2443008422852</v>
      </c>
      <c r="TG36" s="31">
        <v>38.5485992431641</v>
      </c>
      <c r="TH36" s="31">
        <v>40.1664009094238</v>
      </c>
      <c r="TI36" s="31">
        <v>41.0129013061523</v>
      </c>
      <c r="TJ36" s="31">
        <v>41.8670997619629</v>
      </c>
      <c r="TK36" s="31">
        <v>40.7462997436523</v>
      </c>
      <c r="TL36" s="31">
        <v>40.8140983581543</v>
      </c>
      <c r="TM36" s="31">
        <v>39.2597999572754</v>
      </c>
      <c r="TN36" s="31">
        <v>41.5839004516602</v>
      </c>
      <c r="TO36" s="31">
        <v>41.4058990478516</v>
      </c>
      <c r="TP36" s="31">
        <v>40.5014991760254</v>
      </c>
      <c r="TQ36" s="31">
        <v>40.8625984191895</v>
      </c>
      <c r="TR36" s="31">
        <v>42.6841011047363</v>
      </c>
      <c r="TS36" s="31">
        <v>42.3163986206055</v>
      </c>
      <c r="TT36" s="31">
        <v>43.0116004943848</v>
      </c>
      <c r="TU36" s="31">
        <v>43.2428016662598</v>
      </c>
      <c r="TV36" s="31">
        <v>44.1230010986328</v>
      </c>
      <c r="TW36" s="31">
        <v>43.4143981933594</v>
      </c>
      <c r="TX36" s="31">
        <v>43.4021987915039</v>
      </c>
      <c r="TY36" s="31">
        <v>43.6502990722656</v>
      </c>
      <c r="TZ36" s="31">
        <v>43.6195983886719</v>
      </c>
      <c r="UA36" s="31">
        <v>44.6086006164551</v>
      </c>
      <c r="UB36" s="31">
        <v>45.276798248291</v>
      </c>
      <c r="UC36" s="31">
        <v>44.1685981750488</v>
      </c>
      <c r="UD36" s="31">
        <v>45.2657012939453</v>
      </c>
      <c r="UE36" s="31">
        <v>45.4435997009277</v>
      </c>
      <c r="UF36" s="31">
        <v>45.834300994873</v>
      </c>
      <c r="UG36" s="31">
        <v>43.8331985473633</v>
      </c>
      <c r="UH36" s="31">
        <v>43.3478012084961</v>
      </c>
      <c r="UI36" s="31">
        <v>41.7249984741211</v>
      </c>
      <c r="UJ36" s="31">
        <v>42.6323013305664</v>
      </c>
      <c r="UK36" s="31">
        <v>42.7608985900879</v>
      </c>
      <c r="UL36" s="31">
        <v>41.3460998535156</v>
      </c>
      <c r="UM36" s="31">
        <v>42.0480995178223</v>
      </c>
      <c r="UN36" s="31">
        <v>41.9413986206055</v>
      </c>
      <c r="UO36" s="31">
        <v>42.2743988037109</v>
      </c>
      <c r="UP36" s="31">
        <v>42.2626991271973</v>
      </c>
      <c r="UQ36" s="31">
        <v>43.5102996826172</v>
      </c>
      <c r="UR36" s="31">
        <v>43.9903984069824</v>
      </c>
      <c r="US36" s="31">
        <v>43.9297981262207</v>
      </c>
      <c r="UT36" s="31">
        <v>44.4496994018555</v>
      </c>
      <c r="UU36" s="31">
        <v>42.3918991088867</v>
      </c>
      <c r="UV36" s="31">
        <v>41.1057014465332</v>
      </c>
      <c r="UW36" s="31">
        <v>41.1892013549805</v>
      </c>
      <c r="UX36" s="31">
        <v>40.3496017456055</v>
      </c>
      <c r="UY36" s="31">
        <v>40.7238006591797</v>
      </c>
      <c r="UZ36" s="31">
        <v>41.4296989440918</v>
      </c>
      <c r="VA36" s="31">
        <v>41.2728004455566</v>
      </c>
      <c r="VB36" s="31">
        <v>40.9945983886719</v>
      </c>
      <c r="VC36" s="31">
        <v>40.505298614502</v>
      </c>
      <c r="VD36" s="31">
        <v>40.3324012756348</v>
      </c>
      <c r="VE36" s="31">
        <v>41.3917007446289</v>
      </c>
      <c r="VF36" s="31">
        <v>40.2948989868164</v>
      </c>
      <c r="VG36" s="31">
        <v>40.1558990478516</v>
      </c>
      <c r="VH36" s="31">
        <v>39.6503982543945</v>
      </c>
      <c r="VI36" s="31">
        <v>39.7163009643555</v>
      </c>
      <c r="VJ36" s="31">
        <v>39.1960983276367</v>
      </c>
      <c r="VK36" s="31">
        <v>37.7239990234375</v>
      </c>
      <c r="VL36" s="31">
        <v>37.8773002624512</v>
      </c>
      <c r="VM36" s="31">
        <v>38.4348983764648</v>
      </c>
      <c r="VN36" s="31">
        <v>39.0533981323242</v>
      </c>
      <c r="VO36" s="31">
        <v>38.9025993347168</v>
      </c>
      <c r="VP36" s="31">
        <v>39.2009010314941</v>
      </c>
      <c r="VQ36" s="31">
        <v>39.7155990600586</v>
      </c>
      <c r="VR36" s="31">
        <v>39.410099029541</v>
      </c>
      <c r="VS36" s="31">
        <v>38.9550018310547</v>
      </c>
      <c r="VT36" s="31">
        <v>39.3049011230469</v>
      </c>
      <c r="VU36" s="31">
        <v>39.8154983520508</v>
      </c>
      <c r="VV36" s="31">
        <v>40.7550010681152</v>
      </c>
      <c r="VW36" s="31">
        <v>40.898998260498</v>
      </c>
      <c r="VX36" s="31">
        <v>40.8571014404297</v>
      </c>
      <c r="VY36" s="31">
        <v>40.3723983764648</v>
      </c>
      <c r="VZ36" s="31">
        <v>40.7388000488281</v>
      </c>
      <c r="WA36" s="31">
        <v>40.0381011962891</v>
      </c>
      <c r="WB36" s="31">
        <v>39.2591018676758</v>
      </c>
      <c r="WC36" s="31">
        <v>40.5087013244629</v>
      </c>
      <c r="WD36" s="31">
        <v>39.6852989196777</v>
      </c>
      <c r="WE36" s="31">
        <v>39.8737983703613</v>
      </c>
      <c r="WF36" s="31">
        <v>40.6015014648438</v>
      </c>
      <c r="WG36" s="31">
        <v>40.7757987976074</v>
      </c>
      <c r="WH36" s="31">
        <v>41.0750999450684</v>
      </c>
      <c r="WI36" s="31">
        <v>41.214298248291</v>
      </c>
      <c r="WJ36" s="31">
        <v>41.2654991149902</v>
      </c>
      <c r="WK36" s="31">
        <v>41.0383987426758</v>
      </c>
      <c r="WL36" s="31">
        <v>41.2350997924805</v>
      </c>
      <c r="WM36" s="31">
        <v>40.7742004394531</v>
      </c>
      <c r="WN36" s="31">
        <v>41.9622001647949</v>
      </c>
      <c r="WO36" s="31">
        <v>42.3597984313965</v>
      </c>
      <c r="WP36" s="31">
        <v>42.4640007019043</v>
      </c>
      <c r="WQ36" s="31">
        <v>42.1705017089844</v>
      </c>
      <c r="WR36" s="31">
        <v>42.617000579834</v>
      </c>
      <c r="WS36" s="31">
        <v>43.4244003295898</v>
      </c>
      <c r="WT36" s="31">
        <v>42.5419006347656</v>
      </c>
      <c r="WU36" s="31">
        <v>42.8894996643066</v>
      </c>
      <c r="WV36" s="31">
        <v>43.0519981384277</v>
      </c>
      <c r="WW36" s="31">
        <v>43.0153999328613</v>
      </c>
      <c r="WX36" s="31">
        <v>42.6837997436523</v>
      </c>
      <c r="WY36" s="31">
        <v>41.9957008361816</v>
      </c>
      <c r="WZ36" s="31">
        <v>42.2195014953613</v>
      </c>
      <c r="XA36" s="31">
        <v>42.5634994506836</v>
      </c>
      <c r="XB36" s="31">
        <v>42.9804000854492</v>
      </c>
      <c r="XC36" s="31">
        <v>42.559700012207</v>
      </c>
      <c r="XD36" s="31">
        <v>42.7951011657715</v>
      </c>
      <c r="XE36" s="31">
        <v>42.5383987426758</v>
      </c>
      <c r="XF36" s="31">
        <v>42.3107986450195</v>
      </c>
      <c r="XG36" s="31">
        <v>42.6482009887695</v>
      </c>
      <c r="XH36" s="31">
        <v>41.6189002990723</v>
      </c>
      <c r="XI36" s="31">
        <v>42.4388999938965</v>
      </c>
      <c r="XJ36" s="31">
        <v>42.4532012939453</v>
      </c>
      <c r="XK36" s="31">
        <v>41.8386993408203</v>
      </c>
      <c r="XL36" s="31">
        <v>41.5705986022949</v>
      </c>
      <c r="XM36" s="31">
        <v>42.6992988586426</v>
      </c>
      <c r="XN36" s="31">
        <v>42.5544013977051</v>
      </c>
      <c r="XO36" s="31">
        <v>42.1753997802734</v>
      </c>
      <c r="XP36" s="31">
        <v>42.7374992370605</v>
      </c>
      <c r="XQ36" s="31">
        <v>42.1204986572266</v>
      </c>
      <c r="XR36" s="31">
        <v>42.5005989074707</v>
      </c>
      <c r="XS36" s="31">
        <v>43.5896987915039</v>
      </c>
      <c r="XT36" s="31">
        <v>43.4897003173828</v>
      </c>
      <c r="XU36" s="31">
        <v>43.3207015991211</v>
      </c>
      <c r="XV36" s="31">
        <v>42.5606002807617</v>
      </c>
      <c r="XW36" s="31">
        <v>41.4452018737793</v>
      </c>
      <c r="XX36" s="31">
        <v>40.9686012268066</v>
      </c>
      <c r="XY36" s="31">
        <v>41.5164985656738</v>
      </c>
      <c r="XZ36" s="31">
        <v>41.709300994873</v>
      </c>
      <c r="YA36" s="31">
        <v>41.5237998962402</v>
      </c>
      <c r="YB36" s="31">
        <v>40.9660987854004</v>
      </c>
      <c r="YC36" s="31">
        <v>41.5439987182617</v>
      </c>
      <c r="YD36" s="31">
        <v>41.1963996887207</v>
      </c>
      <c r="YE36" s="31">
        <v>40.943000793457</v>
      </c>
      <c r="YF36" s="31">
        <v>41.4653015136719</v>
      </c>
      <c r="YG36" s="31">
        <v>40.546501159668</v>
      </c>
      <c r="YH36" s="31">
        <v>41.163200378418</v>
      </c>
      <c r="YI36" s="31">
        <v>40.6641998291016</v>
      </c>
      <c r="YJ36" s="31">
        <v>41.1810989379883</v>
      </c>
      <c r="YK36" s="31">
        <v>39.7238998413086</v>
      </c>
      <c r="YL36" s="31">
        <v>39.9355010986328</v>
      </c>
      <c r="YM36" s="31">
        <v>40.7277984619141</v>
      </c>
      <c r="YN36" s="31">
        <v>40.1912994384766</v>
      </c>
      <c r="YO36" s="31">
        <v>40.5610008239746</v>
      </c>
      <c r="YP36" s="31">
        <v>40.1787986755371</v>
      </c>
      <c r="YQ36" s="31">
        <v>38.9211006164551</v>
      </c>
      <c r="YR36" s="31">
        <v>40.0592002868652</v>
      </c>
      <c r="YS36" s="31">
        <v>39.173900604248</v>
      </c>
      <c r="YT36" s="31">
        <v>38.7901000976563</v>
      </c>
      <c r="YU36" s="31">
        <v>38.9216995239258</v>
      </c>
      <c r="YV36" s="31">
        <v>41.0360984802246</v>
      </c>
      <c r="YW36" s="31">
        <v>40.7549018859863</v>
      </c>
      <c r="YX36" s="31">
        <v>42.1535987854004</v>
      </c>
      <c r="YY36" s="31">
        <v>42.4528999328613</v>
      </c>
      <c r="YZ36" s="31">
        <v>43.3886985778809</v>
      </c>
      <c r="ZA36" s="31">
        <v>42.9401016235352</v>
      </c>
      <c r="ZB36" s="31">
        <v>42.9044990539551</v>
      </c>
      <c r="ZC36" s="31">
        <v>42.5494003295898</v>
      </c>
      <c r="ZD36" s="31">
        <v>42.5013008117676</v>
      </c>
      <c r="ZE36" s="31">
        <v>42.5494003295898</v>
      </c>
      <c r="ZF36" s="31">
        <v>44.4351005554199</v>
      </c>
      <c r="ZG36" s="31">
        <v>43.8745994567871</v>
      </c>
      <c r="ZH36" s="31">
        <v>43.1436996459961</v>
      </c>
      <c r="ZI36" s="31">
        <v>42.6528015136719</v>
      </c>
      <c r="ZJ36" s="31">
        <v>43.7216987609863</v>
      </c>
      <c r="ZK36" s="31">
        <v>44.657600402832</v>
      </c>
      <c r="ZL36" s="31">
        <v>44.4141006469727</v>
      </c>
      <c r="ZM36" s="31">
        <v>45.8769989013672</v>
      </c>
      <c r="ZN36" s="31">
        <v>46.3750991821289</v>
      </c>
      <c r="ZO36" s="31">
        <v>45.9516983032227</v>
      </c>
      <c r="ZP36" s="31">
        <v>47.5204010009766</v>
      </c>
      <c r="ZQ36" s="31">
        <v>47.4650993347168</v>
      </c>
      <c r="ZR36" s="31">
        <v>48.6795997619629</v>
      </c>
      <c r="ZS36" s="31">
        <v>47.594898223877</v>
      </c>
      <c r="ZT36" s="31">
        <v>47.353401184082</v>
      </c>
      <c r="ZU36" s="31">
        <v>47.1568984985352</v>
      </c>
      <c r="ZV36" s="31">
        <v>47.0878982543945</v>
      </c>
      <c r="ZW36" s="31">
        <v>47.1815986633301</v>
      </c>
      <c r="ZX36" s="31">
        <v>46.1702995300293</v>
      </c>
      <c r="ZY36" s="31">
        <v>47.3709983825684</v>
      </c>
      <c r="ZZ36" s="31">
        <v>48.1796989440918</v>
      </c>
      <c r="AAA36" s="31">
        <v>48.3036003112793</v>
      </c>
      <c r="AAB36" s="31">
        <v>48.4365005493164</v>
      </c>
      <c r="AAC36" s="31">
        <v>49.162899017334</v>
      </c>
      <c r="AAD36" s="31">
        <v>48.2504005432129</v>
      </c>
      <c r="AAE36" s="31">
        <v>47.2999000549316</v>
      </c>
      <c r="AAF36" s="31">
        <v>48.3245010375977</v>
      </c>
      <c r="AAG36" s="31">
        <v>48.9818000793457</v>
      </c>
      <c r="AAH36" s="31">
        <v>48.5233001708984</v>
      </c>
      <c r="AAI36" s="31">
        <v>47.0831985473633</v>
      </c>
      <c r="AAJ36" s="31">
        <v>45.3103981018066</v>
      </c>
      <c r="AAK36" s="31">
        <v>46.9682998657227</v>
      </c>
      <c r="AAL36" s="31">
        <v>45.701099395752</v>
      </c>
      <c r="AAM36" s="31">
        <v>45.255199432373</v>
      </c>
      <c r="AAN36" s="31">
        <v>45.6571998596191</v>
      </c>
      <c r="AAO36" s="31">
        <v>50.904899597168</v>
      </c>
      <c r="AAP36" s="31">
        <v>51.8089981079102</v>
      </c>
      <c r="AAQ36" s="31">
        <v>52.5974998474121</v>
      </c>
      <c r="AAR36" s="31">
        <v>53.535099029541</v>
      </c>
      <c r="AAS36" s="31">
        <v>54.9042015075684</v>
      </c>
      <c r="AAT36" s="31">
        <v>52.869499206543</v>
      </c>
      <c r="AAU36" s="31">
        <v>53.7083015441895</v>
      </c>
      <c r="AAV36" s="31">
        <v>55.1450004577637</v>
      </c>
      <c r="AAW36" s="31">
        <v>52.9855995178223</v>
      </c>
      <c r="AAX36" s="31">
        <v>53.2022018432617</v>
      </c>
      <c r="AAY36" s="31">
        <v>54.6320991516113</v>
      </c>
      <c r="AAZ36" s="31">
        <v>53.9062995910645</v>
      </c>
      <c r="ABA36" s="31">
        <v>51.0728988647461</v>
      </c>
      <c r="ABB36" s="31">
        <v>51.1865997314453</v>
      </c>
      <c r="ABC36" s="31">
        <v>51.1861991882324</v>
      </c>
      <c r="ABD36" s="31"/>
      <c r="ABE36" s="31"/>
      <c r="ABF36" s="32"/>
      <c r="ABG36" s="32"/>
      <c r="ABH36" s="32"/>
      <c r="ABI36" s="32"/>
      <c r="ABJ36" s="32"/>
      <c r="ABK36" s="32"/>
      <c r="ABL36" s="32"/>
      <c r="ABM36" s="32"/>
      <c r="ABN36" s="32"/>
      <c r="ABO36" s="32"/>
      <c r="ABP36" s="32"/>
      <c r="ABQ36" s="32"/>
      <c r="ABR36" s="32"/>
      <c r="ABS36" s="32"/>
      <c r="ABT36" s="32"/>
      <c r="ABU36" s="32"/>
      <c r="ABV36" s="32"/>
      <c r="ABW36" s="32"/>
      <c r="ABX36" s="32"/>
      <c r="ABY36" s="32"/>
      <c r="ABZ36" s="32"/>
      <c r="ACA36" s="32"/>
      <c r="ACB36" s="32"/>
      <c r="ACC36" s="32"/>
      <c r="ACD36" s="32"/>
      <c r="ACE36" s="32"/>
      <c r="ACF36" s="32"/>
      <c r="ACG36" s="32"/>
      <c r="ACH36" s="32"/>
      <c r="ACI36" s="32"/>
      <c r="ACJ36" s="32"/>
      <c r="ACK36" s="32"/>
    </row>
    <row r="37" ht="13.5" customHeight="1" spans="1:765">
      <c r="A37" s="28"/>
      <c r="B37" s="28"/>
      <c r="C37" s="29"/>
      <c r="D37" s="30" t="str">
        <f>[1]!s_info_name(E37)</f>
        <v>恒生指数</v>
      </c>
      <c r="E37" s="29" t="s">
        <v>27</v>
      </c>
      <c r="F37" s="31">
        <v>8.76189994812012</v>
      </c>
      <c r="G37" s="31">
        <v>8.68039989471436</v>
      </c>
      <c r="H37" s="31">
        <v>8.72109985351562</v>
      </c>
      <c r="I37" s="31">
        <v>8.80350017547607</v>
      </c>
      <c r="J37" s="31">
        <v>8.88990020751953</v>
      </c>
      <c r="K37" s="31">
        <v>9.10190010070801</v>
      </c>
      <c r="L37" s="31">
        <v>9.15019989013672</v>
      </c>
      <c r="M37" s="31">
        <v>9.15019989013672</v>
      </c>
      <c r="N37" s="31">
        <v>8.94470024108887</v>
      </c>
      <c r="O37" s="31">
        <v>8.9261999130249</v>
      </c>
      <c r="P37" s="31">
        <v>8.92049980163574</v>
      </c>
      <c r="Q37" s="31">
        <v>8.95680046081543</v>
      </c>
      <c r="R37" s="31">
        <v>8.77169990539551</v>
      </c>
      <c r="S37" s="31">
        <v>9.13679981231689</v>
      </c>
      <c r="T37" s="31">
        <v>9.09500026702881</v>
      </c>
      <c r="U37" s="31">
        <v>9.21269989013672</v>
      </c>
      <c r="V37" s="31">
        <v>9.33580017089844</v>
      </c>
      <c r="W37" s="31">
        <v>9.41399955749512</v>
      </c>
      <c r="X37" s="31">
        <v>9.34169960021973</v>
      </c>
      <c r="Y37" s="31">
        <v>9.11139965057373</v>
      </c>
      <c r="Z37" s="31">
        <v>9.08920001983643</v>
      </c>
      <c r="AA37" s="31">
        <v>9.14890003204346</v>
      </c>
      <c r="AB37" s="31">
        <v>9.11499977111816</v>
      </c>
      <c r="AC37" s="31">
        <v>8.96739959716797</v>
      </c>
      <c r="AD37" s="31">
        <v>9.00399971008301</v>
      </c>
      <c r="AE37" s="31">
        <v>9.01389980316162</v>
      </c>
      <c r="AF37" s="31">
        <v>8.90349960327148</v>
      </c>
      <c r="AG37" s="31">
        <v>8.76239967346191</v>
      </c>
      <c r="AH37" s="31">
        <v>8.68879985809326</v>
      </c>
      <c r="AI37" s="31">
        <v>8.55910015106201</v>
      </c>
      <c r="AJ37" s="31">
        <v>8.58539962768555</v>
      </c>
      <c r="AK37" s="31">
        <v>8.53269958496094</v>
      </c>
      <c r="AL37" s="31">
        <v>8.38059997558594</v>
      </c>
      <c r="AM37" s="31">
        <v>8.44919967651367</v>
      </c>
      <c r="AN37" s="31">
        <v>8.49209976196289</v>
      </c>
      <c r="AO37" s="31">
        <v>8.55840015411377</v>
      </c>
      <c r="AP37" s="31">
        <v>8.51290035247803</v>
      </c>
      <c r="AQ37" s="31">
        <v>8.63329982757568</v>
      </c>
      <c r="AR37" s="31">
        <v>8.82219982147217</v>
      </c>
      <c r="AS37" s="31">
        <v>9.07800006866455</v>
      </c>
      <c r="AT37" s="31">
        <v>9.0984001159668</v>
      </c>
      <c r="AU37" s="31">
        <v>9.09850025177002</v>
      </c>
      <c r="AV37" s="31">
        <v>9.15769958496094</v>
      </c>
      <c r="AW37" s="31">
        <v>8.98480033874512</v>
      </c>
      <c r="AX37" s="31">
        <v>8.98980045318604</v>
      </c>
      <c r="AY37" s="31">
        <v>8.87170028686523</v>
      </c>
      <c r="AZ37" s="31">
        <v>8.87160015106201</v>
      </c>
      <c r="BA37" s="31">
        <v>8.83650016784668</v>
      </c>
      <c r="BB37" s="31">
        <v>8.80930042266846</v>
      </c>
      <c r="BC37" s="31">
        <v>8.79710006713867</v>
      </c>
      <c r="BD37" s="31">
        <v>8.85109996795654</v>
      </c>
      <c r="BE37" s="31">
        <v>8.89980030059814</v>
      </c>
      <c r="BF37" s="31">
        <v>8.81040000915527</v>
      </c>
      <c r="BG37" s="31">
        <v>8.85809993743896</v>
      </c>
      <c r="BH37" s="31">
        <v>8.85210037231445</v>
      </c>
      <c r="BI37" s="31">
        <v>8.73970031738281</v>
      </c>
      <c r="BJ37" s="31">
        <v>8.93270015716553</v>
      </c>
      <c r="BK37" s="31">
        <v>8.77369976043701</v>
      </c>
      <c r="BL37" s="31">
        <v>8.65279960632324</v>
      </c>
      <c r="BM37" s="31">
        <v>8.72080039978027</v>
      </c>
      <c r="BN37" s="31">
        <v>8.62090015411377</v>
      </c>
      <c r="BO37" s="31">
        <v>8.64589977264404</v>
      </c>
      <c r="BP37" s="31">
        <v>8.71249961853027</v>
      </c>
      <c r="BQ37" s="31">
        <v>8.79520034790039</v>
      </c>
      <c r="BR37" s="31">
        <v>8.96199989318848</v>
      </c>
      <c r="BS37" s="31">
        <v>8.76159954071045</v>
      </c>
      <c r="BT37" s="31">
        <v>8.68200016021729</v>
      </c>
      <c r="BU37" s="31">
        <v>8.73740005493164</v>
      </c>
      <c r="BV37" s="31">
        <v>8.72669982910156</v>
      </c>
      <c r="BW37" s="31">
        <v>8.5068998336792</v>
      </c>
      <c r="BX37" s="31">
        <v>8.44139957427979</v>
      </c>
      <c r="BY37" s="31">
        <v>8.44130039215088</v>
      </c>
      <c r="BZ37" s="31">
        <v>8.35519981384277</v>
      </c>
      <c r="CA37" s="31">
        <v>8.390700340271</v>
      </c>
      <c r="CB37" s="31">
        <v>8.39970016479492</v>
      </c>
      <c r="CC37" s="31">
        <v>8.51299953460693</v>
      </c>
      <c r="CD37" s="31">
        <v>8.35319995880127</v>
      </c>
      <c r="CE37" s="31">
        <v>8.22700023651123</v>
      </c>
      <c r="CF37" s="31">
        <v>8.22239971160889</v>
      </c>
      <c r="CG37" s="31">
        <v>8.27770042419434</v>
      </c>
      <c r="CH37" s="31">
        <v>8.46420001983643</v>
      </c>
      <c r="CI37" s="31">
        <v>8.5733003616333</v>
      </c>
      <c r="CJ37" s="31">
        <v>8.43889999389648</v>
      </c>
      <c r="CK37" s="31">
        <v>8.43290042877197</v>
      </c>
      <c r="CL37" s="31">
        <v>8.41639995574951</v>
      </c>
      <c r="CM37" s="31">
        <v>8.28460025787354</v>
      </c>
      <c r="CN37" s="31">
        <v>8.39700031280518</v>
      </c>
      <c r="CO37" s="31">
        <v>8.38759994506836</v>
      </c>
      <c r="CP37" s="31">
        <v>8.70860004425049</v>
      </c>
      <c r="CQ37" s="31">
        <v>8.47309970855713</v>
      </c>
      <c r="CR37" s="31">
        <v>8.28769969940186</v>
      </c>
      <c r="CS37" s="31">
        <v>8.42240047454834</v>
      </c>
      <c r="CT37" s="31">
        <v>8.37800025939941</v>
      </c>
      <c r="CU37" s="31">
        <v>8.38070011138916</v>
      </c>
      <c r="CV37" s="31">
        <v>8.46930027008057</v>
      </c>
      <c r="CW37" s="31">
        <v>8.30790042877197</v>
      </c>
      <c r="CX37" s="31">
        <v>8.29109954833984</v>
      </c>
      <c r="CY37" s="31">
        <v>8.20429992675781</v>
      </c>
      <c r="CZ37" s="31">
        <v>8.06159973144531</v>
      </c>
      <c r="DA37" s="31">
        <v>8.11919975280762</v>
      </c>
      <c r="DB37" s="31">
        <v>8.00909996032715</v>
      </c>
      <c r="DC37" s="31">
        <v>8.08450031280518</v>
      </c>
      <c r="DD37" s="31">
        <v>7.94000005722046</v>
      </c>
      <c r="DE37" s="31">
        <v>8.00380039215088</v>
      </c>
      <c r="DF37" s="31">
        <v>7.93940019607544</v>
      </c>
      <c r="DG37" s="31">
        <v>7.92089986801147</v>
      </c>
      <c r="DH37" s="31">
        <v>7.86840009689331</v>
      </c>
      <c r="DI37" s="31">
        <v>7.95260000228882</v>
      </c>
      <c r="DJ37" s="31">
        <v>7.87760019302368</v>
      </c>
      <c r="DK37" s="31">
        <v>7.9274001121521</v>
      </c>
      <c r="DL37" s="31">
        <v>8.10569953918457</v>
      </c>
      <c r="DM37" s="31">
        <v>8.03090000152588</v>
      </c>
      <c r="DN37" s="31">
        <v>7.98600006103516</v>
      </c>
      <c r="DO37" s="31">
        <v>8.02820014953613</v>
      </c>
      <c r="DP37" s="31">
        <v>8.0403995513916</v>
      </c>
      <c r="DQ37" s="31">
        <v>7.8668999671936</v>
      </c>
      <c r="DR37" s="31">
        <v>7.86670017242432</v>
      </c>
      <c r="DS37" s="31">
        <v>7.86670017242432</v>
      </c>
      <c r="DT37" s="31">
        <v>8.019700050354</v>
      </c>
      <c r="DU37" s="31">
        <v>8.21150016784668</v>
      </c>
      <c r="DV37" s="31">
        <v>8.222900390625</v>
      </c>
      <c r="DW37" s="31">
        <v>8.1254997253418</v>
      </c>
      <c r="DX37" s="31">
        <v>8.08399963378906</v>
      </c>
      <c r="DY37" s="31">
        <v>8.09720039367676</v>
      </c>
      <c r="DZ37" s="31">
        <v>8.05239963531494</v>
      </c>
      <c r="EA37" s="31">
        <v>7.91249990463257</v>
      </c>
      <c r="EB37" s="31">
        <v>7.89340019226074</v>
      </c>
      <c r="EC37" s="31">
        <v>7.84679985046387</v>
      </c>
      <c r="ED37" s="31">
        <v>7.92189979553223</v>
      </c>
      <c r="EE37" s="31">
        <v>7.91340017318726</v>
      </c>
      <c r="EF37" s="31">
        <v>7.90019989013672</v>
      </c>
      <c r="EG37" s="31">
        <v>7.75330018997192</v>
      </c>
      <c r="EH37" s="31">
        <v>7.48150014877319</v>
      </c>
      <c r="EI37" s="31">
        <v>7.5391001701355</v>
      </c>
      <c r="EJ37" s="31">
        <v>7.49569988250732</v>
      </c>
      <c r="EK37" s="31">
        <v>7.3326997756958</v>
      </c>
      <c r="EL37" s="31">
        <v>7.51609992980957</v>
      </c>
      <c r="EM37" s="31">
        <v>7.79769992828369</v>
      </c>
      <c r="EN37" s="31">
        <v>7.99119997024536</v>
      </c>
      <c r="EO37" s="31">
        <v>7.87279987335205</v>
      </c>
      <c r="EP37" s="31">
        <v>7.93699979782104</v>
      </c>
      <c r="EQ37" s="31">
        <v>7.75699996948242</v>
      </c>
      <c r="ER37" s="31">
        <v>7.67229986190796</v>
      </c>
      <c r="ES37" s="31">
        <v>7.6943998336792</v>
      </c>
      <c r="ET37" s="31">
        <v>7.69850015640259</v>
      </c>
      <c r="EU37" s="31">
        <v>7.68610000610352</v>
      </c>
      <c r="EV37" s="31">
        <v>7.98199987411499</v>
      </c>
      <c r="EW37" s="31">
        <v>8.03719997406006</v>
      </c>
      <c r="EX37" s="31">
        <v>7.94579982757568</v>
      </c>
      <c r="EY37" s="31">
        <v>8.05480003356934</v>
      </c>
      <c r="EZ37" s="31">
        <v>8.10949993133545</v>
      </c>
      <c r="FA37" s="31">
        <v>8.33329963684082</v>
      </c>
      <c r="FB37" s="31">
        <v>8.48079967498779</v>
      </c>
      <c r="FC37" s="31">
        <v>8.47399997711182</v>
      </c>
      <c r="FD37" s="31">
        <v>8.40740013122559</v>
      </c>
      <c r="FE37" s="31">
        <v>8.464599609375</v>
      </c>
      <c r="FF37" s="31">
        <v>8.32320022583008</v>
      </c>
      <c r="FG37" s="31">
        <v>8.30469989776611</v>
      </c>
      <c r="FH37" s="31">
        <v>8.32030010223389</v>
      </c>
      <c r="FI37" s="31">
        <v>8.32719993591309</v>
      </c>
      <c r="FJ37" s="31">
        <v>8.13710021972656</v>
      </c>
      <c r="FK37" s="31">
        <v>8.27190017700195</v>
      </c>
      <c r="FL37" s="31">
        <v>8.17140007019043</v>
      </c>
      <c r="FM37" s="31">
        <v>8.23009967803955</v>
      </c>
      <c r="FN37" s="31">
        <v>8.32719993591309</v>
      </c>
      <c r="FO37" s="31">
        <v>8.55469989776611</v>
      </c>
      <c r="FP37" s="31">
        <v>8.5378999710083</v>
      </c>
      <c r="FQ37" s="31">
        <v>8.44789981842041</v>
      </c>
      <c r="FR37" s="31">
        <v>8.34109973907471</v>
      </c>
      <c r="FS37" s="31">
        <v>8.34469985961914</v>
      </c>
      <c r="FT37" s="31">
        <v>8.25189971923828</v>
      </c>
      <c r="FU37" s="31">
        <v>8.4931001663208</v>
      </c>
      <c r="FV37" s="31">
        <v>8.80500030517578</v>
      </c>
      <c r="FW37" s="31">
        <v>8.61439990997314</v>
      </c>
      <c r="FX37" s="31">
        <v>8.58780002593994</v>
      </c>
      <c r="FY37" s="31">
        <v>8.65929985046387</v>
      </c>
      <c r="FZ37" s="31">
        <v>8.46399974822998</v>
      </c>
      <c r="GA37" s="31">
        <v>8.42930030822754</v>
      </c>
      <c r="GB37" s="31">
        <v>8.49079990386963</v>
      </c>
      <c r="GC37" s="31">
        <v>8.49069976806641</v>
      </c>
      <c r="GD37" s="31">
        <v>8.7007999420166</v>
      </c>
      <c r="GE37" s="31">
        <v>8.62040042877197</v>
      </c>
      <c r="GF37" s="31">
        <v>8.61569976806641</v>
      </c>
      <c r="GG37" s="31">
        <v>8.65299987792969</v>
      </c>
      <c r="GH37" s="31">
        <v>8.81439971923828</v>
      </c>
      <c r="GI37" s="31">
        <v>8.79300022125244</v>
      </c>
      <c r="GJ37" s="31">
        <v>8.62390041351318</v>
      </c>
      <c r="GK37" s="31">
        <v>8.5871000289917</v>
      </c>
      <c r="GL37" s="31">
        <v>8.44040012359619</v>
      </c>
      <c r="GM37" s="31">
        <v>8.44110012054443</v>
      </c>
      <c r="GN37" s="31">
        <v>8.51259994506836</v>
      </c>
      <c r="GO37" s="31">
        <v>8.46790027618408</v>
      </c>
      <c r="GP37" s="31">
        <v>8.56970024108887</v>
      </c>
      <c r="GQ37" s="31">
        <v>8.69699954986572</v>
      </c>
      <c r="GR37" s="31">
        <v>8.86579990386963</v>
      </c>
      <c r="GS37" s="31">
        <v>8.89080047607422</v>
      </c>
      <c r="GT37" s="31">
        <v>9.055100440979</v>
      </c>
      <c r="GU37" s="31">
        <v>9.10949993133545</v>
      </c>
      <c r="GV37" s="31">
        <v>9.12520027160645</v>
      </c>
      <c r="GW37" s="31">
        <v>9.46049976348877</v>
      </c>
      <c r="GX37" s="31">
        <v>9.43449974060059</v>
      </c>
      <c r="GY37" s="31">
        <v>9.3548002243042</v>
      </c>
      <c r="GZ37" s="31">
        <v>9.4734001159668</v>
      </c>
      <c r="HA37" s="31">
        <v>9.7234001159668</v>
      </c>
      <c r="HB37" s="31">
        <v>9.78750038146973</v>
      </c>
      <c r="HC37" s="31">
        <v>9.76550006866455</v>
      </c>
      <c r="HD37" s="31">
        <v>9.76550006866455</v>
      </c>
      <c r="HE37" s="31">
        <v>9.94709968566895</v>
      </c>
      <c r="HF37" s="31">
        <v>10.039400100708</v>
      </c>
      <c r="HG37" s="31">
        <v>10.0817003250122</v>
      </c>
      <c r="HH37" s="31">
        <v>9.89890003204346</v>
      </c>
      <c r="HI37" s="31">
        <v>9.87409973144531</v>
      </c>
      <c r="HJ37" s="31">
        <v>9.68620014190674</v>
      </c>
      <c r="HK37" s="31">
        <v>9.56879997253418</v>
      </c>
      <c r="HL37" s="31">
        <v>9.67980003356934</v>
      </c>
      <c r="HM37" s="31">
        <v>9.68980026245117</v>
      </c>
      <c r="HN37" s="31">
        <v>9.54020023345947</v>
      </c>
      <c r="HO37" s="31">
        <v>9.40900039672852</v>
      </c>
      <c r="HP37" s="31">
        <v>9.3346996307373</v>
      </c>
      <c r="HQ37" s="31">
        <v>9.50389957427979</v>
      </c>
      <c r="HR37" s="31">
        <v>9.50949954986572</v>
      </c>
      <c r="HS37" s="31">
        <v>9.48610019683838</v>
      </c>
      <c r="HT37" s="31">
        <v>9.51259994506836</v>
      </c>
      <c r="HU37" s="31">
        <v>9.47109985351562</v>
      </c>
      <c r="HV37" s="31">
        <v>9.35919952392578</v>
      </c>
      <c r="HW37" s="31">
        <v>9.26189994812012</v>
      </c>
      <c r="HX37" s="31">
        <v>9.33370018005371</v>
      </c>
      <c r="HY37" s="31">
        <v>9.27340030670166</v>
      </c>
      <c r="HZ37" s="31">
        <v>9.25459957122803</v>
      </c>
      <c r="IA37" s="31">
        <v>9.24090003967285</v>
      </c>
      <c r="IB37" s="31">
        <v>9.51360034942627</v>
      </c>
      <c r="IC37" s="31">
        <v>9.49489974975586</v>
      </c>
      <c r="ID37" s="31">
        <v>9.33650016784668</v>
      </c>
      <c r="IE37" s="31">
        <v>9.34640026092529</v>
      </c>
      <c r="IF37" s="31">
        <v>9.37409973144531</v>
      </c>
      <c r="IG37" s="31">
        <v>9.38539981842041</v>
      </c>
      <c r="IH37" s="31">
        <v>9.18449974060059</v>
      </c>
      <c r="II37" s="31">
        <v>9.22999954223633</v>
      </c>
      <c r="IJ37" s="31">
        <v>9.22999954223633</v>
      </c>
      <c r="IK37" s="31">
        <v>9.28470039367676</v>
      </c>
      <c r="IL37" s="31">
        <v>9.36880016326904</v>
      </c>
      <c r="IM37" s="31">
        <v>9.40789985656738</v>
      </c>
      <c r="IN37" s="31">
        <v>9.28680038452148</v>
      </c>
      <c r="IO37" s="31">
        <v>9.13129997253418</v>
      </c>
      <c r="IP37" s="31">
        <v>9.12380027770996</v>
      </c>
      <c r="IQ37" s="31">
        <v>9.07120037078857</v>
      </c>
      <c r="IR37" s="31">
        <v>9.23139953613281</v>
      </c>
      <c r="IS37" s="31">
        <v>9.44219970703125</v>
      </c>
      <c r="IT37" s="31">
        <v>9.31130027770996</v>
      </c>
      <c r="IU37" s="31">
        <v>9.16020011901855</v>
      </c>
      <c r="IV37" s="31">
        <v>9.10169982910156</v>
      </c>
      <c r="IW37" s="31">
        <v>9.1274995803833</v>
      </c>
      <c r="IX37" s="31">
        <v>8.92249965667725</v>
      </c>
      <c r="IY37" s="31">
        <v>9.0250997543335</v>
      </c>
      <c r="IZ37" s="31">
        <v>8.9507999420166</v>
      </c>
      <c r="JA37" s="31">
        <v>8.90569972991943</v>
      </c>
      <c r="JB37" s="31">
        <v>8.73929977416992</v>
      </c>
      <c r="JC37" s="31">
        <v>8.73400020599365</v>
      </c>
      <c r="JD37" s="31">
        <v>8.8346996307373</v>
      </c>
      <c r="JE37" s="31">
        <v>8.70750045776367</v>
      </c>
      <c r="JF37" s="31">
        <v>8.87800025939941</v>
      </c>
      <c r="JG37" s="31">
        <v>8.86439990997314</v>
      </c>
      <c r="JH37" s="31">
        <v>8.71990013122559</v>
      </c>
      <c r="JI37" s="31">
        <v>8.56019973754883</v>
      </c>
      <c r="JJ37" s="31">
        <v>8.52610015869141</v>
      </c>
      <c r="JK37" s="31">
        <v>8.65709972381592</v>
      </c>
      <c r="JL37" s="31">
        <v>8.67350006103516</v>
      </c>
      <c r="JM37" s="31">
        <v>8.76690006256104</v>
      </c>
      <c r="JN37" s="31">
        <v>8.79440021514893</v>
      </c>
      <c r="JO37" s="31">
        <v>8.8169002532959</v>
      </c>
      <c r="JP37" s="31">
        <v>8.72229957580566</v>
      </c>
      <c r="JQ37" s="31">
        <v>8.74670028686523</v>
      </c>
      <c r="JR37" s="31">
        <v>8.86460018157959</v>
      </c>
      <c r="JS37" s="31">
        <v>8.92840003967285</v>
      </c>
      <c r="JT37" s="31">
        <v>8.88869953155518</v>
      </c>
      <c r="JU37" s="31">
        <v>8.81750011444092</v>
      </c>
      <c r="JV37" s="31">
        <v>8.89159965515137</v>
      </c>
      <c r="JW37" s="31">
        <v>8.88300037384033</v>
      </c>
      <c r="JX37" s="31">
        <v>8.95160007476807</v>
      </c>
      <c r="JY37" s="31">
        <v>9.00979995727539</v>
      </c>
      <c r="JZ37" s="31">
        <v>8.88039970397949</v>
      </c>
      <c r="KA37" s="31">
        <v>8.88689994812012</v>
      </c>
      <c r="KB37" s="31">
        <v>8.9935998916626</v>
      </c>
      <c r="KC37" s="31">
        <v>8.84230041503906</v>
      </c>
      <c r="KD37" s="31">
        <v>8.7992000579834</v>
      </c>
      <c r="KE37" s="31">
        <v>8.67459964752197</v>
      </c>
      <c r="KF37" s="31">
        <v>8.64799976348877</v>
      </c>
      <c r="KG37" s="31">
        <v>8.64789962768555</v>
      </c>
      <c r="KH37" s="31">
        <v>8.49059963226318</v>
      </c>
      <c r="KI37" s="31">
        <v>8.49030017852783</v>
      </c>
      <c r="KJ37" s="31">
        <v>8.41639995574951</v>
      </c>
      <c r="KK37" s="31">
        <v>8.45930004119873</v>
      </c>
      <c r="KL37" s="31">
        <v>8.53639984130859</v>
      </c>
      <c r="KM37" s="31">
        <v>8.67430019378662</v>
      </c>
      <c r="KN37" s="31">
        <v>8.82100009918213</v>
      </c>
      <c r="KO37" s="31">
        <v>8.92710018157959</v>
      </c>
      <c r="KP37" s="31">
        <v>8.93959999084473</v>
      </c>
      <c r="KQ37" s="31">
        <v>9.33290004730225</v>
      </c>
      <c r="KR37" s="31">
        <v>9.4197998046875</v>
      </c>
      <c r="KS37" s="31">
        <v>9.80599975585937</v>
      </c>
      <c r="KT37" s="31">
        <v>10.0743999481201</v>
      </c>
      <c r="KU37" s="31">
        <v>10.2756996154785</v>
      </c>
      <c r="KV37" s="31">
        <v>10.1695003509521</v>
      </c>
      <c r="KW37" s="31">
        <v>9.98740005493164</v>
      </c>
      <c r="KX37" s="31">
        <v>10.2861995697021</v>
      </c>
      <c r="KY37" s="31">
        <v>10.2861003875732</v>
      </c>
      <c r="KZ37" s="31">
        <v>10.2623996734619</v>
      </c>
      <c r="LA37" s="31">
        <v>9.90369987487793</v>
      </c>
      <c r="LB37" s="31">
        <v>9.89130020141602</v>
      </c>
      <c r="LC37" s="31">
        <v>9.77789974212646</v>
      </c>
      <c r="LD37" s="31">
        <v>10.0943002700806</v>
      </c>
      <c r="LE37" s="31">
        <v>9.8262996673584</v>
      </c>
      <c r="LF37" s="31">
        <v>9.828200340271</v>
      </c>
      <c r="LG37" s="31">
        <v>9.93000030517578</v>
      </c>
      <c r="LH37" s="31">
        <v>9.81750011444092</v>
      </c>
      <c r="LI37" s="31">
        <v>9.83390045166016</v>
      </c>
      <c r="LJ37" s="31">
        <v>9.84119987487793</v>
      </c>
      <c r="LK37" s="31">
        <v>9.84270000457764</v>
      </c>
      <c r="LL37" s="31">
        <v>9.33160018920898</v>
      </c>
      <c r="LM37" s="31">
        <v>9.30780029296875</v>
      </c>
      <c r="LN37" s="31">
        <v>9.40950012207031</v>
      </c>
      <c r="LO37" s="31">
        <v>9.43560028076172</v>
      </c>
      <c r="LP37" s="31">
        <v>9.6318998336792</v>
      </c>
      <c r="LQ37" s="31">
        <v>9.41839981079102</v>
      </c>
      <c r="LR37" s="31">
        <v>9.60560035705566</v>
      </c>
      <c r="LS37" s="31">
        <v>9.49009990692139</v>
      </c>
      <c r="LT37" s="31">
        <v>9.34609985351562</v>
      </c>
      <c r="LU37" s="31">
        <v>9.10179996490479</v>
      </c>
      <c r="LV37" s="31">
        <v>9.03479957580566</v>
      </c>
      <c r="LW37" s="31">
        <v>8.87189960479736</v>
      </c>
      <c r="LX37" s="31">
        <v>8.83430004119873</v>
      </c>
      <c r="LY37" s="31">
        <v>8.92090034484863</v>
      </c>
      <c r="LZ37" s="31">
        <v>8.94859981536865</v>
      </c>
      <c r="MA37" s="31">
        <v>8.96389961242676</v>
      </c>
      <c r="MB37" s="31">
        <v>8.90890026092529</v>
      </c>
      <c r="MC37" s="31">
        <v>8.74390029907227</v>
      </c>
      <c r="MD37" s="31">
        <v>8.71179962158203</v>
      </c>
      <c r="ME37" s="31">
        <v>8.71059989929199</v>
      </c>
      <c r="MF37" s="31">
        <v>8.88129997253418</v>
      </c>
      <c r="MG37" s="31">
        <v>8.7721004486084</v>
      </c>
      <c r="MH37" s="31">
        <v>8.77680015563965</v>
      </c>
      <c r="MI37" s="31">
        <v>8.84389972686768</v>
      </c>
      <c r="MJ37" s="31">
        <v>8.95170021057129</v>
      </c>
      <c r="MK37" s="31">
        <v>8.97249984741211</v>
      </c>
      <c r="ML37" s="31">
        <v>8.90740013122559</v>
      </c>
      <c r="MM37" s="31">
        <v>9.04129981994629</v>
      </c>
      <c r="MN37" s="31">
        <v>9.25940036773682</v>
      </c>
      <c r="MO37" s="31">
        <v>9.19099998474121</v>
      </c>
      <c r="MP37" s="31">
        <v>9.14200019836426</v>
      </c>
      <c r="MQ37" s="31">
        <v>9.25360012054443</v>
      </c>
      <c r="MR37" s="31">
        <v>9.0600004196167</v>
      </c>
      <c r="MS37" s="31">
        <v>9.01039981842041</v>
      </c>
      <c r="MT37" s="31">
        <v>8.97089958190918</v>
      </c>
      <c r="MU37" s="31">
        <v>9.04599952697754</v>
      </c>
      <c r="MV37" s="31">
        <v>9.01169967651367</v>
      </c>
      <c r="MW37" s="31">
        <v>9.00189971923828</v>
      </c>
      <c r="MX37" s="31">
        <v>9.09430027008057</v>
      </c>
      <c r="MY37" s="31">
        <v>9.19139957427979</v>
      </c>
      <c r="MZ37" s="31">
        <v>9.19139957427979</v>
      </c>
      <c r="NA37" s="31">
        <v>9.19120025634766</v>
      </c>
      <c r="NB37" s="31">
        <v>9.17910003662109</v>
      </c>
      <c r="NC37" s="31">
        <v>9.15489959716797</v>
      </c>
      <c r="ND37" s="31">
        <v>9.17640018463135</v>
      </c>
      <c r="NE37" s="31">
        <v>8.95639991760254</v>
      </c>
      <c r="NF37" s="31">
        <v>9.0024995803833</v>
      </c>
      <c r="NG37" s="31">
        <v>8.97249984741211</v>
      </c>
      <c r="NH37" s="31">
        <v>8.85470008850098</v>
      </c>
      <c r="NI37" s="31">
        <v>8.79119968414307</v>
      </c>
      <c r="NJ37" s="31">
        <v>8.77649974822998</v>
      </c>
      <c r="NK37" s="31">
        <v>8.69909954071045</v>
      </c>
      <c r="NL37" s="31">
        <v>8.63840007781982</v>
      </c>
      <c r="NM37" s="31">
        <v>8.78260040283203</v>
      </c>
      <c r="NN37" s="31">
        <v>8.82019996643066</v>
      </c>
      <c r="NO37" s="31">
        <v>8.91819953918457</v>
      </c>
      <c r="NP37" s="31">
        <v>8.91689968109131</v>
      </c>
      <c r="NQ37" s="31">
        <v>9.04319953918457</v>
      </c>
      <c r="NR37" s="31">
        <v>9.10249996185303</v>
      </c>
      <c r="NS37" s="31">
        <v>8.96469974517822</v>
      </c>
      <c r="NT37" s="31">
        <v>8.95139980316162</v>
      </c>
      <c r="NU37" s="31">
        <v>9.12180042266846</v>
      </c>
      <c r="NV37" s="31">
        <v>9.19909954071045</v>
      </c>
      <c r="NW37" s="31">
        <v>9.33640003204346</v>
      </c>
      <c r="NX37" s="31">
        <v>9.46570014953613</v>
      </c>
      <c r="NY37" s="31">
        <v>9.54189968109131</v>
      </c>
      <c r="NZ37" s="31">
        <v>9.6943998336792</v>
      </c>
      <c r="OA37" s="31">
        <v>9.60029983520508</v>
      </c>
      <c r="OB37" s="31">
        <v>9.85960006713867</v>
      </c>
      <c r="OC37" s="31">
        <v>9.81099987030029</v>
      </c>
      <c r="OD37" s="31">
        <v>10.1511001586914</v>
      </c>
      <c r="OE37" s="31">
        <v>10.1612997055054</v>
      </c>
      <c r="OF37" s="31">
        <v>10.2795000076294</v>
      </c>
      <c r="OG37" s="31">
        <v>10.2403001785278</v>
      </c>
      <c r="OH37" s="31">
        <v>10</v>
      </c>
      <c r="OI37" s="31">
        <v>10.3283996582031</v>
      </c>
      <c r="OJ37" s="31">
        <v>10.2404003143311</v>
      </c>
      <c r="OK37" s="31">
        <v>10.0873003005981</v>
      </c>
      <c r="OL37" s="31">
        <v>10.3572998046875</v>
      </c>
      <c r="OM37" s="31">
        <v>10.3263998031616</v>
      </c>
      <c r="ON37" s="31">
        <v>10.0327997207642</v>
      </c>
      <c r="OO37" s="31">
        <v>10.0708999633789</v>
      </c>
      <c r="OP37" s="31">
        <v>10.0504999160767</v>
      </c>
      <c r="OQ37" s="31">
        <v>10.3200998306274</v>
      </c>
      <c r="OR37" s="31">
        <v>10.5966997146606</v>
      </c>
      <c r="OS37" s="31">
        <v>10.5509004592896</v>
      </c>
      <c r="OT37" s="31">
        <v>10.3804998397827</v>
      </c>
      <c r="OU37" s="31">
        <v>10.4013004302979</v>
      </c>
      <c r="OV37" s="31">
        <v>10.3354997634888</v>
      </c>
      <c r="OW37" s="31">
        <v>10.2645998001099</v>
      </c>
      <c r="OX37" s="31">
        <v>10.4361000061035</v>
      </c>
      <c r="OY37" s="31">
        <v>10.496600151062</v>
      </c>
      <c r="OZ37" s="31">
        <v>10.7517004013062</v>
      </c>
      <c r="PA37" s="31">
        <v>10.6603002548218</v>
      </c>
      <c r="PB37" s="31">
        <v>10.4593000411987</v>
      </c>
      <c r="PC37" s="31">
        <v>10.2469997406006</v>
      </c>
      <c r="PD37" s="31">
        <v>10.3246002197266</v>
      </c>
      <c r="PE37" s="31">
        <v>10.1141996383667</v>
      </c>
      <c r="PF37" s="31">
        <v>10.2593002319336</v>
      </c>
      <c r="PG37" s="31">
        <v>10.3420000076294</v>
      </c>
      <c r="PH37" s="31">
        <v>10.3430004119873</v>
      </c>
      <c r="PI37" s="31">
        <v>10.2862997055054</v>
      </c>
      <c r="PJ37" s="31">
        <v>10.3385000228882</v>
      </c>
      <c r="PK37" s="31">
        <v>10.3432998657227</v>
      </c>
      <c r="PL37" s="31">
        <v>10.1892995834351</v>
      </c>
      <c r="PM37" s="31">
        <v>8.9055004119873</v>
      </c>
      <c r="PN37" s="31">
        <v>9.04109954833984</v>
      </c>
      <c r="PO37" s="31">
        <v>9.07719993591309</v>
      </c>
      <c r="PP37" s="31">
        <v>9.24650001525879</v>
      </c>
      <c r="PQ37" s="31">
        <v>9.36779975891113</v>
      </c>
      <c r="PR37" s="31">
        <v>9.58199977874756</v>
      </c>
      <c r="PS37" s="31">
        <v>9.60919952392578</v>
      </c>
      <c r="PT37" s="31">
        <v>9.45460033416748</v>
      </c>
      <c r="PU37" s="31">
        <v>9.60070037841797</v>
      </c>
      <c r="PV37" s="31">
        <v>9.60070037841797</v>
      </c>
      <c r="PW37" s="31">
        <v>9.60070037841797</v>
      </c>
      <c r="PX37" s="31">
        <v>9.67210006713867</v>
      </c>
      <c r="PY37" s="31">
        <v>9.85219955444336</v>
      </c>
      <c r="PZ37" s="31">
        <v>9.78969955444336</v>
      </c>
      <c r="QA37" s="31">
        <v>9.85999965667725</v>
      </c>
      <c r="QB37" s="31">
        <v>9.8705997467041</v>
      </c>
      <c r="QC37" s="31">
        <v>9.92259979248047</v>
      </c>
      <c r="QD37" s="31">
        <v>9.93900012969971</v>
      </c>
      <c r="QE37" s="31">
        <v>10.1611995697021</v>
      </c>
      <c r="QF37" s="31">
        <v>10.1696996688843</v>
      </c>
      <c r="QG37" s="31">
        <v>10.2131004333496</v>
      </c>
      <c r="QH37" s="31">
        <v>10.2468004226685</v>
      </c>
      <c r="QI37" s="31">
        <v>10.5628995895386</v>
      </c>
      <c r="QJ37" s="31">
        <v>10.3870000839233</v>
      </c>
      <c r="QK37" s="31">
        <v>10.6000995635986</v>
      </c>
      <c r="QL37" s="31">
        <v>10.4715995788574</v>
      </c>
      <c r="QM37" s="31">
        <v>10.4202995300293</v>
      </c>
      <c r="QN37" s="31">
        <v>10.413800239563</v>
      </c>
      <c r="QO37" s="31">
        <v>10.5528001785278</v>
      </c>
      <c r="QP37" s="31">
        <v>10.6183004379272</v>
      </c>
      <c r="QQ37" s="31">
        <v>10.5107002258301</v>
      </c>
      <c r="QR37" s="31">
        <v>10.5438003540039</v>
      </c>
      <c r="QS37" s="31">
        <v>10.4193000793457</v>
      </c>
      <c r="QT37" s="31">
        <v>10.4525995254517</v>
      </c>
      <c r="QU37" s="31">
        <v>10.417200088501</v>
      </c>
      <c r="QV37" s="31">
        <v>10.5206003189087</v>
      </c>
      <c r="QW37" s="31">
        <v>10.3743000030518</v>
      </c>
      <c r="QX37" s="31">
        <v>10.4863004684448</v>
      </c>
      <c r="QY37" s="31">
        <v>10.5474004745483</v>
      </c>
      <c r="QZ37" s="31">
        <v>10.6430997848511</v>
      </c>
      <c r="RA37" s="31">
        <v>10.6017999649048</v>
      </c>
      <c r="RB37" s="31">
        <v>10.7650995254517</v>
      </c>
      <c r="RC37" s="31">
        <v>10.6382999420166</v>
      </c>
      <c r="RD37" s="31">
        <v>10.7503004074097</v>
      </c>
      <c r="RE37" s="31">
        <v>10.6363000869751</v>
      </c>
      <c r="RF37" s="31">
        <v>10.5984001159668</v>
      </c>
      <c r="RG37" s="31">
        <v>10.6700000762939</v>
      </c>
      <c r="RH37" s="31">
        <v>10.6651000976562</v>
      </c>
      <c r="RI37" s="31">
        <v>10.5601997375488</v>
      </c>
      <c r="RJ37" s="31">
        <v>10.3540000915527</v>
      </c>
      <c r="RK37" s="31">
        <v>10.4853000640869</v>
      </c>
      <c r="RL37" s="31">
        <v>10.5448999404907</v>
      </c>
      <c r="RM37" s="31">
        <v>10.7615003585815</v>
      </c>
      <c r="RN37" s="31">
        <v>10.8901996612549</v>
      </c>
      <c r="RO37" s="31">
        <v>10.8306999206543</v>
      </c>
      <c r="RP37" s="31">
        <v>10.7846002578735</v>
      </c>
      <c r="RQ37" s="31">
        <v>10.6827001571655</v>
      </c>
      <c r="RR37" s="31">
        <v>10.6827001571655</v>
      </c>
      <c r="RS37" s="31">
        <v>10.7653999328613</v>
      </c>
      <c r="RT37" s="31">
        <v>10.6920003890991</v>
      </c>
      <c r="RU37" s="31">
        <v>10.6463003158569</v>
      </c>
      <c r="RV37" s="31">
        <v>10.6403999328613</v>
      </c>
      <c r="RW37" s="31">
        <v>10.7312002182007</v>
      </c>
      <c r="RX37" s="31">
        <v>10.6291999816895</v>
      </c>
      <c r="RY37" s="31">
        <v>10.7163000106812</v>
      </c>
      <c r="RZ37" s="31">
        <v>10.7470998764038</v>
      </c>
      <c r="SA37" s="31">
        <v>10.7952995300293</v>
      </c>
      <c r="SB37" s="31">
        <v>10.9378004074097</v>
      </c>
      <c r="SC37" s="31">
        <v>10.9186000823975</v>
      </c>
      <c r="SD37" s="31">
        <v>10.8950004577637</v>
      </c>
      <c r="SE37" s="31">
        <v>11.03600025177</v>
      </c>
      <c r="SF37" s="31">
        <v>11.1141004562378</v>
      </c>
      <c r="SG37" s="31">
        <v>11.1772003173828</v>
      </c>
      <c r="SH37" s="31">
        <v>11.3685998916626</v>
      </c>
      <c r="SI37" s="31">
        <v>11.4200000762939</v>
      </c>
      <c r="SJ37" s="31">
        <v>11.3149995803833</v>
      </c>
      <c r="SK37" s="31">
        <v>11.3617000579834</v>
      </c>
      <c r="SL37" s="31">
        <v>11.4905996322632</v>
      </c>
      <c r="SM37" s="31">
        <v>11.4448003768921</v>
      </c>
      <c r="SN37" s="31">
        <v>11.2616996765137</v>
      </c>
      <c r="SO37" s="31">
        <v>11.1269998550415</v>
      </c>
      <c r="SP37" s="31">
        <v>11.2360000610352</v>
      </c>
      <c r="SQ37" s="31">
        <v>11.3227996826172</v>
      </c>
      <c r="SR37" s="31">
        <v>11.3402996063232</v>
      </c>
      <c r="SS37" s="31">
        <v>11.4125003814697</v>
      </c>
      <c r="ST37" s="31">
        <v>11.3311996459961</v>
      </c>
      <c r="SU37" s="31">
        <v>11.3338003158569</v>
      </c>
      <c r="SV37" s="31">
        <v>11.375</v>
      </c>
      <c r="SW37" s="31">
        <v>11.6028995513916</v>
      </c>
      <c r="SX37" s="31">
        <v>11.6359996795654</v>
      </c>
      <c r="SY37" s="31">
        <v>11.5213003158569</v>
      </c>
      <c r="SZ37" s="31">
        <v>11.4625997543335</v>
      </c>
      <c r="TA37" s="31">
        <v>11.4147996902466</v>
      </c>
      <c r="TB37" s="31">
        <v>11.4204998016357</v>
      </c>
      <c r="TC37" s="31">
        <v>11.4628000259399</v>
      </c>
      <c r="TD37" s="31">
        <v>11.5446996688843</v>
      </c>
      <c r="TE37" s="31">
        <v>11.7452001571655</v>
      </c>
      <c r="TF37" s="31">
        <v>11.5920000076294</v>
      </c>
      <c r="TG37" s="31">
        <v>11.5193996429443</v>
      </c>
      <c r="TH37" s="31">
        <v>11.4580001831055</v>
      </c>
      <c r="TI37" s="31">
        <v>11.3573999404907</v>
      </c>
      <c r="TJ37" s="31">
        <v>11.559100151062</v>
      </c>
      <c r="TK37" s="31">
        <v>11.5310001373291</v>
      </c>
      <c r="TL37" s="31">
        <v>11.4680004119873</v>
      </c>
      <c r="TM37" s="31">
        <v>11.3303003311157</v>
      </c>
      <c r="TN37" s="31">
        <v>11.4968996047974</v>
      </c>
      <c r="TO37" s="31">
        <v>11.7215003967285</v>
      </c>
      <c r="TP37" s="31">
        <v>11.8421001434326</v>
      </c>
      <c r="TQ37" s="31">
        <v>11.9688997268677</v>
      </c>
      <c r="TR37" s="31">
        <v>11.9260997772217</v>
      </c>
      <c r="TS37" s="31">
        <v>12.0367002487183</v>
      </c>
      <c r="TT37" s="31">
        <v>12.0509996414185</v>
      </c>
      <c r="TU37" s="31">
        <v>12.0284996032715</v>
      </c>
      <c r="TV37" s="31">
        <v>12.2189998626709</v>
      </c>
      <c r="TW37" s="31">
        <v>12.0292997360229</v>
      </c>
      <c r="TX37" s="31">
        <v>12.0401000976562</v>
      </c>
      <c r="TY37" s="31">
        <v>11.9247999191284</v>
      </c>
      <c r="TZ37" s="31">
        <v>11.8520002365112</v>
      </c>
      <c r="UA37" s="31">
        <v>11.9947004318237</v>
      </c>
      <c r="UB37" s="31">
        <v>11.9497003555298</v>
      </c>
      <c r="UC37" s="31">
        <v>11.8354997634888</v>
      </c>
      <c r="UD37" s="31">
        <v>12.0550003051758</v>
      </c>
      <c r="UE37" s="31">
        <v>12.1282997131348</v>
      </c>
      <c r="UF37" s="31">
        <v>12.1408004760742</v>
      </c>
      <c r="UG37" s="31">
        <v>11.9517002105713</v>
      </c>
      <c r="UH37" s="31">
        <v>11.8069000244141</v>
      </c>
      <c r="UI37" s="31">
        <v>11.6400995254517</v>
      </c>
      <c r="UJ37" s="31">
        <v>11.8368997573853</v>
      </c>
      <c r="UK37" s="31">
        <v>11.8663997650146</v>
      </c>
      <c r="UL37" s="31">
        <v>11.5927000045776</v>
      </c>
      <c r="UM37" s="31">
        <v>11.8573999404907</v>
      </c>
      <c r="UN37" s="31">
        <v>11.9351997375488</v>
      </c>
      <c r="UO37" s="31">
        <v>11.8378000259399</v>
      </c>
      <c r="UP37" s="31">
        <v>11.9385995864868</v>
      </c>
      <c r="UQ37" s="31">
        <v>12.0383996963501</v>
      </c>
      <c r="UR37" s="31">
        <v>12.1625995635986</v>
      </c>
      <c r="US37" s="31">
        <v>12.0536003112793</v>
      </c>
      <c r="UT37" s="31">
        <v>12.0559997558594</v>
      </c>
      <c r="UU37" s="31">
        <v>11.8308000564575</v>
      </c>
      <c r="UV37" s="31">
        <v>11.6579999923706</v>
      </c>
      <c r="UW37" s="31">
        <v>11.7638998031616</v>
      </c>
      <c r="UX37" s="31">
        <v>11.7129001617432</v>
      </c>
      <c r="UY37" s="31">
        <v>11.7048997879028</v>
      </c>
      <c r="UZ37" s="31">
        <v>11.9483003616333</v>
      </c>
      <c r="VA37" s="31">
        <v>11.8691997528076</v>
      </c>
      <c r="VB37" s="31">
        <v>12.0767002105713</v>
      </c>
      <c r="VC37" s="31">
        <v>12.0944995880127</v>
      </c>
      <c r="VD37" s="31">
        <v>12.2180995941162</v>
      </c>
      <c r="VE37" s="31">
        <v>12.2540998458862</v>
      </c>
      <c r="VF37" s="31">
        <v>12.0513000488281</v>
      </c>
      <c r="VG37" s="31">
        <v>11.9644002914429</v>
      </c>
      <c r="VH37" s="31">
        <v>11.7571001052856</v>
      </c>
      <c r="VI37" s="31">
        <v>11.7510004043579</v>
      </c>
      <c r="VJ37" s="31">
        <v>11.7468996047974</v>
      </c>
      <c r="VK37" s="31">
        <v>11.4819002151489</v>
      </c>
      <c r="VL37" s="31">
        <v>11.6806001663208</v>
      </c>
      <c r="VM37" s="31">
        <v>11.8360004425049</v>
      </c>
      <c r="VN37" s="31">
        <v>11.8371000289917</v>
      </c>
      <c r="VO37" s="31">
        <v>11.8278999328613</v>
      </c>
      <c r="VP37" s="31">
        <v>11.8909997940063</v>
      </c>
      <c r="VQ37" s="31">
        <v>11.9933004379272</v>
      </c>
      <c r="VR37" s="31">
        <v>12.0240001678467</v>
      </c>
      <c r="VS37" s="31">
        <v>11.8704996109009</v>
      </c>
      <c r="VT37" s="31">
        <v>11.9350996017456</v>
      </c>
      <c r="VU37" s="31">
        <v>12.0178003311157</v>
      </c>
      <c r="VV37" s="31">
        <v>11.8884000778198</v>
      </c>
      <c r="VW37" s="31">
        <v>11.7398996353149</v>
      </c>
      <c r="VX37" s="31">
        <v>11.7490997314453</v>
      </c>
      <c r="VY37" s="31">
        <v>11.7354001998901</v>
      </c>
      <c r="VZ37" s="31">
        <v>11.927300453186</v>
      </c>
      <c r="WA37" s="31">
        <v>11.7631998062134</v>
      </c>
      <c r="WB37" s="31">
        <v>11.5767002105713</v>
      </c>
      <c r="WC37" s="31">
        <v>11.6758003234863</v>
      </c>
      <c r="WD37" s="31">
        <v>11.6998996734619</v>
      </c>
      <c r="WE37" s="31">
        <v>11.7812995910645</v>
      </c>
      <c r="WF37" s="31">
        <v>11.8276996612549</v>
      </c>
      <c r="WG37" s="31">
        <v>11.8014001846313</v>
      </c>
      <c r="WH37" s="31">
        <v>11.8099002838135</v>
      </c>
      <c r="WI37" s="31">
        <v>11.8099002838135</v>
      </c>
      <c r="WJ37" s="31">
        <v>11.8099002838135</v>
      </c>
      <c r="WK37" s="31">
        <v>11.7420997619629</v>
      </c>
      <c r="WL37" s="31">
        <v>11.8563995361328</v>
      </c>
      <c r="WM37" s="31">
        <v>11.7651996612549</v>
      </c>
      <c r="WN37" s="31">
        <v>12.0425996780396</v>
      </c>
      <c r="WO37" s="31">
        <v>12.1971998214722</v>
      </c>
      <c r="WP37" s="31">
        <v>12.0804004669189</v>
      </c>
      <c r="WQ37" s="31">
        <v>11.9561996459961</v>
      </c>
      <c r="WR37" s="31">
        <v>11.992600440979</v>
      </c>
      <c r="WS37" s="31">
        <v>12.1515998840332</v>
      </c>
      <c r="WT37" s="31">
        <v>12.2658996582031</v>
      </c>
      <c r="WU37" s="31">
        <v>12.3308000564575</v>
      </c>
      <c r="WV37" s="31">
        <v>12.2496004104614</v>
      </c>
      <c r="WW37" s="31">
        <v>12.2046003341675</v>
      </c>
      <c r="WX37" s="31">
        <v>12.0956001281738</v>
      </c>
      <c r="WY37" s="31">
        <v>12.0675001144409</v>
      </c>
      <c r="WZ37" s="31">
        <v>12.112099647522</v>
      </c>
      <c r="XA37" s="31">
        <v>12.1164999008179</v>
      </c>
      <c r="XB37" s="31">
        <v>12.1399002075195</v>
      </c>
      <c r="XC37" s="31">
        <v>12.1949996948242</v>
      </c>
      <c r="XD37" s="31">
        <v>12.3407001495361</v>
      </c>
      <c r="XE37" s="31">
        <v>12.6738004684448</v>
      </c>
      <c r="XF37" s="31">
        <v>12.7483997344971</v>
      </c>
      <c r="XG37" s="31">
        <v>12.4715003967285</v>
      </c>
      <c r="XH37" s="31">
        <v>12.1878995895386</v>
      </c>
      <c r="XI37" s="31">
        <v>12.1890001296997</v>
      </c>
      <c r="XJ37" s="31">
        <v>12.1967000961304</v>
      </c>
      <c r="XK37" s="31">
        <v>12.2121000289917</v>
      </c>
      <c r="XL37" s="31">
        <v>12.1128997802734</v>
      </c>
      <c r="XM37" s="31">
        <v>12.296799659729</v>
      </c>
      <c r="XN37" s="31">
        <v>12.3641996383667</v>
      </c>
      <c r="XO37" s="31">
        <v>12.4017000198364</v>
      </c>
      <c r="XP37" s="31">
        <v>12.3305997848511</v>
      </c>
      <c r="XQ37" s="31">
        <v>12.1100997924805</v>
      </c>
      <c r="XR37" s="31">
        <v>12.1400003433228</v>
      </c>
      <c r="XS37" s="31">
        <v>12.0832996368408</v>
      </c>
      <c r="XT37" s="31">
        <v>11.8846998214722</v>
      </c>
      <c r="XU37" s="31">
        <v>11.9793996810913</v>
      </c>
      <c r="XV37" s="31">
        <v>11.8013000488281</v>
      </c>
      <c r="XW37" s="31">
        <v>11.7159996032715</v>
      </c>
      <c r="XX37" s="31">
        <v>11.5026998519897</v>
      </c>
      <c r="XY37" s="31">
        <v>11.5432996749878</v>
      </c>
      <c r="XZ37" s="31">
        <v>11.729100227356</v>
      </c>
      <c r="YA37" s="31">
        <v>12.0820999145508</v>
      </c>
      <c r="YB37" s="31">
        <v>12.3254995346069</v>
      </c>
      <c r="YC37" s="31">
        <v>12.3798999786377</v>
      </c>
      <c r="YD37" s="31">
        <v>12.3992004394531</v>
      </c>
      <c r="YE37" s="31">
        <v>12.326000213623</v>
      </c>
      <c r="YF37" s="31">
        <v>12.5319995880127</v>
      </c>
      <c r="YG37" s="31">
        <v>12.5087995529175</v>
      </c>
      <c r="YH37" s="31">
        <v>12.5160999298096</v>
      </c>
      <c r="YI37" s="31">
        <v>12.3832998275757</v>
      </c>
      <c r="YJ37" s="31">
        <v>12.3788995742798</v>
      </c>
      <c r="YK37" s="31">
        <v>11.9391002655029</v>
      </c>
      <c r="YL37" s="31">
        <v>12.192099571228</v>
      </c>
      <c r="YM37" s="31">
        <v>12.2910995483398</v>
      </c>
      <c r="YN37" s="31">
        <v>12.1969003677368</v>
      </c>
      <c r="YO37" s="31">
        <v>12.2356004714966</v>
      </c>
      <c r="YP37" s="31">
        <v>12.1377000808716</v>
      </c>
      <c r="YQ37" s="31">
        <v>12.1434001922607</v>
      </c>
      <c r="YR37" s="31">
        <v>12.3573999404907</v>
      </c>
      <c r="YS37" s="31">
        <v>12.3059997558594</v>
      </c>
      <c r="YT37" s="31">
        <v>12.3059997558594</v>
      </c>
      <c r="YU37" s="31">
        <v>12.313099861145</v>
      </c>
      <c r="YV37" s="31">
        <v>12.5916996002197</v>
      </c>
      <c r="YW37" s="31">
        <v>12.5514001846313</v>
      </c>
      <c r="YX37" s="31">
        <v>12.6583995819092</v>
      </c>
      <c r="YY37" s="31">
        <v>12.5755996704102</v>
      </c>
      <c r="YZ37" s="31">
        <v>12.648699760437</v>
      </c>
      <c r="ZA37" s="31">
        <v>12.6372995376587</v>
      </c>
      <c r="ZB37" s="31">
        <v>12.8823003768921</v>
      </c>
      <c r="ZC37" s="31">
        <v>12.768500328064</v>
      </c>
      <c r="ZD37" s="31">
        <v>12.8604001998901</v>
      </c>
      <c r="ZE37" s="31">
        <v>12.9707002639771</v>
      </c>
      <c r="ZF37" s="31">
        <v>12.7805004119873</v>
      </c>
      <c r="ZG37" s="31">
        <v>12.7255001068115</v>
      </c>
      <c r="ZH37" s="31">
        <v>12.7327003479004</v>
      </c>
      <c r="ZI37" s="31">
        <v>12.628999710083</v>
      </c>
      <c r="ZJ37" s="31">
        <v>12.4604997634888</v>
      </c>
      <c r="ZK37" s="31">
        <v>12.5333003997803</v>
      </c>
      <c r="ZL37" s="31">
        <v>12.3576002120972</v>
      </c>
      <c r="ZM37" s="31">
        <v>12.5546998977661</v>
      </c>
      <c r="ZN37" s="31">
        <v>12.6590003967285</v>
      </c>
      <c r="ZO37" s="31">
        <v>12.5481004714966</v>
      </c>
      <c r="ZP37" s="31">
        <v>12.5642004013062</v>
      </c>
      <c r="ZQ37" s="31">
        <v>12.5776996612549</v>
      </c>
      <c r="ZR37" s="31">
        <v>12.4879999160767</v>
      </c>
      <c r="ZS37" s="31">
        <v>12.4907999038696</v>
      </c>
      <c r="ZT37" s="31">
        <v>12.3052997589111</v>
      </c>
      <c r="ZU37" s="31">
        <v>12.2136001586914</v>
      </c>
      <c r="ZV37" s="31">
        <v>12.2589998245239</v>
      </c>
      <c r="ZW37" s="31">
        <v>12.1986999511719</v>
      </c>
      <c r="ZX37" s="31">
        <v>12.0649995803833</v>
      </c>
      <c r="ZY37" s="31">
        <v>12.149299621582</v>
      </c>
      <c r="ZZ37" s="31">
        <v>12.149299621582</v>
      </c>
      <c r="AAA37" s="31">
        <v>12.1512002944946</v>
      </c>
      <c r="AAB37" s="31">
        <v>12.0776996612549</v>
      </c>
      <c r="AAC37" s="31">
        <v>11.9728002548218</v>
      </c>
      <c r="AAD37" s="31">
        <v>12.0874996185303</v>
      </c>
      <c r="AAE37" s="31">
        <v>12.265700340271</v>
      </c>
      <c r="AAF37" s="31">
        <v>12.5722999572754</v>
      </c>
      <c r="AAG37" s="31">
        <v>12.4097003936768</v>
      </c>
      <c r="AAH37" s="31">
        <v>12.1997003555298</v>
      </c>
      <c r="AAI37" s="31">
        <v>12.0878000259399</v>
      </c>
      <c r="AAJ37" s="31">
        <v>12.0275001525879</v>
      </c>
      <c r="AAK37" s="31">
        <v>11.9886999130249</v>
      </c>
      <c r="AAL37" s="31">
        <v>11.9081001281738</v>
      </c>
      <c r="AAM37" s="31">
        <v>11.8339004516602</v>
      </c>
      <c r="AAN37" s="31">
        <v>12.0776996612549</v>
      </c>
      <c r="AAO37" s="31">
        <v>12.1270999908447</v>
      </c>
      <c r="AAP37" s="31">
        <v>11.9877004623413</v>
      </c>
      <c r="AAQ37" s="31">
        <v>11.872200012207</v>
      </c>
      <c r="AAR37" s="31">
        <v>11.6562004089355</v>
      </c>
      <c r="AAS37" s="31">
        <v>11.6357002258301</v>
      </c>
      <c r="AAT37" s="31">
        <v>11.4134998321533</v>
      </c>
      <c r="AAU37" s="31">
        <v>11.4406995773315</v>
      </c>
      <c r="AAV37" s="31">
        <v>11.2643003463745</v>
      </c>
      <c r="AAW37" s="31">
        <v>11.076000213623</v>
      </c>
      <c r="AAX37" s="31">
        <v>11.2299003601074</v>
      </c>
      <c r="AAY37" s="31">
        <v>11.1275997161865</v>
      </c>
      <c r="AAZ37" s="31">
        <v>11.1275997161865</v>
      </c>
      <c r="ABA37" s="31">
        <v>11.1621999740601</v>
      </c>
      <c r="ABB37" s="31">
        <v>11.289400100708</v>
      </c>
      <c r="ABC37" s="31">
        <v>11.289400100708</v>
      </c>
      <c r="ABD37" s="31"/>
      <c r="ABE37" s="31"/>
      <c r="ABF37" s="32"/>
      <c r="ABG37" s="32"/>
      <c r="ABH37" s="32"/>
      <c r="ABI37" s="32"/>
      <c r="ABJ37" s="32"/>
      <c r="ABK37" s="32"/>
      <c r="ABL37" s="32"/>
      <c r="ABM37" s="32"/>
      <c r="ABN37" s="32"/>
      <c r="ABO37" s="32"/>
      <c r="ABP37" s="32"/>
      <c r="ABQ37" s="32"/>
      <c r="ABR37" s="32"/>
      <c r="ABS37" s="32"/>
      <c r="ABT37" s="32"/>
      <c r="ABU37" s="32"/>
      <c r="ABV37" s="32"/>
      <c r="ABW37" s="32"/>
      <c r="ABX37" s="32"/>
      <c r="ABY37" s="32"/>
      <c r="ABZ37" s="32"/>
      <c r="ACA37" s="32"/>
      <c r="ACB37" s="32"/>
      <c r="ACC37" s="32"/>
      <c r="ACD37" s="32"/>
      <c r="ACE37" s="32"/>
      <c r="ACF37" s="32"/>
      <c r="ACG37" s="32"/>
      <c r="ACH37" s="32"/>
      <c r="ACI37" s="32"/>
      <c r="ACJ37" s="32"/>
      <c r="ACK37" s="32"/>
    </row>
    <row r="38" ht="13.5" customHeight="1" spans="1:765">
      <c r="A38" s="28"/>
      <c r="B38" s="28"/>
      <c r="C38" s="29"/>
      <c r="D38" s="30" t="str">
        <f>[1]!s_info_name(E38)</f>
        <v>恒生科技</v>
      </c>
      <c r="E38" s="29" t="s">
        <v>29</v>
      </c>
      <c r="F38" s="31">
        <v>25.1096992492676</v>
      </c>
      <c r="G38" s="31">
        <v>25.066499710083</v>
      </c>
      <c r="H38" s="31">
        <v>25.4284000396729</v>
      </c>
      <c r="I38" s="31">
        <v>25.8530006408691</v>
      </c>
      <c r="J38" s="31">
        <v>26.3320007324219</v>
      </c>
      <c r="K38" s="31">
        <v>27.2712001800537</v>
      </c>
      <c r="L38" s="31">
        <v>27.3031997680664</v>
      </c>
      <c r="M38" s="31">
        <v>27.3031997680664</v>
      </c>
      <c r="N38" s="31">
        <v>26.4244003295898</v>
      </c>
      <c r="O38" s="31">
        <v>26.300500869751</v>
      </c>
      <c r="P38" s="31">
        <v>25.9246006011963</v>
      </c>
      <c r="Q38" s="31">
        <v>26.1245994567871</v>
      </c>
      <c r="R38" s="31">
        <v>25.5499000549316</v>
      </c>
      <c r="S38" s="31">
        <v>27.1432991027832</v>
      </c>
      <c r="T38" s="31">
        <v>26.9001007080078</v>
      </c>
      <c r="U38" s="31">
        <v>27.4167003631592</v>
      </c>
      <c r="V38" s="31">
        <v>27.9897003173828</v>
      </c>
      <c r="W38" s="31">
        <v>28.4715003967285</v>
      </c>
      <c r="X38" s="31">
        <v>28.4615993499756</v>
      </c>
      <c r="Y38" s="31">
        <v>27.5727005004883</v>
      </c>
      <c r="Z38" s="31">
        <v>27.4769992828369</v>
      </c>
      <c r="AA38" s="31">
        <v>27.9419002532959</v>
      </c>
      <c r="AB38" s="31">
        <v>27.918399810791</v>
      </c>
      <c r="AC38" s="31">
        <v>26.9762992858887</v>
      </c>
      <c r="AD38" s="31">
        <v>27.0949993133545</v>
      </c>
      <c r="AE38" s="31">
        <v>26.6364994049072</v>
      </c>
      <c r="AF38" s="31">
        <v>26.2180004119873</v>
      </c>
      <c r="AG38" s="31">
        <v>25.8446998596191</v>
      </c>
      <c r="AH38" s="31">
        <v>25.6558990478516</v>
      </c>
      <c r="AI38" s="31">
        <v>25.3132991790771</v>
      </c>
      <c r="AJ38" s="31">
        <v>25.619800567627</v>
      </c>
      <c r="AK38" s="31">
        <v>24.7628002166748</v>
      </c>
      <c r="AL38" s="31">
        <v>24.2703990936279</v>
      </c>
      <c r="AM38" s="31">
        <v>24.2264995574951</v>
      </c>
      <c r="AN38" s="31">
        <v>24.2548999786377</v>
      </c>
      <c r="AO38" s="31">
        <v>24.4573993682861</v>
      </c>
      <c r="AP38" s="31">
        <v>23.9221992492676</v>
      </c>
      <c r="AQ38" s="31">
        <v>24.1788005828857</v>
      </c>
      <c r="AR38" s="31">
        <v>24.7194995880127</v>
      </c>
      <c r="AS38" s="31">
        <v>24.4801006317139</v>
      </c>
      <c r="AT38" s="31">
        <v>24.3882007598877</v>
      </c>
      <c r="AU38" s="31">
        <v>24.3864002227783</v>
      </c>
      <c r="AV38" s="31">
        <v>25.1336994171143</v>
      </c>
      <c r="AW38" s="31">
        <v>24.6306991577148</v>
      </c>
      <c r="AX38" s="31">
        <v>24.5272998809814</v>
      </c>
      <c r="AY38" s="31">
        <v>24.0527000427246</v>
      </c>
      <c r="AZ38" s="31">
        <v>24.0527000427246</v>
      </c>
      <c r="BA38" s="31">
        <v>23.9892997741699</v>
      </c>
      <c r="BB38" s="31">
        <v>23.8022994995117</v>
      </c>
      <c r="BC38" s="31">
        <v>23.6497993469238</v>
      </c>
      <c r="BD38" s="31">
        <v>23.6921997070313</v>
      </c>
      <c r="BE38" s="31">
        <v>23.7341995239258</v>
      </c>
      <c r="BF38" s="31">
        <v>23.2633991241455</v>
      </c>
      <c r="BG38" s="31">
        <v>23.2779998779297</v>
      </c>
      <c r="BH38" s="31">
        <v>22.9554996490479</v>
      </c>
      <c r="BI38" s="31">
        <v>22.5251998901367</v>
      </c>
      <c r="BJ38" s="31">
        <v>23.3421993255615</v>
      </c>
      <c r="BK38" s="31">
        <v>22.7226009368896</v>
      </c>
      <c r="BL38" s="31">
        <v>22.4286003112793</v>
      </c>
      <c r="BM38" s="31">
        <v>22.5205001831055</v>
      </c>
      <c r="BN38" s="31">
        <v>22.1474990844727</v>
      </c>
      <c r="BO38" s="31">
        <v>22.4297008514404</v>
      </c>
      <c r="BP38" s="31">
        <v>22.6916999816895</v>
      </c>
      <c r="BQ38" s="31">
        <v>23.0524005889893</v>
      </c>
      <c r="BR38" s="31">
        <v>23.4412002563477</v>
      </c>
      <c r="BS38" s="31">
        <v>22.6054992675781</v>
      </c>
      <c r="BT38" s="31">
        <v>22.230899810791</v>
      </c>
      <c r="BU38" s="31">
        <v>22.3600006103516</v>
      </c>
      <c r="BV38" s="31">
        <v>22.1156997680664</v>
      </c>
      <c r="BW38" s="31">
        <v>21.5389995574951</v>
      </c>
      <c r="BX38" s="31">
        <v>21.3096008300781</v>
      </c>
      <c r="BY38" s="31">
        <v>21.3096008300781</v>
      </c>
      <c r="BZ38" s="31">
        <v>21.0090999603271</v>
      </c>
      <c r="CA38" s="31">
        <v>21.4582004547119</v>
      </c>
      <c r="CB38" s="31">
        <v>21.5118007659912</v>
      </c>
      <c r="CC38" s="31">
        <v>22.0466003417969</v>
      </c>
      <c r="CD38" s="31">
        <v>22.1688995361328</v>
      </c>
      <c r="CE38" s="31">
        <v>21.6427993774414</v>
      </c>
      <c r="CF38" s="31">
        <v>21.5293006896973</v>
      </c>
      <c r="CG38" s="31">
        <v>21.7478008270264</v>
      </c>
      <c r="CH38" s="31">
        <v>22.5030994415283</v>
      </c>
      <c r="CI38" s="31">
        <v>23.2922992706299</v>
      </c>
      <c r="CJ38" s="31">
        <v>22.9705009460449</v>
      </c>
      <c r="CK38" s="31">
        <v>22.843599319458</v>
      </c>
      <c r="CL38" s="31">
        <v>22.7042007446289</v>
      </c>
      <c r="CM38" s="31">
        <v>22.1186008453369</v>
      </c>
      <c r="CN38" s="31">
        <v>22.5746002197266</v>
      </c>
      <c r="CO38" s="31">
        <v>22.3435001373291</v>
      </c>
      <c r="CP38" s="31">
        <v>23.505500793457</v>
      </c>
      <c r="CQ38" s="31">
        <v>20.5697002410889</v>
      </c>
      <c r="CR38" s="31">
        <v>19.8871994018555</v>
      </c>
      <c r="CS38" s="31">
        <v>19.8876991271973</v>
      </c>
      <c r="CT38" s="31">
        <v>19.0335998535156</v>
      </c>
      <c r="CU38" s="31">
        <v>19.066499710083</v>
      </c>
      <c r="CV38" s="31">
        <v>19.3908996582031</v>
      </c>
      <c r="CW38" s="31">
        <v>18.9570007324219</v>
      </c>
      <c r="CX38" s="31">
        <v>19.0025005340576</v>
      </c>
      <c r="CY38" s="31">
        <v>18.6609992980957</v>
      </c>
      <c r="CZ38" s="31">
        <v>18.234899520874</v>
      </c>
      <c r="DA38" s="31">
        <v>18.4050998687744</v>
      </c>
      <c r="DB38" s="31">
        <v>18.0503005981445</v>
      </c>
      <c r="DC38" s="31">
        <v>17.7751998901367</v>
      </c>
      <c r="DD38" s="31">
        <v>17.4409008026123</v>
      </c>
      <c r="DE38" s="31">
        <v>17.6702995300293</v>
      </c>
      <c r="DF38" s="31">
        <v>17.5273990631104</v>
      </c>
      <c r="DG38" s="31">
        <v>17.4857006072998</v>
      </c>
      <c r="DH38" s="31">
        <v>17.332799911499</v>
      </c>
      <c r="DI38" s="31">
        <v>17.6124000549316</v>
      </c>
      <c r="DJ38" s="31">
        <v>17.4008007049561</v>
      </c>
      <c r="DK38" s="31">
        <v>17.3903007507324</v>
      </c>
      <c r="DL38" s="31">
        <v>17.8458995819092</v>
      </c>
      <c r="DM38" s="31">
        <v>17.6786994934082</v>
      </c>
      <c r="DN38" s="31">
        <v>17.6042003631592</v>
      </c>
      <c r="DO38" s="31">
        <v>17.7331008911133</v>
      </c>
      <c r="DP38" s="31">
        <v>17.6942005157471</v>
      </c>
      <c r="DQ38" s="31">
        <v>16.466100692749</v>
      </c>
      <c r="DR38" s="31">
        <v>16.466100692749</v>
      </c>
      <c r="DS38" s="31">
        <v>16.466100692749</v>
      </c>
      <c r="DT38" s="31">
        <v>17.0188007354736</v>
      </c>
      <c r="DU38" s="31">
        <v>17.551700592041</v>
      </c>
      <c r="DV38" s="31">
        <v>17.5391006469727</v>
      </c>
      <c r="DW38" s="31">
        <v>17.4449996948242</v>
      </c>
      <c r="DX38" s="31">
        <v>17.2998008728027</v>
      </c>
      <c r="DY38" s="31">
        <v>17.3257999420166</v>
      </c>
      <c r="DZ38" s="31">
        <v>17.0069007873535</v>
      </c>
      <c r="EA38" s="31">
        <v>16.5951995849609</v>
      </c>
      <c r="EB38" s="31">
        <v>16.4193000793457</v>
      </c>
      <c r="EC38" s="31">
        <v>16.2861995697021</v>
      </c>
      <c r="ED38" s="31">
        <v>16.6502990722656</v>
      </c>
      <c r="EE38" s="31">
        <v>16.5776996612549</v>
      </c>
      <c r="EF38" s="31">
        <v>16.4013996124268</v>
      </c>
      <c r="EG38" s="31">
        <v>16.0386009216309</v>
      </c>
      <c r="EH38" s="31">
        <v>15.3741998672485</v>
      </c>
      <c r="EI38" s="31">
        <v>15.5235004425049</v>
      </c>
      <c r="EJ38" s="31">
        <v>15.2727003097534</v>
      </c>
      <c r="EK38" s="31">
        <v>14.8587999343872</v>
      </c>
      <c r="EL38" s="31">
        <v>15.3976001739502</v>
      </c>
      <c r="EM38" s="31">
        <v>16.1229000091553</v>
      </c>
      <c r="EN38" s="31">
        <v>16.388599395752</v>
      </c>
      <c r="EO38" s="31">
        <v>15.8653001785278</v>
      </c>
      <c r="EP38" s="31">
        <v>15.983699798584</v>
      </c>
      <c r="EQ38" s="31">
        <v>15.5090999603271</v>
      </c>
      <c r="ER38" s="31">
        <v>15.1708002090454</v>
      </c>
      <c r="ES38" s="31">
        <v>15.4013004302979</v>
      </c>
      <c r="ET38" s="31">
        <v>15.4771003723145</v>
      </c>
      <c r="EU38" s="31">
        <v>15.4709997177124</v>
      </c>
      <c r="EV38" s="31">
        <v>16.4640007019043</v>
      </c>
      <c r="EW38" s="31">
        <v>17.5531005859375</v>
      </c>
      <c r="EX38" s="31">
        <v>17.2486991882324</v>
      </c>
      <c r="EY38" s="31">
        <v>17.5224990844727</v>
      </c>
      <c r="EZ38" s="31">
        <v>17.5762996673584</v>
      </c>
      <c r="FA38" s="31">
        <v>17.9570007324219</v>
      </c>
      <c r="FB38" s="31">
        <v>18.2805004119873</v>
      </c>
      <c r="FC38" s="31">
        <v>18.2542991638184</v>
      </c>
      <c r="FD38" s="31">
        <v>17.8899993896484</v>
      </c>
      <c r="FE38" s="31">
        <v>18.1546993255615</v>
      </c>
      <c r="FF38" s="31">
        <v>17.8686008453369</v>
      </c>
      <c r="FG38" s="31">
        <v>17.6979007720947</v>
      </c>
      <c r="FH38" s="31">
        <v>17.8920993804932</v>
      </c>
      <c r="FI38" s="31">
        <v>17.7709999084473</v>
      </c>
      <c r="FJ38" s="31">
        <v>17.0811004638672</v>
      </c>
      <c r="FK38" s="31">
        <v>17.4750995635986</v>
      </c>
      <c r="FL38" s="31">
        <v>17.1856002807617</v>
      </c>
      <c r="FM38" s="31">
        <v>17.2651996612549</v>
      </c>
      <c r="FN38" s="31">
        <v>17.7397994995117</v>
      </c>
      <c r="FO38" s="31">
        <v>18.4615993499756</v>
      </c>
      <c r="FP38" s="31">
        <v>18.4666996002197</v>
      </c>
      <c r="FQ38" s="31">
        <v>18.3059997558594</v>
      </c>
      <c r="FR38" s="31">
        <v>17.9778995513916</v>
      </c>
      <c r="FS38" s="31">
        <v>18.1697998046875</v>
      </c>
      <c r="FT38" s="31">
        <v>17.7220001220703</v>
      </c>
      <c r="FU38" s="31">
        <v>21.5412998199463</v>
      </c>
      <c r="FV38" s="31">
        <v>21.8222007751465</v>
      </c>
      <c r="FW38" s="31">
        <v>21.0830001831055</v>
      </c>
      <c r="FX38" s="31">
        <v>21.0356006622314</v>
      </c>
      <c r="FY38" s="31">
        <v>21.0552997589111</v>
      </c>
      <c r="FZ38" s="31">
        <v>20.7548007965088</v>
      </c>
      <c r="GA38" s="31">
        <v>21.1583003997803</v>
      </c>
      <c r="GB38" s="31">
        <v>21.1583003997803</v>
      </c>
      <c r="GC38" s="31">
        <v>21.1583003997803</v>
      </c>
      <c r="GD38" s="31">
        <v>21.5109004974365</v>
      </c>
      <c r="GE38" s="31">
        <v>21.2071990966797</v>
      </c>
      <c r="GF38" s="31">
        <v>21.096700668335</v>
      </c>
      <c r="GG38" s="31">
        <v>21.2451992034912</v>
      </c>
      <c r="GH38" s="31">
        <v>21.8351001739502</v>
      </c>
      <c r="GI38" s="31">
        <v>21.8027000427246</v>
      </c>
      <c r="GJ38" s="31">
        <v>21.3551998138428</v>
      </c>
      <c r="GK38" s="31">
        <v>21.0736999511719</v>
      </c>
      <c r="GL38" s="31">
        <v>20.5925006866455</v>
      </c>
      <c r="GM38" s="31">
        <v>20.5568008422852</v>
      </c>
      <c r="GN38" s="31">
        <v>20.7036991119385</v>
      </c>
      <c r="GO38" s="31">
        <v>20.3976993560791</v>
      </c>
      <c r="GP38" s="31">
        <v>21.0289993286133</v>
      </c>
      <c r="GQ38" s="31">
        <v>21.7082996368408</v>
      </c>
      <c r="GR38" s="31">
        <v>22.441499710083</v>
      </c>
      <c r="GS38" s="31">
        <v>22.2789993286133</v>
      </c>
      <c r="GT38" s="31">
        <v>23.0648002624512</v>
      </c>
      <c r="GU38" s="31">
        <v>22.9270992279053</v>
      </c>
      <c r="GV38" s="31">
        <v>22.9004001617432</v>
      </c>
      <c r="GW38" s="31">
        <v>24.608699798584</v>
      </c>
      <c r="GX38" s="31">
        <v>24.1474990844727</v>
      </c>
      <c r="GY38" s="31">
        <v>23.8332004547119</v>
      </c>
      <c r="GZ38" s="31">
        <v>24.4062004089355</v>
      </c>
      <c r="HA38" s="31">
        <v>24.5431003570557</v>
      </c>
      <c r="HB38" s="31">
        <v>25.0228004455566</v>
      </c>
      <c r="HC38" s="31">
        <v>25.5485000610352</v>
      </c>
      <c r="HD38" s="31">
        <v>25.5485000610352</v>
      </c>
      <c r="HE38" s="31">
        <v>25.8292999267578</v>
      </c>
      <c r="HF38" s="31">
        <v>26.1791000366211</v>
      </c>
      <c r="HG38" s="31">
        <v>26.1460990905762</v>
      </c>
      <c r="HH38" s="31">
        <v>25.2807006835938</v>
      </c>
      <c r="HI38" s="31">
        <v>24.8483009338379</v>
      </c>
      <c r="HJ38" s="31">
        <v>23.9619007110596</v>
      </c>
      <c r="HK38" s="31">
        <v>23.5520000457764</v>
      </c>
      <c r="HL38" s="31">
        <v>23.800199508667</v>
      </c>
      <c r="HM38" s="31">
        <v>23.8558006286621</v>
      </c>
      <c r="HN38" s="31">
        <v>23.24169921875</v>
      </c>
      <c r="HO38" s="31">
        <v>23.0935001373291</v>
      </c>
      <c r="HP38" s="31">
        <v>22.6429004669189</v>
      </c>
      <c r="HQ38" s="31">
        <v>23.3621006011963</v>
      </c>
      <c r="HR38" s="31">
        <v>23.4603004455566</v>
      </c>
      <c r="HS38" s="31">
        <v>23.5837001800537</v>
      </c>
      <c r="HT38" s="31">
        <v>23.6280994415283</v>
      </c>
      <c r="HU38" s="31">
        <v>23.2731990814209</v>
      </c>
      <c r="HV38" s="31">
        <v>23.2206001281738</v>
      </c>
      <c r="HW38" s="31">
        <v>22.8556995391846</v>
      </c>
      <c r="HX38" s="31">
        <v>23.2264003753662</v>
      </c>
      <c r="HY38" s="31">
        <v>23.051700592041</v>
      </c>
      <c r="HZ38" s="31">
        <v>23.0905990600586</v>
      </c>
      <c r="IA38" s="31">
        <v>22.9020004272461</v>
      </c>
      <c r="IB38" s="31">
        <v>23.6683006286621</v>
      </c>
      <c r="IC38" s="31">
        <v>23.4325008392334</v>
      </c>
      <c r="ID38" s="31">
        <v>23.0016994476318</v>
      </c>
      <c r="IE38" s="31">
        <v>22.910400390625</v>
      </c>
      <c r="IF38" s="31">
        <v>22.900899887085</v>
      </c>
      <c r="IG38" s="31">
        <v>23.0160007476807</v>
      </c>
      <c r="IH38" s="31">
        <v>22.4787006378174</v>
      </c>
      <c r="II38" s="31">
        <v>22.2747993469238</v>
      </c>
      <c r="IJ38" s="31">
        <v>22.2747993469238</v>
      </c>
      <c r="IK38" s="31">
        <v>22.1576995849609</v>
      </c>
      <c r="IL38" s="31">
        <v>22.7129993438721</v>
      </c>
      <c r="IM38" s="31">
        <v>22.9088001251221</v>
      </c>
      <c r="IN38" s="31">
        <v>22.6916007995605</v>
      </c>
      <c r="IO38" s="31">
        <v>22.5114994049072</v>
      </c>
      <c r="IP38" s="31">
        <v>22.6420001983643</v>
      </c>
      <c r="IQ38" s="31">
        <v>22.6068992614746</v>
      </c>
      <c r="IR38" s="31">
        <v>23.1189002990723</v>
      </c>
      <c r="IS38" s="31">
        <v>23.7898998260498</v>
      </c>
      <c r="IT38" s="31">
        <v>23.255199432373</v>
      </c>
      <c r="IU38" s="31">
        <v>22.7744998931885</v>
      </c>
      <c r="IV38" s="31">
        <v>22.753999710083</v>
      </c>
      <c r="IW38" s="31">
        <v>22.6065006256104</v>
      </c>
      <c r="IX38" s="31">
        <v>22.131799697876</v>
      </c>
      <c r="IY38" s="31">
        <v>22.628999710083</v>
      </c>
      <c r="IZ38" s="31">
        <v>22.237699508667</v>
      </c>
      <c r="JA38" s="31">
        <v>22.0249004364014</v>
      </c>
      <c r="JB38" s="31">
        <v>21.492000579834</v>
      </c>
      <c r="JC38" s="31">
        <v>21.6112003326416</v>
      </c>
      <c r="JD38" s="31">
        <v>21.8864002227783</v>
      </c>
      <c r="JE38" s="31">
        <v>21.6147003173828</v>
      </c>
      <c r="JF38" s="31">
        <v>22.1560001373291</v>
      </c>
      <c r="JG38" s="31">
        <v>22.0963001251221</v>
      </c>
      <c r="JH38" s="31">
        <v>21.5337009429932</v>
      </c>
      <c r="JI38" s="31">
        <v>21.3344993591309</v>
      </c>
      <c r="JJ38" s="31">
        <v>21.3001003265381</v>
      </c>
      <c r="JK38" s="31">
        <v>21.6756992340088</v>
      </c>
      <c r="JL38" s="31">
        <v>21.8488006591797</v>
      </c>
      <c r="JM38" s="31">
        <v>22.167200088501</v>
      </c>
      <c r="JN38" s="31">
        <v>22.2658004760742</v>
      </c>
      <c r="JO38" s="31">
        <v>22.3490009307861</v>
      </c>
      <c r="JP38" s="31">
        <v>20.9062004089355</v>
      </c>
      <c r="JQ38" s="31">
        <v>20.9437007904053</v>
      </c>
      <c r="JR38" s="31">
        <v>21.4263000488281</v>
      </c>
      <c r="JS38" s="31">
        <v>21.6452007293701</v>
      </c>
      <c r="JT38" s="31">
        <v>21.2108993530273</v>
      </c>
      <c r="JU38" s="31">
        <v>20.9717998504639</v>
      </c>
      <c r="JV38" s="31">
        <v>21.4321994781494</v>
      </c>
      <c r="JW38" s="31">
        <v>21.1716003417969</v>
      </c>
      <c r="JX38" s="31">
        <v>21.24049949646</v>
      </c>
      <c r="JY38" s="31">
        <v>21.0536003112793</v>
      </c>
      <c r="JZ38" s="31">
        <v>20.3295001983643</v>
      </c>
      <c r="KA38" s="31">
        <v>20.6270008087158</v>
      </c>
      <c r="KB38" s="31">
        <v>21.0811996459961</v>
      </c>
      <c r="KC38" s="31">
        <v>20.7199993133545</v>
      </c>
      <c r="KD38" s="31">
        <v>20.7887992858887</v>
      </c>
      <c r="KE38" s="31">
        <v>20.6488990783691</v>
      </c>
      <c r="KF38" s="31">
        <v>20.5788993835449</v>
      </c>
      <c r="KG38" s="31">
        <v>20.5788993835449</v>
      </c>
      <c r="KH38" s="31">
        <v>20.3623008728027</v>
      </c>
      <c r="KI38" s="31">
        <v>20.463399887085</v>
      </c>
      <c r="KJ38" s="31">
        <v>20.5146007537842</v>
      </c>
      <c r="KK38" s="31">
        <v>20.7092990875244</v>
      </c>
      <c r="KL38" s="31">
        <v>20.7590999603271</v>
      </c>
      <c r="KM38" s="31">
        <v>21.0212001800537</v>
      </c>
      <c r="KN38" s="31">
        <v>21.6347999572754</v>
      </c>
      <c r="KO38" s="31">
        <v>21.8342990875244</v>
      </c>
      <c r="KP38" s="31">
        <v>21.774299621582</v>
      </c>
      <c r="KQ38" s="31">
        <v>22.8796997070313</v>
      </c>
      <c r="KR38" s="31">
        <v>22.9477996826172</v>
      </c>
      <c r="KS38" s="31">
        <v>24.484899520874</v>
      </c>
      <c r="KT38" s="31">
        <v>25.5328998565674</v>
      </c>
      <c r="KU38" s="31">
        <v>26.7227993011475</v>
      </c>
      <c r="KV38" s="31">
        <v>26.2453994750977</v>
      </c>
      <c r="KW38" s="31">
        <v>25.9671993255615</v>
      </c>
      <c r="KX38" s="31">
        <v>26.5102005004883</v>
      </c>
      <c r="KY38" s="31">
        <v>26.5102005004883</v>
      </c>
      <c r="KZ38" s="31">
        <v>26.1753005981445</v>
      </c>
      <c r="LA38" s="31">
        <v>24.9381008148193</v>
      </c>
      <c r="LB38" s="31">
        <v>24.7812995910645</v>
      </c>
      <c r="LC38" s="31">
        <v>24.5487003326416</v>
      </c>
      <c r="LD38" s="31">
        <v>25.7458000183105</v>
      </c>
      <c r="LE38" s="31">
        <v>25.1278991699219</v>
      </c>
      <c r="LF38" s="31">
        <v>25.2096004486084</v>
      </c>
      <c r="LG38" s="31">
        <v>25.6410999298096</v>
      </c>
      <c r="LH38" s="31">
        <v>25.0484008789063</v>
      </c>
      <c r="LI38" s="31">
        <v>25.1914005279541</v>
      </c>
      <c r="LJ38" s="31">
        <v>25.2273006439209</v>
      </c>
      <c r="LK38" s="31">
        <v>25.4402008056641</v>
      </c>
      <c r="LL38" s="31">
        <v>24.9270992279053</v>
      </c>
      <c r="LM38" s="31">
        <v>24.6965007781982</v>
      </c>
      <c r="LN38" s="31">
        <v>25.0438003540039</v>
      </c>
      <c r="LO38" s="31">
        <v>25.1833992004395</v>
      </c>
      <c r="LP38" s="31">
        <v>25.8502998352051</v>
      </c>
      <c r="LQ38" s="31">
        <v>25.2045993804932</v>
      </c>
      <c r="LR38" s="31">
        <v>25.7101993560791</v>
      </c>
      <c r="LS38" s="31">
        <v>25.3598003387451</v>
      </c>
      <c r="LT38" s="31">
        <v>25.127799987793</v>
      </c>
      <c r="LU38" s="31">
        <v>24.2756004333496</v>
      </c>
      <c r="LV38" s="31">
        <v>23.1284008026123</v>
      </c>
      <c r="LW38" s="31">
        <v>22.4167995452881</v>
      </c>
      <c r="LX38" s="31">
        <v>21.50830078125</v>
      </c>
      <c r="LY38" s="31">
        <v>21.5634994506836</v>
      </c>
      <c r="LZ38" s="31">
        <v>21.4288005828857</v>
      </c>
      <c r="MA38" s="31">
        <v>21.5081005096436</v>
      </c>
      <c r="MB38" s="31">
        <v>21.3047008514404</v>
      </c>
      <c r="MC38" s="31">
        <v>20.8066997528076</v>
      </c>
      <c r="MD38" s="31">
        <v>20.6667995452881</v>
      </c>
      <c r="ME38" s="31">
        <v>20.6580009460449</v>
      </c>
      <c r="MF38" s="31">
        <v>21.2952003479004</v>
      </c>
      <c r="MG38" s="31">
        <v>21.0028991699219</v>
      </c>
      <c r="MH38" s="31">
        <v>20.5912990570068</v>
      </c>
      <c r="MI38" s="31">
        <v>20.7677001953125</v>
      </c>
      <c r="MJ38" s="31">
        <v>20.8880996704102</v>
      </c>
      <c r="MK38" s="31">
        <v>20.8463001251221</v>
      </c>
      <c r="ML38" s="31">
        <v>20.7040996551514</v>
      </c>
      <c r="MM38" s="31">
        <v>21.1233005523682</v>
      </c>
      <c r="MN38" s="31">
        <v>21.3314990997314</v>
      </c>
      <c r="MO38" s="31">
        <v>21.070499420166</v>
      </c>
      <c r="MP38" s="31">
        <v>20.892599105835</v>
      </c>
      <c r="MQ38" s="31">
        <v>21.2143993377686</v>
      </c>
      <c r="MR38" s="31">
        <v>20.74169921875</v>
      </c>
      <c r="MS38" s="31">
        <v>20.4517002105713</v>
      </c>
      <c r="MT38" s="31">
        <v>20.3213005065918</v>
      </c>
      <c r="MU38" s="31">
        <v>20.5986003875732</v>
      </c>
      <c r="MV38" s="31">
        <v>20.5977001190186</v>
      </c>
      <c r="MW38" s="31">
        <v>20.6972007751465</v>
      </c>
      <c r="MX38" s="31">
        <v>20.6676998138428</v>
      </c>
      <c r="MY38" s="31">
        <v>20.8546009063721</v>
      </c>
      <c r="MZ38" s="31">
        <v>20.8546009063721</v>
      </c>
      <c r="NA38" s="31">
        <v>20.8546009063721</v>
      </c>
      <c r="NB38" s="31">
        <v>20.8370990753174</v>
      </c>
      <c r="NC38" s="31">
        <v>20.7119007110596</v>
      </c>
      <c r="ND38" s="31">
        <v>20.6453990936279</v>
      </c>
      <c r="NE38" s="31">
        <v>20.3512001037598</v>
      </c>
      <c r="NF38" s="31">
        <v>20.5247001647949</v>
      </c>
      <c r="NG38" s="31">
        <v>20.4125995635986</v>
      </c>
      <c r="NH38" s="31">
        <v>19.7936992645264</v>
      </c>
      <c r="NI38" s="31">
        <v>19.5389995574951</v>
      </c>
      <c r="NJ38" s="31">
        <v>19.6352005004883</v>
      </c>
      <c r="NK38" s="31">
        <v>19.367000579834</v>
      </c>
      <c r="NL38" s="31">
        <v>19.1271991729736</v>
      </c>
      <c r="NM38" s="31">
        <v>19.6238994598389</v>
      </c>
      <c r="NN38" s="31">
        <v>19.738000869751</v>
      </c>
      <c r="NO38" s="31">
        <v>19.9386005401611</v>
      </c>
      <c r="NP38" s="31">
        <v>20.0335006713867</v>
      </c>
      <c r="NQ38" s="31">
        <v>20.5998001098633</v>
      </c>
      <c r="NR38" s="31">
        <v>20.8062992095947</v>
      </c>
      <c r="NS38" s="31">
        <v>20.3521003723145</v>
      </c>
      <c r="NT38" s="31">
        <v>20.203800201416</v>
      </c>
      <c r="NU38" s="31">
        <v>20.7199001312256</v>
      </c>
      <c r="NV38" s="31">
        <v>20.9451007843018</v>
      </c>
      <c r="NW38" s="31">
        <v>21.963399887085</v>
      </c>
      <c r="NX38" s="31">
        <v>22.293399810791</v>
      </c>
      <c r="NY38" s="31">
        <v>22.6891002655029</v>
      </c>
      <c r="NZ38" s="31">
        <v>23.3498001098633</v>
      </c>
      <c r="OA38" s="31">
        <v>22.8929004669189</v>
      </c>
      <c r="OB38" s="31">
        <v>23.6366004943848</v>
      </c>
      <c r="OC38" s="31">
        <v>23.5820007324219</v>
      </c>
      <c r="OD38" s="31">
        <v>25.028299331665</v>
      </c>
      <c r="OE38" s="31">
        <v>25.1390991210938</v>
      </c>
      <c r="OF38" s="31">
        <v>25.6760005950928</v>
      </c>
      <c r="OG38" s="31">
        <v>25.5161991119385</v>
      </c>
      <c r="OH38" s="31">
        <v>23.1037006378174</v>
      </c>
      <c r="OI38" s="31">
        <v>24.6611995697021</v>
      </c>
      <c r="OJ38" s="31">
        <v>24.2311000823975</v>
      </c>
      <c r="OK38" s="31">
        <v>23.6250991821289</v>
      </c>
      <c r="OL38" s="31">
        <v>24.6912994384766</v>
      </c>
      <c r="OM38" s="31">
        <v>24.3908996582031</v>
      </c>
      <c r="ON38" s="31">
        <v>23.2889003753662</v>
      </c>
      <c r="OO38" s="31">
        <v>23.3281002044678</v>
      </c>
      <c r="OP38" s="31">
        <v>23.4023990631104</v>
      </c>
      <c r="OQ38" s="31">
        <v>24.1989994049072</v>
      </c>
      <c r="OR38" s="31">
        <v>25.3029003143311</v>
      </c>
      <c r="OS38" s="31">
        <v>25.076000213623</v>
      </c>
      <c r="OT38" s="31">
        <v>25.2082996368408</v>
      </c>
      <c r="OU38" s="31">
        <v>25.3281002044678</v>
      </c>
      <c r="OV38" s="31">
        <v>24.9617004394531</v>
      </c>
      <c r="OW38" s="31">
        <v>24.6336002349854</v>
      </c>
      <c r="OX38" s="31">
        <v>25.4277992248535</v>
      </c>
      <c r="OY38" s="31">
        <v>25.5067005157471</v>
      </c>
      <c r="OZ38" s="31">
        <v>26.4034004211426</v>
      </c>
      <c r="PA38" s="31">
        <v>25.3267993927002</v>
      </c>
      <c r="PB38" s="31">
        <v>24.4288005828857</v>
      </c>
      <c r="PC38" s="31">
        <v>23.2255992889404</v>
      </c>
      <c r="PD38" s="31">
        <v>23.5039005279541</v>
      </c>
      <c r="PE38" s="31">
        <v>22.743200302124</v>
      </c>
      <c r="PF38" s="31">
        <v>22.8936004638672</v>
      </c>
      <c r="PG38" s="31">
        <v>22.9747009277344</v>
      </c>
      <c r="PH38" s="31">
        <v>22.8293991088867</v>
      </c>
      <c r="PI38" s="31">
        <v>22.3987998962402</v>
      </c>
      <c r="PJ38" s="31">
        <v>22.5058994293213</v>
      </c>
      <c r="PK38" s="31">
        <v>22.4838008880615</v>
      </c>
      <c r="PL38" s="31">
        <v>22.0324993133545</v>
      </c>
      <c r="PM38" s="31">
        <v>18.5748996734619</v>
      </c>
      <c r="PN38" s="31">
        <v>19.1261005401611</v>
      </c>
      <c r="PO38" s="31">
        <v>19.4902992248535</v>
      </c>
      <c r="PP38" s="31">
        <v>19.8181991577148</v>
      </c>
      <c r="PQ38" s="31">
        <v>19.9209003448486</v>
      </c>
      <c r="PR38" s="31">
        <v>20.3598003387451</v>
      </c>
      <c r="PS38" s="31">
        <v>20.3917999267578</v>
      </c>
      <c r="PT38" s="31">
        <v>19.7409000396729</v>
      </c>
      <c r="PU38" s="31">
        <v>20.1611995697021</v>
      </c>
      <c r="PV38" s="31">
        <v>20.1611995697021</v>
      </c>
      <c r="PW38" s="31">
        <v>20.1611995697021</v>
      </c>
      <c r="PX38" s="31">
        <v>20.2672004699707</v>
      </c>
      <c r="PY38" s="31">
        <v>20.9608001708984</v>
      </c>
      <c r="PZ38" s="31">
        <v>20.7329006195068</v>
      </c>
      <c r="QA38" s="31">
        <v>20.8983001708984</v>
      </c>
      <c r="QB38" s="31">
        <v>20.9043006896973</v>
      </c>
      <c r="QC38" s="31">
        <v>20.7819995880127</v>
      </c>
      <c r="QD38" s="31">
        <v>21.065299987793</v>
      </c>
      <c r="QE38" s="31">
        <v>21.818000793457</v>
      </c>
      <c r="QF38" s="31">
        <v>21.569299697876</v>
      </c>
      <c r="QG38" s="31">
        <v>21.7341995239258</v>
      </c>
      <c r="QH38" s="31">
        <v>21.6895008087158</v>
      </c>
      <c r="QI38" s="31">
        <v>22.6494007110596</v>
      </c>
      <c r="QJ38" s="31">
        <v>21.7268009185791</v>
      </c>
      <c r="QK38" s="31">
        <v>22.0501003265381</v>
      </c>
      <c r="QL38" s="31">
        <v>21.4207992553711</v>
      </c>
      <c r="QM38" s="31">
        <v>21.1590003967285</v>
      </c>
      <c r="QN38" s="31">
        <v>21.1721992492676</v>
      </c>
      <c r="QO38" s="31">
        <v>21.4375991821289</v>
      </c>
      <c r="QP38" s="31">
        <v>21.4456996917725</v>
      </c>
      <c r="QQ38" s="31">
        <v>21.1455001831055</v>
      </c>
      <c r="QR38" s="31">
        <v>21.1558990478516</v>
      </c>
      <c r="QS38" s="31">
        <v>20.6229000091553</v>
      </c>
      <c r="QT38" s="31">
        <v>20.5263996124268</v>
      </c>
      <c r="QU38" s="31">
        <v>20.4043006896973</v>
      </c>
      <c r="QV38" s="31">
        <v>20.763500213623</v>
      </c>
      <c r="QW38" s="31">
        <v>20.2215995788574</v>
      </c>
      <c r="QX38" s="31">
        <v>20.4270992279053</v>
      </c>
      <c r="QY38" s="31">
        <v>20.5816993713379</v>
      </c>
      <c r="QZ38" s="31">
        <v>20.8740997314453</v>
      </c>
      <c r="RA38" s="31">
        <v>20.7157001495361</v>
      </c>
      <c r="RB38" s="31">
        <v>21.3521995544434</v>
      </c>
      <c r="RC38" s="31">
        <v>20.5373001098633</v>
      </c>
      <c r="RD38" s="31">
        <v>20.6984004974365</v>
      </c>
      <c r="RE38" s="31">
        <v>20.2721004486084</v>
      </c>
      <c r="RF38" s="31">
        <v>20.0212001800537</v>
      </c>
      <c r="RG38" s="31">
        <v>20.1783008575439</v>
      </c>
      <c r="RH38" s="31">
        <v>20.2497005462646</v>
      </c>
      <c r="RI38" s="31">
        <v>19.9638996124268</v>
      </c>
      <c r="RJ38" s="31">
        <v>19.5543003082275</v>
      </c>
      <c r="RK38" s="31">
        <v>19.779899597168</v>
      </c>
      <c r="RL38" s="31">
        <v>19.8488998413086</v>
      </c>
      <c r="RM38" s="31">
        <v>20.1982002258301</v>
      </c>
      <c r="RN38" s="31">
        <v>20.4120998382568</v>
      </c>
      <c r="RO38" s="31">
        <v>20.2970008850098</v>
      </c>
      <c r="RP38" s="31">
        <v>20.3173999786377</v>
      </c>
      <c r="RQ38" s="31">
        <v>20.100700378418</v>
      </c>
      <c r="RR38" s="31">
        <v>20.1007995605469</v>
      </c>
      <c r="RS38" s="31">
        <v>20.0440006256104</v>
      </c>
      <c r="RT38" s="31">
        <v>19.8558006286621</v>
      </c>
      <c r="RU38" s="31">
        <v>19.765100479126</v>
      </c>
      <c r="RV38" s="31">
        <v>19.8339996337891</v>
      </c>
      <c r="RW38" s="31">
        <v>20.0988998413086</v>
      </c>
      <c r="RX38" s="31">
        <v>19.7406997680664</v>
      </c>
      <c r="RY38" s="31">
        <v>19.6907997131348</v>
      </c>
      <c r="RZ38" s="31">
        <v>19.8080997467041</v>
      </c>
      <c r="SA38" s="31">
        <v>19.9288997650146</v>
      </c>
      <c r="SB38" s="31">
        <v>20.5949001312256</v>
      </c>
      <c r="SC38" s="31">
        <v>20.550199508667</v>
      </c>
      <c r="SD38" s="31">
        <v>20.5573997497559</v>
      </c>
      <c r="SE38" s="31">
        <v>20.8386001586914</v>
      </c>
      <c r="SF38" s="31">
        <v>21.0247993469238</v>
      </c>
      <c r="SG38" s="31">
        <v>21.1350994110107</v>
      </c>
      <c r="SH38" s="31">
        <v>21.7707004547119</v>
      </c>
      <c r="SI38" s="31">
        <v>21.7866992950439</v>
      </c>
      <c r="SJ38" s="31">
        <v>21.5069999694824</v>
      </c>
      <c r="SK38" s="31">
        <v>21.5848007202148</v>
      </c>
      <c r="SL38" s="31">
        <v>22.1632995605469</v>
      </c>
      <c r="SM38" s="31">
        <v>21.7094993591309</v>
      </c>
      <c r="SN38" s="31">
        <v>21.4610996246338</v>
      </c>
      <c r="SO38" s="31">
        <v>21.2332000732422</v>
      </c>
      <c r="SP38" s="31">
        <v>21.5498008728027</v>
      </c>
      <c r="SQ38" s="31">
        <v>21.702600479126</v>
      </c>
      <c r="SR38" s="31">
        <v>21.8320999145508</v>
      </c>
      <c r="SS38" s="31">
        <v>21.8714008331299</v>
      </c>
      <c r="ST38" s="31">
        <v>21.576099395752</v>
      </c>
      <c r="SU38" s="31">
        <v>21.6089992523193</v>
      </c>
      <c r="SV38" s="31">
        <v>21.5468006134033</v>
      </c>
      <c r="SW38" s="31">
        <v>22.1149997711182</v>
      </c>
      <c r="SX38" s="31">
        <v>22.0748996734619</v>
      </c>
      <c r="SY38" s="31">
        <v>21.940299987793</v>
      </c>
      <c r="SZ38" s="31">
        <v>21.9734992980957</v>
      </c>
      <c r="TA38" s="31">
        <v>21.6879997253418</v>
      </c>
      <c r="TB38" s="31">
        <v>21.5543994903564</v>
      </c>
      <c r="TC38" s="31">
        <v>21.3673000335693</v>
      </c>
      <c r="TD38" s="31">
        <v>21.7700996398926</v>
      </c>
      <c r="TE38" s="31">
        <v>22.4346008300781</v>
      </c>
      <c r="TF38" s="31">
        <v>22.2437992095947</v>
      </c>
      <c r="TG38" s="31">
        <v>22.2915000915527</v>
      </c>
      <c r="TH38" s="31">
        <v>21.8864994049072</v>
      </c>
      <c r="TI38" s="31">
        <v>21.3388996124268</v>
      </c>
      <c r="TJ38" s="31">
        <v>22.0531005859375</v>
      </c>
      <c r="TK38" s="31">
        <v>21.9412994384766</v>
      </c>
      <c r="TL38" s="31">
        <v>21.7605991363525</v>
      </c>
      <c r="TM38" s="31">
        <v>21.3920001983643</v>
      </c>
      <c r="TN38" s="31">
        <v>21.7968006134033</v>
      </c>
      <c r="TO38" s="31">
        <v>22.1865997314453</v>
      </c>
      <c r="TP38" s="31">
        <v>22.5358009338379</v>
      </c>
      <c r="TQ38" s="31">
        <v>22.7273998260498</v>
      </c>
      <c r="TR38" s="31">
        <v>22.6674995422363</v>
      </c>
      <c r="TS38" s="31">
        <v>23.1210994720459</v>
      </c>
      <c r="TT38" s="31">
        <v>23.3160991668701</v>
      </c>
      <c r="TU38" s="31">
        <v>23.3747005462646</v>
      </c>
      <c r="TV38" s="31">
        <v>24.2406005859375</v>
      </c>
      <c r="TW38" s="31">
        <v>23.8034000396729</v>
      </c>
      <c r="TX38" s="31">
        <v>23.8644008636475</v>
      </c>
      <c r="TY38" s="31">
        <v>23.7287998199463</v>
      </c>
      <c r="TZ38" s="31">
        <v>23.4724998474121</v>
      </c>
      <c r="UA38" s="31">
        <v>24.1772994995117</v>
      </c>
      <c r="UB38" s="31">
        <v>24.2866992950439</v>
      </c>
      <c r="UC38" s="31">
        <v>23.6893997192383</v>
      </c>
      <c r="UD38" s="31">
        <v>24.2231006622314</v>
      </c>
      <c r="UE38" s="31">
        <v>24.5627002716064</v>
      </c>
      <c r="UF38" s="31">
        <v>24.6469993591309</v>
      </c>
      <c r="UG38" s="31">
        <v>23.8330001831055</v>
      </c>
      <c r="UH38" s="31">
        <v>23.3570003509521</v>
      </c>
      <c r="UI38" s="31">
        <v>22.6382007598877</v>
      </c>
      <c r="UJ38" s="31">
        <v>23.1371994018555</v>
      </c>
      <c r="UK38" s="31">
        <v>22.882999420166</v>
      </c>
      <c r="UL38" s="31">
        <v>22.1312999725342</v>
      </c>
      <c r="UM38" s="31">
        <v>22.8477993011475</v>
      </c>
      <c r="UN38" s="31">
        <v>23.0464992523193</v>
      </c>
      <c r="UO38" s="31">
        <v>22.75830078125</v>
      </c>
      <c r="UP38" s="31">
        <v>22.9878997802734</v>
      </c>
      <c r="UQ38" s="31">
        <v>23.2833003997803</v>
      </c>
      <c r="UR38" s="31">
        <v>23.7898998260498</v>
      </c>
      <c r="US38" s="31">
        <v>23.4421997070313</v>
      </c>
      <c r="UT38" s="31">
        <v>23.4090003967285</v>
      </c>
      <c r="UU38" s="31">
        <v>23.5009994506836</v>
      </c>
      <c r="UV38" s="31">
        <v>22.8540992736816</v>
      </c>
      <c r="UW38" s="31">
        <v>22.8467998504639</v>
      </c>
      <c r="UX38" s="31">
        <v>22.5941009521484</v>
      </c>
      <c r="UY38" s="31">
        <v>22.5090999603271</v>
      </c>
      <c r="UZ38" s="31">
        <v>23.119499206543</v>
      </c>
      <c r="VA38" s="31">
        <v>22.6949005126953</v>
      </c>
      <c r="VB38" s="31">
        <v>23.0918006896973</v>
      </c>
      <c r="VC38" s="31">
        <v>23.0235996246338</v>
      </c>
      <c r="VD38" s="31">
        <v>23.0797004699707</v>
      </c>
      <c r="VE38" s="31">
        <v>23.0914001464844</v>
      </c>
      <c r="VF38" s="31">
        <v>22.4705009460449</v>
      </c>
      <c r="VG38" s="31">
        <v>22.2639999389648</v>
      </c>
      <c r="VH38" s="31">
        <v>21.8418998718262</v>
      </c>
      <c r="VI38" s="31">
        <v>21.7418994903564</v>
      </c>
      <c r="VJ38" s="31">
        <v>21.5737991333008</v>
      </c>
      <c r="VK38" s="31">
        <v>20.9710998535156</v>
      </c>
      <c r="VL38" s="31">
        <v>21.559700012207</v>
      </c>
      <c r="VM38" s="31">
        <v>22.4680004119873</v>
      </c>
      <c r="VN38" s="31">
        <v>22.4710006713867</v>
      </c>
      <c r="VO38" s="31">
        <v>22.2677993774414</v>
      </c>
      <c r="VP38" s="31">
        <v>23.3791999816895</v>
      </c>
      <c r="VQ38" s="31">
        <v>23.6306991577148</v>
      </c>
      <c r="VR38" s="31">
        <v>23.6410999298096</v>
      </c>
      <c r="VS38" s="31">
        <v>23.323299407959</v>
      </c>
      <c r="VT38" s="31">
        <v>23.5459995269775</v>
      </c>
      <c r="VU38" s="31">
        <v>23.6453990936279</v>
      </c>
      <c r="VV38" s="31">
        <v>23.62619972229</v>
      </c>
      <c r="VW38" s="31">
        <v>23.2870998382568</v>
      </c>
      <c r="VX38" s="31">
        <v>23.3987998962402</v>
      </c>
      <c r="VY38" s="31">
        <v>23.230899810791</v>
      </c>
      <c r="VZ38" s="31">
        <v>23.7152996063232</v>
      </c>
      <c r="WA38" s="31">
        <v>23.1329002380371</v>
      </c>
      <c r="WB38" s="31">
        <v>22.7418994903564</v>
      </c>
      <c r="WC38" s="31">
        <v>23.0023994445801</v>
      </c>
      <c r="WD38" s="31">
        <v>22.8577995300293</v>
      </c>
      <c r="WE38" s="31">
        <v>23.1033992767334</v>
      </c>
      <c r="WF38" s="31">
        <v>23.1965999603271</v>
      </c>
      <c r="WG38" s="31">
        <v>22.9801998138428</v>
      </c>
      <c r="WH38" s="31">
        <v>22.976900100708</v>
      </c>
      <c r="WI38" s="31">
        <v>22.976900100708</v>
      </c>
      <c r="WJ38" s="31">
        <v>22.976900100708</v>
      </c>
      <c r="WK38" s="31">
        <v>22.7952003479004</v>
      </c>
      <c r="WL38" s="31">
        <v>23.0813007354736</v>
      </c>
      <c r="WM38" s="31">
        <v>22.8721008300781</v>
      </c>
      <c r="WN38" s="31">
        <v>23.8486003875732</v>
      </c>
      <c r="WO38" s="31">
        <v>24.0751991271973</v>
      </c>
      <c r="WP38" s="31">
        <v>23.6802005767822</v>
      </c>
      <c r="WQ38" s="31">
        <v>23.3754005432129</v>
      </c>
      <c r="WR38" s="31">
        <v>23.430700302124</v>
      </c>
      <c r="WS38" s="31">
        <v>24.0659999847412</v>
      </c>
      <c r="WT38" s="31">
        <v>24.2327003479004</v>
      </c>
      <c r="WU38" s="31">
        <v>24.5590000152588</v>
      </c>
      <c r="WV38" s="31">
        <v>24.1522006988525</v>
      </c>
      <c r="WW38" s="31">
        <v>24.1128997802734</v>
      </c>
      <c r="WX38" s="31">
        <v>23.7707996368408</v>
      </c>
      <c r="WY38" s="31">
        <v>23.5184001922607</v>
      </c>
      <c r="WZ38" s="31">
        <v>23.7268009185791</v>
      </c>
      <c r="XA38" s="31">
        <v>23.7192001342773</v>
      </c>
      <c r="XB38" s="31">
        <v>23.8409996032715</v>
      </c>
      <c r="XC38" s="31">
        <v>23.6935005187988</v>
      </c>
      <c r="XD38" s="31">
        <v>23.9328002929688</v>
      </c>
      <c r="XE38" s="31">
        <v>24.4817008972168</v>
      </c>
      <c r="XF38" s="31">
        <v>24.3848991394043</v>
      </c>
      <c r="XG38" s="31">
        <v>23.841100692749</v>
      </c>
      <c r="XH38" s="31">
        <v>23.2201995849609</v>
      </c>
      <c r="XI38" s="31">
        <v>22.8719005584717</v>
      </c>
      <c r="XJ38" s="31">
        <v>22.363899230957</v>
      </c>
      <c r="XK38" s="31">
        <v>22.4719009399414</v>
      </c>
      <c r="XL38" s="31">
        <v>22.1268005371094</v>
      </c>
      <c r="XM38" s="31">
        <v>22.4890003204346</v>
      </c>
      <c r="XN38" s="31">
        <v>22.5076999664307</v>
      </c>
      <c r="XO38" s="31">
        <v>22.6774005889893</v>
      </c>
      <c r="XP38" s="31">
        <v>22.3306007385254</v>
      </c>
      <c r="XQ38" s="31">
        <v>22.0953998565674</v>
      </c>
      <c r="XR38" s="31">
        <v>21.6205005645752</v>
      </c>
      <c r="XS38" s="31">
        <v>21.6408996582031</v>
      </c>
      <c r="XT38" s="31">
        <v>21.0925998687744</v>
      </c>
      <c r="XU38" s="31">
        <v>21.203800201416</v>
      </c>
      <c r="XV38" s="31">
        <v>20.6912994384766</v>
      </c>
      <c r="XW38" s="31">
        <v>20.3462009429932</v>
      </c>
      <c r="XX38" s="31">
        <v>20.0856990814209</v>
      </c>
      <c r="XY38" s="31">
        <v>20.2399997711182</v>
      </c>
      <c r="XZ38" s="31">
        <v>20.8882999420166</v>
      </c>
      <c r="YA38" s="31">
        <v>20.7863998413086</v>
      </c>
      <c r="YB38" s="31">
        <v>21.3460998535156</v>
      </c>
      <c r="YC38" s="31">
        <v>21.3199996948242</v>
      </c>
      <c r="YD38" s="31">
        <v>21.2812004089355</v>
      </c>
      <c r="YE38" s="31">
        <v>21.210599899292</v>
      </c>
      <c r="YF38" s="31">
        <v>21.694299697876</v>
      </c>
      <c r="YG38" s="31">
        <v>21.5788993835449</v>
      </c>
      <c r="YH38" s="31">
        <v>21.2863998413086</v>
      </c>
      <c r="YI38" s="31">
        <v>22.0323009490967</v>
      </c>
      <c r="YJ38" s="31">
        <v>21.4193000793457</v>
      </c>
      <c r="YK38" s="31">
        <v>20.8071002960205</v>
      </c>
      <c r="YL38" s="31">
        <v>21.4120998382568</v>
      </c>
      <c r="YM38" s="31">
        <v>21.5639991760254</v>
      </c>
      <c r="YN38" s="31">
        <v>21.7506008148193</v>
      </c>
      <c r="YO38" s="31">
        <v>22.0256004333496</v>
      </c>
      <c r="YP38" s="31">
        <v>21.5373001098633</v>
      </c>
      <c r="YQ38" s="31">
        <v>21.493200302124</v>
      </c>
      <c r="YR38" s="31">
        <v>21.9811992645264</v>
      </c>
      <c r="YS38" s="31">
        <v>21.596700668335</v>
      </c>
      <c r="YT38" s="31">
        <v>21.596700668335</v>
      </c>
      <c r="YU38" s="31">
        <v>21.6033000946045</v>
      </c>
      <c r="YV38" s="31">
        <v>22.6280002593994</v>
      </c>
      <c r="YW38" s="31">
        <v>22.2877006530762</v>
      </c>
      <c r="YX38" s="31">
        <v>22.3899993896484</v>
      </c>
      <c r="YY38" s="31">
        <v>22.0743999481201</v>
      </c>
      <c r="YZ38" s="31">
        <v>22.2247009277344</v>
      </c>
      <c r="ZA38" s="31">
        <v>22.5459995269775</v>
      </c>
      <c r="ZB38" s="31">
        <v>23.3593006134033</v>
      </c>
      <c r="ZC38" s="31">
        <v>23.1832008361816</v>
      </c>
      <c r="ZD38" s="31">
        <v>23.4057006835938</v>
      </c>
      <c r="ZE38" s="31">
        <v>23.3584995269775</v>
      </c>
      <c r="ZF38" s="31">
        <v>22.7936000823975</v>
      </c>
      <c r="ZG38" s="31">
        <v>22.4032001495361</v>
      </c>
      <c r="ZH38" s="31">
        <v>22.4785995483398</v>
      </c>
      <c r="ZI38" s="31">
        <v>22.3750991821289</v>
      </c>
      <c r="ZJ38" s="31">
        <v>22.1299991607666</v>
      </c>
      <c r="ZK38" s="31">
        <v>22.4843006134033</v>
      </c>
      <c r="ZL38" s="31">
        <v>22.084400177002</v>
      </c>
      <c r="ZM38" s="31">
        <v>22.4234008789063</v>
      </c>
      <c r="ZN38" s="31">
        <v>23.1000003814697</v>
      </c>
      <c r="ZO38" s="31">
        <v>22.9218006134033</v>
      </c>
      <c r="ZP38" s="31">
        <v>22.7299003601074</v>
      </c>
      <c r="ZQ38" s="31">
        <v>22.8465995788574</v>
      </c>
      <c r="ZR38" s="31">
        <v>21.7150001525879</v>
      </c>
      <c r="ZS38" s="31">
        <v>21.7872009277344</v>
      </c>
      <c r="ZT38" s="31">
        <v>21.3117008209229</v>
      </c>
      <c r="ZU38" s="31">
        <v>21.1478996276855</v>
      </c>
      <c r="ZV38" s="31">
        <v>21.3229007720947</v>
      </c>
      <c r="ZW38" s="31">
        <v>21.2506999969482</v>
      </c>
      <c r="ZX38" s="31">
        <v>20.3798007965088</v>
      </c>
      <c r="ZY38" s="31">
        <v>20.5335006713867</v>
      </c>
      <c r="ZZ38" s="31">
        <v>20.5335006713867</v>
      </c>
      <c r="AAA38" s="31">
        <v>20.8507995605469</v>
      </c>
      <c r="AAB38" s="31">
        <v>20.6117992401123</v>
      </c>
      <c r="AAC38" s="31">
        <v>20.5331993103027</v>
      </c>
      <c r="AAD38" s="31">
        <v>20.5384998321533</v>
      </c>
      <c r="AAE38" s="31">
        <v>21.5548000335693</v>
      </c>
      <c r="AAF38" s="31">
        <v>22.9001998901367</v>
      </c>
      <c r="AAG38" s="31">
        <v>22.281099319458</v>
      </c>
      <c r="AAH38" s="31">
        <v>21.895299911499</v>
      </c>
      <c r="AAI38" s="31">
        <v>21.5697002410889</v>
      </c>
      <c r="AAJ38" s="31">
        <v>22.9284992218018</v>
      </c>
      <c r="AAK38" s="31">
        <v>22.8894996643066</v>
      </c>
      <c r="AAL38" s="31">
        <v>22.7826995849609</v>
      </c>
      <c r="AAM38" s="31">
        <v>22.3698997497559</v>
      </c>
      <c r="AAN38" s="31">
        <v>22.6606998443604</v>
      </c>
      <c r="AAO38" s="31">
        <v>22.9867000579834</v>
      </c>
      <c r="AAP38" s="31">
        <v>22.5013008117676</v>
      </c>
      <c r="AAQ38" s="31">
        <v>22.6065998077393</v>
      </c>
      <c r="AAR38" s="31">
        <v>22.5983009338379</v>
      </c>
      <c r="AAS38" s="31">
        <v>22.5582008361816</v>
      </c>
      <c r="AAT38" s="31">
        <v>21.7082996368408</v>
      </c>
      <c r="AAU38" s="31">
        <v>22.0923004150391</v>
      </c>
      <c r="AAV38" s="31">
        <v>21.8554992675781</v>
      </c>
      <c r="AAW38" s="31">
        <v>21.0006999969482</v>
      </c>
      <c r="AAX38" s="31">
        <v>21.5338001251221</v>
      </c>
      <c r="AAY38" s="31">
        <v>21.899299621582</v>
      </c>
      <c r="AAZ38" s="31">
        <v>21.899299621582</v>
      </c>
      <c r="ABA38" s="31">
        <v>21.6781005859375</v>
      </c>
      <c r="ABB38" s="31">
        <v>21.8528995513916</v>
      </c>
      <c r="ABC38" s="31">
        <v>21.8528995513916</v>
      </c>
      <c r="ABD38" s="31"/>
      <c r="ABE38" s="31"/>
      <c r="ABF38" s="32"/>
      <c r="ABG38" s="32"/>
      <c r="ABH38" s="32"/>
      <c r="ABI38" s="32"/>
      <c r="ABJ38" s="32"/>
      <c r="ABK38" s="32"/>
      <c r="ABL38" s="32"/>
      <c r="ABM38" s="32"/>
      <c r="ABN38" s="32"/>
      <c r="ABO38" s="32"/>
      <c r="ABP38" s="32"/>
      <c r="ABQ38" s="32"/>
      <c r="ABR38" s="32"/>
      <c r="ABS38" s="32"/>
      <c r="ABT38" s="32"/>
      <c r="ABU38" s="32"/>
      <c r="ABV38" s="32"/>
      <c r="ABW38" s="32"/>
      <c r="ABX38" s="32"/>
      <c r="ABY38" s="32"/>
      <c r="ABZ38" s="32"/>
      <c r="ACA38" s="32"/>
      <c r="ACB38" s="32"/>
      <c r="ACC38" s="32"/>
      <c r="ACD38" s="32"/>
      <c r="ACE38" s="32"/>
      <c r="ACF38" s="32"/>
      <c r="ACG38" s="32"/>
      <c r="ACH38" s="32"/>
      <c r="ACI38" s="32"/>
      <c r="ACJ38" s="32"/>
      <c r="ACK38" s="32"/>
    </row>
  </sheetData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E406"/>
  <sheetViews>
    <sheetView topLeftCell="V13" workbookViewId="0">
      <selection activeCell="AD20" sqref="AD20"/>
    </sheetView>
  </sheetViews>
  <sheetFormatPr defaultColWidth="8.72972972972973" defaultRowHeight="14.1"/>
  <cols>
    <col min="1" max="1" width="11.7027027027027" style="4" customWidth="1"/>
    <col min="2" max="2" width="29.2702702702703" style="4" customWidth="1"/>
    <col min="3" max="3" width="11.6576576576577" style="4" customWidth="1"/>
    <col min="5" max="5" width="11.7027027027027" style="4" customWidth="1"/>
    <col min="6" max="6" width="19.5495495495495" style="4" customWidth="1"/>
    <col min="8" max="8" width="11.7027027027027" style="4" customWidth="1"/>
    <col min="9" max="9" width="19.0720720720721" style="4" customWidth="1"/>
    <col min="11" max="11" width="11.7027027027027" style="4" customWidth="1"/>
    <col min="12" max="12" width="14.4414414414414" style="4" customWidth="1"/>
    <col min="13" max="13" width="9.54054054054054" style="4" customWidth="1"/>
    <col min="14" max="14" width="11.8198198198198" style="4" customWidth="1"/>
    <col min="15" max="15" width="11.7027027027027" style="4" customWidth="1"/>
    <col min="16" max="16" width="10.7297297297297" style="4" customWidth="1"/>
    <col min="18" max="18" width="11.7027027027027" style="4" customWidth="1"/>
    <col min="19" max="19" width="10.7297297297297" style="4" customWidth="1"/>
    <col min="24" max="24" width="11.7027027027027" style="4" customWidth="1"/>
    <col min="25" max="25" width="26.4864864864865" style="4" customWidth="1"/>
    <col min="26" max="26" width="12.8198198198198" style="4" customWidth="1"/>
    <col min="28" max="28" width="12.8198198198198" style="4" customWidth="1"/>
    <col min="29" max="29" width="11.8828828828829" style="4" customWidth="1"/>
    <col min="30" max="30" width="29.2702702702703" style="4" customWidth="1"/>
    <col min="31" max="31" width="24.0900900900901" style="4" customWidth="1"/>
  </cols>
  <sheetData>
    <row r="1" ht="16.5" customHeight="1" spans="1:31">
      <c r="A1" s="5" t="s">
        <v>441</v>
      </c>
      <c r="B1" s="6" t="s">
        <v>442</v>
      </c>
      <c r="E1" s="5" t="s">
        <v>441</v>
      </c>
      <c r="F1" s="6" t="s">
        <v>443</v>
      </c>
      <c r="H1" s="5" t="s">
        <v>441</v>
      </c>
      <c r="I1" s="6" t="s">
        <v>444</v>
      </c>
      <c r="K1" s="5" t="s">
        <v>441</v>
      </c>
      <c r="L1" s="6" t="s">
        <v>445</v>
      </c>
      <c r="M1" s="7"/>
      <c r="O1" s="5" t="s">
        <v>441</v>
      </c>
      <c r="P1" s="6" t="s">
        <v>444</v>
      </c>
      <c r="R1" s="5" t="s">
        <v>441</v>
      </c>
      <c r="S1" s="6" t="s">
        <v>445</v>
      </c>
      <c r="X1" s="5" t="s">
        <v>441</v>
      </c>
      <c r="Y1" s="6" t="s">
        <v>446</v>
      </c>
      <c r="AC1" s="5" t="s">
        <v>441</v>
      </c>
      <c r="AD1" s="6" t="s">
        <v>447</v>
      </c>
    </row>
    <row r="2" ht="13.5" customHeight="1" spans="1:31">
      <c r="A2" s="5" t="s">
        <v>399</v>
      </c>
      <c r="B2" s="8" t="s">
        <v>448</v>
      </c>
      <c r="E2" s="5" t="s">
        <v>449</v>
      </c>
      <c r="F2" s="9" t="s">
        <v>450</v>
      </c>
      <c r="H2" s="5" t="s">
        <v>399</v>
      </c>
      <c r="I2" s="8" t="s">
        <v>448</v>
      </c>
      <c r="K2" s="5" t="s">
        <v>399</v>
      </c>
      <c r="L2" s="8" t="s">
        <v>448</v>
      </c>
      <c r="M2" s="8"/>
      <c r="O2" s="5" t="s">
        <v>399</v>
      </c>
      <c r="P2" s="8" t="s">
        <v>448</v>
      </c>
      <c r="R2" s="5" t="s">
        <v>399</v>
      </c>
      <c r="S2" s="8" t="s">
        <v>448</v>
      </c>
      <c r="X2" s="5" t="s">
        <v>451</v>
      </c>
      <c r="Y2" s="9" t="s">
        <v>452</v>
      </c>
      <c r="AC2" s="5" t="s">
        <v>399</v>
      </c>
      <c r="AD2" s="8" t="s">
        <v>448</v>
      </c>
    </row>
    <row r="3" ht="13.5" customHeight="1" spans="1:31">
      <c r="A3" s="5" t="s">
        <v>400</v>
      </c>
      <c r="B3" s="8" t="s">
        <v>453</v>
      </c>
      <c r="E3" s="5" t="s">
        <v>399</v>
      </c>
      <c r="F3" s="8" t="s">
        <v>448</v>
      </c>
      <c r="H3" s="5" t="s">
        <v>454</v>
      </c>
      <c r="I3" s="8" t="s">
        <v>453</v>
      </c>
      <c r="K3" s="5" t="s">
        <v>454</v>
      </c>
      <c r="L3" s="8" t="s">
        <v>453</v>
      </c>
      <c r="M3" s="8"/>
      <c r="O3" s="5" t="s">
        <v>454</v>
      </c>
      <c r="P3" s="8" t="s">
        <v>453</v>
      </c>
      <c r="R3" s="5" t="s">
        <v>454</v>
      </c>
      <c r="S3" s="8" t="s">
        <v>453</v>
      </c>
      <c r="X3" s="5" t="s">
        <v>455</v>
      </c>
      <c r="Y3" s="8" t="s">
        <v>456</v>
      </c>
      <c r="AC3" s="5" t="s">
        <v>454</v>
      </c>
      <c r="AD3" s="10" t="str">
        <f ca="1">TEXT(TODAY(),"YYYYMMDD")</f>
        <v>20260706</v>
      </c>
    </row>
    <row r="4" ht="16.5" customHeight="1" spans="1:31">
      <c r="A4" s="5" t="s">
        <v>457</v>
      </c>
      <c r="B4" s="9" t="s">
        <v>458</v>
      </c>
      <c r="E4" s="5" t="s">
        <v>454</v>
      </c>
      <c r="F4" s="8" t="s">
        <v>453</v>
      </c>
      <c r="H4" s="5" t="s">
        <v>459</v>
      </c>
      <c r="I4" s="9" t="s">
        <v>460</v>
      </c>
      <c r="K4" s="5" t="s">
        <v>459</v>
      </c>
      <c r="L4" s="9" t="s">
        <v>460</v>
      </c>
      <c r="M4" s="8"/>
      <c r="O4" s="5" t="s">
        <v>459</v>
      </c>
      <c r="P4" s="9" t="s">
        <v>460</v>
      </c>
      <c r="R4" s="5" t="s">
        <v>459</v>
      </c>
      <c r="S4" s="9" t="s">
        <v>460</v>
      </c>
      <c r="X4" s="5" t="s">
        <v>461</v>
      </c>
      <c r="Y4" s="8" t="s">
        <v>462</v>
      </c>
      <c r="AC4" s="5" t="s">
        <v>463</v>
      </c>
      <c r="AD4" s="9" t="s">
        <v>464</v>
      </c>
    </row>
    <row r="5" ht="16.5" customHeight="1" spans="1:31">
      <c r="A5" s="5" t="s">
        <v>465</v>
      </c>
      <c r="B5" s="9" t="s">
        <v>458</v>
      </c>
      <c r="E5" s="5" t="s">
        <v>0</v>
      </c>
      <c r="F5" s="9" t="s">
        <v>460</v>
      </c>
      <c r="H5" s="5" t="s">
        <v>466</v>
      </c>
      <c r="I5" s="9" t="s">
        <v>467</v>
      </c>
      <c r="K5" s="5" t="s">
        <v>468</v>
      </c>
      <c r="L5" s="9" t="s">
        <v>467</v>
      </c>
      <c r="M5" s="8"/>
      <c r="O5" s="5" t="s">
        <v>466</v>
      </c>
      <c r="P5" s="9" t="s">
        <v>469</v>
      </c>
      <c r="R5" s="5" t="s">
        <v>468</v>
      </c>
      <c r="S5" s="9" t="s">
        <v>469</v>
      </c>
      <c r="X5" t="s">
        <v>403</v>
      </c>
      <c r="Y5" s="8" t="s">
        <v>470</v>
      </c>
      <c r="AC5" s="5" t="s">
        <v>471</v>
      </c>
      <c r="AD5" s="9" t="s">
        <v>472</v>
      </c>
      <c r="AE5" t="s">
        <v>473</v>
      </c>
    </row>
    <row r="6" ht="13.5" customHeight="1" spans="1:31">
      <c r="A6" s="5" t="s">
        <v>0</v>
      </c>
      <c r="B6" s="9" t="s">
        <v>460</v>
      </c>
      <c r="E6" s="5" t="s">
        <v>474</v>
      </c>
      <c r="F6" s="9" t="s">
        <v>475</v>
      </c>
      <c r="H6" t="s">
        <v>471</v>
      </c>
      <c r="I6" s="8" t="s">
        <v>476</v>
      </c>
      <c r="K6" t="s">
        <v>471</v>
      </c>
      <c r="L6" s="8" t="s">
        <v>477</v>
      </c>
      <c r="M6" s="8"/>
      <c r="O6" t="s">
        <v>471</v>
      </c>
      <c r="P6" s="8" t="s">
        <v>478</v>
      </c>
      <c r="R6" t="s">
        <v>471</v>
      </c>
      <c r="S6" s="8" t="s">
        <v>478</v>
      </c>
      <c r="X6" s="5" t="s">
        <v>402</v>
      </c>
      <c r="Y6" s="5" t="s">
        <v>479</v>
      </c>
      <c r="AC6" s="5" t="s">
        <v>480</v>
      </c>
      <c r="AD6" s="9" t="s">
        <v>481</v>
      </c>
      <c r="AE6" t="s">
        <v>482</v>
      </c>
    </row>
    <row r="7" ht="16.5" customHeight="1" spans="1:31">
      <c r="A7" t="s">
        <v>471</v>
      </c>
      <c r="B7" s="8" t="s">
        <v>483</v>
      </c>
      <c r="C7" t="s">
        <v>484</v>
      </c>
      <c r="E7" t="s">
        <v>485</v>
      </c>
      <c r="F7" s="8" t="s">
        <v>486</v>
      </c>
      <c r="H7" s="5" t="s">
        <v>402</v>
      </c>
      <c r="I7" s="5" t="s">
        <v>487</v>
      </c>
      <c r="K7" s="5" t="s">
        <v>402</v>
      </c>
      <c r="L7" s="5" t="s">
        <v>488</v>
      </c>
      <c r="O7" s="5" t="s">
        <v>402</v>
      </c>
      <c r="P7" s="5" t="s">
        <v>489</v>
      </c>
      <c r="R7" s="5" t="s">
        <v>402</v>
      </c>
      <c r="S7" s="5" t="s">
        <v>489</v>
      </c>
      <c r="X7" s="7" t="str" cm="1">
        <f t="array" ref="X7">[1]!wset("markettradingstatistics_wind","reportType="&amp;Y2,"startDate="&amp;Y3,"enddate="&amp;Y4,"field=Date,Amount(HKD1M)-Total","cols=2;rows=100")</f>
        <v>2026-07-03</v>
      </c>
      <c r="Y7" s="11">
        <v>215621.837891335</v>
      </c>
      <c r="AC7" s="10" cm="1">
        <f ca="1" t="array" ref="AC7">[1]!wset("etffundinflows","startdate="&amp;AD2,"enddate="&amp;AD3,"sectortype="&amp;AD4,"field=date,fundInflows,fundInflowsAccumulate","cols=3;rows=120")</f>
        <v>46027</v>
      </c>
      <c r="AD7" s="11">
        <v>-22764036736.5695</v>
      </c>
      <c r="AE7" s="11">
        <v>-21253661522.5695</v>
      </c>
    </row>
    <row r="8" ht="16.5" customHeight="1" spans="1:31">
      <c r="A8" s="5" t="s">
        <v>402</v>
      </c>
      <c r="B8" s="5" t="s">
        <v>490</v>
      </c>
      <c r="C8" s="5" t="s">
        <v>491</v>
      </c>
      <c r="E8" s="5" t="s">
        <v>492</v>
      </c>
      <c r="F8" s="5" t="s">
        <v>493</v>
      </c>
      <c r="H8" s="10" cm="1">
        <f t="array" ref="H8">[1]!wset("shhktransactionstatistics","startdate="&amp;I2,"enddate="&amp;I3,"cycle="&amp;I4,"currency="&amp;I5,"field=date,sh_total_amount","cols=2;rows=115")</f>
        <v>46206</v>
      </c>
      <c r="I8" s="11">
        <v>1717.6445</v>
      </c>
      <c r="K8" s="10" cm="1">
        <f t="array" ref="K8">[1]!wset("szhktransactionstatistics","startdate="&amp;L2,"enddate="&amp;L3,"cycle="&amp;L4,"currency="&amp;L5,"field=date,sz_total_amount","cols=2;rows=115")</f>
        <v>46206</v>
      </c>
      <c r="L8" s="11">
        <v>2197.508</v>
      </c>
      <c r="M8" s="11"/>
      <c r="N8" s="10"/>
      <c r="O8" s="10" cm="1">
        <f t="array" ref="O8">[1]!wset("shhktransactionstatistics","startdate="&amp;P2,"enddate="&amp;P3,"cycle="&amp;P4,"currency="&amp;P5,"field=date,hk_net_purchases","cols=2;rows=115")</f>
        <v>46206</v>
      </c>
      <c r="P8" s="11">
        <v>38.6611</v>
      </c>
      <c r="R8" s="10" cm="1">
        <f t="array" ref="R8">[1]!wset("szhktransactionstatistics","startdate="&amp;S2,"enddate="&amp;S3,"cycle="&amp;S4,"currency="&amp;S5,"field=date,hk_net_purchases","cols=2;rows=115")</f>
        <v>46206</v>
      </c>
      <c r="S8" s="11">
        <v>0.602900000000005</v>
      </c>
      <c r="X8" s="8" t="s">
        <v>494</v>
      </c>
      <c r="Y8" s="11">
        <v>258988.691469307</v>
      </c>
      <c r="AC8" s="12">
        <v>46028</v>
      </c>
      <c r="AD8" s="13">
        <v>-20653704819.3792</v>
      </c>
      <c r="AE8" s="13">
        <v>-41374337186.9487</v>
      </c>
    </row>
    <row r="9" ht="13.5" customHeight="1" spans="1:31">
      <c r="A9" s="7" t="str" cm="1">
        <f t="array" ref="A9">[1]!wset("stockmarkettradestat","startDate="&amp;B2,"endDate="&amp;B3,"sector="&amp;B4,"frequency="&amp;B6,"field=date,amount,PQTurn","cols=3;rows=119")</f>
        <v>2026-07-03</v>
      </c>
      <c r="B9" s="11">
        <v>32052.61678068</v>
      </c>
      <c r="C9" s="11">
        <v>3.84540364864079</v>
      </c>
      <c r="E9" s="10" cm="1">
        <f t="array" ref="E9">[1]!wset("marginandshortsizeanal(value)","exchange="&amp;F2,"startdate="&amp;F3,"enddate="&amp;F4,"frequency="&amp;F5,"sort="&amp;F6,"field=end_date,total_balance","cols=2;rows=119")</f>
        <v>46206</v>
      </c>
      <c r="F9" s="14">
        <v>3003336934139</v>
      </c>
      <c r="H9" s="10">
        <v>46205</v>
      </c>
      <c r="I9" s="11">
        <v>1839.9044</v>
      </c>
      <c r="K9" s="10">
        <v>46205</v>
      </c>
      <c r="L9" s="11">
        <v>2400.2761</v>
      </c>
      <c r="M9" s="11"/>
      <c r="N9" s="10"/>
      <c r="O9" s="10">
        <v>46205</v>
      </c>
      <c r="P9" s="11">
        <v>19.7162</v>
      </c>
      <c r="R9" s="10">
        <v>46205</v>
      </c>
      <c r="S9" s="11">
        <v>-36.7834</v>
      </c>
      <c r="X9" s="8" t="s">
        <v>495</v>
      </c>
      <c r="Y9" s="11">
        <v>238472.395075511</v>
      </c>
      <c r="AC9" s="10">
        <v>46029</v>
      </c>
      <c r="AD9" s="11">
        <v>-26549028385.4208</v>
      </c>
      <c r="AE9" s="11">
        <v>-67923365572.3695</v>
      </c>
    </row>
    <row r="10" ht="13.5" customHeight="1" spans="1:31">
      <c r="A10" s="8" t="s">
        <v>494</v>
      </c>
      <c r="B10" s="11">
        <v>34739.26261813</v>
      </c>
      <c r="C10" s="11">
        <v>4.02405640275316</v>
      </c>
      <c r="E10" s="10">
        <v>46205</v>
      </c>
      <c r="F10" s="14">
        <v>3022896231933</v>
      </c>
      <c r="H10" s="10">
        <v>46203</v>
      </c>
      <c r="I10" s="11">
        <v>1601.8893</v>
      </c>
      <c r="K10" s="10">
        <v>46203</v>
      </c>
      <c r="L10" s="11">
        <v>2042.6348</v>
      </c>
      <c r="M10" s="11"/>
      <c r="N10" s="10"/>
      <c r="O10" s="10">
        <v>46203</v>
      </c>
      <c r="P10" s="11">
        <v>48.292</v>
      </c>
      <c r="R10" s="10">
        <v>46203</v>
      </c>
      <c r="S10" s="11">
        <v>2.78019999999998</v>
      </c>
      <c r="X10" s="8" t="s">
        <v>496</v>
      </c>
      <c r="Y10" s="11">
        <v>227396.812491101</v>
      </c>
      <c r="AC10" s="10">
        <v>46030</v>
      </c>
      <c r="AD10" s="11">
        <v>-3372092702.38235</v>
      </c>
      <c r="AE10" s="11">
        <v>-69592202716.7518</v>
      </c>
    </row>
    <row r="11" ht="13.5" customHeight="1" spans="1:31">
      <c r="A11" s="8" t="s">
        <v>497</v>
      </c>
      <c r="B11" s="11">
        <v>36827.96937452</v>
      </c>
      <c r="C11" s="11">
        <v>4.1691026207898</v>
      </c>
      <c r="E11" s="10">
        <v>46204</v>
      </c>
      <c r="F11" s="14">
        <v>3030474237454</v>
      </c>
      <c r="H11" s="10">
        <v>46202</v>
      </c>
      <c r="I11" s="11">
        <v>1897.7751</v>
      </c>
      <c r="K11" s="10">
        <v>46202</v>
      </c>
      <c r="L11" s="11">
        <v>2369.4469</v>
      </c>
      <c r="M11" s="11"/>
      <c r="N11" s="10"/>
      <c r="O11" s="10">
        <v>46202</v>
      </c>
      <c r="P11" s="11">
        <v>-47.4231</v>
      </c>
      <c r="R11" s="10">
        <v>46202</v>
      </c>
      <c r="S11" s="11">
        <v>-42.1373</v>
      </c>
      <c r="X11" s="8" t="s">
        <v>498</v>
      </c>
      <c r="Y11" s="11">
        <v>243101.778889653</v>
      </c>
      <c r="AC11" s="10">
        <v>46031</v>
      </c>
      <c r="AD11" s="11">
        <v>16406872620.1217</v>
      </c>
      <c r="AE11" s="11">
        <v>-52906471096.6301</v>
      </c>
    </row>
    <row r="12" ht="13.5" customHeight="1" spans="1:31">
      <c r="A12" s="8" t="s">
        <v>495</v>
      </c>
      <c r="B12" s="11">
        <v>32938.19556704</v>
      </c>
      <c r="C12" s="11">
        <v>3.68132997815146</v>
      </c>
      <c r="E12" s="10">
        <v>46203</v>
      </c>
      <c r="F12" s="14">
        <v>3020396491899</v>
      </c>
      <c r="H12" s="10">
        <v>46199</v>
      </c>
      <c r="I12" s="11">
        <v>1755.9352</v>
      </c>
      <c r="K12" s="10">
        <v>46199</v>
      </c>
      <c r="L12" s="11">
        <v>2375.4711</v>
      </c>
      <c r="M12" s="11"/>
      <c r="N12" s="10"/>
      <c r="O12" s="10">
        <v>46199</v>
      </c>
      <c r="P12" s="11">
        <v>31.1174</v>
      </c>
      <c r="R12" s="10">
        <v>46199</v>
      </c>
      <c r="S12" s="11">
        <v>-52.8237</v>
      </c>
      <c r="X12" s="8" t="s">
        <v>499</v>
      </c>
      <c r="Y12" s="11">
        <v>238965.90389061</v>
      </c>
      <c r="AC12" s="10">
        <v>46034</v>
      </c>
      <c r="AD12" s="11">
        <v>1157303784.90088</v>
      </c>
      <c r="AE12" s="11">
        <v>-50745620248.7293</v>
      </c>
    </row>
    <row r="13" ht="13.5" customHeight="1" spans="1:31">
      <c r="A13" s="8" t="s">
        <v>496</v>
      </c>
      <c r="B13" s="11">
        <v>35393.41107475</v>
      </c>
      <c r="C13" s="11">
        <v>4.00564250832244</v>
      </c>
      <c r="E13" s="10">
        <v>46202</v>
      </c>
      <c r="F13" s="14">
        <v>3003681403983</v>
      </c>
      <c r="H13" s="10">
        <v>46198</v>
      </c>
      <c r="I13" s="11">
        <v>1880.6062</v>
      </c>
      <c r="K13" s="10">
        <v>46198</v>
      </c>
      <c r="L13" s="11">
        <v>2357.9734</v>
      </c>
      <c r="M13" s="11"/>
      <c r="N13" s="10"/>
      <c r="O13" s="10">
        <v>46198</v>
      </c>
      <c r="P13" s="11">
        <v>-40.0663</v>
      </c>
      <c r="R13" s="10">
        <v>46198</v>
      </c>
      <c r="S13" s="11">
        <v>-36.9025</v>
      </c>
      <c r="X13" s="8" t="s">
        <v>500</v>
      </c>
      <c r="Y13" s="11">
        <v>230505.135831414</v>
      </c>
      <c r="AC13" s="10">
        <v>46035</v>
      </c>
      <c r="AD13" s="11">
        <v>5658896836.65605</v>
      </c>
      <c r="AE13" s="11">
        <v>-44280019891.0732</v>
      </c>
    </row>
    <row r="14" ht="13.5" customHeight="1" spans="1:31">
      <c r="A14" s="8" t="s">
        <v>498</v>
      </c>
      <c r="B14" s="11">
        <v>35753.91121306</v>
      </c>
      <c r="C14" s="11">
        <v>3.89770648630909</v>
      </c>
      <c r="E14" s="10">
        <v>46199</v>
      </c>
      <c r="F14" s="14">
        <v>3011961034065</v>
      </c>
      <c r="H14" s="10">
        <v>46197</v>
      </c>
      <c r="I14" s="11">
        <v>1877.305</v>
      </c>
      <c r="K14" s="10">
        <v>46197</v>
      </c>
      <c r="L14" s="11">
        <v>2366.2532</v>
      </c>
      <c r="M14" s="11"/>
      <c r="N14" s="10"/>
      <c r="O14" s="10">
        <v>46197</v>
      </c>
      <c r="P14" s="11">
        <v>115.1875</v>
      </c>
      <c r="R14" s="10">
        <v>46197</v>
      </c>
      <c r="S14" s="11">
        <v>21.6791</v>
      </c>
      <c r="X14" s="8" t="s">
        <v>501</v>
      </c>
      <c r="Y14" s="11">
        <v>235277.677530959</v>
      </c>
      <c r="AC14" s="10">
        <v>46036</v>
      </c>
      <c r="AD14" s="11">
        <v>-13033715557.2436</v>
      </c>
      <c r="AE14" s="11">
        <v>-57055884385.3168</v>
      </c>
    </row>
    <row r="15" ht="13.5" customHeight="1" spans="1:31">
      <c r="A15" s="8" t="s">
        <v>499</v>
      </c>
      <c r="B15" s="11">
        <v>36189.44417138</v>
      </c>
      <c r="C15" s="11">
        <v>4.00149198675832</v>
      </c>
      <c r="E15" s="10">
        <v>46198</v>
      </c>
      <c r="F15" s="14">
        <v>3032991749139</v>
      </c>
      <c r="H15" s="10">
        <v>46196</v>
      </c>
      <c r="I15" s="11">
        <v>2019.7699</v>
      </c>
      <c r="K15" s="10">
        <v>46196</v>
      </c>
      <c r="L15" s="11">
        <v>2419.9458</v>
      </c>
      <c r="M15" s="11"/>
      <c r="N15" s="10"/>
      <c r="O15" s="10">
        <v>46196</v>
      </c>
      <c r="P15" s="11">
        <v>61.3937</v>
      </c>
      <c r="R15" s="10">
        <v>46196</v>
      </c>
      <c r="S15" s="11">
        <v>28.4639</v>
      </c>
      <c r="X15" s="8" t="s">
        <v>502</v>
      </c>
      <c r="Y15" s="11">
        <v>270207.051541812</v>
      </c>
      <c r="AC15" s="10">
        <v>46037</v>
      </c>
      <c r="AD15" s="11">
        <v>-68586089051.7941</v>
      </c>
      <c r="AE15" s="11">
        <v>-125433669493.111</v>
      </c>
    </row>
    <row r="16" ht="13.5" customHeight="1" spans="1:31">
      <c r="A16" s="8" t="s">
        <v>500</v>
      </c>
      <c r="B16" s="11">
        <v>33069.39188919</v>
      </c>
      <c r="C16" s="11">
        <v>3.86137268484111</v>
      </c>
      <c r="E16" s="10">
        <v>46197</v>
      </c>
      <c r="F16" s="14">
        <v>3015149293130</v>
      </c>
      <c r="H16" s="10">
        <v>46195</v>
      </c>
      <c r="I16" s="11">
        <v>2201.2827</v>
      </c>
      <c r="K16" s="10">
        <v>46195</v>
      </c>
      <c r="L16" s="11">
        <v>2620.4914</v>
      </c>
      <c r="M16" s="11"/>
      <c r="N16" s="10"/>
      <c r="O16" s="10">
        <v>46195</v>
      </c>
      <c r="P16" s="11">
        <v>14.0633</v>
      </c>
      <c r="R16" s="10">
        <v>46195</v>
      </c>
      <c r="S16" s="11">
        <v>-64.356</v>
      </c>
      <c r="X16" s="8" t="s">
        <v>503</v>
      </c>
      <c r="Y16" s="11">
        <v>294832.318533311</v>
      </c>
      <c r="AC16" s="10">
        <v>46038</v>
      </c>
      <c r="AD16" s="11">
        <v>-82394613858.7516</v>
      </c>
      <c r="AE16" s="11">
        <v>-207828283351.863</v>
      </c>
    </row>
    <row r="17" ht="13.5" customHeight="1" spans="1:31">
      <c r="A17" s="8" t="s">
        <v>501</v>
      </c>
      <c r="B17" s="11">
        <v>34660.26692706</v>
      </c>
      <c r="C17" s="11">
        <v>3.99245149505039</v>
      </c>
      <c r="E17" s="10">
        <v>46196</v>
      </c>
      <c r="F17" s="14">
        <v>3000971239804</v>
      </c>
      <c r="H17" s="10">
        <v>46191</v>
      </c>
      <c r="I17" s="11">
        <v>2023.1827</v>
      </c>
      <c r="K17" s="10">
        <v>46191</v>
      </c>
      <c r="L17" s="11">
        <v>2270.2529</v>
      </c>
      <c r="M17" s="11"/>
      <c r="N17" s="10"/>
      <c r="O17" s="10">
        <v>46191</v>
      </c>
      <c r="P17" s="11">
        <v>-3.01839999999999</v>
      </c>
      <c r="R17" s="10">
        <v>46191</v>
      </c>
      <c r="S17" s="11">
        <v>-55.5799</v>
      </c>
      <c r="X17" s="8" t="s">
        <v>504</v>
      </c>
      <c r="Y17" s="11">
        <v>211686.924249832</v>
      </c>
      <c r="AC17" s="10">
        <v>46041</v>
      </c>
      <c r="AD17" s="11">
        <v>-40858504828.0393</v>
      </c>
      <c r="AE17" s="11">
        <v>-247944879779.902</v>
      </c>
    </row>
    <row r="18" ht="13.5" customHeight="1" spans="1:31">
      <c r="A18" s="8" t="s">
        <v>502</v>
      </c>
      <c r="B18" s="11">
        <v>37621.0309881</v>
      </c>
      <c r="C18" s="11">
        <v>4.31615055149878</v>
      </c>
      <c r="E18" s="10">
        <v>46195</v>
      </c>
      <c r="F18" s="14">
        <v>2995031276856</v>
      </c>
      <c r="H18" s="10">
        <v>46190</v>
      </c>
      <c r="I18" s="11">
        <v>1749.1328</v>
      </c>
      <c r="K18" s="10">
        <v>46190</v>
      </c>
      <c r="L18" s="11">
        <v>2101.4256</v>
      </c>
      <c r="M18" s="11"/>
      <c r="N18" s="10"/>
      <c r="O18" s="10">
        <v>46190</v>
      </c>
      <c r="P18" s="11">
        <v>-8.93639999999999</v>
      </c>
      <c r="R18" s="10">
        <v>46190</v>
      </c>
      <c r="S18" s="11">
        <v>-18.8389</v>
      </c>
      <c r="X18" s="8" t="s">
        <v>505</v>
      </c>
      <c r="Y18" s="11">
        <v>190354.474019473</v>
      </c>
      <c r="AC18" s="10">
        <v>46042</v>
      </c>
      <c r="AD18" s="11">
        <v>-49441638679.3998</v>
      </c>
      <c r="AE18" s="11">
        <v>-296421562312.302</v>
      </c>
    </row>
    <row r="19" ht="13.5" customHeight="1" spans="1:31">
      <c r="A19" s="8" t="s">
        <v>503</v>
      </c>
      <c r="B19" s="11">
        <v>33317.19013037</v>
      </c>
      <c r="C19" s="11">
        <v>3.76542360869424</v>
      </c>
      <c r="E19" s="10">
        <v>46191</v>
      </c>
      <c r="F19" s="14">
        <v>2965511867332</v>
      </c>
      <c r="H19" s="10">
        <v>46189</v>
      </c>
      <c r="I19" s="11">
        <v>1692.1059</v>
      </c>
      <c r="K19" s="10">
        <v>46189</v>
      </c>
      <c r="L19" s="11">
        <v>2137.7966</v>
      </c>
      <c r="M19" s="11"/>
      <c r="N19" s="10"/>
      <c r="O19" s="10">
        <v>46189</v>
      </c>
      <c r="P19" s="11">
        <v>42.2082</v>
      </c>
      <c r="R19" s="10">
        <v>46189</v>
      </c>
      <c r="S19" s="11">
        <v>-12.3053</v>
      </c>
      <c r="X19" s="8" t="s">
        <v>506</v>
      </c>
      <c r="Y19" s="11">
        <v>219824.534633572</v>
      </c>
      <c r="AC19" s="10">
        <v>46043</v>
      </c>
      <c r="AD19" s="11">
        <v>-100992960294.529</v>
      </c>
      <c r="AE19" s="11">
        <v>-396973009308.831</v>
      </c>
    </row>
    <row r="20" ht="13.5" customHeight="1" spans="1:31">
      <c r="A20" s="8" t="s">
        <v>504</v>
      </c>
      <c r="B20" s="11">
        <v>31140.3904993</v>
      </c>
      <c r="C20" s="11">
        <v>3.71598112136493</v>
      </c>
      <c r="E20" s="10">
        <v>46190</v>
      </c>
      <c r="F20" s="14">
        <v>2952886169592</v>
      </c>
      <c r="H20" s="10">
        <v>46188</v>
      </c>
      <c r="I20" s="11">
        <v>1896.9804</v>
      </c>
      <c r="K20" s="10">
        <v>46188</v>
      </c>
      <c r="L20" s="11">
        <v>2200.25</v>
      </c>
      <c r="M20" s="11"/>
      <c r="N20" s="10"/>
      <c r="O20" s="10">
        <v>46188</v>
      </c>
      <c r="P20" s="11">
        <v>7.5299</v>
      </c>
      <c r="R20" s="10">
        <v>46188</v>
      </c>
      <c r="S20" s="11">
        <v>10.6764</v>
      </c>
      <c r="X20" s="8" t="s">
        <v>507</v>
      </c>
      <c r="Y20" s="11">
        <v>225221.159479644</v>
      </c>
      <c r="AC20" s="10">
        <v>46044</v>
      </c>
      <c r="AD20" s="11">
        <v>-67698231848.4446</v>
      </c>
      <c r="AE20" s="11">
        <v>-464671241157.275</v>
      </c>
    </row>
    <row r="21" ht="13.5" customHeight="1" spans="1:31">
      <c r="A21" s="8" t="s">
        <v>505</v>
      </c>
      <c r="B21" s="11">
        <v>30863.46944215</v>
      </c>
      <c r="C21" s="11">
        <v>3.72148359332026</v>
      </c>
      <c r="E21" s="10">
        <v>46189</v>
      </c>
      <c r="F21" s="14">
        <v>2924861966559</v>
      </c>
      <c r="H21" s="10">
        <v>46185</v>
      </c>
      <c r="I21" s="11">
        <v>2391.1387</v>
      </c>
      <c r="K21" s="10">
        <v>46185</v>
      </c>
      <c r="L21" s="11">
        <v>2519.1384</v>
      </c>
      <c r="M21" s="11"/>
      <c r="N21" s="10"/>
      <c r="O21" s="10">
        <v>46185</v>
      </c>
      <c r="P21" s="11">
        <v>-13.3078</v>
      </c>
      <c r="R21" s="10">
        <v>46185</v>
      </c>
      <c r="S21" s="11">
        <v>-20.7028</v>
      </c>
      <c r="X21" s="8" t="s">
        <v>508</v>
      </c>
      <c r="Y21" s="11">
        <v>208870.684331355</v>
      </c>
      <c r="AC21" s="10">
        <v>46045</v>
      </c>
      <c r="AD21" s="11">
        <v>-69449325378.9552</v>
      </c>
      <c r="AE21" s="11">
        <v>-533191363984.23</v>
      </c>
    </row>
    <row r="22" ht="13.5" customHeight="1" spans="1:31">
      <c r="A22" s="8" t="s">
        <v>506</v>
      </c>
      <c r="B22" s="11">
        <v>30507.41533237</v>
      </c>
      <c r="C22" s="11">
        <v>3.69699400225265</v>
      </c>
      <c r="E22" s="10">
        <v>46188</v>
      </c>
      <c r="F22" s="14">
        <v>2897938436116</v>
      </c>
      <c r="H22" s="10">
        <v>46184</v>
      </c>
      <c r="I22" s="11">
        <v>1595.9674</v>
      </c>
      <c r="K22" s="10">
        <v>46184</v>
      </c>
      <c r="L22" s="11">
        <v>1797.2451</v>
      </c>
      <c r="M22" s="11"/>
      <c r="N22" s="10"/>
      <c r="O22" s="10">
        <v>46184</v>
      </c>
      <c r="P22" s="11">
        <v>-3.63149999999996</v>
      </c>
      <c r="R22" s="10">
        <v>46184</v>
      </c>
      <c r="S22" s="11">
        <v>-20.1878</v>
      </c>
      <c r="X22" s="8" t="s">
        <v>509</v>
      </c>
      <c r="Y22" s="11">
        <v>234808.51455543</v>
      </c>
      <c r="AC22" s="10">
        <v>46048</v>
      </c>
      <c r="AD22" s="11">
        <v>-100517889527.292</v>
      </c>
      <c r="AE22" s="11">
        <v>-632643383916.522</v>
      </c>
    </row>
    <row r="23" ht="13.5" customHeight="1" spans="1:31">
      <c r="A23" s="8" t="s">
        <v>507</v>
      </c>
      <c r="B23" s="11">
        <v>32361.11011499</v>
      </c>
      <c r="C23" s="11">
        <v>3.86946880041035</v>
      </c>
      <c r="E23" s="10">
        <v>46185</v>
      </c>
      <c r="F23" s="14">
        <v>2873482273963</v>
      </c>
      <c r="H23" s="10">
        <v>46183</v>
      </c>
      <c r="I23" s="11">
        <v>1663.8591</v>
      </c>
      <c r="K23" s="10">
        <v>46183</v>
      </c>
      <c r="L23" s="11">
        <v>1834.861</v>
      </c>
      <c r="M23" s="11"/>
      <c r="N23" s="10"/>
      <c r="O23" s="10">
        <v>46183</v>
      </c>
      <c r="P23" s="11">
        <v>78.0584</v>
      </c>
      <c r="R23" s="10">
        <v>46183</v>
      </c>
      <c r="S23" s="11">
        <v>-6.70820000000001</v>
      </c>
      <c r="X23" s="8" t="s">
        <v>510</v>
      </c>
      <c r="Y23" s="11">
        <v>210104.126168727</v>
      </c>
      <c r="AC23" s="10">
        <v>46049</v>
      </c>
      <c r="AD23" s="11">
        <v>-43245024079.6295</v>
      </c>
      <c r="AE23" s="11">
        <v>-673559885652.151</v>
      </c>
    </row>
    <row r="24" ht="13.5" customHeight="1" spans="1:31">
      <c r="A24" s="8" t="s">
        <v>508</v>
      </c>
      <c r="B24" s="11">
        <v>25749.32584543</v>
      </c>
      <c r="C24" s="11">
        <v>3.42600876954582</v>
      </c>
      <c r="E24" s="10">
        <v>46184</v>
      </c>
      <c r="F24" s="14">
        <v>2873626097853</v>
      </c>
      <c r="H24" s="10">
        <v>46182</v>
      </c>
      <c r="I24" s="11">
        <v>1584.5531</v>
      </c>
      <c r="K24" s="10">
        <v>46182</v>
      </c>
      <c r="L24" s="11">
        <v>2024.7762</v>
      </c>
      <c r="M24" s="11"/>
      <c r="O24" s="10">
        <v>46182</v>
      </c>
      <c r="P24" s="11">
        <v>-0.849499999999978</v>
      </c>
      <c r="R24" s="10">
        <v>46182</v>
      </c>
      <c r="S24" s="11">
        <v>-73.5389</v>
      </c>
      <c r="X24" s="8" t="s">
        <v>511</v>
      </c>
      <c r="Y24" s="11">
        <v>239457.933762742</v>
      </c>
      <c r="AC24" s="10">
        <v>46050</v>
      </c>
      <c r="AD24" s="11">
        <v>-126479125239.933</v>
      </c>
      <c r="AE24" s="11">
        <v>-800039010892.085</v>
      </c>
    </row>
    <row r="25" ht="13.5" customHeight="1" spans="1:31">
      <c r="A25" s="8" t="s">
        <v>509</v>
      </c>
      <c r="B25" s="11">
        <v>26441.43270938</v>
      </c>
      <c r="C25" s="11">
        <v>3.53676897531473</v>
      </c>
      <c r="E25" s="10">
        <v>46183</v>
      </c>
      <c r="F25" s="14">
        <v>2879114601496</v>
      </c>
      <c r="H25" s="10">
        <v>46181</v>
      </c>
      <c r="I25" s="11">
        <v>1645.5914</v>
      </c>
      <c r="K25" s="10">
        <v>46181</v>
      </c>
      <c r="L25" s="11">
        <v>2055.0606</v>
      </c>
      <c r="M25" s="11"/>
      <c r="O25" s="10">
        <v>46181</v>
      </c>
      <c r="P25" s="11">
        <v>86.377</v>
      </c>
      <c r="R25" s="10">
        <v>46181</v>
      </c>
      <c r="S25" s="11">
        <v>11.7093</v>
      </c>
      <c r="X25" s="8" t="s">
        <v>512</v>
      </c>
      <c r="Y25" s="11">
        <v>256460.467626177</v>
      </c>
      <c r="AC25" s="10">
        <v>46051</v>
      </c>
      <c r="AD25" s="11">
        <v>-24614511710.2542</v>
      </c>
      <c r="AE25" s="11">
        <v>-823857582765.339</v>
      </c>
    </row>
    <row r="26" ht="13.5" customHeight="1" spans="1:31">
      <c r="A26" s="8" t="s">
        <v>510</v>
      </c>
      <c r="B26" s="11">
        <v>26667.32928344</v>
      </c>
      <c r="C26" s="11">
        <v>3.50508725131984</v>
      </c>
      <c r="E26" s="10">
        <v>46182</v>
      </c>
      <c r="F26" s="14">
        <v>2887275686085</v>
      </c>
      <c r="H26" s="10">
        <v>46178</v>
      </c>
      <c r="I26" s="11">
        <v>1799.6134</v>
      </c>
      <c r="K26" s="10">
        <v>46178</v>
      </c>
      <c r="L26" s="11">
        <v>2248.0937</v>
      </c>
      <c r="M26" s="11"/>
      <c r="O26" s="10">
        <v>46178</v>
      </c>
      <c r="P26" s="11">
        <v>43.12</v>
      </c>
      <c r="R26" s="10">
        <v>46178</v>
      </c>
      <c r="S26" s="11">
        <v>-64.0701</v>
      </c>
      <c r="X26" s="8" t="s">
        <v>513</v>
      </c>
      <c r="Y26" s="11">
        <v>195737.905419724</v>
      </c>
      <c r="AC26" s="10">
        <v>46052</v>
      </c>
      <c r="AD26" s="11">
        <v>-3565387051.67217</v>
      </c>
      <c r="AE26" s="11">
        <v>-826922673817.011</v>
      </c>
    </row>
    <row r="27" ht="13.5" customHeight="1" spans="1:31">
      <c r="A27" s="8" t="s">
        <v>511</v>
      </c>
      <c r="B27" s="11">
        <v>28234.28976929</v>
      </c>
      <c r="C27" s="11">
        <v>3.84514255967394</v>
      </c>
      <c r="E27" s="10">
        <v>46181</v>
      </c>
      <c r="F27" s="14">
        <v>2882895221196</v>
      </c>
      <c r="H27" s="10">
        <v>46177</v>
      </c>
      <c r="I27" s="11">
        <v>1708.2887</v>
      </c>
      <c r="K27" s="10">
        <v>46177</v>
      </c>
      <c r="L27" s="11">
        <v>1943.3996</v>
      </c>
      <c r="M27" s="11"/>
      <c r="O27" s="10">
        <v>46177</v>
      </c>
      <c r="P27" s="11">
        <v>34.0275</v>
      </c>
      <c r="R27" s="10">
        <v>46177</v>
      </c>
      <c r="S27" s="11">
        <v>-36.7341</v>
      </c>
      <c r="X27" s="8" t="s">
        <v>514</v>
      </c>
      <c r="Y27" s="11">
        <v>240284.735166743</v>
      </c>
      <c r="AC27" s="10">
        <v>46055</v>
      </c>
      <c r="AD27" s="11">
        <v>-16444109362.1799</v>
      </c>
      <c r="AE27" s="11">
        <v>-841849800213.191</v>
      </c>
    </row>
    <row r="28" ht="13.5" customHeight="1" spans="1:31">
      <c r="A28" s="8" t="s">
        <v>512</v>
      </c>
      <c r="B28" s="11">
        <v>31006.90304725</v>
      </c>
      <c r="C28" s="11">
        <v>3.94525375212606</v>
      </c>
      <c r="E28" s="10">
        <v>46178</v>
      </c>
      <c r="F28" s="14">
        <v>2906688099505</v>
      </c>
      <c r="H28" s="10">
        <v>46176</v>
      </c>
      <c r="I28" s="11">
        <v>1906.1388</v>
      </c>
      <c r="K28" s="10">
        <v>46176</v>
      </c>
      <c r="L28" s="11">
        <v>2241.3384</v>
      </c>
      <c r="M28" s="11"/>
      <c r="O28" s="10">
        <v>46176</v>
      </c>
      <c r="P28" s="11">
        <v>140.2819</v>
      </c>
      <c r="R28" s="10">
        <v>46176</v>
      </c>
      <c r="S28" s="11">
        <v>21.3144</v>
      </c>
      <c r="X28" s="8" t="s">
        <v>515</v>
      </c>
      <c r="Y28" s="11">
        <v>290327.982795639</v>
      </c>
      <c r="AC28" s="10">
        <v>46056</v>
      </c>
      <c r="AD28" s="11">
        <v>1177299567.68066</v>
      </c>
      <c r="AE28" s="11">
        <v>-839518023552.51</v>
      </c>
    </row>
    <row r="29" ht="13.5" customHeight="1" spans="1:31">
      <c r="A29" s="8" t="s">
        <v>513</v>
      </c>
      <c r="B29" s="11">
        <v>27791.63742118</v>
      </c>
      <c r="C29" s="11">
        <v>3.52475217791607</v>
      </c>
      <c r="E29" s="10">
        <v>46177</v>
      </c>
      <c r="F29" s="14">
        <v>2920686113684</v>
      </c>
      <c r="H29" s="10">
        <v>46175</v>
      </c>
      <c r="I29" s="11">
        <v>1741.7689</v>
      </c>
      <c r="K29" s="10">
        <v>46175</v>
      </c>
      <c r="L29" s="11">
        <v>2019.7744</v>
      </c>
      <c r="M29" s="11"/>
      <c r="O29" s="10">
        <v>46175</v>
      </c>
      <c r="P29" s="11">
        <v>17.4136</v>
      </c>
      <c r="R29" s="10">
        <v>46175</v>
      </c>
      <c r="S29" s="11">
        <v>1.7749</v>
      </c>
      <c r="X29" s="8" t="s">
        <v>516</v>
      </c>
      <c r="Y29" s="11">
        <v>254067.651352011</v>
      </c>
      <c r="AC29" s="10">
        <v>46057</v>
      </c>
      <c r="AD29" s="11">
        <v>-3262877872.75434</v>
      </c>
      <c r="AE29" s="11">
        <v>-842780901425.265</v>
      </c>
    </row>
    <row r="30" ht="13.5" customHeight="1" spans="1:31">
      <c r="A30" s="8" t="s">
        <v>514</v>
      </c>
      <c r="B30" s="11">
        <v>31531.24583892</v>
      </c>
      <c r="C30" s="11">
        <v>3.75665685273761</v>
      </c>
      <c r="E30" s="10">
        <v>46176</v>
      </c>
      <c r="F30" s="14">
        <v>2914375514366</v>
      </c>
      <c r="H30" s="10">
        <v>46174</v>
      </c>
      <c r="I30" s="11">
        <v>1882.3525</v>
      </c>
      <c r="K30" s="10">
        <v>46174</v>
      </c>
      <c r="L30" s="11">
        <v>2191.7502</v>
      </c>
      <c r="M30" s="11"/>
      <c r="O30" s="10">
        <v>46174</v>
      </c>
      <c r="P30" s="11">
        <v>24.7812</v>
      </c>
      <c r="R30" s="10">
        <v>46174</v>
      </c>
      <c r="S30" s="11">
        <v>15.4354</v>
      </c>
      <c r="X30" s="8" t="s">
        <v>517</v>
      </c>
      <c r="Y30" s="11">
        <v>381246.216844704</v>
      </c>
      <c r="AC30" s="10">
        <v>46058</v>
      </c>
      <c r="AD30" s="11">
        <v>12101471664.1145</v>
      </c>
      <c r="AE30" s="11">
        <v>-830679429761.15</v>
      </c>
    </row>
    <row r="31" ht="13.5" customHeight="1" spans="1:31">
      <c r="A31" s="8" t="s">
        <v>515</v>
      </c>
      <c r="B31" s="11">
        <v>28128.49119499</v>
      </c>
      <c r="C31" s="11">
        <v>3.59524771328544</v>
      </c>
      <c r="E31" s="10">
        <v>46175</v>
      </c>
      <c r="F31" s="14">
        <v>2905595251708</v>
      </c>
      <c r="H31" s="10">
        <v>46171</v>
      </c>
      <c r="I31" s="11">
        <v>2216.9407</v>
      </c>
      <c r="K31" s="10">
        <v>46171</v>
      </c>
      <c r="L31" s="11">
        <v>2517.1142</v>
      </c>
      <c r="M31" s="11"/>
      <c r="O31" s="10">
        <v>46171</v>
      </c>
      <c r="P31" s="11">
        <v>36.4746</v>
      </c>
      <c r="R31" s="10">
        <v>46171</v>
      </c>
      <c r="S31" s="11">
        <v>-20.188</v>
      </c>
      <c r="X31" s="8" t="s">
        <v>518</v>
      </c>
      <c r="Y31" s="11">
        <v>275259.862154735</v>
      </c>
      <c r="AC31" s="10">
        <v>46059</v>
      </c>
      <c r="AD31" s="11">
        <v>22216639887.1387</v>
      </c>
      <c r="AE31" s="11">
        <v>-804461959114.011</v>
      </c>
    </row>
    <row r="32" ht="13.5" customHeight="1" spans="1:31">
      <c r="A32" s="8" t="s">
        <v>516</v>
      </c>
      <c r="B32" s="11">
        <v>28967.24496386</v>
      </c>
      <c r="C32" s="11">
        <v>3.68947700538959</v>
      </c>
      <c r="E32" s="10">
        <v>46174</v>
      </c>
      <c r="F32" s="14">
        <v>2904302483979</v>
      </c>
      <c r="H32" s="10">
        <v>46170</v>
      </c>
      <c r="I32" s="11">
        <v>1752.7935</v>
      </c>
      <c r="K32" s="10">
        <v>46170</v>
      </c>
      <c r="L32" s="11">
        <v>2082.2155</v>
      </c>
      <c r="M32" s="11"/>
      <c r="O32" s="10">
        <v>46170</v>
      </c>
      <c r="P32" s="11">
        <v>65.4632999999999</v>
      </c>
      <c r="R32" s="10">
        <v>46170</v>
      </c>
      <c r="S32" s="11">
        <v>0.422599999999989</v>
      </c>
      <c r="X32" s="8" t="s">
        <v>519</v>
      </c>
      <c r="Y32" s="11">
        <v>234316.900148434</v>
      </c>
      <c r="AC32" s="10">
        <v>46062</v>
      </c>
      <c r="AD32" s="11">
        <v>-1991743894.62614</v>
      </c>
      <c r="AE32" s="11">
        <v>-805083707007.638</v>
      </c>
    </row>
    <row r="33" ht="13.5" customHeight="1" spans="1:31">
      <c r="A33" s="8" t="s">
        <v>517</v>
      </c>
      <c r="B33" s="11">
        <v>33408.58147402</v>
      </c>
      <c r="C33" s="11">
        <v>4.10286812332418</v>
      </c>
      <c r="E33" s="10">
        <v>46171</v>
      </c>
      <c r="F33" s="14">
        <v>2912418160134</v>
      </c>
      <c r="H33" s="10">
        <v>46169</v>
      </c>
      <c r="I33" s="11">
        <v>1855.3215</v>
      </c>
      <c r="K33" s="10">
        <v>46169</v>
      </c>
      <c r="L33" s="11">
        <v>2219.4053</v>
      </c>
      <c r="M33" s="11"/>
      <c r="O33" s="10">
        <v>46169</v>
      </c>
      <c r="P33" s="11">
        <v>13.9727999999999</v>
      </c>
      <c r="R33" s="10">
        <v>46169</v>
      </c>
      <c r="S33" s="11">
        <v>-80.7427</v>
      </c>
      <c r="X33" s="8" t="s">
        <v>520</v>
      </c>
      <c r="Y33" s="11">
        <v>278817.60842149</v>
      </c>
      <c r="AC33" s="10">
        <v>46063</v>
      </c>
      <c r="AD33" s="11">
        <v>-11201847986.2638</v>
      </c>
      <c r="AE33" s="11">
        <v>-815964361993.901</v>
      </c>
    </row>
    <row r="34" ht="13.5" customHeight="1" spans="1:31">
      <c r="A34" s="8" t="s">
        <v>518</v>
      </c>
      <c r="B34" s="11">
        <v>29873.26312007</v>
      </c>
      <c r="C34" s="11">
        <v>3.69361975116176</v>
      </c>
      <c r="E34" s="10">
        <v>46170</v>
      </c>
      <c r="F34" s="14">
        <v>2942402697453</v>
      </c>
      <c r="H34" s="10">
        <v>46168</v>
      </c>
      <c r="I34" s="11">
        <v>1776.9615</v>
      </c>
      <c r="K34" s="10">
        <v>46168</v>
      </c>
      <c r="L34" s="11">
        <v>2169.6926</v>
      </c>
      <c r="M34" s="11"/>
      <c r="O34" s="10">
        <v>46168</v>
      </c>
      <c r="P34" s="11">
        <v>24.7901000000001</v>
      </c>
      <c r="R34" s="10">
        <v>46168</v>
      </c>
      <c r="S34" s="11">
        <v>-33.1544</v>
      </c>
      <c r="X34" s="8" t="s">
        <v>521</v>
      </c>
      <c r="Y34" s="11">
        <v>214538.933897111</v>
      </c>
      <c r="AC34" s="10">
        <v>46064</v>
      </c>
      <c r="AD34" s="11">
        <v>4146093780.74395</v>
      </c>
      <c r="AE34" s="11">
        <v>-810753335236.157</v>
      </c>
    </row>
    <row r="35" ht="13.5" customHeight="1" spans="1:31">
      <c r="A35" s="8" t="s">
        <v>519</v>
      </c>
      <c r="B35" s="11">
        <v>32599.04342636</v>
      </c>
      <c r="C35" s="11">
        <v>3.97211720013556</v>
      </c>
      <c r="E35" s="10">
        <v>46169</v>
      </c>
      <c r="F35" s="14">
        <v>2936666669710</v>
      </c>
      <c r="H35" s="10">
        <v>46164</v>
      </c>
      <c r="I35" s="11">
        <v>1480.7968</v>
      </c>
      <c r="K35" s="10">
        <v>46164</v>
      </c>
      <c r="L35" s="11">
        <v>1844.9733</v>
      </c>
      <c r="M35" s="11"/>
      <c r="O35" s="10">
        <v>46164</v>
      </c>
      <c r="P35" s="11">
        <v>-19.9212</v>
      </c>
      <c r="R35" s="10">
        <v>46164</v>
      </c>
      <c r="S35" s="11">
        <v>-36.3909</v>
      </c>
      <c r="X35" s="8" t="s">
        <v>522</v>
      </c>
      <c r="Y35" s="11">
        <v>226343.40218458</v>
      </c>
      <c r="AC35" s="10">
        <v>46065</v>
      </c>
      <c r="AD35" s="11">
        <v>4722724139.11333</v>
      </c>
      <c r="AE35" s="11">
        <v>-803535167781.044</v>
      </c>
    </row>
    <row r="36" ht="13.5" customHeight="1" spans="1:31">
      <c r="A36" s="8" t="s">
        <v>520</v>
      </c>
      <c r="B36" s="11">
        <v>32643.59080086</v>
      </c>
      <c r="C36" s="11">
        <v>4.00804605856649</v>
      </c>
      <c r="E36" s="10">
        <v>46168</v>
      </c>
      <c r="F36" s="14">
        <v>2932629362443</v>
      </c>
      <c r="H36" s="10">
        <v>46163</v>
      </c>
      <c r="I36" s="11">
        <v>1842.3733</v>
      </c>
      <c r="K36" s="10">
        <v>46163</v>
      </c>
      <c r="L36" s="11">
        <v>2162.4848</v>
      </c>
      <c r="M36" s="11"/>
      <c r="O36" s="10">
        <v>46163</v>
      </c>
      <c r="P36" s="11">
        <v>-10.9349</v>
      </c>
      <c r="R36" s="10">
        <v>46163</v>
      </c>
      <c r="S36" s="11">
        <v>-42.0419</v>
      </c>
      <c r="X36" s="8" t="s">
        <v>523</v>
      </c>
      <c r="Y36" s="11">
        <v>201312.513713534</v>
      </c>
      <c r="AC36" s="10">
        <v>46066</v>
      </c>
      <c r="AD36" s="11">
        <v>-8721832407.65731</v>
      </c>
      <c r="AE36" s="11">
        <v>-812257000188.702</v>
      </c>
    </row>
    <row r="37" ht="13.5" customHeight="1" spans="1:31">
      <c r="A37" s="8" t="s">
        <v>524</v>
      </c>
      <c r="B37" s="11">
        <v>32269.52453297</v>
      </c>
      <c r="C37" s="11">
        <v>4.04296709487074</v>
      </c>
      <c r="E37" s="10">
        <v>46167</v>
      </c>
      <c r="F37" s="14">
        <v>2925208779450</v>
      </c>
      <c r="H37" s="10">
        <v>46162</v>
      </c>
      <c r="I37" s="11">
        <v>1656.5575</v>
      </c>
      <c r="K37" s="10">
        <v>46162</v>
      </c>
      <c r="L37" s="11">
        <v>1875.5881</v>
      </c>
      <c r="M37" s="11"/>
      <c r="O37" s="10">
        <v>46162</v>
      </c>
      <c r="P37" s="11">
        <v>26.0687</v>
      </c>
      <c r="R37" s="10">
        <v>46162</v>
      </c>
      <c r="S37" s="11">
        <v>23.5656</v>
      </c>
      <c r="X37" s="8" t="s">
        <v>525</v>
      </c>
      <c r="Y37" s="11">
        <v>202690.81544275</v>
      </c>
      <c r="AC37" s="10">
        <v>46077</v>
      </c>
      <c r="AD37" s="11">
        <v>11037446288.7473</v>
      </c>
      <c r="AE37" s="11">
        <v>-800918820899.954</v>
      </c>
    </row>
    <row r="38" ht="13.5" customHeight="1" spans="1:31">
      <c r="A38" s="8" t="s">
        <v>521</v>
      </c>
      <c r="B38" s="11">
        <v>29246.59105588</v>
      </c>
      <c r="C38" s="11">
        <v>3.81747837344469</v>
      </c>
      <c r="E38" s="10">
        <v>46164</v>
      </c>
      <c r="F38" s="14">
        <v>2899151925961</v>
      </c>
      <c r="H38" s="10">
        <v>46161</v>
      </c>
      <c r="I38" s="11">
        <v>1664.2387</v>
      </c>
      <c r="K38" s="10">
        <v>46161</v>
      </c>
      <c r="L38" s="11">
        <v>1922.5757</v>
      </c>
      <c r="M38" s="11"/>
      <c r="O38" s="10">
        <v>46161</v>
      </c>
      <c r="P38" s="11">
        <v>2.91219999999998</v>
      </c>
      <c r="R38" s="10">
        <v>46161</v>
      </c>
      <c r="S38" s="11">
        <v>8.09799999999998</v>
      </c>
      <c r="X38" s="8" t="s">
        <v>526</v>
      </c>
      <c r="Y38" s="11">
        <v>214257.167390003</v>
      </c>
      <c r="AC38" s="10">
        <v>46078</v>
      </c>
      <c r="AD38" s="11">
        <v>-1383071991.04995</v>
      </c>
      <c r="AE38" s="11">
        <v>-802301892891.004</v>
      </c>
    </row>
    <row r="39" ht="13.5" customHeight="1" spans="1:31">
      <c r="A39" s="8" t="s">
        <v>522</v>
      </c>
      <c r="B39" s="11">
        <v>35072.79541527</v>
      </c>
      <c r="C39" s="11">
        <v>4.53940160254612</v>
      </c>
      <c r="E39" s="10">
        <v>46163</v>
      </c>
      <c r="F39" s="14">
        <v>2896210904143</v>
      </c>
      <c r="H39" s="10">
        <v>46160</v>
      </c>
      <c r="I39" s="11">
        <v>1712.3876</v>
      </c>
      <c r="K39" s="10">
        <v>46160</v>
      </c>
      <c r="L39" s="11">
        <v>2091.3196</v>
      </c>
      <c r="M39" s="11"/>
      <c r="O39" s="10">
        <v>46160</v>
      </c>
      <c r="P39" s="11">
        <v>-17.0293</v>
      </c>
      <c r="R39" s="10">
        <v>46160</v>
      </c>
      <c r="S39" s="11">
        <v>-51.3543</v>
      </c>
      <c r="X39" s="8" t="s">
        <v>527</v>
      </c>
      <c r="Y39" s="11">
        <v>226946.970510629</v>
      </c>
      <c r="AC39" s="10">
        <v>46079</v>
      </c>
      <c r="AD39" s="11">
        <v>-29404357788.3424</v>
      </c>
      <c r="AE39" s="11">
        <v>-830941461679.347</v>
      </c>
    </row>
    <row r="40" ht="13.5" customHeight="1" spans="1:31">
      <c r="A40" s="8" t="s">
        <v>523</v>
      </c>
      <c r="B40" s="11">
        <v>29764.58677756</v>
      </c>
      <c r="C40" s="11">
        <v>3.84995798482907</v>
      </c>
      <c r="E40" s="10">
        <v>46162</v>
      </c>
      <c r="F40" s="14">
        <v>2904939465937</v>
      </c>
      <c r="H40" s="10">
        <v>46157</v>
      </c>
      <c r="I40" s="11">
        <v>2037.9009</v>
      </c>
      <c r="K40" s="10">
        <v>46157</v>
      </c>
      <c r="L40" s="11">
        <v>2315.4876</v>
      </c>
      <c r="M40" s="11"/>
      <c r="O40" s="10">
        <v>46157</v>
      </c>
      <c r="P40" s="11">
        <v>149.2033</v>
      </c>
      <c r="R40" s="10">
        <v>46157</v>
      </c>
      <c r="S40" s="11">
        <v>67.8931</v>
      </c>
      <c r="X40" s="8" t="s">
        <v>528</v>
      </c>
      <c r="Y40" s="11">
        <v>240827.647132811</v>
      </c>
      <c r="AC40" s="10">
        <v>46080</v>
      </c>
      <c r="AD40" s="11">
        <v>-2841968824.88653</v>
      </c>
      <c r="AE40" s="11">
        <v>-833433661504.233</v>
      </c>
    </row>
    <row r="41" ht="13.5" customHeight="1" spans="1:31">
      <c r="A41" s="8" t="s">
        <v>525</v>
      </c>
      <c r="B41" s="11">
        <v>29089.76620151</v>
      </c>
      <c r="C41" s="11">
        <v>3.83881526308986</v>
      </c>
      <c r="E41" s="10">
        <v>46161</v>
      </c>
      <c r="F41" s="14">
        <v>2897938493443</v>
      </c>
      <c r="H41" s="10">
        <v>46156</v>
      </c>
      <c r="I41" s="11">
        <v>1880.3584</v>
      </c>
      <c r="K41" s="10">
        <v>46156</v>
      </c>
      <c r="L41" s="11">
        <v>2253.9142</v>
      </c>
      <c r="M41" s="11"/>
      <c r="O41" s="10">
        <v>46156</v>
      </c>
      <c r="P41" s="11">
        <v>-48.7986</v>
      </c>
      <c r="R41" s="10">
        <v>46156</v>
      </c>
      <c r="S41" s="11">
        <v>-35.3043</v>
      </c>
      <c r="X41" s="8" t="s">
        <v>529</v>
      </c>
      <c r="Y41" s="11">
        <v>221410.620002476</v>
      </c>
      <c r="AC41" s="10">
        <v>46083</v>
      </c>
      <c r="AD41" s="11">
        <v>-9839022692.07432</v>
      </c>
      <c r="AE41" s="11">
        <v>-842658096196.307</v>
      </c>
    </row>
    <row r="42" ht="13.5" customHeight="1" spans="1:31">
      <c r="A42" s="8" t="s">
        <v>526</v>
      </c>
      <c r="B42" s="11">
        <v>29170.73666062</v>
      </c>
      <c r="C42" s="11">
        <v>3.90589632436989</v>
      </c>
      <c r="E42" s="10">
        <v>46160</v>
      </c>
      <c r="F42" s="14">
        <v>2892379831046</v>
      </c>
      <c r="H42" s="10">
        <v>46155</v>
      </c>
      <c r="I42" s="11">
        <v>1815.1084</v>
      </c>
      <c r="K42" s="10">
        <v>46155</v>
      </c>
      <c r="L42" s="11">
        <v>2117.5017</v>
      </c>
      <c r="M42" s="11"/>
      <c r="O42" s="10">
        <v>46155</v>
      </c>
      <c r="P42" s="11">
        <v>4.32560000000001</v>
      </c>
      <c r="R42" s="10">
        <v>46155</v>
      </c>
      <c r="S42" s="11">
        <v>-63.0069</v>
      </c>
      <c r="X42" s="8" t="s">
        <v>530</v>
      </c>
      <c r="Y42" s="11">
        <v>200669.577790359</v>
      </c>
      <c r="AC42" s="10">
        <v>46084</v>
      </c>
      <c r="AD42" s="11">
        <v>25469101914.3301</v>
      </c>
      <c r="AE42" s="11">
        <v>-817188994281.977</v>
      </c>
    </row>
    <row r="43" ht="13.5" customHeight="1" spans="1:31">
      <c r="A43" s="8" t="s">
        <v>527</v>
      </c>
      <c r="B43" s="11">
        <v>33702.32295625</v>
      </c>
      <c r="C43" s="11">
        <v>4.28532100538493</v>
      </c>
      <c r="E43" s="10">
        <v>46157</v>
      </c>
      <c r="F43" s="14">
        <v>2876460427504</v>
      </c>
      <c r="H43" s="10">
        <v>46154</v>
      </c>
      <c r="I43" s="11">
        <v>1908.3694</v>
      </c>
      <c r="K43" s="10">
        <v>46154</v>
      </c>
      <c r="L43" s="11">
        <v>2147.0654</v>
      </c>
      <c r="M43" s="11"/>
      <c r="O43" s="10">
        <v>46154</v>
      </c>
      <c r="P43" s="11">
        <v>29.5731</v>
      </c>
      <c r="R43" s="10">
        <v>46154</v>
      </c>
      <c r="S43" s="11">
        <v>-22.7036</v>
      </c>
      <c r="X43" s="8" t="s">
        <v>531</v>
      </c>
      <c r="Y43" s="11">
        <v>223981.551357318</v>
      </c>
      <c r="AC43" s="10">
        <v>46085</v>
      </c>
      <c r="AD43" s="11">
        <v>24072633964.6757</v>
      </c>
      <c r="AE43" s="11">
        <v>-792280227832.302</v>
      </c>
    </row>
    <row r="44" ht="13.5" customHeight="1" spans="1:31">
      <c r="A44" s="8" t="s">
        <v>528</v>
      </c>
      <c r="B44" s="11">
        <v>33880.86341176</v>
      </c>
      <c r="C44" s="11">
        <v>4.26161327675736</v>
      </c>
      <c r="E44" s="10">
        <v>46156</v>
      </c>
      <c r="F44" s="14">
        <v>2882755007011</v>
      </c>
      <c r="H44" s="10">
        <v>46153</v>
      </c>
      <c r="I44" s="11">
        <v>1962.838</v>
      </c>
      <c r="K44" s="10">
        <v>46153</v>
      </c>
      <c r="L44" s="11">
        <v>2277.1069</v>
      </c>
      <c r="M44" s="11"/>
      <c r="O44" s="10">
        <v>46153</v>
      </c>
      <c r="P44" s="11">
        <v>30.5945</v>
      </c>
      <c r="R44" s="10">
        <v>46153</v>
      </c>
      <c r="S44" s="11">
        <v>-29.9648</v>
      </c>
      <c r="X44" s="8" t="s">
        <v>532</v>
      </c>
      <c r="Y44" s="11">
        <v>218641.603876563</v>
      </c>
      <c r="AC44" s="10">
        <v>46086</v>
      </c>
      <c r="AD44" s="11">
        <v>-18423272937.834</v>
      </c>
      <c r="AE44" s="11">
        <v>-809580697454.136</v>
      </c>
    </row>
    <row r="45" ht="13.5" customHeight="1" spans="1:31">
      <c r="A45" s="8" t="s">
        <v>529</v>
      </c>
      <c r="B45" s="11">
        <v>32642.12322031</v>
      </c>
      <c r="C45" s="11">
        <v>4.13258618099622</v>
      </c>
      <c r="E45" s="10">
        <v>46155</v>
      </c>
      <c r="F45" s="14">
        <v>2873945270713</v>
      </c>
      <c r="H45" s="10">
        <v>46150</v>
      </c>
      <c r="I45" s="11">
        <v>1633.6253</v>
      </c>
      <c r="K45" s="10">
        <v>46150</v>
      </c>
      <c r="L45" s="11">
        <v>1936.7943</v>
      </c>
      <c r="M45" s="11"/>
      <c r="O45" s="10">
        <v>46150</v>
      </c>
      <c r="P45" s="11">
        <v>87.9877</v>
      </c>
      <c r="R45" s="10">
        <v>46150</v>
      </c>
      <c r="S45" s="11">
        <v>26.4409</v>
      </c>
      <c r="X45" s="8" t="s">
        <v>533</v>
      </c>
      <c r="Y45" s="11">
        <v>256959.54996652</v>
      </c>
      <c r="AC45" s="10">
        <v>46087</v>
      </c>
      <c r="AD45" s="11">
        <v>10691266893.5505</v>
      </c>
      <c r="AE45" s="11">
        <v>-798614491560.585</v>
      </c>
    </row>
    <row r="46" ht="13.5" customHeight="1" spans="1:31">
      <c r="A46" s="8" t="s">
        <v>530</v>
      </c>
      <c r="B46" s="11">
        <v>32697.36242917</v>
      </c>
      <c r="C46" s="11">
        <v>4.22786927847743</v>
      </c>
      <c r="E46" s="10">
        <v>46154</v>
      </c>
      <c r="F46" s="14">
        <v>2850744314103</v>
      </c>
      <c r="H46" s="10">
        <v>46149</v>
      </c>
      <c r="I46" s="11">
        <v>1730.5714</v>
      </c>
      <c r="K46" s="10">
        <v>46149</v>
      </c>
      <c r="L46" s="11">
        <v>2192.4618</v>
      </c>
      <c r="M46" s="11"/>
      <c r="O46" s="10">
        <v>46149</v>
      </c>
      <c r="P46" s="11">
        <v>-18.1829</v>
      </c>
      <c r="R46" s="10">
        <v>46149</v>
      </c>
      <c r="S46" s="11">
        <v>-23.4493</v>
      </c>
      <c r="X46" s="8" t="s">
        <v>534</v>
      </c>
      <c r="Y46" s="11">
        <v>247535.453535491</v>
      </c>
      <c r="AC46" s="10">
        <v>46090</v>
      </c>
      <c r="AD46" s="11">
        <v>5764202029.13544</v>
      </c>
      <c r="AE46" s="11">
        <v>-792850289531.45</v>
      </c>
    </row>
    <row r="47" ht="13.5" customHeight="1" spans="1:31">
      <c r="A47" s="8" t="s">
        <v>531</v>
      </c>
      <c r="B47" s="11">
        <v>35654.5283218</v>
      </c>
      <c r="C47" s="11">
        <v>4.60800734719984</v>
      </c>
      <c r="E47" s="10">
        <v>46153</v>
      </c>
      <c r="F47" s="14">
        <v>2833857790591</v>
      </c>
      <c r="H47" s="10">
        <v>46148</v>
      </c>
      <c r="I47" s="11">
        <v>1923.2961</v>
      </c>
      <c r="K47" s="10">
        <v>46148</v>
      </c>
      <c r="L47" s="11">
        <v>2219.1495</v>
      </c>
      <c r="M47" s="11"/>
      <c r="O47" s="10">
        <v>46148</v>
      </c>
      <c r="P47" s="11">
        <v>-11.8306</v>
      </c>
      <c r="R47" s="10">
        <v>46148</v>
      </c>
      <c r="S47" s="11">
        <v>-62.6198</v>
      </c>
      <c r="X47" s="8" t="s">
        <v>535</v>
      </c>
      <c r="Y47" s="11">
        <v>87230.4652204798</v>
      </c>
      <c r="AC47" s="10">
        <v>46091</v>
      </c>
      <c r="AD47" s="11">
        <v>-17073501439.6711</v>
      </c>
      <c r="AE47" s="11">
        <v>-809923790971.121</v>
      </c>
    </row>
    <row r="48" ht="13.5" customHeight="1" spans="1:31">
      <c r="A48" s="8" t="s">
        <v>532</v>
      </c>
      <c r="B48" s="11">
        <v>30757.19586376</v>
      </c>
      <c r="C48" s="11">
        <v>4.20229367314612</v>
      </c>
      <c r="E48" s="10">
        <v>46150</v>
      </c>
      <c r="F48" s="14">
        <v>2802501273707</v>
      </c>
      <c r="H48" s="10">
        <v>46142</v>
      </c>
      <c r="I48" s="11">
        <v>1688.765</v>
      </c>
      <c r="K48" s="10">
        <v>46142</v>
      </c>
      <c r="L48" s="11">
        <v>1818.0599</v>
      </c>
      <c r="M48" s="11"/>
      <c r="O48" s="10">
        <v>46142</v>
      </c>
      <c r="P48" s="11">
        <v>88.5097</v>
      </c>
      <c r="R48" s="10">
        <v>46142</v>
      </c>
      <c r="S48" s="11">
        <v>17.9728</v>
      </c>
      <c r="X48" s="8" t="s">
        <v>536</v>
      </c>
      <c r="Y48" s="11">
        <v>124837.190694933</v>
      </c>
      <c r="AC48" s="10">
        <v>46092</v>
      </c>
      <c r="AD48" s="11">
        <v>-14307206793.009</v>
      </c>
      <c r="AE48" s="11">
        <v>-824230997764.13</v>
      </c>
    </row>
    <row r="49" ht="13.5" customHeight="1" spans="1:31">
      <c r="A49" s="8" t="s">
        <v>533</v>
      </c>
      <c r="B49" s="11">
        <v>31682.69724249</v>
      </c>
      <c r="C49" s="11">
        <v>4.16843499852078</v>
      </c>
      <c r="E49" s="10">
        <v>46149</v>
      </c>
      <c r="F49" s="14">
        <v>2786436392025</v>
      </c>
      <c r="H49" s="10">
        <v>46141</v>
      </c>
      <c r="I49" s="11">
        <v>1533.0723</v>
      </c>
      <c r="K49" s="10">
        <v>46141</v>
      </c>
      <c r="L49" s="11">
        <v>1879.3428</v>
      </c>
      <c r="M49" s="11"/>
      <c r="O49" s="10">
        <v>46141</v>
      </c>
      <c r="P49" s="11">
        <v>10.4851</v>
      </c>
      <c r="R49" s="10">
        <v>46141</v>
      </c>
      <c r="S49" s="11">
        <v>-44.9339</v>
      </c>
      <c r="X49" s="8" t="s">
        <v>537</v>
      </c>
      <c r="Y49" s="11">
        <v>237937.326462982</v>
      </c>
      <c r="AC49" s="10">
        <v>46093</v>
      </c>
      <c r="AD49" s="11">
        <v>-3426819122.98987</v>
      </c>
      <c r="AE49" s="11">
        <v>-827682464862.135</v>
      </c>
    </row>
    <row r="50" ht="13.5" customHeight="1" spans="1:31">
      <c r="A50" s="8" t="s">
        <v>534</v>
      </c>
      <c r="B50" s="11">
        <v>32465.96327641</v>
      </c>
      <c r="C50" s="11">
        <v>4.23732865223239</v>
      </c>
      <c r="E50" s="10">
        <v>46148</v>
      </c>
      <c r="F50" s="14">
        <v>2756712595521</v>
      </c>
      <c r="H50" s="10">
        <v>46140</v>
      </c>
      <c r="I50" s="11">
        <v>1501.0643</v>
      </c>
      <c r="K50" s="10">
        <v>46140</v>
      </c>
      <c r="L50" s="11">
        <v>1832.0497</v>
      </c>
      <c r="M50" s="11"/>
      <c r="O50" s="10">
        <v>46140</v>
      </c>
      <c r="P50" s="11">
        <v>94.5822</v>
      </c>
      <c r="R50" s="10">
        <v>46140</v>
      </c>
      <c r="S50" s="11">
        <v>32.225</v>
      </c>
      <c r="X50" s="8" t="s">
        <v>538</v>
      </c>
      <c r="Y50" s="11">
        <v>201399.800179105</v>
      </c>
      <c r="AC50" s="10">
        <v>46094</v>
      </c>
      <c r="AD50" s="11">
        <v>10274575115.601</v>
      </c>
      <c r="AE50" s="11">
        <v>-817407889746.534</v>
      </c>
    </row>
    <row r="51" ht="13.5" customHeight="1" spans="1:31">
      <c r="A51" s="8" t="s">
        <v>537</v>
      </c>
      <c r="B51" s="11">
        <v>27592.05598067</v>
      </c>
      <c r="C51" s="11">
        <v>3.76384954490645</v>
      </c>
      <c r="E51" s="10">
        <v>46142</v>
      </c>
      <c r="F51" s="14">
        <v>2715208487233</v>
      </c>
      <c r="H51" s="10">
        <v>46139</v>
      </c>
      <c r="I51" s="11">
        <v>1348.7295</v>
      </c>
      <c r="K51" s="10">
        <v>46139</v>
      </c>
      <c r="L51" s="11">
        <v>1876.0477</v>
      </c>
      <c r="M51" s="11"/>
      <c r="O51" s="10">
        <v>46139</v>
      </c>
      <c r="P51" s="11">
        <v>42.5135</v>
      </c>
      <c r="R51" s="10">
        <v>46139</v>
      </c>
      <c r="S51" s="11">
        <v>-78.1117</v>
      </c>
      <c r="X51" s="8" t="s">
        <v>539</v>
      </c>
      <c r="Y51" s="11">
        <v>204305.173881986</v>
      </c>
      <c r="AC51" s="10">
        <v>46097</v>
      </c>
      <c r="AD51" s="11">
        <v>-2873091300.13309</v>
      </c>
      <c r="AE51" s="11">
        <v>-819766890046.667</v>
      </c>
    </row>
    <row r="52" ht="13.5" customHeight="1" spans="1:31">
      <c r="A52" s="8" t="s">
        <v>538</v>
      </c>
      <c r="B52" s="11">
        <v>26088.7389289</v>
      </c>
      <c r="C52" s="11">
        <v>3.73286319516424</v>
      </c>
      <c r="E52" s="10">
        <v>46141</v>
      </c>
      <c r="F52" s="14">
        <v>2732302217011</v>
      </c>
      <c r="H52" s="10">
        <v>46136</v>
      </c>
      <c r="I52" s="11">
        <v>1480.657</v>
      </c>
      <c r="K52" s="10">
        <v>46136</v>
      </c>
      <c r="L52" s="11">
        <v>1948.2478</v>
      </c>
      <c r="M52" s="11"/>
      <c r="O52" s="10">
        <v>46136</v>
      </c>
      <c r="P52" s="11">
        <v>36.3875</v>
      </c>
      <c r="R52" s="10">
        <v>46136</v>
      </c>
      <c r="S52" s="11">
        <v>-6.18680000000001</v>
      </c>
      <c r="X52" s="8" t="s">
        <v>540</v>
      </c>
      <c r="Y52" s="11">
        <v>191043.654137372</v>
      </c>
      <c r="AC52" s="10">
        <v>46098</v>
      </c>
      <c r="AD52" s="11">
        <v>-1551893035.33832</v>
      </c>
      <c r="AE52" s="11">
        <v>-821318783082.005</v>
      </c>
    </row>
    <row r="53" ht="13.5" customHeight="1" spans="1:31">
      <c r="A53" s="8" t="s">
        <v>539</v>
      </c>
      <c r="B53" s="11">
        <v>25504.73217357</v>
      </c>
      <c r="C53" s="11">
        <v>3.70437873134854</v>
      </c>
      <c r="E53" s="10">
        <v>46140</v>
      </c>
      <c r="F53" s="14">
        <v>2728436698193</v>
      </c>
      <c r="H53" s="10">
        <v>46135</v>
      </c>
      <c r="I53" s="11">
        <v>1570.8922</v>
      </c>
      <c r="K53" s="10">
        <v>46135</v>
      </c>
      <c r="L53" s="11">
        <v>1960.0604</v>
      </c>
      <c r="M53" s="11"/>
      <c r="O53" s="10">
        <v>46135</v>
      </c>
      <c r="P53" s="11">
        <v>52.3543</v>
      </c>
      <c r="R53" s="10">
        <v>46135</v>
      </c>
      <c r="S53" s="11">
        <v>22.7188</v>
      </c>
      <c r="X53" s="8" t="s">
        <v>541</v>
      </c>
      <c r="Y53" s="11">
        <v>190267.321430866</v>
      </c>
      <c r="AC53" s="10">
        <v>46099</v>
      </c>
      <c r="AD53" s="11">
        <v>-7906998750.95402</v>
      </c>
      <c r="AE53" s="11">
        <v>-828546057773.959</v>
      </c>
    </row>
    <row r="54" ht="13.5" customHeight="1" spans="1:31">
      <c r="A54" s="8" t="s">
        <v>540</v>
      </c>
      <c r="B54" s="11">
        <v>26048.07456078</v>
      </c>
      <c r="C54" s="11">
        <v>3.71677951102414</v>
      </c>
      <c r="E54" s="10">
        <v>46139</v>
      </c>
      <c r="F54" s="14">
        <v>2728530208429</v>
      </c>
      <c r="H54" s="10">
        <v>46134</v>
      </c>
      <c r="I54" s="11">
        <v>1288.5474</v>
      </c>
      <c r="K54" s="10">
        <v>46134</v>
      </c>
      <c r="L54" s="11">
        <v>1775.5017</v>
      </c>
      <c r="M54" s="11"/>
      <c r="O54" s="10">
        <v>46134</v>
      </c>
      <c r="P54" s="11">
        <v>37.0711</v>
      </c>
      <c r="R54" s="10">
        <v>46134</v>
      </c>
      <c r="S54" s="11">
        <v>5.56229999999999</v>
      </c>
      <c r="X54" s="8" t="s">
        <v>542</v>
      </c>
      <c r="Y54" s="11">
        <v>192363.617254496</v>
      </c>
      <c r="AC54" s="10">
        <v>46100</v>
      </c>
      <c r="AD54" s="11">
        <v>7771800435.54539</v>
      </c>
      <c r="AE54" s="11">
        <v>-819681637459.414</v>
      </c>
    </row>
    <row r="55" ht="13.5" customHeight="1" spans="1:31">
      <c r="A55" s="8" t="s">
        <v>541</v>
      </c>
      <c r="B55" s="11">
        <v>26576.22712603</v>
      </c>
      <c r="C55" s="11">
        <v>3.64475955728664</v>
      </c>
      <c r="E55" s="10">
        <v>46136</v>
      </c>
      <c r="F55" s="14">
        <v>2712786066717</v>
      </c>
      <c r="H55" s="10">
        <v>46133</v>
      </c>
      <c r="I55" s="11">
        <v>1248.3459</v>
      </c>
      <c r="K55" s="10">
        <v>46133</v>
      </c>
      <c r="L55" s="11">
        <v>1762.0839</v>
      </c>
      <c r="M55" s="11"/>
      <c r="O55" s="10">
        <v>46133</v>
      </c>
      <c r="P55" s="11">
        <v>39.0514</v>
      </c>
      <c r="R55" s="10">
        <v>46133</v>
      </c>
      <c r="S55" s="11">
        <v>-6.50239999999999</v>
      </c>
      <c r="X55" s="8" t="s">
        <v>543</v>
      </c>
      <c r="Y55" s="11">
        <v>183536.67112716</v>
      </c>
      <c r="AC55" s="10">
        <v>46101</v>
      </c>
      <c r="AD55" s="11">
        <v>569730758.332429</v>
      </c>
      <c r="AE55" s="11">
        <v>-817290732408.081</v>
      </c>
    </row>
    <row r="56" ht="13.5" customHeight="1" spans="1:31">
      <c r="A56" s="8" t="s">
        <v>542</v>
      </c>
      <c r="B56" s="11">
        <v>28233.15532636</v>
      </c>
      <c r="C56" s="11">
        <v>3.83430960882323</v>
      </c>
      <c r="E56" s="10">
        <v>46135</v>
      </c>
      <c r="F56" s="14">
        <v>2724272602086</v>
      </c>
      <c r="H56" s="10">
        <v>46132</v>
      </c>
      <c r="I56" s="11">
        <v>1289.7629</v>
      </c>
      <c r="K56" s="10">
        <v>46132</v>
      </c>
      <c r="L56" s="11">
        <v>1816.565</v>
      </c>
      <c r="M56" s="11"/>
      <c r="O56" s="10">
        <v>46132</v>
      </c>
      <c r="P56" s="11">
        <v>7.93579999999997</v>
      </c>
      <c r="R56" s="10">
        <v>46132</v>
      </c>
      <c r="S56" s="11">
        <v>-41.955</v>
      </c>
      <c r="X56" s="8" t="s">
        <v>544</v>
      </c>
      <c r="Y56" s="11">
        <v>165484.033555319</v>
      </c>
      <c r="AC56" s="10">
        <v>46104</v>
      </c>
      <c r="AD56" s="11">
        <v>19061565040.4899</v>
      </c>
      <c r="AE56" s="11">
        <v>-798229167367.591</v>
      </c>
    </row>
    <row r="57" ht="13.5" customHeight="1" spans="1:31">
      <c r="A57" s="8" t="s">
        <v>543</v>
      </c>
      <c r="B57" s="11">
        <v>25788.47156589</v>
      </c>
      <c r="C57" s="11">
        <v>3.59053322217781</v>
      </c>
      <c r="E57" s="10">
        <v>46134</v>
      </c>
      <c r="F57" s="14">
        <v>2720690098241</v>
      </c>
      <c r="H57" s="10">
        <v>46129</v>
      </c>
      <c r="I57" s="11">
        <v>1276.1149</v>
      </c>
      <c r="K57" s="10">
        <v>46129</v>
      </c>
      <c r="L57" s="11">
        <v>1704.5249</v>
      </c>
      <c r="M57" s="11"/>
      <c r="O57" s="10">
        <v>46129</v>
      </c>
      <c r="P57" s="11">
        <v>108.2718</v>
      </c>
      <c r="R57" s="10">
        <v>46129</v>
      </c>
      <c r="S57" s="11">
        <v>40.1039</v>
      </c>
      <c r="X57" s="8" t="s">
        <v>545</v>
      </c>
      <c r="Y57" s="11">
        <v>182783.142163294</v>
      </c>
      <c r="AC57" s="10">
        <v>46105</v>
      </c>
      <c r="AD57" s="11">
        <v>-15771778640.4297</v>
      </c>
      <c r="AE57" s="11">
        <v>-813584558215.021</v>
      </c>
    </row>
    <row r="58" ht="13.5" customHeight="1" spans="1:31">
      <c r="A58" s="8" t="s">
        <v>544</v>
      </c>
      <c r="B58" s="11">
        <v>24266.46682146</v>
      </c>
      <c r="C58" s="11">
        <v>3.53907414079288</v>
      </c>
      <c r="E58" s="10">
        <v>46133</v>
      </c>
      <c r="F58" s="14">
        <v>2706669382509</v>
      </c>
      <c r="H58" s="10">
        <v>46128</v>
      </c>
      <c r="I58" s="11">
        <v>1249.5595</v>
      </c>
      <c r="K58" s="10">
        <v>46128</v>
      </c>
      <c r="L58" s="11">
        <v>1675.4454</v>
      </c>
      <c r="M58" s="11"/>
      <c r="O58" s="10">
        <v>46128</v>
      </c>
      <c r="P58" s="11">
        <v>30.5591</v>
      </c>
      <c r="R58" s="10">
        <v>46128</v>
      </c>
      <c r="S58" s="11">
        <v>6.83580000000001</v>
      </c>
      <c r="X58" s="8" t="s">
        <v>546</v>
      </c>
      <c r="Y58" s="11">
        <v>181591.653241349</v>
      </c>
      <c r="AC58" s="10">
        <v>46106</v>
      </c>
      <c r="AD58" s="11">
        <v>-20882182537.7971</v>
      </c>
      <c r="AE58" s="11">
        <v>-834466740752.818</v>
      </c>
    </row>
    <row r="59" ht="13.5" customHeight="1" spans="1:31">
      <c r="A59" s="8" t="s">
        <v>545</v>
      </c>
      <c r="B59" s="11">
        <v>26065.22778409</v>
      </c>
      <c r="C59" s="11">
        <v>3.76265030536903</v>
      </c>
      <c r="E59" s="10">
        <v>46132</v>
      </c>
      <c r="F59" s="14">
        <v>2700259517709</v>
      </c>
      <c r="H59" s="10">
        <v>46127</v>
      </c>
      <c r="I59" s="11">
        <v>1310.6694</v>
      </c>
      <c r="K59" s="10">
        <v>46127</v>
      </c>
      <c r="L59" s="11">
        <v>1665.9676</v>
      </c>
      <c r="M59" s="11"/>
      <c r="O59" s="10">
        <v>46127</v>
      </c>
      <c r="P59" s="11">
        <v>18.5175</v>
      </c>
      <c r="R59" s="10">
        <v>46127</v>
      </c>
      <c r="S59" s="11">
        <v>18.2042</v>
      </c>
      <c r="X59" s="8" t="s">
        <v>547</v>
      </c>
      <c r="Y59" s="11">
        <v>201367.688951532</v>
      </c>
      <c r="AC59" s="10">
        <v>46107</v>
      </c>
      <c r="AD59" s="11">
        <v>6616061428.40979</v>
      </c>
      <c r="AE59" s="11">
        <v>-827409205473.408</v>
      </c>
    </row>
    <row r="60" ht="13.5" customHeight="1" spans="1:31">
      <c r="A60" s="8" t="s">
        <v>546</v>
      </c>
      <c r="B60" s="11">
        <v>24528.93221587</v>
      </c>
      <c r="C60" s="11">
        <v>3.70606168759778</v>
      </c>
      <c r="E60" s="10">
        <v>46129</v>
      </c>
      <c r="F60" s="14">
        <v>2671029389410</v>
      </c>
      <c r="H60" s="10">
        <v>46126</v>
      </c>
      <c r="I60" s="11">
        <v>1278.94</v>
      </c>
      <c r="K60" s="10">
        <v>46126</v>
      </c>
      <c r="L60" s="11">
        <v>1672.8508</v>
      </c>
      <c r="M60" s="11"/>
      <c r="O60" s="10">
        <v>46126</v>
      </c>
      <c r="P60" s="11">
        <v>-5.20940000000002</v>
      </c>
      <c r="R60" s="10">
        <v>46126</v>
      </c>
      <c r="S60" s="11">
        <v>-12.3235</v>
      </c>
      <c r="X60" s="8" t="s">
        <v>548</v>
      </c>
      <c r="Y60" s="11">
        <v>193571.796970636</v>
      </c>
      <c r="AC60" s="10">
        <v>46108</v>
      </c>
      <c r="AD60" s="11">
        <v>4142920288.95938</v>
      </c>
      <c r="AE60" s="11">
        <v>-822950465930.449</v>
      </c>
    </row>
    <row r="61" ht="13.5" customHeight="1" spans="1:31">
      <c r="A61" s="8" t="s">
        <v>547</v>
      </c>
      <c r="B61" s="11">
        <v>23549.62986554</v>
      </c>
      <c r="C61" s="11">
        <v>3.50902481750678</v>
      </c>
      <c r="E61" s="10">
        <v>46128</v>
      </c>
      <c r="F61" s="14">
        <v>2668730933522</v>
      </c>
      <c r="H61" s="10">
        <v>46125</v>
      </c>
      <c r="I61" s="11">
        <v>1182.9835</v>
      </c>
      <c r="K61" s="10">
        <v>46125</v>
      </c>
      <c r="L61" s="11">
        <v>1543.2445</v>
      </c>
      <c r="M61" s="11"/>
      <c r="O61" s="10">
        <v>46125</v>
      </c>
      <c r="P61" s="11">
        <v>37.2341</v>
      </c>
      <c r="R61" s="10">
        <v>46125</v>
      </c>
      <c r="S61" s="11">
        <v>-17.5969</v>
      </c>
      <c r="X61" s="8" t="s">
        <v>549</v>
      </c>
      <c r="Y61" s="11">
        <v>178662.073923431</v>
      </c>
      <c r="AC61" s="10">
        <v>46111</v>
      </c>
      <c r="AD61" s="11">
        <v>-3539407044.46729</v>
      </c>
      <c r="AE61" s="11">
        <v>-825956728675.916</v>
      </c>
    </row>
    <row r="62" ht="13.5" customHeight="1" spans="1:31">
      <c r="A62" s="8" t="s">
        <v>548</v>
      </c>
      <c r="B62" s="11">
        <v>24294.77820339</v>
      </c>
      <c r="C62" s="11">
        <v>3.48482676167502</v>
      </c>
      <c r="E62" s="10">
        <v>46127</v>
      </c>
      <c r="F62" s="14">
        <v>2657670695938</v>
      </c>
      <c r="H62" s="10">
        <v>46122</v>
      </c>
      <c r="I62" s="11">
        <v>1216.679</v>
      </c>
      <c r="K62" s="10">
        <v>46122</v>
      </c>
      <c r="L62" s="11">
        <v>1591.0585</v>
      </c>
      <c r="M62" s="11"/>
      <c r="O62" s="10">
        <v>46122</v>
      </c>
      <c r="P62" s="11">
        <v>-13.7457</v>
      </c>
      <c r="R62" s="10">
        <v>46122</v>
      </c>
      <c r="S62" s="11">
        <v>-10.8012</v>
      </c>
      <c r="X62" s="8" t="s">
        <v>550</v>
      </c>
      <c r="Y62" s="11">
        <v>162130.716902684</v>
      </c>
      <c r="AC62" s="10">
        <v>46112</v>
      </c>
      <c r="AD62" s="11">
        <v>8162984663.9838</v>
      </c>
      <c r="AE62" s="11">
        <v>-817793744011.932</v>
      </c>
    </row>
    <row r="63" ht="13.5" customHeight="1" spans="1:31">
      <c r="A63" s="8" t="s">
        <v>549</v>
      </c>
      <c r="B63" s="11">
        <v>23967.98587915</v>
      </c>
      <c r="C63" s="11">
        <v>3.40434653114951</v>
      </c>
      <c r="E63" s="10">
        <v>46126</v>
      </c>
      <c r="F63" s="14">
        <v>2647627220657</v>
      </c>
      <c r="H63" s="10">
        <v>46121</v>
      </c>
      <c r="I63" s="11">
        <v>1121.6016</v>
      </c>
      <c r="K63" s="10">
        <v>46121</v>
      </c>
      <c r="L63" s="11">
        <v>1471.581</v>
      </c>
      <c r="M63" s="11"/>
      <c r="O63" s="10">
        <v>46121</v>
      </c>
      <c r="P63" s="11">
        <v>71.4578</v>
      </c>
      <c r="R63" s="10">
        <v>46121</v>
      </c>
      <c r="S63" s="11">
        <v>38.5253</v>
      </c>
      <c r="X63" s="8" t="s">
        <v>551</v>
      </c>
      <c r="Y63" s="11">
        <v>190498.448717767</v>
      </c>
      <c r="AC63" s="10">
        <v>46113</v>
      </c>
      <c r="AD63" s="11">
        <v>-14685333712.6655</v>
      </c>
      <c r="AE63" s="11">
        <v>-831639433138.598</v>
      </c>
    </row>
    <row r="64" ht="13.5" customHeight="1" spans="1:31">
      <c r="A64" s="8" t="s">
        <v>550</v>
      </c>
      <c r="B64" s="11">
        <v>21630.64886938</v>
      </c>
      <c r="C64" s="11">
        <v>3.17654958446354</v>
      </c>
      <c r="E64" s="10">
        <v>46125</v>
      </c>
      <c r="F64" s="14">
        <v>2630735925306</v>
      </c>
      <c r="H64" s="10">
        <v>46120</v>
      </c>
      <c r="I64" s="11">
        <v>1368.4096</v>
      </c>
      <c r="K64" s="10">
        <v>46120</v>
      </c>
      <c r="L64" s="11">
        <v>1564.3379</v>
      </c>
      <c r="M64" s="11"/>
      <c r="O64" s="10">
        <v>46120</v>
      </c>
      <c r="P64" s="11">
        <v>-118.3285</v>
      </c>
      <c r="R64" s="10">
        <v>46120</v>
      </c>
      <c r="S64" s="11">
        <v>-69.6074</v>
      </c>
      <c r="X64" s="8" t="s">
        <v>552</v>
      </c>
      <c r="Y64" s="11">
        <v>182116.326331948</v>
      </c>
      <c r="AC64" s="10">
        <v>46114</v>
      </c>
      <c r="AD64" s="11">
        <v>-7254144035.94622</v>
      </c>
      <c r="AE64" s="11">
        <v>-837456937729.544</v>
      </c>
    </row>
    <row r="65" ht="13.5" customHeight="1" spans="1:31">
      <c r="A65" s="8" t="s">
        <v>551</v>
      </c>
      <c r="B65" s="11">
        <v>23376.11173968</v>
      </c>
      <c r="C65" s="11">
        <v>3.36339548332487</v>
      </c>
      <c r="E65" s="10">
        <v>46122</v>
      </c>
      <c r="F65" s="14">
        <v>2614403832155</v>
      </c>
      <c r="H65" s="10">
        <v>46114</v>
      </c>
      <c r="I65" s="11">
        <v>965.112</v>
      </c>
      <c r="K65" s="10">
        <v>46114</v>
      </c>
      <c r="L65" s="11">
        <v>1076.5135</v>
      </c>
      <c r="M65" s="11"/>
      <c r="O65" s="10">
        <v>46114</v>
      </c>
      <c r="P65" s="11">
        <v>97.5999</v>
      </c>
      <c r="R65" s="10">
        <v>46114</v>
      </c>
      <c r="S65" s="11">
        <v>76.9925</v>
      </c>
      <c r="X65" s="8" t="s">
        <v>553</v>
      </c>
      <c r="Y65" s="11">
        <v>286577.300370749</v>
      </c>
      <c r="AC65" s="10">
        <v>46115</v>
      </c>
      <c r="AD65" s="11">
        <v>9734717592.40527</v>
      </c>
      <c r="AE65" s="11">
        <v>-826552104955.139</v>
      </c>
    </row>
    <row r="66" ht="13.5" customHeight="1" spans="1:31">
      <c r="A66" s="8" t="s">
        <v>552</v>
      </c>
      <c r="B66" s="11">
        <v>21473.41438986</v>
      </c>
      <c r="C66" s="11">
        <v>3.29485591707924</v>
      </c>
      <c r="E66" s="10">
        <v>46121</v>
      </c>
      <c r="F66" s="14">
        <v>2608710586364</v>
      </c>
      <c r="H66" s="10">
        <v>46113</v>
      </c>
      <c r="I66" s="11">
        <v>1097.9241</v>
      </c>
      <c r="K66" s="10">
        <v>46113</v>
      </c>
      <c r="L66" s="11">
        <v>1193.8868</v>
      </c>
      <c r="M66" s="11"/>
      <c r="O66" s="15">
        <v>46113</v>
      </c>
      <c r="P66" s="16">
        <v>-59.4904</v>
      </c>
      <c r="R66" s="15">
        <v>46113</v>
      </c>
      <c r="S66" s="16">
        <v>-51.8207</v>
      </c>
      <c r="X66" s="8" t="s">
        <v>554</v>
      </c>
      <c r="Y66" s="11">
        <v>181237.519585801</v>
      </c>
      <c r="AC66" s="10">
        <v>46119</v>
      </c>
      <c r="AD66" s="11">
        <v>1850137467.99154</v>
      </c>
      <c r="AE66" s="11">
        <v>-824701967487.147</v>
      </c>
    </row>
    <row r="67" ht="13.5" customHeight="1" spans="1:31">
      <c r="A67" s="17" t="s">
        <v>553</v>
      </c>
      <c r="B67" s="16">
        <v>24506.44988823</v>
      </c>
      <c r="C67" s="16">
        <v>3.68079593627193</v>
      </c>
      <c r="E67" s="15">
        <v>46120</v>
      </c>
      <c r="F67" s="18">
        <v>2601533591144</v>
      </c>
      <c r="H67" s="10">
        <v>46112</v>
      </c>
      <c r="I67" s="11">
        <v>1155.5277</v>
      </c>
      <c r="K67" s="10">
        <v>46112</v>
      </c>
      <c r="L67" s="11">
        <v>1245.0112</v>
      </c>
      <c r="M67" s="11"/>
      <c r="O67" s="15">
        <v>46112</v>
      </c>
      <c r="P67" s="16">
        <v>22.2504</v>
      </c>
      <c r="R67" s="15">
        <v>46112</v>
      </c>
      <c r="S67" s="16">
        <v>-16.0331</v>
      </c>
      <c r="X67" s="8" t="s">
        <v>555</v>
      </c>
      <c r="Y67" s="11">
        <v>227615.36797068</v>
      </c>
      <c r="AC67" s="15">
        <v>46120</v>
      </c>
      <c r="AD67" s="16">
        <v>7321564622.39929</v>
      </c>
      <c r="AE67" s="16">
        <v>-817380402864.748</v>
      </c>
    </row>
    <row r="68" ht="13.5" customHeight="1" spans="1:31">
      <c r="A68" s="17" t="s">
        <v>556</v>
      </c>
      <c r="B68" s="16">
        <v>16235.81024468</v>
      </c>
      <c r="C68" s="16">
        <v>2.76447465925725</v>
      </c>
      <c r="E68" s="15">
        <v>46119</v>
      </c>
      <c r="F68" s="18">
        <v>2584963909375</v>
      </c>
      <c r="H68" s="10">
        <v>46111</v>
      </c>
      <c r="I68" s="11">
        <v>1153.7872</v>
      </c>
      <c r="K68" s="10">
        <v>46111</v>
      </c>
      <c r="L68" s="11">
        <v>1308.8749</v>
      </c>
      <c r="M68" s="11"/>
      <c r="O68" s="15">
        <v>46111</v>
      </c>
      <c r="P68" s="16">
        <v>14.7235</v>
      </c>
      <c r="R68" s="15">
        <v>46111</v>
      </c>
      <c r="S68" s="16">
        <v>-36.4847</v>
      </c>
      <c r="X68" s="8" t="s">
        <v>557</v>
      </c>
      <c r="Y68" s="11">
        <v>201870.829027451</v>
      </c>
      <c r="AC68" s="15">
        <v>46121</v>
      </c>
      <c r="AD68" s="16">
        <v>-22022009724.1402</v>
      </c>
      <c r="AE68" s="16">
        <v>-839171257650.888</v>
      </c>
    </row>
    <row r="69" ht="13.5" customHeight="1" spans="1:31">
      <c r="A69" s="17" t="s">
        <v>558</v>
      </c>
      <c r="B69" s="16">
        <v>16689.13111903</v>
      </c>
      <c r="C69" s="16">
        <v>2.91619798494889</v>
      </c>
      <c r="E69" s="15">
        <v>46115</v>
      </c>
      <c r="F69" s="18">
        <v>2580801527908</v>
      </c>
      <c r="H69" s="10">
        <v>46108</v>
      </c>
      <c r="I69" s="11">
        <v>1126.8368</v>
      </c>
      <c r="K69" s="10">
        <v>46108</v>
      </c>
      <c r="L69" s="11">
        <v>1318.8462</v>
      </c>
      <c r="M69" s="11"/>
      <c r="O69" s="15">
        <v>46108</v>
      </c>
      <c r="P69" s="16">
        <v>-1.59980000000002</v>
      </c>
      <c r="R69" s="15">
        <v>46108</v>
      </c>
      <c r="S69" s="16">
        <v>-23.8595</v>
      </c>
      <c r="X69" s="8" t="s">
        <v>559</v>
      </c>
      <c r="Y69" s="11">
        <v>216603.6993257</v>
      </c>
      <c r="AC69" s="15">
        <v>46122</v>
      </c>
      <c r="AD69" s="16">
        <v>-22711297191.8071</v>
      </c>
      <c r="AE69" s="16">
        <v>-861345810960.695</v>
      </c>
    </row>
    <row r="70" ht="13.5" customHeight="1" spans="1:31">
      <c r="A70" s="17" t="s">
        <v>554</v>
      </c>
      <c r="B70" s="16">
        <v>18577.89952382</v>
      </c>
      <c r="C70" s="16">
        <v>3.11562253537081</v>
      </c>
      <c r="E70" s="15">
        <v>46114</v>
      </c>
      <c r="F70" s="18">
        <v>2598672882158</v>
      </c>
      <c r="H70" s="10">
        <v>46107</v>
      </c>
      <c r="I70" s="11">
        <v>1163.6125</v>
      </c>
      <c r="K70" s="10">
        <v>46107</v>
      </c>
      <c r="L70" s="11">
        <v>1331.9015</v>
      </c>
      <c r="M70" s="11"/>
      <c r="O70" s="15">
        <v>46107</v>
      </c>
      <c r="P70" s="16">
        <v>32.7612</v>
      </c>
      <c r="R70" s="15">
        <v>46107</v>
      </c>
      <c r="S70" s="16">
        <v>-3.2518</v>
      </c>
      <c r="X70" s="8" t="s">
        <v>560</v>
      </c>
      <c r="Y70" s="11">
        <v>185097.037221786</v>
      </c>
      <c r="AC70" s="15">
        <v>46125</v>
      </c>
      <c r="AD70" s="16">
        <v>-16319298229.0231</v>
      </c>
      <c r="AE70" s="16">
        <v>-877665109189.718</v>
      </c>
    </row>
    <row r="71" ht="13.5" customHeight="1" spans="1:31">
      <c r="A71" s="17" t="s">
        <v>555</v>
      </c>
      <c r="B71" s="16">
        <v>20248.37697663</v>
      </c>
      <c r="C71" s="16">
        <v>3.19895562370342</v>
      </c>
      <c r="E71" s="15">
        <v>46113</v>
      </c>
      <c r="F71" s="18">
        <v>2609778831070</v>
      </c>
      <c r="H71" s="10">
        <v>46106</v>
      </c>
      <c r="I71" s="11">
        <v>1273.0835</v>
      </c>
      <c r="K71" s="10">
        <v>46106</v>
      </c>
      <c r="L71" s="11">
        <v>1461.3986</v>
      </c>
      <c r="M71" s="11"/>
      <c r="O71" s="15">
        <v>46106</v>
      </c>
      <c r="P71" s="16">
        <v>125.6573</v>
      </c>
      <c r="R71" s="15">
        <v>46106</v>
      </c>
      <c r="S71" s="16">
        <v>71.4373</v>
      </c>
      <c r="X71" s="8" t="s">
        <v>561</v>
      </c>
      <c r="Y71" s="11">
        <v>212305.086935307</v>
      </c>
      <c r="AC71" s="15">
        <v>46126</v>
      </c>
      <c r="AD71" s="16">
        <v>-8030248369.26217</v>
      </c>
      <c r="AE71" s="16">
        <v>-885471964855.981</v>
      </c>
    </row>
    <row r="72" ht="13.5" customHeight="1" spans="1:31">
      <c r="A72" s="17" t="s">
        <v>557</v>
      </c>
      <c r="B72" s="16">
        <v>20059.05366886</v>
      </c>
      <c r="C72" s="16">
        <v>3.21822397410258</v>
      </c>
      <c r="E72" s="15">
        <v>46112</v>
      </c>
      <c r="F72" s="18">
        <v>2608656966117</v>
      </c>
      <c r="H72" s="10">
        <v>46105</v>
      </c>
      <c r="I72" s="11">
        <v>1342.8299</v>
      </c>
      <c r="K72" s="10">
        <v>46105</v>
      </c>
      <c r="L72" s="11">
        <v>1550.0294</v>
      </c>
      <c r="M72" s="11"/>
      <c r="O72" s="15">
        <v>46105</v>
      </c>
      <c r="P72" s="16">
        <v>-150.5398</v>
      </c>
      <c r="R72" s="15">
        <v>46105</v>
      </c>
      <c r="S72" s="16">
        <v>-89.9996</v>
      </c>
      <c r="X72" s="8" t="s">
        <v>562</v>
      </c>
      <c r="Y72" s="11">
        <v>269648.261462399</v>
      </c>
      <c r="AC72" s="15">
        <v>46127</v>
      </c>
      <c r="AD72" s="16">
        <v>2072832850.09327</v>
      </c>
      <c r="AE72" s="16">
        <v>-883399132005.887</v>
      </c>
    </row>
    <row r="73" ht="13.5" customHeight="1" spans="1:31">
      <c r="A73" s="17" t="s">
        <v>559</v>
      </c>
      <c r="B73" s="16">
        <v>19275.48105482</v>
      </c>
      <c r="C73" s="16">
        <v>3.08235523723426</v>
      </c>
      <c r="E73" s="15">
        <v>46111</v>
      </c>
      <c r="F73" s="18">
        <v>2616913565994</v>
      </c>
      <c r="H73" s="10">
        <v>46104</v>
      </c>
      <c r="I73" s="11">
        <v>1607.5613</v>
      </c>
      <c r="K73" s="10">
        <v>46104</v>
      </c>
      <c r="L73" s="11">
        <v>1915.8449</v>
      </c>
      <c r="M73" s="11"/>
      <c r="O73" s="15">
        <v>46104</v>
      </c>
      <c r="P73" s="16">
        <v>131.698</v>
      </c>
      <c r="R73" s="15">
        <v>46104</v>
      </c>
      <c r="S73" s="16">
        <v>130.8559</v>
      </c>
      <c r="X73" s="17" t="s">
        <v>563</v>
      </c>
      <c r="Y73" s="16">
        <v>212036.836842629</v>
      </c>
      <c r="AC73" s="15">
        <v>46128</v>
      </c>
      <c r="AD73" s="16">
        <v>-1577827340.16932</v>
      </c>
      <c r="AE73" s="16">
        <v>-884976959346.057</v>
      </c>
    </row>
    <row r="74" ht="13.5" customHeight="1" spans="1:31">
      <c r="A74" s="17" t="s">
        <v>560</v>
      </c>
      <c r="B74" s="16">
        <v>18637.9235771</v>
      </c>
      <c r="C74" s="16">
        <v>2.96250075641615</v>
      </c>
      <c r="E74" s="15">
        <v>46108</v>
      </c>
      <c r="F74" s="18">
        <v>2608844590752</v>
      </c>
      <c r="H74" s="10">
        <v>46101</v>
      </c>
      <c r="I74" s="11">
        <v>1528.4082</v>
      </c>
      <c r="K74" s="10">
        <v>46101</v>
      </c>
      <c r="L74" s="11">
        <v>1862.4724</v>
      </c>
      <c r="M74" s="11"/>
      <c r="O74" s="15">
        <v>46101</v>
      </c>
      <c r="P74" s="16">
        <v>-130.7715</v>
      </c>
      <c r="R74" s="15">
        <v>46101</v>
      </c>
      <c r="S74" s="16">
        <v>-53.6069</v>
      </c>
      <c r="X74" s="17" t="s">
        <v>564</v>
      </c>
      <c r="Y74" s="16">
        <v>270343.58014486</v>
      </c>
      <c r="AC74" s="15">
        <v>46129</v>
      </c>
      <c r="AD74" s="16">
        <v>-7047571588.62166</v>
      </c>
      <c r="AE74" s="16">
        <v>-891278683560.678</v>
      </c>
    </row>
    <row r="75" ht="13.5" customHeight="1" spans="1:31">
      <c r="A75" s="17" t="s">
        <v>561</v>
      </c>
      <c r="B75" s="16">
        <v>19569.68363436</v>
      </c>
      <c r="C75" s="16">
        <v>3.10739915718776</v>
      </c>
      <c r="E75" s="15">
        <v>46107</v>
      </c>
      <c r="F75" s="18">
        <v>2616549595963</v>
      </c>
      <c r="H75" s="10">
        <v>46100</v>
      </c>
      <c r="I75" s="11">
        <v>1301.8614</v>
      </c>
      <c r="K75" s="10">
        <v>46100</v>
      </c>
      <c r="L75" s="11">
        <v>1444.4589</v>
      </c>
      <c r="M75" s="11"/>
      <c r="O75" s="15">
        <v>46100</v>
      </c>
      <c r="P75" s="16">
        <v>149.9865</v>
      </c>
      <c r="R75" s="15">
        <v>46100</v>
      </c>
      <c r="S75" s="16">
        <v>80.8959</v>
      </c>
      <c r="X75" s="17" t="s">
        <v>565</v>
      </c>
      <c r="Y75" s="16">
        <v>256641.881591156</v>
      </c>
      <c r="AC75" s="15">
        <v>46132</v>
      </c>
      <c r="AD75" s="16">
        <v>-12430238680.3006</v>
      </c>
      <c r="AE75" s="16">
        <v>-903437052995.979</v>
      </c>
    </row>
    <row r="76" ht="13.5" customHeight="1" spans="1:31">
      <c r="A76" s="17" t="s">
        <v>562</v>
      </c>
      <c r="B76" s="16">
        <v>21928.53021113</v>
      </c>
      <c r="C76" s="16">
        <v>3.3523539446058</v>
      </c>
      <c r="E76" s="15">
        <v>46106</v>
      </c>
      <c r="F76" s="18">
        <v>2617475306555</v>
      </c>
      <c r="H76" s="10">
        <v>46099</v>
      </c>
      <c r="I76" s="11">
        <v>1202.6808</v>
      </c>
      <c r="K76" s="10">
        <v>46099</v>
      </c>
      <c r="L76" s="11">
        <v>1433.8901</v>
      </c>
      <c r="M76" s="11"/>
      <c r="O76" s="15">
        <v>46099</v>
      </c>
      <c r="P76" s="16">
        <v>3.50409999999999</v>
      </c>
      <c r="R76" s="15">
        <v>46099</v>
      </c>
      <c r="S76" s="16">
        <v>7.1765</v>
      </c>
      <c r="X76" s="17" t="s">
        <v>566</v>
      </c>
      <c r="Y76" s="16">
        <v>225474.068343311</v>
      </c>
      <c r="AC76" s="15">
        <v>46133</v>
      </c>
      <c r="AD76" s="16">
        <v>-9261392697.68907</v>
      </c>
      <c r="AE76" s="16">
        <v>-912698445693.668</v>
      </c>
    </row>
    <row r="77" ht="13.5" customHeight="1" spans="1:31">
      <c r="A77" s="17" t="s">
        <v>563</v>
      </c>
      <c r="B77" s="16">
        <v>20960.69957122</v>
      </c>
      <c r="C77" s="16">
        <v>3.49857784508943</v>
      </c>
      <c r="E77" s="15">
        <v>46105</v>
      </c>
      <c r="F77" s="18">
        <v>2613598652609</v>
      </c>
      <c r="H77" s="10">
        <v>46098</v>
      </c>
      <c r="I77" s="11">
        <v>1275.5939</v>
      </c>
      <c r="K77" s="10">
        <v>46098</v>
      </c>
      <c r="L77" s="11">
        <v>1571.0555</v>
      </c>
      <c r="M77" s="11"/>
      <c r="O77" s="15">
        <v>46098</v>
      </c>
      <c r="P77" s="16">
        <v>-51.8395</v>
      </c>
      <c r="R77" s="15">
        <v>46098</v>
      </c>
      <c r="S77" s="16">
        <v>-49.0241</v>
      </c>
      <c r="X77" s="17" t="s">
        <v>567</v>
      </c>
      <c r="Y77" s="16">
        <v>187914.302390732</v>
      </c>
      <c r="AC77" s="15">
        <v>46134</v>
      </c>
      <c r="AD77" s="16">
        <v>-12434518590.6268</v>
      </c>
      <c r="AE77" s="16">
        <v>-925132964284.295</v>
      </c>
    </row>
    <row r="78" ht="13.5" customHeight="1" spans="1:31">
      <c r="A78" s="17" t="s">
        <v>564</v>
      </c>
      <c r="B78" s="16">
        <v>24481.05222371</v>
      </c>
      <c r="C78" s="16">
        <v>4.02143312095769</v>
      </c>
      <c r="E78" s="15">
        <v>46104</v>
      </c>
      <c r="F78" s="18">
        <v>2620030598152</v>
      </c>
      <c r="H78" s="10">
        <v>46097</v>
      </c>
      <c r="I78" s="11">
        <v>1409.9368</v>
      </c>
      <c r="K78" s="10">
        <v>46097</v>
      </c>
      <c r="L78" s="11">
        <v>1618.1124</v>
      </c>
      <c r="M78" s="11"/>
      <c r="O78" s="15">
        <v>46097</v>
      </c>
      <c r="P78" s="16">
        <v>-24.0961</v>
      </c>
      <c r="R78" s="15">
        <v>46097</v>
      </c>
      <c r="S78" s="16">
        <v>13.0904</v>
      </c>
      <c r="X78" s="17" t="s">
        <v>568</v>
      </c>
      <c r="Y78" s="16">
        <v>193781.545020771</v>
      </c>
      <c r="AC78" s="15">
        <v>46135</v>
      </c>
      <c r="AD78" s="16">
        <v>-22581003066.434</v>
      </c>
      <c r="AE78" s="16">
        <v>-947467639639.729</v>
      </c>
    </row>
    <row r="79" ht="13.5" customHeight="1" spans="1:31">
      <c r="A79" s="17" t="s">
        <v>565</v>
      </c>
      <c r="B79" s="16">
        <v>23028.24611707</v>
      </c>
      <c r="C79" s="16">
        <v>3.53290199761884</v>
      </c>
      <c r="E79" s="15">
        <v>46101</v>
      </c>
      <c r="F79" s="18">
        <v>2632293770603</v>
      </c>
      <c r="H79" s="10">
        <v>46094</v>
      </c>
      <c r="I79" s="11">
        <v>1382.7519</v>
      </c>
      <c r="K79" s="10">
        <v>46094</v>
      </c>
      <c r="L79" s="11">
        <v>1569.6953</v>
      </c>
      <c r="M79" s="11"/>
      <c r="O79" s="15">
        <v>46094</v>
      </c>
      <c r="P79" s="16">
        <v>104.263</v>
      </c>
      <c r="R79" s="15">
        <v>46094</v>
      </c>
      <c r="S79" s="16">
        <v>58.5711</v>
      </c>
      <c r="X79" s="17" t="s">
        <v>569</v>
      </c>
      <c r="Y79" s="16">
        <v>191278.074157667</v>
      </c>
      <c r="AC79" s="15">
        <v>46136</v>
      </c>
      <c r="AD79" s="16">
        <v>-7209366610.51698</v>
      </c>
      <c r="AE79" s="16">
        <v>-953644212802.246</v>
      </c>
    </row>
    <row r="80" ht="13.5" customHeight="1" spans="1:31">
      <c r="A80" s="17" t="s">
        <v>566</v>
      </c>
      <c r="B80" s="16">
        <v>21272.61718109</v>
      </c>
      <c r="C80" s="16">
        <v>3.29393013754521</v>
      </c>
      <c r="E80" s="15">
        <v>46100</v>
      </c>
      <c r="F80" s="18">
        <v>2650127824936</v>
      </c>
      <c r="H80" s="10">
        <v>46093</v>
      </c>
      <c r="I80" s="11">
        <v>1366.1039</v>
      </c>
      <c r="K80" s="10">
        <v>46093</v>
      </c>
      <c r="L80" s="11">
        <v>1595.6712</v>
      </c>
      <c r="M80" s="11"/>
      <c r="O80" s="15">
        <v>46093</v>
      </c>
      <c r="P80" s="16">
        <v>54.0515</v>
      </c>
      <c r="R80" s="15">
        <v>46093</v>
      </c>
      <c r="S80" s="16">
        <v>45.1061</v>
      </c>
      <c r="X80" s="17" t="s">
        <v>570</v>
      </c>
      <c r="Y80" s="16">
        <v>182288.400881114</v>
      </c>
      <c r="AC80" s="15">
        <v>46139</v>
      </c>
      <c r="AD80" s="16">
        <v>-24217899167.6306</v>
      </c>
      <c r="AE80" s="16">
        <v>-977425640684.876</v>
      </c>
    </row>
    <row r="81" ht="13.5" customHeight="1" spans="1:31">
      <c r="A81" s="17" t="s">
        <v>567</v>
      </c>
      <c r="B81" s="16">
        <v>20610.27859931</v>
      </c>
      <c r="C81" s="16">
        <v>3.18713402588931</v>
      </c>
      <c r="E81" s="15">
        <v>46099</v>
      </c>
      <c r="F81" s="18">
        <v>2654575417251</v>
      </c>
      <c r="H81" s="10">
        <v>46092</v>
      </c>
      <c r="I81" s="11">
        <v>1342.5392</v>
      </c>
      <c r="K81" s="10">
        <v>46092</v>
      </c>
      <c r="L81" s="11">
        <v>1694.6743</v>
      </c>
      <c r="M81" s="11"/>
      <c r="O81" s="15">
        <v>46092</v>
      </c>
      <c r="P81" s="16">
        <v>13.8914</v>
      </c>
      <c r="R81" s="15">
        <v>46092</v>
      </c>
      <c r="S81" s="16">
        <v>16.3895</v>
      </c>
      <c r="X81" s="17" t="s">
        <v>571</v>
      </c>
      <c r="Y81" s="16">
        <v>186003.978987012</v>
      </c>
      <c r="AC81" s="15">
        <v>46140</v>
      </c>
      <c r="AD81" s="16">
        <v>-22290520225.8463</v>
      </c>
      <c r="AE81" s="16">
        <v>-998445347871.723</v>
      </c>
    </row>
    <row r="82" ht="13.5" customHeight="1" spans="1:31">
      <c r="A82" s="17" t="s">
        <v>568</v>
      </c>
      <c r="B82" s="16">
        <v>22245.68131392</v>
      </c>
      <c r="C82" s="16">
        <v>3.43704431569147</v>
      </c>
      <c r="E82" s="15">
        <v>46098</v>
      </c>
      <c r="F82" s="18">
        <v>2652036377115</v>
      </c>
      <c r="H82" s="10">
        <v>46091</v>
      </c>
      <c r="I82" s="11">
        <v>1317.9397</v>
      </c>
      <c r="K82" s="10">
        <v>46091</v>
      </c>
      <c r="L82" s="11">
        <v>1646.8759</v>
      </c>
      <c r="M82" s="11"/>
      <c r="O82" s="15">
        <v>46091</v>
      </c>
      <c r="P82" s="16">
        <v>-99.426</v>
      </c>
      <c r="R82" s="15">
        <v>46091</v>
      </c>
      <c r="S82" s="16">
        <v>-58.2223</v>
      </c>
      <c r="X82" s="17" t="s">
        <v>572</v>
      </c>
      <c r="Y82" s="16">
        <v>206113.189465932</v>
      </c>
      <c r="AC82" s="15">
        <v>46141</v>
      </c>
      <c r="AD82" s="16">
        <v>963980165.709304</v>
      </c>
      <c r="AE82" s="16">
        <v>-997481367706.013</v>
      </c>
    </row>
    <row r="83" ht="13.5" customHeight="1" spans="1:31">
      <c r="A83" s="17" t="s">
        <v>569</v>
      </c>
      <c r="B83" s="16">
        <v>23399.03116308</v>
      </c>
      <c r="C83" s="16">
        <v>3.42418295188274</v>
      </c>
      <c r="E83" s="15">
        <v>46097</v>
      </c>
      <c r="F83" s="18">
        <v>2661379572955</v>
      </c>
      <c r="H83" s="10">
        <v>46090</v>
      </c>
      <c r="I83" s="11">
        <v>1648.4823</v>
      </c>
      <c r="K83" s="10">
        <v>46090</v>
      </c>
      <c r="L83" s="11">
        <v>1963.4834</v>
      </c>
      <c r="M83" s="11"/>
      <c r="O83" s="15">
        <v>46090</v>
      </c>
      <c r="P83" s="16">
        <v>231.1001</v>
      </c>
      <c r="R83" s="15">
        <v>46090</v>
      </c>
      <c r="S83" s="16">
        <v>98.8381</v>
      </c>
      <c r="X83" s="17" t="s">
        <v>573</v>
      </c>
      <c r="Y83" s="16">
        <v>232260.238327159</v>
      </c>
      <c r="AC83" s="15">
        <v>46142</v>
      </c>
      <c r="AD83" s="16">
        <v>-34525113934.3808</v>
      </c>
      <c r="AE83" s="16">
        <v>-1030653235575.39</v>
      </c>
    </row>
    <row r="84" ht="13.5" customHeight="1" spans="1:31">
      <c r="A84" s="17" t="s">
        <v>570</v>
      </c>
      <c r="B84" s="16">
        <v>24172.75519133</v>
      </c>
      <c r="C84" s="16">
        <v>3.55370261877476</v>
      </c>
      <c r="E84" s="15">
        <v>46094</v>
      </c>
      <c r="F84" s="18">
        <v>2651711225368</v>
      </c>
      <c r="H84" s="10">
        <v>46087</v>
      </c>
      <c r="I84" s="11">
        <v>1317.5409</v>
      </c>
      <c r="K84" s="10">
        <v>46087</v>
      </c>
      <c r="L84" s="11">
        <v>1508.9265</v>
      </c>
      <c r="M84" s="11"/>
      <c r="O84" s="15">
        <v>46087</v>
      </c>
      <c r="P84" s="16">
        <v>-12.9084</v>
      </c>
      <c r="R84" s="15">
        <v>46087</v>
      </c>
      <c r="S84" s="16">
        <v>-6.38330000000002</v>
      </c>
      <c r="X84" s="17" t="s">
        <v>574</v>
      </c>
      <c r="Y84" s="16">
        <v>286006.663619376</v>
      </c>
      <c r="AC84" s="15">
        <v>46148</v>
      </c>
      <c r="AD84" s="16">
        <v>-21161086655.1999</v>
      </c>
      <c r="AE84" s="16">
        <v>-1051211241895.59</v>
      </c>
    </row>
    <row r="85" ht="13.5" customHeight="1" spans="1:31">
      <c r="A85" s="17" t="s">
        <v>571</v>
      </c>
      <c r="B85" s="16">
        <v>24605.5524876</v>
      </c>
      <c r="C85" s="16">
        <v>3.61782030918932</v>
      </c>
      <c r="E85" s="15">
        <v>46093</v>
      </c>
      <c r="F85" s="18">
        <v>2664657882919</v>
      </c>
      <c r="H85" s="10">
        <v>46086</v>
      </c>
      <c r="I85" s="11">
        <v>1475.6578</v>
      </c>
      <c r="K85" s="10">
        <v>46086</v>
      </c>
      <c r="L85" s="11">
        <v>1687.8164</v>
      </c>
      <c r="M85" s="11"/>
      <c r="O85" s="15">
        <v>46086</v>
      </c>
      <c r="P85" s="16">
        <v>-143.2478</v>
      </c>
      <c r="R85" s="15">
        <v>46086</v>
      </c>
      <c r="S85" s="16">
        <v>-101.4166</v>
      </c>
      <c r="X85" s="17" t="s">
        <v>575</v>
      </c>
      <c r="Y85" s="16">
        <v>230992.741403691</v>
      </c>
      <c r="AC85" s="15">
        <v>46149</v>
      </c>
      <c r="AD85" s="16">
        <v>-38615226749.4928</v>
      </c>
      <c r="AE85" s="16">
        <v>-1089826468645.09</v>
      </c>
    </row>
    <row r="86" ht="13.5" customHeight="1" spans="1:31">
      <c r="A86" s="17" t="s">
        <v>572</v>
      </c>
      <c r="B86" s="16">
        <v>25282.9390134</v>
      </c>
      <c r="C86" s="16">
        <v>3.72178816183283</v>
      </c>
      <c r="E86" s="15">
        <v>46092</v>
      </c>
      <c r="F86" s="18">
        <v>2661240380011</v>
      </c>
      <c r="H86" s="10">
        <v>46085</v>
      </c>
      <c r="I86" s="11">
        <v>1566.2509</v>
      </c>
      <c r="K86" s="10">
        <v>46085</v>
      </c>
      <c r="L86" s="11">
        <v>1731.5692</v>
      </c>
      <c r="M86" s="11"/>
      <c r="O86" s="15">
        <v>46085</v>
      </c>
      <c r="P86" s="16">
        <v>-9.64510000000001</v>
      </c>
      <c r="R86" s="15">
        <v>46085</v>
      </c>
      <c r="S86" s="16">
        <v>5.53119999999998</v>
      </c>
      <c r="X86" s="17" t="s">
        <v>576</v>
      </c>
      <c r="Y86" s="16">
        <v>220795.451940973</v>
      </c>
      <c r="AC86" s="15">
        <v>46150</v>
      </c>
      <c r="AD86" s="16">
        <v>-27381497806.7087</v>
      </c>
      <c r="AE86" s="16">
        <v>-1116195375041.8</v>
      </c>
    </row>
    <row r="87" ht="13.5" customHeight="1" spans="1:31">
      <c r="A87" s="17" t="s">
        <v>573</v>
      </c>
      <c r="B87" s="16">
        <v>24168.29506592</v>
      </c>
      <c r="C87" s="16">
        <v>3.60210773489039</v>
      </c>
      <c r="E87" s="15">
        <v>46091</v>
      </c>
      <c r="F87" s="18">
        <v>2655340227346</v>
      </c>
      <c r="H87" s="10">
        <v>46084</v>
      </c>
      <c r="I87" s="11">
        <v>1955.2793</v>
      </c>
      <c r="K87" s="10">
        <v>46084</v>
      </c>
      <c r="L87" s="11">
        <v>2186.2252</v>
      </c>
      <c r="M87" s="11"/>
      <c r="O87" s="15">
        <v>46084</v>
      </c>
      <c r="P87" s="16">
        <v>24.3690999999999</v>
      </c>
      <c r="R87" s="15">
        <v>46084</v>
      </c>
      <c r="S87" s="16">
        <v>29.4116</v>
      </c>
      <c r="X87" s="17" t="s">
        <v>577</v>
      </c>
      <c r="Y87" s="16">
        <v>264146.365639555</v>
      </c>
      <c r="AC87" s="15">
        <v>46153</v>
      </c>
      <c r="AD87" s="16">
        <v>-50923476057.2598</v>
      </c>
      <c r="AE87" s="16">
        <v>-1166829802099.06</v>
      </c>
    </row>
    <row r="88" ht="13.5" customHeight="1" spans="1:31">
      <c r="A88" s="17" t="s">
        <v>574</v>
      </c>
      <c r="B88" s="16">
        <v>26705.81822513</v>
      </c>
      <c r="C88" s="16">
        <v>3.97799793954342</v>
      </c>
      <c r="E88" s="15">
        <v>46090</v>
      </c>
      <c r="F88" s="18">
        <v>2645639404954</v>
      </c>
      <c r="H88" s="10">
        <v>46083</v>
      </c>
      <c r="I88" s="11">
        <v>1746.1801</v>
      </c>
      <c r="K88" s="10">
        <v>46083</v>
      </c>
      <c r="L88" s="11">
        <v>2038.8825</v>
      </c>
      <c r="M88" s="11"/>
      <c r="O88" s="15">
        <v>46083</v>
      </c>
      <c r="P88" s="16">
        <v>71.4154</v>
      </c>
      <c r="R88" s="15">
        <v>46083</v>
      </c>
      <c r="S88" s="16">
        <v>71.4016</v>
      </c>
      <c r="X88" s="17" t="s">
        <v>578</v>
      </c>
      <c r="Y88" s="16">
        <v>277861.994162374</v>
      </c>
      <c r="AC88" s="15">
        <v>46154</v>
      </c>
      <c r="AD88" s="16">
        <v>-27157133299.1609</v>
      </c>
      <c r="AE88" s="16">
        <v>-1193189250222.22</v>
      </c>
    </row>
    <row r="89" ht="13.5" customHeight="1" spans="1:31">
      <c r="A89" s="17" t="s">
        <v>575</v>
      </c>
      <c r="B89" s="16">
        <v>22192.38855323</v>
      </c>
      <c r="C89" s="16">
        <v>3.50258873935623</v>
      </c>
      <c r="E89" s="15">
        <v>46087</v>
      </c>
      <c r="F89" s="18">
        <v>2645561354599</v>
      </c>
      <c r="H89" s="10">
        <v>46080</v>
      </c>
      <c r="I89" s="11">
        <v>1616.9104</v>
      </c>
      <c r="K89" s="10">
        <v>46080</v>
      </c>
      <c r="L89" s="11">
        <v>1798.5179</v>
      </c>
      <c r="M89" s="11"/>
      <c r="O89" s="15">
        <v>46080</v>
      </c>
      <c r="P89" s="16">
        <v>67.6055</v>
      </c>
      <c r="R89" s="15">
        <v>46080</v>
      </c>
      <c r="S89" s="16">
        <v>63.7805</v>
      </c>
      <c r="X89" s="17" t="s">
        <v>579</v>
      </c>
      <c r="Y89" s="16">
        <v>267342.963431275</v>
      </c>
      <c r="AC89" s="15">
        <v>46155</v>
      </c>
      <c r="AD89" s="16">
        <v>-17724115933.3359</v>
      </c>
      <c r="AE89" s="16">
        <v>-1209621314525.55</v>
      </c>
    </row>
    <row r="90" ht="13.5" customHeight="1" spans="1:31">
      <c r="A90" s="17" t="s">
        <v>576</v>
      </c>
      <c r="B90" s="16">
        <v>24125.90766721</v>
      </c>
      <c r="C90" s="16">
        <v>3.64818172647074</v>
      </c>
      <c r="E90" s="15">
        <v>46086</v>
      </c>
      <c r="F90" s="18">
        <v>2651805522583</v>
      </c>
      <c r="H90" s="10">
        <v>46079</v>
      </c>
      <c r="I90" s="11">
        <v>1450.5934</v>
      </c>
      <c r="K90" s="10">
        <v>46079</v>
      </c>
      <c r="L90" s="11">
        <v>1717.9043</v>
      </c>
      <c r="M90" s="11"/>
      <c r="O90" s="15">
        <v>46079</v>
      </c>
      <c r="P90" s="16">
        <v>-20.1855</v>
      </c>
      <c r="R90" s="15">
        <v>46079</v>
      </c>
      <c r="S90" s="16">
        <v>-44.1601</v>
      </c>
      <c r="X90" s="17" t="s">
        <v>580</v>
      </c>
      <c r="Y90" s="16">
        <v>226216.5028386</v>
      </c>
      <c r="AC90" s="15">
        <v>46156</v>
      </c>
      <c r="AD90" s="16">
        <v>-22759217765.1692</v>
      </c>
      <c r="AE90" s="16">
        <v>-1231508519120.72</v>
      </c>
    </row>
    <row r="91" ht="13.5" customHeight="1" spans="1:31">
      <c r="A91" s="17" t="s">
        <v>577</v>
      </c>
      <c r="B91" s="16">
        <v>23879.41675351</v>
      </c>
      <c r="C91" s="16">
        <v>3.62661398327377</v>
      </c>
      <c r="E91" s="15">
        <v>46085</v>
      </c>
      <c r="F91" s="18">
        <v>2642687694292</v>
      </c>
      <c r="H91" s="10">
        <v>46078</v>
      </c>
      <c r="I91" s="11">
        <v>1513.1707</v>
      </c>
      <c r="K91" s="10">
        <v>46078</v>
      </c>
      <c r="L91" s="11">
        <v>1682.2032</v>
      </c>
      <c r="M91" s="11"/>
      <c r="O91" s="15">
        <v>46078</v>
      </c>
      <c r="P91" s="16">
        <v>-48.2219</v>
      </c>
      <c r="R91" s="15">
        <v>46078</v>
      </c>
      <c r="S91" s="16">
        <v>12.6261</v>
      </c>
      <c r="X91" s="17" t="s">
        <v>581</v>
      </c>
      <c r="Y91" s="16">
        <v>207904.155678305</v>
      </c>
      <c r="AC91" s="15">
        <v>46157</v>
      </c>
      <c r="AD91" s="16">
        <v>-6033451744.10078</v>
      </c>
      <c r="AE91" s="16">
        <v>-1235864299699.82</v>
      </c>
    </row>
    <row r="92" ht="13.5" customHeight="1" spans="1:31">
      <c r="A92" s="17" t="s">
        <v>578</v>
      </c>
      <c r="B92" s="16">
        <v>31575.57743652</v>
      </c>
      <c r="C92" s="16">
        <v>4.63030178453476</v>
      </c>
      <c r="E92" s="15">
        <v>46084</v>
      </c>
      <c r="F92" s="18">
        <v>2651311189878</v>
      </c>
      <c r="H92" s="10">
        <v>46077</v>
      </c>
      <c r="I92" s="11">
        <v>1452.7494</v>
      </c>
      <c r="K92" s="10">
        <v>46077</v>
      </c>
      <c r="L92" s="11">
        <v>1718.8636</v>
      </c>
      <c r="M92" s="11"/>
      <c r="O92" s="15">
        <v>46077</v>
      </c>
      <c r="P92" s="16">
        <v>8.4579</v>
      </c>
      <c r="R92" s="15">
        <v>46077</v>
      </c>
      <c r="S92" s="16">
        <v>19.1023</v>
      </c>
      <c r="X92" s="17" t="s">
        <v>582</v>
      </c>
      <c r="Y92" s="16">
        <v>175095.722503433</v>
      </c>
      <c r="AC92" s="15">
        <v>46160</v>
      </c>
      <c r="AD92" s="16">
        <v>-11869001181.6867</v>
      </c>
      <c r="AE92" s="16">
        <v>-1247496084881.51</v>
      </c>
    </row>
    <row r="93" ht="13.5" customHeight="1" spans="1:31">
      <c r="A93" s="17" t="s">
        <v>579</v>
      </c>
      <c r="B93" s="16">
        <v>30457.64686707</v>
      </c>
      <c r="C93" s="16">
        <v>4.42315323981459</v>
      </c>
      <c r="E93" s="15">
        <v>46083</v>
      </c>
      <c r="F93" s="18">
        <v>2674006801808</v>
      </c>
      <c r="H93" s="10">
        <v>46066</v>
      </c>
      <c r="I93" s="11">
        <v>1244.5361</v>
      </c>
      <c r="K93" s="10">
        <v>46066</v>
      </c>
      <c r="L93" s="11">
        <v>1451.8776</v>
      </c>
      <c r="M93" s="11"/>
      <c r="O93" s="15">
        <v>46066</v>
      </c>
      <c r="P93" s="16">
        <v>101.5607</v>
      </c>
      <c r="R93" s="15">
        <v>46066</v>
      </c>
      <c r="S93" s="16">
        <v>77.3684</v>
      </c>
      <c r="X93" s="17" t="s">
        <v>583</v>
      </c>
      <c r="Y93" s="16">
        <v>203023.958549541</v>
      </c>
      <c r="AC93" s="15">
        <v>46161</v>
      </c>
      <c r="AD93" s="16">
        <v>-15978310550.2573</v>
      </c>
      <c r="AE93" s="16">
        <v>-1263212615260.77</v>
      </c>
    </row>
    <row r="94" ht="13.5" customHeight="1" spans="1:31">
      <c r="A94" s="17" t="s">
        <v>580</v>
      </c>
      <c r="B94" s="16">
        <v>25054.80227081</v>
      </c>
      <c r="C94" s="16">
        <v>3.58391596486207</v>
      </c>
      <c r="E94" s="15">
        <v>46080</v>
      </c>
      <c r="F94" s="18">
        <v>2669197612430</v>
      </c>
      <c r="H94" s="10">
        <v>46065</v>
      </c>
      <c r="I94" s="11">
        <v>1347.2672</v>
      </c>
      <c r="K94" s="10">
        <v>46065</v>
      </c>
      <c r="L94" s="11">
        <v>1549.3184</v>
      </c>
      <c r="M94" s="11"/>
      <c r="O94" s="15">
        <v>46065</v>
      </c>
      <c r="P94" s="16">
        <v>41.1353</v>
      </c>
      <c r="R94" s="15">
        <v>46065</v>
      </c>
      <c r="S94" s="16">
        <v>-0.784300000000002</v>
      </c>
      <c r="X94" s="17" t="s">
        <v>584</v>
      </c>
      <c r="Y94" s="16">
        <v>122096.939525056</v>
      </c>
      <c r="AC94" s="15">
        <v>46162</v>
      </c>
      <c r="AD94" s="16">
        <v>-19438450511.1565</v>
      </c>
      <c r="AE94" s="16">
        <v>-1282178115623.92</v>
      </c>
    </row>
    <row r="95" ht="13.5" customHeight="1" spans="1:31">
      <c r="A95" s="17" t="s">
        <v>581</v>
      </c>
      <c r="B95" s="16">
        <v>25566.39456212</v>
      </c>
      <c r="C95" s="16">
        <v>3.69648428125062</v>
      </c>
      <c r="E95" s="15">
        <v>46079</v>
      </c>
      <c r="F95" s="18">
        <v>2667040269070</v>
      </c>
      <c r="H95" s="10">
        <v>46064</v>
      </c>
      <c r="I95" s="11">
        <v>1181.6409</v>
      </c>
      <c r="K95" s="10">
        <v>46064</v>
      </c>
      <c r="L95" s="11">
        <v>1345.6201</v>
      </c>
      <c r="M95" s="11"/>
      <c r="O95" s="15">
        <v>46064</v>
      </c>
      <c r="P95" s="16">
        <v>24.9732</v>
      </c>
      <c r="R95" s="15">
        <v>46064</v>
      </c>
      <c r="S95" s="16">
        <v>17.6152</v>
      </c>
      <c r="X95" s="17" t="s">
        <v>585</v>
      </c>
      <c r="Y95" s="16">
        <v>118524.590531197</v>
      </c>
      <c r="AC95" s="15">
        <v>46163</v>
      </c>
      <c r="AD95" s="16">
        <v>-3226111141.89485</v>
      </c>
      <c r="AE95" s="16">
        <v>-1284535351109.82</v>
      </c>
    </row>
    <row r="96" ht="13.5" customHeight="1" spans="1:31">
      <c r="A96" s="17" t="s">
        <v>582</v>
      </c>
      <c r="B96" s="16">
        <v>24808.9198269</v>
      </c>
      <c r="C96" s="16">
        <v>3.57364991047984</v>
      </c>
      <c r="E96" s="15">
        <v>46078</v>
      </c>
      <c r="F96" s="18">
        <v>2646626299252</v>
      </c>
      <c r="H96" s="10">
        <v>46063</v>
      </c>
      <c r="I96" s="11">
        <v>1217.6316</v>
      </c>
      <c r="K96" s="10">
        <v>46063</v>
      </c>
      <c r="L96" s="11">
        <v>1368.0011</v>
      </c>
      <c r="M96" s="11"/>
      <c r="O96" s="15">
        <v>46063</v>
      </c>
      <c r="P96" s="16">
        <v>9.75890000000001</v>
      </c>
      <c r="R96" s="15">
        <v>46063</v>
      </c>
      <c r="S96" s="16">
        <v>-9.00279999999998</v>
      </c>
      <c r="X96" s="17" t="s">
        <v>586</v>
      </c>
      <c r="Y96" s="16">
        <v>59786.1569788918</v>
      </c>
      <c r="AC96" s="15">
        <v>46164</v>
      </c>
      <c r="AD96" s="16">
        <v>-8628981170.33686</v>
      </c>
      <c r="AE96" s="16">
        <v>-1292300249280.15</v>
      </c>
    </row>
    <row r="97" ht="13.5" customHeight="1" spans="1:31">
      <c r="A97" s="17" t="s">
        <v>583</v>
      </c>
      <c r="B97" s="16">
        <v>22181.60722196</v>
      </c>
      <c r="C97" s="16">
        <v>3.34891685310778</v>
      </c>
      <c r="E97" s="15">
        <v>46077</v>
      </c>
      <c r="F97" s="18">
        <v>2622756718268</v>
      </c>
      <c r="H97" s="10">
        <v>46062</v>
      </c>
      <c r="I97" s="11">
        <v>1257.6807</v>
      </c>
      <c r="K97" s="10">
        <v>46062</v>
      </c>
      <c r="L97" s="11">
        <v>1472.3737</v>
      </c>
      <c r="M97" s="11"/>
      <c r="O97" s="15">
        <v>46062</v>
      </c>
      <c r="P97" s="16">
        <v>-14.5644</v>
      </c>
      <c r="R97" s="15">
        <v>46062</v>
      </c>
      <c r="S97" s="16">
        <v>-2.14180000000002</v>
      </c>
      <c r="X97" s="17" t="s">
        <v>587</v>
      </c>
      <c r="Y97" s="16">
        <v>192782.879614151</v>
      </c>
      <c r="AC97" s="15">
        <v>46167</v>
      </c>
      <c r="AD97" s="16">
        <v>-43799062338.8892</v>
      </c>
      <c r="AE97" s="16">
        <v>-1335549503832.04</v>
      </c>
    </row>
    <row r="98" ht="13.5" customHeight="1" spans="1:31">
      <c r="A98" s="17" t="s">
        <v>587</v>
      </c>
      <c r="B98" s="16">
        <v>19989.41692928</v>
      </c>
      <c r="C98" s="16">
        <v>3.00915017324884</v>
      </c>
      <c r="E98" s="15">
        <v>46066</v>
      </c>
      <c r="F98" s="18">
        <v>2588125152783</v>
      </c>
      <c r="H98" s="10">
        <v>46059</v>
      </c>
      <c r="I98" s="11">
        <v>1344.1369</v>
      </c>
      <c r="K98" s="10">
        <v>46059</v>
      </c>
      <c r="L98" s="11">
        <v>1533.0323</v>
      </c>
      <c r="M98" s="11"/>
      <c r="O98" s="15">
        <v>46059</v>
      </c>
      <c r="P98" s="16">
        <v>63.1987</v>
      </c>
      <c r="R98" s="15">
        <v>46059</v>
      </c>
      <c r="S98" s="16">
        <v>68.8343</v>
      </c>
      <c r="X98" s="17" t="s">
        <v>588</v>
      </c>
      <c r="Y98" s="16">
        <v>193394.835151702</v>
      </c>
      <c r="AC98" s="15">
        <v>46168</v>
      </c>
      <c r="AD98" s="16">
        <v>2350581674.27767</v>
      </c>
      <c r="AE98" s="16">
        <v>-1331424118157.77</v>
      </c>
    </row>
    <row r="99" ht="13.5" customHeight="1" spans="1:31">
      <c r="A99" s="17" t="s">
        <v>588</v>
      </c>
      <c r="B99" s="16">
        <v>21607.70686539</v>
      </c>
      <c r="C99" s="16">
        <v>3.30954205356433</v>
      </c>
      <c r="E99" s="15">
        <v>46065</v>
      </c>
      <c r="F99" s="18">
        <v>2645602043140</v>
      </c>
      <c r="H99" s="10">
        <v>46058</v>
      </c>
      <c r="I99" s="11">
        <v>1420.9443</v>
      </c>
      <c r="K99" s="10">
        <v>46058</v>
      </c>
      <c r="L99" s="11">
        <v>1468.4362</v>
      </c>
      <c r="M99" s="11"/>
      <c r="O99" s="15">
        <v>46058</v>
      </c>
      <c r="P99" s="16">
        <v>110.9592</v>
      </c>
      <c r="R99" s="15">
        <v>46058</v>
      </c>
      <c r="S99" s="16">
        <v>111.0971</v>
      </c>
      <c r="X99" s="17" t="s">
        <v>589</v>
      </c>
      <c r="Y99" s="16">
        <v>176791.84464163</v>
      </c>
      <c r="AC99" s="15">
        <v>46169</v>
      </c>
      <c r="AD99" s="16">
        <v>-5171021612.74731</v>
      </c>
      <c r="AE99" s="16">
        <v>-1336595139770.51</v>
      </c>
    </row>
    <row r="100" ht="13.5" customHeight="1" spans="1:31">
      <c r="A100" s="17" t="s">
        <v>589</v>
      </c>
      <c r="B100" s="16">
        <v>20010.43433689</v>
      </c>
      <c r="C100" s="16">
        <v>3.13734123499569</v>
      </c>
      <c r="E100" s="15">
        <v>46064</v>
      </c>
      <c r="F100" s="18">
        <v>2644434811899</v>
      </c>
      <c r="H100" s="10">
        <v>46057</v>
      </c>
      <c r="I100" s="11">
        <v>1533.678</v>
      </c>
      <c r="K100" s="10">
        <v>46057</v>
      </c>
      <c r="L100" s="11">
        <v>1695.3664</v>
      </c>
      <c r="M100" s="11"/>
      <c r="O100" s="15">
        <v>46057</v>
      </c>
      <c r="P100" s="16">
        <v>65.6585</v>
      </c>
      <c r="R100" s="15">
        <v>46057</v>
      </c>
      <c r="S100" s="16">
        <v>53.1075</v>
      </c>
      <c r="X100" s="17" t="s">
        <v>590</v>
      </c>
      <c r="Y100" s="16">
        <v>185737.275724282</v>
      </c>
      <c r="AC100" s="15">
        <v>46170</v>
      </c>
      <c r="AD100" s="16">
        <v>-14417688894.2883</v>
      </c>
      <c r="AE100" s="16">
        <v>-1350179868664.8</v>
      </c>
    </row>
    <row r="101" ht="13.5" customHeight="1" spans="1:31">
      <c r="A101" s="17" t="s">
        <v>590</v>
      </c>
      <c r="B101" s="16">
        <v>21247.44548281</v>
      </c>
      <c r="C101" s="16">
        <v>3.40645682133172</v>
      </c>
      <c r="E101" s="15">
        <v>46063</v>
      </c>
      <c r="F101" s="18">
        <v>2660474778111</v>
      </c>
      <c r="H101" s="10">
        <v>46056</v>
      </c>
      <c r="I101" s="11">
        <v>1601.9733</v>
      </c>
      <c r="K101" s="10">
        <v>46056</v>
      </c>
      <c r="L101" s="11">
        <v>1815.3782</v>
      </c>
      <c r="M101" s="11"/>
      <c r="O101" s="15">
        <v>46056</v>
      </c>
      <c r="P101" s="16">
        <v>15.3824</v>
      </c>
      <c r="R101" s="15">
        <v>46056</v>
      </c>
      <c r="S101" s="16">
        <v>-6.92770000000002</v>
      </c>
      <c r="X101" s="17" t="s">
        <v>591</v>
      </c>
      <c r="Y101" s="16">
        <v>187685.135415511</v>
      </c>
      <c r="AC101" s="15">
        <v>46171</v>
      </c>
      <c r="AD101" s="16">
        <v>931230281.44868</v>
      </c>
      <c r="AE101" s="16">
        <v>-1348107634383.35</v>
      </c>
    </row>
    <row r="102" ht="13.5" customHeight="1" spans="1:31">
      <c r="A102" s="17" t="s">
        <v>591</v>
      </c>
      <c r="B102" s="16">
        <v>22701.79145333</v>
      </c>
      <c r="C102" s="16">
        <v>3.55483875109611</v>
      </c>
      <c r="E102" s="15">
        <v>46062</v>
      </c>
      <c r="F102" s="18">
        <v>2664400286203</v>
      </c>
      <c r="H102" s="10">
        <v>46055</v>
      </c>
      <c r="I102" s="11">
        <v>1737.7411</v>
      </c>
      <c r="K102" s="10">
        <v>46055</v>
      </c>
      <c r="L102" s="11">
        <v>1845.3631</v>
      </c>
      <c r="M102" s="11"/>
      <c r="O102" s="15">
        <v>46055</v>
      </c>
      <c r="P102" s="16">
        <v>24.3641</v>
      </c>
      <c r="R102" s="15">
        <v>46055</v>
      </c>
      <c r="S102" s="16">
        <v>-7.3878</v>
      </c>
      <c r="X102" s="17" t="s">
        <v>592</v>
      </c>
      <c r="Y102" s="16">
        <v>185475.768816549</v>
      </c>
      <c r="AC102" s="15">
        <v>46174</v>
      </c>
      <c r="AD102" s="16">
        <v>15570996476.2391</v>
      </c>
      <c r="AE102" s="16">
        <v>-1331573426283.11</v>
      </c>
    </row>
    <row r="103" ht="13.5" customHeight="1" spans="1:31">
      <c r="A103" s="17" t="s">
        <v>592</v>
      </c>
      <c r="B103" s="16">
        <v>21634.75055528</v>
      </c>
      <c r="C103" s="16">
        <v>3.42244594930533</v>
      </c>
      <c r="E103" s="15">
        <v>46059</v>
      </c>
      <c r="F103" s="18">
        <v>2663660271460</v>
      </c>
      <c r="H103" s="10">
        <v>46052</v>
      </c>
      <c r="I103" s="11">
        <v>1863.4166</v>
      </c>
      <c r="K103" s="10">
        <v>46052</v>
      </c>
      <c r="L103" s="11">
        <v>2044.9203</v>
      </c>
      <c r="M103" s="11"/>
      <c r="O103" s="15">
        <v>46052</v>
      </c>
      <c r="P103" s="16">
        <v>18.1514</v>
      </c>
      <c r="R103" s="15">
        <v>46052</v>
      </c>
      <c r="S103" s="16">
        <v>10.5276</v>
      </c>
      <c r="X103" s="17" t="s">
        <v>593</v>
      </c>
      <c r="Y103" s="16">
        <v>231684.690134907</v>
      </c>
      <c r="AC103" s="15">
        <v>46175</v>
      </c>
      <c r="AD103" s="16">
        <v>-8790712856.14039</v>
      </c>
      <c r="AE103" s="16">
        <v>-1340364139139.25</v>
      </c>
    </row>
    <row r="104" ht="13.5" customHeight="1" spans="1:31">
      <c r="A104" s="17" t="s">
        <v>593</v>
      </c>
      <c r="B104" s="16">
        <v>21942.79690357</v>
      </c>
      <c r="C104" s="16">
        <v>3.35525410112587</v>
      </c>
      <c r="E104" s="15">
        <v>46058</v>
      </c>
      <c r="F104" s="18">
        <v>2680859977033</v>
      </c>
      <c r="H104" s="10">
        <v>46051</v>
      </c>
      <c r="I104" s="11">
        <v>1952.747</v>
      </c>
      <c r="K104" s="10">
        <v>46051</v>
      </c>
      <c r="L104" s="11">
        <v>2019.4948</v>
      </c>
      <c r="M104" s="11"/>
      <c r="O104" s="15">
        <v>46051</v>
      </c>
      <c r="P104" s="16">
        <v>21.1174</v>
      </c>
      <c r="R104" s="15">
        <v>46051</v>
      </c>
      <c r="S104" s="16">
        <v>17.804</v>
      </c>
      <c r="X104" s="17" t="s">
        <v>594</v>
      </c>
      <c r="Y104" s="16">
        <v>218093.474348633</v>
      </c>
      <c r="AC104" s="15">
        <v>46176</v>
      </c>
      <c r="AD104" s="16">
        <v>-17552344042.0225</v>
      </c>
      <c r="AE104" s="16">
        <v>-1357693687181.28</v>
      </c>
    </row>
    <row r="105" ht="13.5" customHeight="1" spans="1:31">
      <c r="A105" s="17" t="s">
        <v>594</v>
      </c>
      <c r="B105" s="16">
        <v>25032.62865556</v>
      </c>
      <c r="C105" s="16">
        <v>3.68884699052576</v>
      </c>
      <c r="E105" s="15">
        <v>46057</v>
      </c>
      <c r="F105" s="18">
        <v>2692871985909</v>
      </c>
      <c r="H105" s="10">
        <v>46050</v>
      </c>
      <c r="I105" s="11">
        <v>1856.8897</v>
      </c>
      <c r="K105" s="10">
        <v>46050</v>
      </c>
      <c r="L105" s="11">
        <v>1900.7684</v>
      </c>
      <c r="M105" s="11"/>
      <c r="O105" s="15">
        <v>46050</v>
      </c>
      <c r="P105" s="16">
        <v>-42.4348</v>
      </c>
      <c r="R105" s="15">
        <v>46050</v>
      </c>
      <c r="S105" s="16">
        <v>11.9633</v>
      </c>
      <c r="X105" s="17" t="s">
        <v>595</v>
      </c>
      <c r="Y105" s="16">
        <v>240038.454657964</v>
      </c>
      <c r="AC105" s="15">
        <v>46177</v>
      </c>
      <c r="AD105" s="16">
        <v>456203822.251003</v>
      </c>
      <c r="AE105" s="16">
        <v>-1357237483359.03</v>
      </c>
    </row>
    <row r="106" ht="13.5" customHeight="1" spans="1:31">
      <c r="A106" s="17" t="s">
        <v>595</v>
      </c>
      <c r="B106" s="16">
        <v>25656.12992446</v>
      </c>
      <c r="C106" s="16">
        <v>3.64227378369446</v>
      </c>
      <c r="E106" s="15">
        <v>46056</v>
      </c>
      <c r="F106" s="18">
        <v>2706563863675</v>
      </c>
      <c r="H106" s="10">
        <v>46049</v>
      </c>
      <c r="I106" s="11">
        <v>1792.9286</v>
      </c>
      <c r="K106" s="10">
        <v>46049</v>
      </c>
      <c r="L106" s="11">
        <v>1983.1623</v>
      </c>
      <c r="M106" s="11"/>
      <c r="O106" s="15">
        <v>46049</v>
      </c>
      <c r="P106" s="16">
        <v>-12.2493</v>
      </c>
      <c r="R106" s="15">
        <v>46049</v>
      </c>
      <c r="S106" s="16">
        <v>6.59560000000002</v>
      </c>
      <c r="X106" s="17" t="s">
        <v>596</v>
      </c>
      <c r="Y106" s="16">
        <v>260212.903766339</v>
      </c>
      <c r="AC106" s="10">
        <v>46178</v>
      </c>
      <c r="AD106" s="11">
        <v>14322543802.5917</v>
      </c>
      <c r="AE106" s="11">
        <v>-1342384068083.43</v>
      </c>
    </row>
    <row r="107" ht="13.5" customHeight="1" spans="1:31">
      <c r="A107" s="17" t="s">
        <v>596</v>
      </c>
      <c r="B107" s="16">
        <v>26066.37984538</v>
      </c>
      <c r="C107" s="16">
        <v>3.86233123928208</v>
      </c>
      <c r="E107" s="15">
        <v>46055</v>
      </c>
      <c r="F107" s="18">
        <v>2709087992761</v>
      </c>
      <c r="H107" s="10">
        <v>46048</v>
      </c>
      <c r="I107" s="11">
        <v>1906.7153</v>
      </c>
      <c r="K107" s="10">
        <v>46048</v>
      </c>
      <c r="L107" s="11">
        <v>2134.449</v>
      </c>
      <c r="M107" s="11"/>
      <c r="O107" s="15">
        <v>46048</v>
      </c>
      <c r="P107" s="16">
        <v>-1.66539999999998</v>
      </c>
      <c r="R107" s="15">
        <v>46048</v>
      </c>
      <c r="S107" s="16">
        <v>-5.68800000000002</v>
      </c>
      <c r="AC107" s="10">
        <v>46181</v>
      </c>
      <c r="AD107" s="11">
        <v>33114050236.2918</v>
      </c>
      <c r="AE107" s="11">
        <v>-1308827905847.14</v>
      </c>
    </row>
    <row r="108" ht="13.5" customHeight="1" spans="1:31">
      <c r="A108" s="17" t="s">
        <v>597</v>
      </c>
      <c r="B108" s="16">
        <v>28624.25410436</v>
      </c>
      <c r="C108" s="16">
        <v>4.21436425958547</v>
      </c>
      <c r="E108" s="15">
        <v>46052</v>
      </c>
      <c r="F108" s="18">
        <v>2715287320116</v>
      </c>
      <c r="H108" s="10">
        <v>46045</v>
      </c>
      <c r="I108" s="11">
        <v>1722.3659</v>
      </c>
      <c r="K108" s="10">
        <v>46045</v>
      </c>
      <c r="L108" s="11">
        <v>2002.2522</v>
      </c>
      <c r="M108" s="11"/>
      <c r="O108" s="15">
        <v>46045</v>
      </c>
      <c r="P108" s="16">
        <v>-4.99560000000002</v>
      </c>
      <c r="R108" s="15">
        <v>46045</v>
      </c>
      <c r="S108" s="16">
        <v>-9.28819999999999</v>
      </c>
      <c r="AC108" s="10">
        <v>46182</v>
      </c>
      <c r="AD108" s="11">
        <v>-27298221113.4395</v>
      </c>
      <c r="AE108" s="11">
        <v>-1334450577907.58</v>
      </c>
    </row>
    <row r="109" ht="13.5" customHeight="1" spans="1:31">
      <c r="A109" s="17" t="s">
        <v>598</v>
      </c>
      <c r="B109" s="16">
        <v>32594.17550198</v>
      </c>
      <c r="C109" s="16">
        <v>4.54322927580187</v>
      </c>
      <c r="E109" s="15">
        <v>46051</v>
      </c>
      <c r="F109" s="18">
        <v>2739362881542</v>
      </c>
      <c r="H109" s="10">
        <v>46044</v>
      </c>
      <c r="I109" s="11">
        <v>1555.3695</v>
      </c>
      <c r="K109" s="10">
        <v>46044</v>
      </c>
      <c r="L109" s="11">
        <v>1755.4019</v>
      </c>
      <c r="M109" s="11"/>
      <c r="O109" s="15">
        <v>46044</v>
      </c>
      <c r="P109" s="16">
        <v>24.7864</v>
      </c>
      <c r="R109" s="15">
        <v>46044</v>
      </c>
      <c r="S109" s="16">
        <v>22</v>
      </c>
      <c r="AC109" s="10">
        <v>46183</v>
      </c>
      <c r="AD109" s="11">
        <v>-5064211628.96817</v>
      </c>
      <c r="AE109" s="11">
        <v>-1338732030384.55</v>
      </c>
    </row>
    <row r="110" ht="13.5" customHeight="1" spans="1:31">
      <c r="A110" s="17" t="s">
        <v>599</v>
      </c>
      <c r="B110" s="16">
        <v>29922.89486153</v>
      </c>
      <c r="C110" s="16">
        <v>4.20977326846079</v>
      </c>
      <c r="E110" s="15">
        <v>46050</v>
      </c>
      <c r="F110" s="18">
        <v>2742642809417</v>
      </c>
      <c r="H110" s="10">
        <v>46043</v>
      </c>
      <c r="I110" s="11">
        <v>1542.3136</v>
      </c>
      <c r="K110" s="10">
        <v>46043</v>
      </c>
      <c r="L110" s="11">
        <v>1669.8402</v>
      </c>
      <c r="M110" s="11"/>
      <c r="O110" s="15">
        <v>46043</v>
      </c>
      <c r="P110" s="16">
        <v>69.5774</v>
      </c>
      <c r="R110" s="15">
        <v>46043</v>
      </c>
      <c r="S110" s="16">
        <v>54.854</v>
      </c>
      <c r="AC110" s="10">
        <v>46184</v>
      </c>
      <c r="AD110" s="11">
        <v>5294233774.22656</v>
      </c>
      <c r="AE110" s="11">
        <v>-1331635903668.32</v>
      </c>
    </row>
    <row r="111" ht="13.5" customHeight="1" spans="1:31">
      <c r="A111" s="17" t="s">
        <v>600</v>
      </c>
      <c r="B111" s="16">
        <v>29214.5367161</v>
      </c>
      <c r="C111" s="16">
        <v>4.40785651394423</v>
      </c>
      <c r="E111" s="15">
        <v>46049</v>
      </c>
      <c r="F111" s="18">
        <v>2723390613761</v>
      </c>
      <c r="H111" s="10">
        <v>46042</v>
      </c>
      <c r="I111" s="11">
        <v>1588.3238</v>
      </c>
      <c r="K111" s="10">
        <v>46042</v>
      </c>
      <c r="L111" s="11">
        <v>1849.3574</v>
      </c>
      <c r="M111" s="11"/>
      <c r="O111" s="15">
        <v>46042</v>
      </c>
      <c r="P111" s="16">
        <v>30.7149</v>
      </c>
      <c r="R111" s="15">
        <v>46042</v>
      </c>
      <c r="S111" s="16">
        <v>1.94990000000001</v>
      </c>
      <c r="AC111" s="10">
        <v>46185</v>
      </c>
      <c r="AD111" s="11">
        <v>-7091111993.17449</v>
      </c>
      <c r="AE111" s="11">
        <v>-1338727015661.5</v>
      </c>
    </row>
    <row r="112" ht="13.5" customHeight="1" spans="1:31">
      <c r="A112" s="17" t="s">
        <v>601</v>
      </c>
      <c r="B112" s="16">
        <v>32806.4439775</v>
      </c>
      <c r="C112" s="16">
        <v>4.9753358761028</v>
      </c>
      <c r="E112" s="15">
        <v>46048</v>
      </c>
      <c r="F112" s="18">
        <v>2725440232286</v>
      </c>
      <c r="H112" s="10">
        <v>46041</v>
      </c>
      <c r="I112" s="11">
        <v>1476.0862</v>
      </c>
      <c r="K112" s="10">
        <v>46041</v>
      </c>
      <c r="L112" s="11">
        <v>1761.6147</v>
      </c>
      <c r="M112" s="11"/>
      <c r="O112" s="15">
        <v>46041</v>
      </c>
      <c r="P112" s="16">
        <v>27.1561</v>
      </c>
      <c r="R112" s="15">
        <v>46041</v>
      </c>
      <c r="S112" s="16">
        <v>-6.69280000000001</v>
      </c>
      <c r="AC112" s="10">
        <v>46188</v>
      </c>
      <c r="AD112" s="11">
        <v>-16198260610.567</v>
      </c>
      <c r="AE112" s="11">
        <v>-1354224796348.06</v>
      </c>
    </row>
    <row r="113" ht="13.5" customHeight="1" spans="1:31">
      <c r="A113" s="17" t="s">
        <v>602</v>
      </c>
      <c r="B113" s="16">
        <v>31181.07722921</v>
      </c>
      <c r="C113" s="16">
        <v>4.63799551766798</v>
      </c>
      <c r="E113" s="15">
        <v>46045</v>
      </c>
      <c r="F113" s="18">
        <v>2723475396481</v>
      </c>
      <c r="H113" s="10">
        <v>46038</v>
      </c>
      <c r="I113" s="11">
        <v>1660.3149</v>
      </c>
      <c r="K113" s="10">
        <v>46038</v>
      </c>
      <c r="L113" s="11">
        <v>2005.4101</v>
      </c>
      <c r="M113" s="11"/>
      <c r="O113" s="15">
        <v>46038</v>
      </c>
      <c r="P113" s="16">
        <v>8.99020000000002</v>
      </c>
      <c r="R113" s="15">
        <v>46038</v>
      </c>
      <c r="S113" s="16">
        <v>-8.14580000000001</v>
      </c>
      <c r="AC113" s="10">
        <v>46189</v>
      </c>
      <c r="AD113" s="11">
        <v>-20142575506.2008</v>
      </c>
      <c r="AE113" s="11">
        <v>-1374133866686.27</v>
      </c>
    </row>
    <row r="114" ht="13.5" customHeight="1" spans="1:31">
      <c r="A114" s="17" t="s">
        <v>603</v>
      </c>
      <c r="B114" s="16">
        <v>27164.04578145</v>
      </c>
      <c r="C114" s="16">
        <v>4.07110692459408</v>
      </c>
      <c r="E114" s="15">
        <v>46044</v>
      </c>
      <c r="F114" s="18">
        <v>2724912818076</v>
      </c>
      <c r="H114" s="10">
        <v>46037</v>
      </c>
      <c r="I114" s="11">
        <v>1510.4444</v>
      </c>
      <c r="K114" s="10">
        <v>46037</v>
      </c>
      <c r="L114" s="11">
        <v>2044.3355</v>
      </c>
      <c r="M114" s="11"/>
      <c r="O114" s="15">
        <v>46037</v>
      </c>
      <c r="P114" s="16">
        <v>17.2527</v>
      </c>
      <c r="R114" s="15">
        <v>46037</v>
      </c>
      <c r="S114" s="16">
        <v>-30.7746</v>
      </c>
      <c r="AC114" s="10">
        <v>46190</v>
      </c>
      <c r="AD114" s="11">
        <v>-22675975821.0975</v>
      </c>
      <c r="AE114" s="11">
        <v>-1396809842507.36</v>
      </c>
    </row>
    <row r="115" ht="13.5" customHeight="1" spans="1:31">
      <c r="A115" s="17" t="s">
        <v>604</v>
      </c>
      <c r="B115" s="16">
        <v>26237.47053499</v>
      </c>
      <c r="C115" s="16">
        <v>4.02443733470795</v>
      </c>
      <c r="E115" s="15">
        <v>46043</v>
      </c>
      <c r="F115" s="18">
        <v>2721022639579</v>
      </c>
      <c r="H115" s="10">
        <v>46036</v>
      </c>
      <c r="I115" s="11">
        <v>2027.1186</v>
      </c>
      <c r="K115" s="10">
        <v>46036</v>
      </c>
      <c r="L115" s="11">
        <v>2609.2094</v>
      </c>
      <c r="M115" s="11"/>
      <c r="O115" s="15">
        <v>46036</v>
      </c>
      <c r="P115" s="16">
        <v>22.4859</v>
      </c>
      <c r="R115" s="15">
        <v>46036</v>
      </c>
      <c r="S115" s="16">
        <v>3.14949999999999</v>
      </c>
      <c r="AC115" s="10">
        <v>46191</v>
      </c>
      <c r="AD115" s="11">
        <v>-16249264974.6231</v>
      </c>
      <c r="AE115" s="11">
        <v>-1412229533065.99</v>
      </c>
    </row>
    <row r="116" ht="13.5" customHeight="1" spans="1:31">
      <c r="A116" s="17" t="s">
        <v>605</v>
      </c>
      <c r="B116" s="16">
        <v>28042.35216197</v>
      </c>
      <c r="C116" s="16">
        <v>4.37909713248534</v>
      </c>
      <c r="E116" s="15">
        <v>46042</v>
      </c>
      <c r="F116" s="18">
        <v>2709358555155</v>
      </c>
      <c r="H116" s="10">
        <v>46035</v>
      </c>
      <c r="I116" s="11">
        <v>1824.9064</v>
      </c>
      <c r="K116" s="10">
        <v>46035</v>
      </c>
      <c r="L116" s="11">
        <v>2384.4493</v>
      </c>
      <c r="M116" s="11"/>
      <c r="O116" s="15">
        <v>46035</v>
      </c>
      <c r="P116" s="16">
        <v>1.33210000000003</v>
      </c>
      <c r="R116" s="15">
        <v>46035</v>
      </c>
      <c r="S116" s="16">
        <v>10.2646</v>
      </c>
      <c r="AC116" s="10">
        <v>46195</v>
      </c>
      <c r="AD116" s="11">
        <v>-10298739464.2363</v>
      </c>
      <c r="AE116" s="11">
        <v>-1422528272530.22</v>
      </c>
    </row>
    <row r="117" ht="13.5" customHeight="1" spans="1:31">
      <c r="A117" s="17" t="s">
        <v>606</v>
      </c>
      <c r="B117" s="16">
        <v>27322.16214272</v>
      </c>
      <c r="C117" s="16">
        <v>4.28792536684149</v>
      </c>
      <c r="E117" s="15">
        <v>46041</v>
      </c>
      <c r="F117" s="18">
        <v>2723174954010</v>
      </c>
      <c r="H117" s="10">
        <v>46034</v>
      </c>
      <c r="I117" s="11">
        <v>1728.5797</v>
      </c>
      <c r="K117" s="10">
        <v>46034</v>
      </c>
      <c r="L117" s="11">
        <v>2261.2222</v>
      </c>
      <c r="M117" s="11"/>
      <c r="O117" s="15">
        <v>46034</v>
      </c>
      <c r="P117" s="16">
        <v>13.8406</v>
      </c>
      <c r="R117" s="15">
        <v>46034</v>
      </c>
      <c r="S117" s="16">
        <v>51.5273</v>
      </c>
      <c r="AC117" s="10">
        <v>46196</v>
      </c>
      <c r="AD117" s="11">
        <v>-26002165167.5587</v>
      </c>
      <c r="AE117" s="11">
        <v>-1448530437697.78</v>
      </c>
    </row>
    <row r="118" ht="13.5" customHeight="1" spans="1:31">
      <c r="A118" s="17" t="s">
        <v>607</v>
      </c>
      <c r="B118" s="16">
        <v>30565.23974277</v>
      </c>
      <c r="C118" s="16">
        <v>4.64900828332543</v>
      </c>
      <c r="E118" s="15">
        <v>46038</v>
      </c>
      <c r="F118" s="18">
        <v>2731537176581</v>
      </c>
      <c r="H118" s="10">
        <v>46031</v>
      </c>
      <c r="I118" s="11">
        <v>1664.3101</v>
      </c>
      <c r="K118" s="10">
        <v>46031</v>
      </c>
      <c r="L118" s="11">
        <v>2032.1211</v>
      </c>
      <c r="M118" s="11"/>
      <c r="O118" s="15">
        <v>46031</v>
      </c>
      <c r="P118" s="16">
        <v>14.8758</v>
      </c>
      <c r="R118" s="15">
        <v>46031</v>
      </c>
      <c r="S118" s="16">
        <v>46.1906</v>
      </c>
      <c r="AC118" s="10">
        <v>46197</v>
      </c>
      <c r="AD118" s="11">
        <v>-23710316176.4023</v>
      </c>
      <c r="AE118" s="11">
        <v>-1471746383431.18</v>
      </c>
    </row>
    <row r="119" ht="13.5" customHeight="1" spans="1:31">
      <c r="A119" s="17" t="s">
        <v>608</v>
      </c>
      <c r="B119" s="16">
        <v>29384.93793991</v>
      </c>
      <c r="C119" s="16">
        <v>4.60104840969741</v>
      </c>
      <c r="E119" s="15">
        <v>46037</v>
      </c>
      <c r="F119" s="18">
        <v>2718750833103</v>
      </c>
      <c r="H119" s="10">
        <v>46030</v>
      </c>
      <c r="I119" s="11">
        <v>1484.1265</v>
      </c>
      <c r="K119" s="10">
        <v>46030</v>
      </c>
      <c r="L119" s="11">
        <v>1763.438</v>
      </c>
      <c r="M119" s="11"/>
      <c r="O119" s="15">
        <v>46030</v>
      </c>
      <c r="P119" s="16">
        <v>-35.542</v>
      </c>
      <c r="R119" s="15">
        <v>46030</v>
      </c>
      <c r="S119" s="16">
        <v>-8.35399999999998</v>
      </c>
      <c r="AC119" s="10">
        <v>46198</v>
      </c>
      <c r="AD119" s="11">
        <v>-25360715256.2414</v>
      </c>
      <c r="AE119" s="11">
        <v>-1497107098687.42</v>
      </c>
    </row>
    <row r="120" ht="13.5" customHeight="1" spans="1:31">
      <c r="A120" s="17" t="s">
        <v>609</v>
      </c>
      <c r="B120" s="16">
        <v>39868.61533538</v>
      </c>
      <c r="C120" s="16">
        <v>6.1788952112812</v>
      </c>
      <c r="E120" s="15">
        <v>46036</v>
      </c>
      <c r="F120" s="18">
        <v>2698230615985</v>
      </c>
      <c r="H120" s="10">
        <v>46029</v>
      </c>
      <c r="I120" s="11">
        <v>1508.9204</v>
      </c>
      <c r="K120" s="10">
        <v>46029</v>
      </c>
      <c r="L120" s="11">
        <v>1759.6688</v>
      </c>
      <c r="M120" s="11"/>
      <c r="O120" s="15">
        <v>46029</v>
      </c>
      <c r="P120" s="16">
        <v>31.3388</v>
      </c>
      <c r="R120" s="15">
        <v>46029</v>
      </c>
      <c r="S120" s="16">
        <v>51.0697</v>
      </c>
      <c r="AC120" s="10">
        <v>46199</v>
      </c>
      <c r="AD120" s="11">
        <v>20088452005.9887</v>
      </c>
      <c r="AE120" s="11">
        <v>-1475645959974.44</v>
      </c>
    </row>
    <row r="121" ht="13.5" customHeight="1" spans="1:31">
      <c r="A121" s="17" t="s">
        <v>610</v>
      </c>
      <c r="B121" s="16">
        <v>36988.11083914</v>
      </c>
      <c r="C121" s="16">
        <v>5.89584877983871</v>
      </c>
      <c r="E121" s="15">
        <v>46035</v>
      </c>
      <c r="F121" s="18">
        <v>2682992130544</v>
      </c>
      <c r="H121" s="10">
        <v>46028</v>
      </c>
      <c r="I121" s="11">
        <v>1479.4524</v>
      </c>
      <c r="K121" s="10">
        <v>46028</v>
      </c>
      <c r="L121" s="11">
        <v>1706.4574</v>
      </c>
      <c r="O121" s="15">
        <v>46028</v>
      </c>
      <c r="P121" s="16">
        <v>8.74519999999995</v>
      </c>
      <c r="R121" s="15">
        <v>46028</v>
      </c>
      <c r="S121" s="16">
        <v>17.0649</v>
      </c>
      <c r="AC121" s="10">
        <v>46202</v>
      </c>
      <c r="AD121" s="11">
        <v>-1138032564.20757</v>
      </c>
      <c r="AE121" s="11">
        <v>-1476783992538.64</v>
      </c>
    </row>
    <row r="122" ht="13.5" customHeight="1" spans="1:31">
      <c r="A122" s="17" t="s">
        <v>611</v>
      </c>
      <c r="B122" s="16">
        <v>36446.14289497</v>
      </c>
      <c r="C122" s="16">
        <v>5.79746752383573</v>
      </c>
      <c r="E122" s="15">
        <v>46034</v>
      </c>
      <c r="F122" s="18">
        <v>2674061939204</v>
      </c>
      <c r="H122" s="10">
        <v>46027</v>
      </c>
      <c r="I122" s="11">
        <v>1352.075</v>
      </c>
      <c r="K122" s="10">
        <v>46027</v>
      </c>
      <c r="L122" s="11">
        <v>1606.9725</v>
      </c>
      <c r="O122" s="15">
        <v>46027</v>
      </c>
      <c r="P122" s="16">
        <v>87.9122</v>
      </c>
      <c r="R122" s="15">
        <v>46027</v>
      </c>
      <c r="S122" s="16">
        <v>79.8968</v>
      </c>
      <c r="AC122" s="10">
        <v>46203</v>
      </c>
      <c r="AD122" s="11">
        <v>-12678225450.7067</v>
      </c>
      <c r="AE122" s="11">
        <v>-1488993713306.35</v>
      </c>
    </row>
    <row r="123" spans="1:31">
      <c r="A123" s="17" t="s">
        <v>612</v>
      </c>
      <c r="B123" s="16">
        <v>31523.68298167</v>
      </c>
      <c r="C123" s="16">
        <v>4.97960551957428</v>
      </c>
      <c r="E123" s="15">
        <v>46031</v>
      </c>
      <c r="F123" s="18">
        <v>2627600824714</v>
      </c>
      <c r="AC123" s="10">
        <v>46204</v>
      </c>
      <c r="AD123" s="11">
        <v>-18043278204.9273</v>
      </c>
      <c r="AE123" s="11">
        <v>-1507036991511.28</v>
      </c>
    </row>
    <row r="124" spans="1:31">
      <c r="A124" s="17" t="s">
        <v>613</v>
      </c>
      <c r="B124" s="16">
        <v>28263.02442822</v>
      </c>
      <c r="C124" s="16">
        <v>4.49526646014474</v>
      </c>
      <c r="E124" s="15">
        <v>46030</v>
      </c>
      <c r="F124" s="18">
        <v>2620609326544</v>
      </c>
      <c r="AC124" s="10">
        <v>46205</v>
      </c>
      <c r="AD124" s="11">
        <v>28875361679.6778</v>
      </c>
      <c r="AE124" s="11">
        <v>-1478161629831.6</v>
      </c>
    </row>
    <row r="125" spans="1:31">
      <c r="A125" s="17" t="s">
        <v>614</v>
      </c>
      <c r="B125" s="16">
        <v>28815.65961189</v>
      </c>
      <c r="C125" s="16">
        <v>4.51478035204868</v>
      </c>
      <c r="E125" s="15">
        <v>46029</v>
      </c>
      <c r="F125" s="18">
        <v>2604742449051</v>
      </c>
      <c r="AC125" s="10">
        <v>46206</v>
      </c>
      <c r="AD125" s="11">
        <v>-8144203253.01452</v>
      </c>
      <c r="AE125" s="11">
        <v>-1485184217574.61</v>
      </c>
    </row>
    <row r="126" spans="1:31">
      <c r="A126" s="17" t="s">
        <v>615</v>
      </c>
      <c r="B126" s="16">
        <v>28322.77969205</v>
      </c>
      <c r="C126" s="16">
        <v>4.3743569510485</v>
      </c>
      <c r="E126" s="15">
        <v>46028</v>
      </c>
      <c r="F126" s="18">
        <v>2579900361067</v>
      </c>
      <c r="AC126" s="10">
        <v>46209</v>
      </c>
      <c r="AD126" s="11"/>
      <c r="AE126" s="11">
        <v>-1484686143834.61</v>
      </c>
    </row>
    <row r="127" spans="1:31">
      <c r="A127" s="17" t="s">
        <v>616</v>
      </c>
      <c r="B127" s="16">
        <v>25672.39811635</v>
      </c>
      <c r="C127" s="16">
        <v>4.11099793587953</v>
      </c>
      <c r="E127" s="15">
        <v>46027</v>
      </c>
      <c r="F127" s="18">
        <v>2560648218483</v>
      </c>
      <c r="AC127"/>
      <c r="AD127"/>
      <c r="AE127"/>
    </row>
    <row r="128" spans="1:31">
      <c r="AC128"/>
      <c r="AD128"/>
      <c r="AE128"/>
    </row>
    <row r="129" spans="28:31">
      <c r="AC129"/>
      <c r="AD129"/>
      <c r="AE129"/>
    </row>
    <row r="130" spans="28:31">
      <c r="AC130"/>
      <c r="AD130"/>
      <c r="AE130"/>
    </row>
    <row r="131" spans="28:31">
      <c r="AC131"/>
      <c r="AD131"/>
      <c r="AE131"/>
    </row>
    <row r="132" spans="28:31">
      <c r="AC132"/>
      <c r="AD132"/>
      <c r="AE132"/>
    </row>
    <row r="133" spans="28:31">
      <c r="AC133"/>
      <c r="AD133"/>
      <c r="AE133"/>
    </row>
    <row r="134" spans="28:31">
      <c r="AC134"/>
      <c r="AD134"/>
      <c r="AE134"/>
    </row>
    <row r="135" spans="28:31">
      <c r="AC135"/>
      <c r="AD135"/>
      <c r="AE135"/>
    </row>
    <row r="136" spans="28:31">
      <c r="AC136"/>
      <c r="AD136"/>
      <c r="AE136"/>
    </row>
    <row r="137" spans="28:31">
      <c r="AC137"/>
      <c r="AD137"/>
      <c r="AE137"/>
    </row>
    <row r="138" spans="28:31">
      <c r="AC138"/>
      <c r="AD138"/>
      <c r="AE138"/>
    </row>
    <row r="139" spans="28:31">
      <c r="AC139"/>
      <c r="AD139"/>
      <c r="AE139"/>
    </row>
    <row r="140" ht="13.5" customHeight="1" spans="28:31">
      <c r="AB140"/>
      <c r="AC140"/>
      <c r="AD140"/>
      <c r="AE140"/>
    </row>
    <row r="141" spans="28:31">
      <c r="AC141"/>
      <c r="AD141"/>
      <c r="AE141"/>
    </row>
    <row r="142" spans="28:31">
      <c r="AC142"/>
      <c r="AD142"/>
      <c r="AE142"/>
    </row>
    <row r="143" spans="28:31">
      <c r="AC143"/>
      <c r="AD143"/>
      <c r="AE143"/>
    </row>
    <row r="144" spans="28:31">
      <c r="AC144"/>
      <c r="AD144"/>
      <c r="AE144"/>
    </row>
    <row r="145" spans="29:31">
      <c r="AC145"/>
      <c r="AD145"/>
      <c r="AE145"/>
    </row>
    <row r="146" spans="29:31">
      <c r="AC146"/>
      <c r="AD146"/>
      <c r="AE146"/>
    </row>
    <row r="147" spans="29:31">
      <c r="AC147"/>
      <c r="AD147"/>
      <c r="AE147"/>
    </row>
    <row r="148" spans="29:31">
      <c r="AC148"/>
      <c r="AD148"/>
      <c r="AE148"/>
    </row>
    <row r="149" spans="29:31">
      <c r="AC149"/>
      <c r="AD149"/>
      <c r="AE149"/>
    </row>
    <row r="150" spans="29:31">
      <c r="AC150"/>
      <c r="AD150"/>
      <c r="AE150"/>
    </row>
    <row r="151" spans="29:31">
      <c r="AC151"/>
      <c r="AD151"/>
      <c r="AE151"/>
    </row>
    <row r="152" spans="29:31">
      <c r="AC152"/>
      <c r="AD152"/>
      <c r="AE152"/>
    </row>
    <row r="153" spans="29:31">
      <c r="AC153"/>
      <c r="AD153"/>
      <c r="AE153"/>
    </row>
    <row r="154" spans="29:31">
      <c r="AC154"/>
      <c r="AD154"/>
      <c r="AE154"/>
    </row>
    <row r="155" spans="29:31">
      <c r="AC155"/>
      <c r="AD155"/>
      <c r="AE155"/>
    </row>
    <row r="156" spans="29:31">
      <c r="AC156"/>
      <c r="AD156"/>
      <c r="AE156"/>
    </row>
    <row r="157" spans="29:31">
      <c r="AC157"/>
      <c r="AD157"/>
      <c r="AE157"/>
    </row>
    <row r="158" spans="29:31">
      <c r="AC158"/>
      <c r="AD158"/>
      <c r="AE158"/>
    </row>
    <row r="159" spans="29:31">
      <c r="AC159"/>
      <c r="AD159"/>
      <c r="AE159"/>
    </row>
    <row r="160" spans="29:31">
      <c r="AC160"/>
      <c r="AD160"/>
      <c r="AE160"/>
    </row>
    <row r="161" spans="29:31">
      <c r="AC161"/>
      <c r="AD161"/>
      <c r="AE161"/>
    </row>
    <row r="162" spans="29:31">
      <c r="AC162"/>
      <c r="AD162"/>
      <c r="AE162"/>
    </row>
    <row r="163" spans="29:31">
      <c r="AC163"/>
      <c r="AD163"/>
      <c r="AE163"/>
    </row>
    <row r="164" spans="29:31">
      <c r="AC164"/>
      <c r="AD164"/>
      <c r="AE164"/>
    </row>
    <row r="165" spans="29:31">
      <c r="AC165"/>
      <c r="AD165"/>
      <c r="AE165"/>
    </row>
    <row r="166" spans="29:31">
      <c r="AC166"/>
      <c r="AD166"/>
      <c r="AE166"/>
    </row>
    <row r="167" spans="29:31">
      <c r="AC167"/>
      <c r="AD167"/>
      <c r="AE167"/>
    </row>
    <row r="168" spans="29:31">
      <c r="AC168"/>
      <c r="AD168"/>
      <c r="AE168"/>
    </row>
    <row r="169" spans="29:31">
      <c r="AC169"/>
      <c r="AD169"/>
      <c r="AE169"/>
    </row>
    <row r="170" spans="29:31">
      <c r="AC170"/>
      <c r="AD170"/>
      <c r="AE170"/>
    </row>
    <row r="171" spans="29:31">
      <c r="AC171"/>
      <c r="AD171"/>
      <c r="AE171"/>
    </row>
    <row r="172" spans="29:31">
      <c r="AC172"/>
      <c r="AD172"/>
      <c r="AE172"/>
    </row>
    <row r="173" spans="29:31">
      <c r="AC173"/>
      <c r="AD173"/>
      <c r="AE173"/>
    </row>
    <row r="174" spans="29:31">
      <c r="AC174"/>
      <c r="AD174"/>
      <c r="AE174"/>
    </row>
    <row r="175" spans="29:31">
      <c r="AC175"/>
      <c r="AD175"/>
      <c r="AE175"/>
    </row>
    <row r="176" spans="29:31">
      <c r="AC176"/>
      <c r="AD176"/>
      <c r="AE176"/>
    </row>
    <row r="177" spans="29:31">
      <c r="AC177"/>
      <c r="AD177"/>
      <c r="AE177"/>
    </row>
    <row r="178" spans="29:31">
      <c r="AC178"/>
      <c r="AD178"/>
      <c r="AE178"/>
    </row>
    <row r="179" spans="29:31">
      <c r="AC179"/>
      <c r="AD179"/>
      <c r="AE179"/>
    </row>
    <row r="180" spans="29:31">
      <c r="AC180"/>
      <c r="AD180"/>
      <c r="AE180"/>
    </row>
    <row r="181" spans="29:31">
      <c r="AC181"/>
      <c r="AD181"/>
      <c r="AE181"/>
    </row>
    <row r="182" spans="29:31">
      <c r="AC182"/>
      <c r="AD182"/>
      <c r="AE182"/>
    </row>
    <row r="183" spans="29:31">
      <c r="AC183"/>
      <c r="AD183"/>
      <c r="AE183"/>
    </row>
    <row r="184" spans="29:31">
      <c r="AC184"/>
      <c r="AD184"/>
      <c r="AE184"/>
    </row>
    <row r="185" spans="29:31">
      <c r="AC185"/>
      <c r="AD185"/>
      <c r="AE185"/>
    </row>
    <row r="186" spans="29:31">
      <c r="AC186"/>
      <c r="AD186"/>
      <c r="AE186"/>
    </row>
    <row r="187" spans="29:31">
      <c r="AC187"/>
      <c r="AD187"/>
      <c r="AE187"/>
    </row>
    <row r="188" spans="29:31">
      <c r="AC188"/>
      <c r="AD188"/>
      <c r="AE188"/>
    </row>
    <row r="189" spans="29:31">
      <c r="AC189"/>
      <c r="AD189"/>
      <c r="AE189"/>
    </row>
    <row r="190" spans="29:31">
      <c r="AC190"/>
      <c r="AD190"/>
      <c r="AE190"/>
    </row>
    <row r="191" spans="29:31">
      <c r="AC191"/>
      <c r="AD191"/>
      <c r="AE191"/>
    </row>
    <row r="192" spans="29:31">
      <c r="AC192"/>
      <c r="AD192"/>
      <c r="AE192"/>
    </row>
    <row r="193" spans="29:31">
      <c r="AC193"/>
      <c r="AD193"/>
      <c r="AE193"/>
    </row>
    <row r="194" spans="29:31">
      <c r="AC194"/>
      <c r="AD194"/>
      <c r="AE194"/>
    </row>
    <row r="195" spans="29:31">
      <c r="AC195"/>
      <c r="AD195"/>
      <c r="AE195"/>
    </row>
    <row r="196" spans="29:31">
      <c r="AC196"/>
      <c r="AD196"/>
      <c r="AE196"/>
    </row>
    <row r="197" spans="29:31">
      <c r="AC197"/>
      <c r="AD197"/>
      <c r="AE197"/>
    </row>
    <row r="198" spans="29:31">
      <c r="AC198"/>
      <c r="AD198"/>
      <c r="AE198"/>
    </row>
    <row r="199" spans="29:31">
      <c r="AC199"/>
      <c r="AD199"/>
      <c r="AE199"/>
    </row>
    <row r="200" spans="29:31">
      <c r="AC200"/>
      <c r="AD200"/>
      <c r="AE200"/>
    </row>
    <row r="201" spans="29:31">
      <c r="AC201"/>
      <c r="AD201"/>
      <c r="AE201"/>
    </row>
    <row r="202" spans="29:31">
      <c r="AC202"/>
      <c r="AD202"/>
      <c r="AE202"/>
    </row>
    <row r="203" spans="29:31">
      <c r="AC203"/>
      <c r="AD203"/>
      <c r="AE203"/>
    </row>
    <row r="204" spans="29:31">
      <c r="AC204"/>
      <c r="AD204"/>
      <c r="AE204"/>
    </row>
    <row r="205" spans="29:31">
      <c r="AC205"/>
      <c r="AD205"/>
      <c r="AE205"/>
    </row>
    <row r="206" spans="29:31">
      <c r="AC206"/>
      <c r="AD206"/>
      <c r="AE206"/>
    </row>
    <row r="207" spans="29:31">
      <c r="AC207"/>
      <c r="AD207"/>
      <c r="AE207"/>
    </row>
    <row r="208" spans="29:31">
      <c r="AC208"/>
      <c r="AD208"/>
      <c r="AE208"/>
    </row>
    <row r="209" spans="29:31">
      <c r="AC209"/>
      <c r="AD209"/>
      <c r="AE209"/>
    </row>
    <row r="210" spans="29:31">
      <c r="AC210"/>
      <c r="AD210"/>
      <c r="AE210"/>
    </row>
    <row r="211" spans="29:31">
      <c r="AC211"/>
      <c r="AD211"/>
      <c r="AE211"/>
    </row>
    <row r="212" spans="29:31">
      <c r="AC212"/>
      <c r="AD212"/>
      <c r="AE212"/>
    </row>
    <row r="213" spans="29:31">
      <c r="AC213"/>
      <c r="AD213"/>
      <c r="AE213"/>
    </row>
    <row r="214" spans="29:31">
      <c r="AC214"/>
      <c r="AD214"/>
      <c r="AE214"/>
    </row>
    <row r="215" spans="29:31">
      <c r="AC215"/>
      <c r="AD215"/>
      <c r="AE215"/>
    </row>
    <row r="216" spans="29:31">
      <c r="AC216"/>
      <c r="AD216"/>
      <c r="AE216"/>
    </row>
    <row r="217" spans="29:31">
      <c r="AC217"/>
      <c r="AD217"/>
      <c r="AE217"/>
    </row>
    <row r="218" spans="29:31">
      <c r="AC218"/>
      <c r="AD218"/>
      <c r="AE218"/>
    </row>
    <row r="219" spans="29:31">
      <c r="AC219"/>
      <c r="AD219"/>
      <c r="AE219"/>
    </row>
    <row r="220" spans="29:31">
      <c r="AC220"/>
      <c r="AD220"/>
      <c r="AE220"/>
    </row>
    <row r="221" spans="29:31">
      <c r="AC221"/>
      <c r="AD221"/>
      <c r="AE221"/>
    </row>
    <row r="222" spans="29:31">
      <c r="AC222"/>
      <c r="AD222"/>
      <c r="AE222"/>
    </row>
    <row r="223" spans="29:31">
      <c r="AC223"/>
      <c r="AD223"/>
      <c r="AE223"/>
    </row>
    <row r="224" spans="29:31">
      <c r="AC224"/>
      <c r="AD224"/>
      <c r="AE224"/>
    </row>
    <row r="225" spans="29:31">
      <c r="AC225"/>
      <c r="AD225"/>
      <c r="AE225"/>
    </row>
    <row r="226" spans="29:31">
      <c r="AC226"/>
      <c r="AD226"/>
      <c r="AE226"/>
    </row>
    <row r="227" spans="29:31">
      <c r="AC227"/>
      <c r="AD227"/>
      <c r="AE227"/>
    </row>
    <row r="228" spans="29:31">
      <c r="AC228"/>
      <c r="AD228"/>
      <c r="AE228"/>
    </row>
    <row r="229" spans="29:31">
      <c r="AC229"/>
      <c r="AD229"/>
      <c r="AE229"/>
    </row>
    <row r="230" spans="29:31">
      <c r="AC230"/>
      <c r="AD230"/>
      <c r="AE230"/>
    </row>
    <row r="231" spans="29:31">
      <c r="AC231"/>
      <c r="AD231"/>
      <c r="AE231"/>
    </row>
    <row r="232" spans="29:31">
      <c r="AC232"/>
      <c r="AD232"/>
      <c r="AE232"/>
    </row>
    <row r="233" spans="29:31">
      <c r="AC233"/>
      <c r="AD233"/>
      <c r="AE233"/>
    </row>
    <row r="234" spans="29:31">
      <c r="AC234"/>
      <c r="AD234"/>
      <c r="AE234"/>
    </row>
    <row r="235" spans="29:31">
      <c r="AC235"/>
      <c r="AD235"/>
      <c r="AE235"/>
    </row>
    <row r="236" spans="29:31">
      <c r="AC236"/>
      <c r="AD236"/>
      <c r="AE236"/>
    </row>
    <row r="237" spans="29:31">
      <c r="AC237"/>
      <c r="AD237"/>
      <c r="AE237"/>
    </row>
    <row r="238" spans="29:31">
      <c r="AC238"/>
      <c r="AD238"/>
      <c r="AE238"/>
    </row>
    <row r="239" spans="29:31">
      <c r="AC239"/>
      <c r="AD239"/>
      <c r="AE239"/>
    </row>
    <row r="240" spans="29:31">
      <c r="AC240"/>
      <c r="AD240"/>
      <c r="AE240"/>
    </row>
    <row r="241" spans="29:31">
      <c r="AC241"/>
      <c r="AD241"/>
      <c r="AE241"/>
    </row>
    <row r="242" spans="29:31">
      <c r="AC242"/>
      <c r="AD242"/>
      <c r="AE242"/>
    </row>
    <row r="243" spans="29:31">
      <c r="AC243"/>
      <c r="AD243"/>
      <c r="AE243"/>
    </row>
    <row r="244" spans="29:31">
      <c r="AC244"/>
      <c r="AD244"/>
      <c r="AE244"/>
    </row>
    <row r="245" spans="29:31">
      <c r="AC245"/>
      <c r="AD245"/>
      <c r="AE245"/>
    </row>
    <row r="246" spans="29:31">
      <c r="AC246"/>
      <c r="AD246"/>
      <c r="AE246"/>
    </row>
    <row r="247" spans="29:31">
      <c r="AC247"/>
      <c r="AD247"/>
      <c r="AE247"/>
    </row>
    <row r="248" spans="29:31">
      <c r="AC248"/>
      <c r="AD248"/>
      <c r="AE248"/>
    </row>
    <row r="249" spans="29:31">
      <c r="AC249"/>
      <c r="AD249"/>
      <c r="AE249"/>
    </row>
    <row r="250" spans="29:31">
      <c r="AC250"/>
      <c r="AD250"/>
      <c r="AE250"/>
    </row>
    <row r="251" spans="29:31">
      <c r="AC251"/>
      <c r="AD251"/>
      <c r="AE251"/>
    </row>
    <row r="252" spans="29:31">
      <c r="AC252"/>
      <c r="AD252"/>
      <c r="AE252"/>
    </row>
    <row r="253" spans="29:31">
      <c r="AC253"/>
      <c r="AD253"/>
      <c r="AE253"/>
    </row>
    <row r="254" spans="29:31">
      <c r="AC254"/>
      <c r="AD254"/>
      <c r="AE254"/>
    </row>
    <row r="255" spans="29:31">
      <c r="AC255"/>
      <c r="AD255"/>
      <c r="AE255"/>
    </row>
    <row r="256" spans="29:31">
      <c r="AC256"/>
      <c r="AD256"/>
      <c r="AE256"/>
    </row>
    <row r="257" spans="29:31">
      <c r="AC257"/>
      <c r="AD257"/>
      <c r="AE257"/>
    </row>
    <row r="258" spans="29:31">
      <c r="AC258"/>
      <c r="AD258"/>
      <c r="AE258"/>
    </row>
    <row r="259" spans="29:31">
      <c r="AC259"/>
      <c r="AD259"/>
      <c r="AE259"/>
    </row>
    <row r="260" spans="29:31">
      <c r="AC260"/>
      <c r="AD260"/>
      <c r="AE260"/>
    </row>
    <row r="261" spans="29:31">
      <c r="AC261"/>
      <c r="AD261"/>
      <c r="AE261"/>
    </row>
    <row r="262" spans="29:31">
      <c r="AC262"/>
      <c r="AD262"/>
      <c r="AE262"/>
    </row>
    <row r="263" spans="29:31">
      <c r="AC263"/>
      <c r="AD263"/>
      <c r="AE263"/>
    </row>
    <row r="264" spans="29:31">
      <c r="AC264"/>
      <c r="AD264"/>
      <c r="AE264"/>
    </row>
    <row r="265" spans="29:31">
      <c r="AC265"/>
      <c r="AD265"/>
      <c r="AE265"/>
    </row>
    <row r="266" spans="29:31">
      <c r="AC266"/>
      <c r="AD266"/>
      <c r="AE266"/>
    </row>
    <row r="267" spans="29:31">
      <c r="AC267"/>
      <c r="AD267"/>
      <c r="AE267"/>
    </row>
    <row r="268" spans="29:31">
      <c r="AC268"/>
      <c r="AD268"/>
      <c r="AE268"/>
    </row>
    <row r="269" spans="29:31">
      <c r="AC269"/>
      <c r="AD269"/>
      <c r="AE269"/>
    </row>
    <row r="270" spans="29:31">
      <c r="AC270"/>
      <c r="AD270"/>
      <c r="AE270"/>
    </row>
    <row r="271" spans="29:31">
      <c r="AC271"/>
      <c r="AD271"/>
      <c r="AE271"/>
    </row>
    <row r="272" spans="29:31">
      <c r="AC272"/>
      <c r="AD272"/>
      <c r="AE272"/>
    </row>
    <row r="273" spans="29:31">
      <c r="AC273"/>
      <c r="AD273"/>
      <c r="AE273"/>
    </row>
    <row r="274" spans="29:31">
      <c r="AC274"/>
      <c r="AD274"/>
      <c r="AE274"/>
    </row>
    <row r="275" spans="29:31">
      <c r="AC275"/>
      <c r="AD275"/>
      <c r="AE275"/>
    </row>
    <row r="276" spans="29:31">
      <c r="AC276"/>
      <c r="AD276"/>
      <c r="AE276"/>
    </row>
    <row r="277" spans="29:31">
      <c r="AC277"/>
      <c r="AD277"/>
      <c r="AE277"/>
    </row>
    <row r="278" spans="29:31">
      <c r="AC278"/>
      <c r="AD278"/>
      <c r="AE278"/>
    </row>
    <row r="279" spans="29:31">
      <c r="AC279"/>
      <c r="AD279"/>
      <c r="AE279"/>
    </row>
    <row r="280" spans="29:31">
      <c r="AC280"/>
      <c r="AD280"/>
      <c r="AE280"/>
    </row>
    <row r="281" spans="29:31">
      <c r="AC281"/>
      <c r="AD281"/>
      <c r="AE281"/>
    </row>
    <row r="282" spans="29:31">
      <c r="AC282"/>
      <c r="AD282"/>
      <c r="AE282"/>
    </row>
    <row r="283" spans="29:31">
      <c r="AC283"/>
      <c r="AD283"/>
      <c r="AE283"/>
    </row>
    <row r="284" spans="29:31">
      <c r="AC284"/>
      <c r="AD284"/>
      <c r="AE284"/>
    </row>
    <row r="285" spans="29:31">
      <c r="AC285"/>
      <c r="AD285"/>
      <c r="AE285"/>
    </row>
    <row r="286" spans="29:31">
      <c r="AC286"/>
      <c r="AD286"/>
      <c r="AE286"/>
    </row>
    <row r="287" spans="29:31">
      <c r="AC287"/>
      <c r="AD287"/>
      <c r="AE287"/>
    </row>
    <row r="288" spans="29:31">
      <c r="AC288"/>
      <c r="AD288"/>
      <c r="AE288"/>
    </row>
    <row r="289" spans="29:31">
      <c r="AC289"/>
      <c r="AD289"/>
      <c r="AE289"/>
    </row>
    <row r="290" spans="29:31">
      <c r="AC290"/>
      <c r="AD290"/>
      <c r="AE290"/>
    </row>
    <row r="291" spans="29:31">
      <c r="AC291"/>
      <c r="AD291"/>
      <c r="AE291"/>
    </row>
    <row r="292" spans="29:31">
      <c r="AC292"/>
      <c r="AD292"/>
      <c r="AE292"/>
    </row>
    <row r="293" spans="29:31">
      <c r="AC293"/>
      <c r="AD293"/>
      <c r="AE293"/>
    </row>
    <row r="294" spans="29:31">
      <c r="AC294"/>
      <c r="AD294"/>
      <c r="AE294"/>
    </row>
    <row r="295" spans="29:31">
      <c r="AC295"/>
      <c r="AD295"/>
      <c r="AE295"/>
    </row>
    <row r="296" spans="29:31">
      <c r="AC296"/>
      <c r="AD296"/>
      <c r="AE296"/>
    </row>
    <row r="297" spans="29:31">
      <c r="AC297"/>
      <c r="AD297"/>
      <c r="AE297"/>
    </row>
    <row r="298" spans="29:31">
      <c r="AC298"/>
      <c r="AD298"/>
      <c r="AE298"/>
    </row>
    <row r="299" spans="29:31">
      <c r="AC299"/>
      <c r="AD299"/>
      <c r="AE299"/>
    </row>
    <row r="300" spans="29:31">
      <c r="AC300"/>
      <c r="AD300"/>
      <c r="AE300"/>
    </row>
    <row r="301" spans="29:31">
      <c r="AC301"/>
      <c r="AD301"/>
      <c r="AE301"/>
    </row>
    <row r="302" spans="29:31">
      <c r="AC302"/>
      <c r="AD302"/>
      <c r="AE302"/>
    </row>
    <row r="303" spans="29:31">
      <c r="AC303"/>
      <c r="AD303"/>
      <c r="AE303"/>
    </row>
    <row r="304" spans="29:31">
      <c r="AC304"/>
      <c r="AD304"/>
      <c r="AE304"/>
    </row>
    <row r="305" spans="29:31">
      <c r="AC305"/>
      <c r="AD305"/>
      <c r="AE305"/>
    </row>
    <row r="306" spans="29:31">
      <c r="AC306"/>
      <c r="AD306"/>
      <c r="AE306"/>
    </row>
    <row r="307" spans="29:31">
      <c r="AC307"/>
      <c r="AD307"/>
      <c r="AE307"/>
    </row>
    <row r="308" spans="29:31">
      <c r="AC308"/>
      <c r="AD308"/>
      <c r="AE308"/>
    </row>
    <row r="309" spans="29:31">
      <c r="AC309"/>
      <c r="AD309"/>
      <c r="AE309"/>
    </row>
    <row r="310" spans="29:31">
      <c r="AC310"/>
      <c r="AD310"/>
      <c r="AE310"/>
    </row>
    <row r="311" spans="29:31">
      <c r="AC311"/>
      <c r="AD311"/>
      <c r="AE311"/>
    </row>
    <row r="312" spans="29:31">
      <c r="AC312"/>
      <c r="AD312"/>
      <c r="AE312"/>
    </row>
    <row r="313" spans="29:31">
      <c r="AC313"/>
      <c r="AD313"/>
      <c r="AE313"/>
    </row>
    <row r="314" spans="29:31">
      <c r="AC314"/>
      <c r="AD314"/>
      <c r="AE314"/>
    </row>
    <row r="315" spans="29:31">
      <c r="AC315"/>
      <c r="AD315"/>
      <c r="AE315"/>
    </row>
    <row r="316" spans="29:31">
      <c r="AC316"/>
      <c r="AD316"/>
      <c r="AE316"/>
    </row>
    <row r="317" spans="29:31">
      <c r="AC317"/>
      <c r="AD317"/>
      <c r="AE317"/>
    </row>
    <row r="318" spans="29:31">
      <c r="AC318"/>
      <c r="AD318"/>
      <c r="AE318"/>
    </row>
    <row r="319" spans="29:31">
      <c r="AC319"/>
      <c r="AD319"/>
      <c r="AE319"/>
    </row>
    <row r="320" spans="29:31">
      <c r="AC320"/>
      <c r="AD320"/>
      <c r="AE320"/>
    </row>
    <row r="321" spans="29:31">
      <c r="AC321"/>
      <c r="AD321"/>
      <c r="AE321"/>
    </row>
    <row r="322" spans="29:31">
      <c r="AC322"/>
      <c r="AD322"/>
      <c r="AE322"/>
    </row>
    <row r="323" spans="29:31">
      <c r="AC323"/>
      <c r="AD323"/>
      <c r="AE323"/>
    </row>
    <row r="324" spans="29:31">
      <c r="AC324"/>
      <c r="AD324"/>
      <c r="AE324"/>
    </row>
    <row r="325" spans="29:31">
      <c r="AC325"/>
      <c r="AD325"/>
      <c r="AE325"/>
    </row>
    <row r="326" spans="29:31">
      <c r="AC326"/>
      <c r="AD326"/>
      <c r="AE326"/>
    </row>
    <row r="327" spans="29:31">
      <c r="AC327"/>
      <c r="AD327"/>
      <c r="AE327"/>
    </row>
    <row r="328" spans="29:31">
      <c r="AC328"/>
      <c r="AD328"/>
      <c r="AE328"/>
    </row>
    <row r="329" spans="29:31">
      <c r="AC329"/>
      <c r="AD329"/>
      <c r="AE329"/>
    </row>
    <row r="330" spans="29:31">
      <c r="AC330"/>
      <c r="AD330"/>
      <c r="AE330"/>
    </row>
    <row r="331" spans="29:31">
      <c r="AC331"/>
      <c r="AD331"/>
      <c r="AE331"/>
    </row>
    <row r="332" spans="29:31">
      <c r="AC332"/>
      <c r="AD332"/>
      <c r="AE332"/>
    </row>
    <row r="333" spans="29:31">
      <c r="AC333"/>
      <c r="AD333"/>
      <c r="AE333"/>
    </row>
    <row r="334" spans="29:31">
      <c r="AC334"/>
      <c r="AD334"/>
      <c r="AE334"/>
    </row>
    <row r="335" spans="29:31">
      <c r="AC335"/>
      <c r="AD335"/>
      <c r="AE335"/>
    </row>
    <row r="336" spans="29:31">
      <c r="AC336"/>
      <c r="AD336"/>
      <c r="AE336"/>
    </row>
    <row r="337" spans="29:31">
      <c r="AC337"/>
      <c r="AD337"/>
      <c r="AE337"/>
    </row>
    <row r="338" spans="29:31">
      <c r="AC338"/>
      <c r="AD338"/>
      <c r="AE338"/>
    </row>
    <row r="339" spans="29:31">
      <c r="AC339"/>
      <c r="AD339"/>
      <c r="AE339"/>
    </row>
    <row r="340" spans="29:31">
      <c r="AC340"/>
      <c r="AD340"/>
      <c r="AE340"/>
    </row>
    <row r="341" spans="29:31">
      <c r="AC341"/>
      <c r="AD341"/>
      <c r="AE341"/>
    </row>
    <row r="342" spans="29:31">
      <c r="AC342"/>
      <c r="AD342"/>
      <c r="AE342"/>
    </row>
    <row r="343" spans="29:31">
      <c r="AC343"/>
      <c r="AD343"/>
      <c r="AE343"/>
    </row>
    <row r="344" spans="29:31">
      <c r="AC344"/>
      <c r="AD344"/>
      <c r="AE344"/>
    </row>
    <row r="345" spans="29:31">
      <c r="AC345"/>
      <c r="AD345"/>
      <c r="AE345"/>
    </row>
    <row r="346" spans="29:31">
      <c r="AC346"/>
      <c r="AD346"/>
      <c r="AE346"/>
    </row>
    <row r="347" spans="29:31">
      <c r="AC347"/>
      <c r="AD347"/>
      <c r="AE347"/>
    </row>
    <row r="348" spans="29:31">
      <c r="AC348"/>
      <c r="AD348"/>
      <c r="AE348"/>
    </row>
    <row r="349" spans="29:31">
      <c r="AC349"/>
      <c r="AD349"/>
      <c r="AE349"/>
    </row>
    <row r="350" spans="29:31">
      <c r="AC350"/>
      <c r="AD350"/>
      <c r="AE350"/>
    </row>
    <row r="351" spans="29:31">
      <c r="AC351"/>
      <c r="AD351"/>
      <c r="AE351"/>
    </row>
    <row r="352" spans="29:31">
      <c r="AC352"/>
      <c r="AD352"/>
      <c r="AE352"/>
    </row>
    <row r="353" spans="29:31">
      <c r="AC353"/>
      <c r="AD353"/>
      <c r="AE353"/>
    </row>
    <row r="354" spans="29:31">
      <c r="AC354"/>
      <c r="AD354"/>
      <c r="AE354"/>
    </row>
    <row r="355" spans="29:31">
      <c r="AC355"/>
      <c r="AD355"/>
      <c r="AE355"/>
    </row>
    <row r="356" spans="29:31">
      <c r="AC356"/>
      <c r="AD356"/>
      <c r="AE356"/>
    </row>
    <row r="357" spans="29:31">
      <c r="AC357"/>
      <c r="AD357"/>
      <c r="AE357"/>
    </row>
    <row r="358" spans="29:31">
      <c r="AC358"/>
      <c r="AD358"/>
      <c r="AE358"/>
    </row>
    <row r="359" spans="29:31">
      <c r="AC359"/>
      <c r="AD359"/>
      <c r="AE359"/>
    </row>
    <row r="360" spans="29:31">
      <c r="AC360"/>
      <c r="AD360"/>
      <c r="AE360"/>
    </row>
    <row r="361" spans="29:31">
      <c r="AC361"/>
      <c r="AD361"/>
      <c r="AE361"/>
    </row>
    <row r="362" spans="29:31">
      <c r="AC362"/>
      <c r="AD362"/>
      <c r="AE362"/>
    </row>
    <row r="363" spans="29:31">
      <c r="AC363"/>
      <c r="AD363"/>
      <c r="AE363"/>
    </row>
    <row r="364" spans="29:31">
      <c r="AC364"/>
      <c r="AD364"/>
      <c r="AE364"/>
    </row>
    <row r="365" spans="29:31">
      <c r="AC365"/>
      <c r="AD365"/>
      <c r="AE365"/>
    </row>
    <row r="366" spans="29:31">
      <c r="AC366"/>
      <c r="AD366"/>
      <c r="AE366"/>
    </row>
    <row r="367" spans="29:31">
      <c r="AC367"/>
      <c r="AD367"/>
      <c r="AE367"/>
    </row>
    <row r="368" spans="29:31">
      <c r="AC368"/>
      <c r="AD368"/>
      <c r="AE368"/>
    </row>
    <row r="369" spans="29:31">
      <c r="AC369"/>
      <c r="AD369"/>
      <c r="AE369"/>
    </row>
    <row r="370" spans="29:31">
      <c r="AC370"/>
      <c r="AD370"/>
      <c r="AE370"/>
    </row>
    <row r="371" spans="29:31">
      <c r="AC371"/>
      <c r="AD371"/>
      <c r="AE371"/>
    </row>
    <row r="372" spans="29:31">
      <c r="AC372"/>
      <c r="AD372"/>
      <c r="AE372"/>
    </row>
    <row r="373" spans="29:31">
      <c r="AC373"/>
      <c r="AD373"/>
      <c r="AE373"/>
    </row>
    <row r="374" spans="29:31">
      <c r="AC374"/>
      <c r="AD374"/>
      <c r="AE374"/>
    </row>
    <row r="375" spans="29:31">
      <c r="AC375"/>
      <c r="AD375"/>
      <c r="AE375"/>
    </row>
    <row r="376" spans="29:31">
      <c r="AC376"/>
      <c r="AD376"/>
      <c r="AE376"/>
    </row>
    <row r="377" spans="29:31">
      <c r="AC377"/>
      <c r="AD377"/>
      <c r="AE377"/>
    </row>
    <row r="378" spans="29:31">
      <c r="AC378"/>
      <c r="AD378"/>
      <c r="AE378"/>
    </row>
    <row r="379" spans="29:31">
      <c r="AC379"/>
      <c r="AD379"/>
      <c r="AE379"/>
    </row>
    <row r="380" spans="29:31">
      <c r="AC380"/>
      <c r="AD380"/>
      <c r="AE380"/>
    </row>
    <row r="381" spans="29:31">
      <c r="AC381"/>
      <c r="AD381"/>
      <c r="AE381"/>
    </row>
    <row r="382" spans="29:31">
      <c r="AC382"/>
      <c r="AD382"/>
      <c r="AE382"/>
    </row>
    <row r="383" spans="29:31">
      <c r="AC383"/>
      <c r="AD383"/>
      <c r="AE383"/>
    </row>
    <row r="384" spans="29:31">
      <c r="AC384"/>
      <c r="AD384"/>
      <c r="AE384"/>
    </row>
    <row r="385" spans="29:31">
      <c r="AC385"/>
      <c r="AD385"/>
      <c r="AE385"/>
    </row>
    <row r="386" spans="29:31">
      <c r="AC386"/>
      <c r="AD386"/>
      <c r="AE386"/>
    </row>
    <row r="387" spans="29:31">
      <c r="AC387"/>
      <c r="AD387"/>
      <c r="AE387"/>
    </row>
    <row r="388" spans="29:31">
      <c r="AC388"/>
      <c r="AD388"/>
      <c r="AE388"/>
    </row>
    <row r="389" spans="29:31">
      <c r="AC389"/>
      <c r="AD389"/>
      <c r="AE389"/>
    </row>
    <row r="390" spans="29:31">
      <c r="AC390"/>
      <c r="AD390"/>
      <c r="AE390"/>
    </row>
    <row r="391" spans="29:31">
      <c r="AC391"/>
      <c r="AD391"/>
      <c r="AE391"/>
    </row>
    <row r="392" spans="29:31">
      <c r="AC392"/>
      <c r="AD392"/>
      <c r="AE392"/>
    </row>
    <row r="393" spans="29:31">
      <c r="AC393"/>
      <c r="AD393"/>
      <c r="AE393"/>
    </row>
    <row r="394" spans="29:31">
      <c r="AC394"/>
      <c r="AD394"/>
      <c r="AE394"/>
    </row>
    <row r="395" spans="29:31">
      <c r="AC395"/>
      <c r="AD395"/>
      <c r="AE395"/>
    </row>
    <row r="396" spans="29:31">
      <c r="AC396"/>
      <c r="AD396"/>
      <c r="AE396"/>
    </row>
    <row r="397" spans="29:31">
      <c r="AC397"/>
      <c r="AD397"/>
      <c r="AE397"/>
    </row>
    <row r="398" spans="29:31">
      <c r="AC398"/>
      <c r="AD398"/>
      <c r="AE398"/>
    </row>
    <row r="399" spans="29:31">
      <c r="AC399"/>
      <c r="AD399"/>
      <c r="AE399"/>
    </row>
    <row r="400" spans="29:31">
      <c r="AC400"/>
      <c r="AD400"/>
      <c r="AE400"/>
    </row>
    <row r="401" spans="29:31">
      <c r="AC401"/>
      <c r="AD401"/>
      <c r="AE401"/>
    </row>
    <row r="402" spans="29:31">
      <c r="AC402"/>
      <c r="AD402"/>
      <c r="AE402"/>
    </row>
    <row r="403" spans="29:31">
      <c r="AC403"/>
      <c r="AD403"/>
      <c r="AE403"/>
    </row>
    <row r="404" spans="29:31">
      <c r="AC404"/>
      <c r="AD404"/>
      <c r="AE404"/>
    </row>
    <row r="405" spans="29:31">
      <c r="AC405"/>
      <c r="AD405"/>
      <c r="AE405"/>
    </row>
    <row r="406" spans="29:31">
      <c r="AC406"/>
      <c r="AD406"/>
      <c r="AE406"/>
    </row>
  </sheetData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ACG102"/>
  <sheetViews>
    <sheetView workbookViewId="0">
      <selection activeCell="I70" sqref="I70"/>
    </sheetView>
  </sheetViews>
  <sheetFormatPr defaultColWidth="8.54054054054054" defaultRowHeight="14.1"/>
  <sheetData>
    <row r="1" ht="15" customHeight="1" spans="1:61">
      <c r="A1" s="1" t="s">
        <v>9</v>
      </c>
      <c r="B1" s="2">
        <f ca="1">IF(ISERROR(INDEX(指数走势!$F$7:$IV$7,1,MATCH(TODAY(),指数走势!$F$1:$IV$1,1)-60+1)),NA(),IF(INDEX(指数走势!$F$7:$IV$7,1,MATCH(TODAY(),指数走势!$F$1:$IV$1,1)-60+1)=0,NA(),INDEX(指数走势!$F$7:$IV$7,1,MATCH(TODAY(),指数走势!$F$1:$IV$1,1)-60+1)))</f>
        <v>3994.9975</v>
      </c>
      <c r="C1" s="2">
        <f ca="1">IF(ISERROR(INDEX(指数走势!$F$7:$IV$7,1,MATCH(TODAY(),指数走势!$F$1:$IV$1,1)-60+2)),NA(),IF(INDEX(指数走势!$F$7:$IV$7,1,MATCH(TODAY(),指数走势!$F$1:$IV$1,1)-60+2)=0,NA(),INDEX(指数走势!$F$7:$IV$7,1,MATCH(TODAY(),指数走势!$F$1:$IV$1,1)-60+2)))</f>
        <v>3966.1712</v>
      </c>
      <c r="D1" s="2">
        <f ca="1">IF(ISERROR(INDEX(指数走势!$F$7:$IV$7,1,MATCH(TODAY(),指数走势!$F$1:$IV$1,1)-60+3)),NA(),IF(INDEX(指数走势!$F$7:$IV$7,1,MATCH(TODAY(),指数走势!$F$1:$IV$1,1)-60+3)=0,NA(),INDEX(指数走势!$F$7:$IV$7,1,MATCH(TODAY(),指数走势!$F$1:$IV$1,1)-60+3)))</f>
        <v>3986.2247</v>
      </c>
      <c r="E1" s="2">
        <f ca="1">IF(ISERROR(INDEX(指数走势!$F$7:$IV$7,1,MATCH(TODAY(),指数走势!$F$1:$IV$1,1)-60+4)),NA(),IF(INDEX(指数走势!$F$7:$IV$7,1,MATCH(TODAY(),指数走势!$F$1:$IV$1,1)-60+4)=0,NA(),INDEX(指数走势!$F$7:$IV$7,1,MATCH(TODAY(),指数走势!$F$1:$IV$1,1)-60+4)))</f>
        <v>3988.558</v>
      </c>
      <c r="F1" s="2">
        <f ca="1">IF(ISERROR(INDEX(指数走势!$F$7:$IV$7,1,MATCH(TODAY(),指数走势!$F$1:$IV$1,1)-60+5)),NA(),IF(INDEX(指数走势!$F$7:$IV$7,1,MATCH(TODAY(),指数走势!$F$1:$IV$1,1)-60+5)=0,NA(),INDEX(指数走势!$F$7:$IV$7,1,MATCH(TODAY(),指数走势!$F$1:$IV$1,1)-60+5)))</f>
        <v>4026.6256</v>
      </c>
      <c r="G1" s="2">
        <f ca="1">IF(ISERROR(INDEX(指数走势!$F$7:$IV$7,1,MATCH(TODAY(),指数走势!$F$1:$IV$1,1)-60+6)),NA(),IF(INDEX(指数走势!$F$7:$IV$7,1,MATCH(TODAY(),指数走势!$F$1:$IV$1,1)-60+6)=0,NA(),INDEX(指数走势!$F$7:$IV$7,1,MATCH(TODAY(),指数走势!$F$1:$IV$1,1)-60+6)))</f>
        <v>4027.2095</v>
      </c>
      <c r="H1" s="2">
        <f ca="1">IF(ISERROR(INDEX(指数走势!$F$7:$IV$7,1,MATCH(TODAY(),指数走势!$F$1:$IV$1,1)-60+7)),NA(),IF(INDEX(指数走势!$F$7:$IV$7,1,MATCH(TODAY(),指数走势!$F$1:$IV$1,1)-60+7)=0,NA(),INDEX(指数走势!$F$7:$IV$7,1,MATCH(TODAY(),指数走势!$F$1:$IV$1,1)-60+7)))</f>
        <v>4055.5468</v>
      </c>
      <c r="I1" s="2">
        <f ca="1">IF(ISERROR(INDEX(指数走势!$F$7:$IV$7,1,MATCH(TODAY(),指数走势!$F$1:$IV$1,1)-60+8)),NA(),IF(INDEX(指数走势!$F$7:$IV$7,1,MATCH(TODAY(),指数走势!$F$1:$IV$1,1)-60+8)=0,NA(),INDEX(指数走势!$F$7:$IV$7,1,MATCH(TODAY(),指数走势!$F$1:$IV$1,1)-60+8)))</f>
        <v>4051.4254</v>
      </c>
      <c r="J1" s="2">
        <f ca="1">IF(ISERROR(INDEX(指数走势!$F$7:$IV$7,1,MATCH(TODAY(),指数走势!$F$1:$IV$1,1)-60+9)),NA(),IF(INDEX(指数走势!$F$7:$IV$7,1,MATCH(TODAY(),指数走势!$F$1:$IV$1,1)-60+9)=0,NA(),INDEX(指数走势!$F$7:$IV$7,1,MATCH(TODAY(),指数走势!$F$1:$IV$1,1)-60+9)))</f>
        <v>4082.1271</v>
      </c>
      <c r="K1" s="2">
        <f ca="1">IF(ISERROR(INDEX(指数走势!$F$7:$IV$7,1,MATCH(TODAY(),指数走势!$F$1:$IV$1,1)-60+10)),NA(),IF(INDEX(指数走势!$F$7:$IV$7,1,MATCH(TODAY(),指数走势!$F$1:$IV$1,1)-60+10)=0,NA(),INDEX(指数走势!$F$7:$IV$7,1,MATCH(TODAY(),指数走势!$F$1:$IV$1,1)-60+10)))</f>
        <v>4085.0766</v>
      </c>
      <c r="L1" s="2">
        <f ca="1">IF(ISERROR(INDEX(指数走势!$F$7:$IV$7,1,MATCH(TODAY(),指数走势!$F$1:$IV$1,1)-60+11)),NA(),IF(INDEX(指数走势!$F$7:$IV$7,1,MATCH(TODAY(),指数走势!$F$1:$IV$1,1)-60+11)=0,NA(),INDEX(指数走势!$F$7:$IV$7,1,MATCH(TODAY(),指数走势!$F$1:$IV$1,1)-60+11)))</f>
        <v>4106.2581</v>
      </c>
      <c r="M1" s="2">
        <f ca="1">IF(ISERROR(INDEX(指数走势!$F$7:$IV$7,1,MATCH(TODAY(),指数走势!$F$1:$IV$1,1)-60+12)),NA(),IF(INDEX(指数走势!$F$7:$IV$7,1,MATCH(TODAY(),指数走势!$F$1:$IV$1,1)-60+12)=0,NA(),INDEX(指数走势!$F$7:$IV$7,1,MATCH(TODAY(),指数走势!$F$1:$IV$1,1)-60+12)))</f>
        <v>4093.2501</v>
      </c>
      <c r="N1" s="2">
        <f ca="1">IF(ISERROR(INDEX(指数走势!$F$7:$IV$7,1,MATCH(TODAY(),指数走势!$F$1:$IV$1,1)-60+13)),NA(),IF(INDEX(指数走势!$F$7:$IV$7,1,MATCH(TODAY(),指数走势!$F$1:$IV$1,1)-60+13)=0,NA(),INDEX(指数走势!$F$7:$IV$7,1,MATCH(TODAY(),指数走势!$F$1:$IV$1,1)-60+13)))</f>
        <v>4079.9004</v>
      </c>
      <c r="O1" s="2">
        <f ca="1">IF(ISERROR(INDEX(指数走势!$F$7:$IV$7,1,MATCH(TODAY(),指数走势!$F$1:$IV$1,1)-60+14)),NA(),IF(INDEX(指数走势!$F$7:$IV$7,1,MATCH(TODAY(),指数走势!$F$1:$IV$1,1)-60+14)=0,NA(),INDEX(指数走势!$F$7:$IV$7,1,MATCH(TODAY(),指数走势!$F$1:$IV$1,1)-60+14)))</f>
        <v>4086.3442</v>
      </c>
      <c r="P1" s="2">
        <f ca="1">IF(ISERROR(INDEX(指数走势!$F$7:$IV$7,1,MATCH(TODAY(),指数走势!$F$1:$IV$1,1)-60+15)),NA(),IF(INDEX(指数走势!$F$7:$IV$7,1,MATCH(TODAY(),指数走势!$F$1:$IV$1,1)-60+15)=0,NA(),INDEX(指数走势!$F$7:$IV$7,1,MATCH(TODAY(),指数走势!$F$1:$IV$1,1)-60+15)))</f>
        <v>4078.6374</v>
      </c>
      <c r="Q1" s="2">
        <f ca="1">IF(ISERROR(INDEX(指数走势!$F$7:$IV$7,1,MATCH(TODAY(),指数走势!$F$1:$IV$1,1)-60+16)),NA(),IF(INDEX(指数走势!$F$7:$IV$7,1,MATCH(TODAY(),指数走势!$F$1:$IV$1,1)-60+16)=0,NA(),INDEX(指数走势!$F$7:$IV$7,1,MATCH(TODAY(),指数走势!$F$1:$IV$1,1)-60+16)))</f>
        <v>4107.5144</v>
      </c>
      <c r="R1" s="2">
        <f ca="1">IF(ISERROR(INDEX(指数走势!$F$7:$IV$7,1,MATCH(TODAY(),指数走势!$F$1:$IV$1,1)-60+17)),NA(),IF(INDEX(指数走势!$F$7:$IV$7,1,MATCH(TODAY(),指数走势!$F$1:$IV$1,1)-60+17)=0,NA(),INDEX(指数走势!$F$7:$IV$7,1,MATCH(TODAY(),指数走势!$F$1:$IV$1,1)-60+17)))</f>
        <v>4112.1593</v>
      </c>
      <c r="S1" s="2">
        <f ca="1">IF(ISERROR(INDEX(指数走势!$F$7:$IV$7,1,MATCH(TODAY(),指数走势!$F$1:$IV$1,1)-60+18)),NA(),IF(INDEX(指数走势!$F$7:$IV$7,1,MATCH(TODAY(),指数走势!$F$1:$IV$1,1)-60+18)=0,NA(),INDEX(指数走势!$F$7:$IV$7,1,MATCH(TODAY(),指数走势!$F$1:$IV$1,1)-60+18)))</f>
        <v>4160.1737</v>
      </c>
      <c r="T1" s="2">
        <f ca="1">IF(ISERROR(INDEX(指数走势!$F$7:$IV$7,1,MATCH(TODAY(),指数走势!$F$1:$IV$1,1)-60+19)),NA(),IF(INDEX(指数走势!$F$7:$IV$7,1,MATCH(TODAY(),指数走势!$F$1:$IV$1,1)-60+19)=0,NA(),INDEX(指数走势!$F$7:$IV$7,1,MATCH(TODAY(),指数走势!$F$1:$IV$1,1)-60+19)))</f>
        <v>4180.0922</v>
      </c>
      <c r="U1" s="2">
        <f ca="1">IF(ISERROR(INDEX(指数走势!$F$7:$IV$7,1,MATCH(TODAY(),指数走势!$F$1:$IV$1,1)-60+20)),NA(),IF(INDEX(指数走势!$F$7:$IV$7,1,MATCH(TODAY(),指数走势!$F$1:$IV$1,1)-60+20)=0,NA(),INDEX(指数走势!$F$7:$IV$7,1,MATCH(TODAY(),指数走势!$F$1:$IV$1,1)-60+20)))</f>
        <v>4179.9524</v>
      </c>
      <c r="V1" s="2">
        <f ca="1">IF(ISERROR(INDEX(指数走势!$F$7:$IV$7,1,MATCH(TODAY(),指数走势!$F$1:$IV$1,1)-60+21)),NA(),IF(INDEX(指数走势!$F$7:$IV$7,1,MATCH(TODAY(),指数走势!$F$1:$IV$1,1)-60+21)=0,NA(),INDEX(指数走势!$F$7:$IV$7,1,MATCH(TODAY(),指数走势!$F$1:$IV$1,1)-60+21)))</f>
        <v>4225.0207</v>
      </c>
      <c r="W1" s="2">
        <f ca="1">IF(ISERROR(INDEX(指数走势!$F$7:$IV$7,1,MATCH(TODAY(),指数走势!$F$1:$IV$1,1)-60+22)),NA(),IF(INDEX(指数走势!$F$7:$IV$7,1,MATCH(TODAY(),指数走势!$F$1:$IV$1,1)-60+22)=0,NA(),INDEX(指数走势!$F$7:$IV$7,1,MATCH(TODAY(),指数走势!$F$1:$IV$1,1)-60+22)))</f>
        <v>4214.4891</v>
      </c>
      <c r="X1" s="2">
        <f ca="1">IF(ISERROR(INDEX(指数走势!$F$7:$IV$7,1,MATCH(TODAY(),指数走势!$F$1:$IV$1,1)-60+23)),NA(),IF(INDEX(指数走势!$F$7:$IV$7,1,MATCH(TODAY(),指数走势!$F$1:$IV$1,1)-60+23)=0,NA(),INDEX(指数走势!$F$7:$IV$7,1,MATCH(TODAY(),指数走势!$F$1:$IV$1,1)-60+23)))</f>
        <v>4242.572</v>
      </c>
      <c r="Y1" s="2">
        <f ca="1">IF(ISERROR(INDEX(指数走势!$F$7:$IV$7,1,MATCH(TODAY(),指数走势!$F$1:$IV$1,1)-60+24)),NA(),IF(INDEX(指数走势!$F$7:$IV$7,1,MATCH(TODAY(),指数走势!$F$1:$IV$1,1)-60+24)=0,NA(),INDEX(指数走势!$F$7:$IV$7,1,MATCH(TODAY(),指数走势!$F$1:$IV$1,1)-60+24)))</f>
        <v>4177.9175</v>
      </c>
      <c r="Z1" s="2">
        <f ca="1">IF(ISERROR(INDEX(指数走势!$F$7:$IV$7,1,MATCH(TODAY(),指数走势!$F$1:$IV$1,1)-60+25)),NA(),IF(INDEX(指数走势!$F$7:$IV$7,1,MATCH(TODAY(),指数走势!$F$1:$IV$1,1)-60+25)=0,NA(),INDEX(指数走势!$F$7:$IV$7,1,MATCH(TODAY(),指数走势!$F$1:$IV$1,1)-60+25)))</f>
        <v>4135.3894</v>
      </c>
      <c r="AA1" s="2">
        <f ca="1">IF(ISERROR(INDEX(指数走势!$F$7:$IV$7,1,MATCH(TODAY(),指数走势!$F$1:$IV$1,1)-60+26)),NA(),IF(INDEX(指数走势!$F$7:$IV$7,1,MATCH(TODAY(),指数走势!$F$1:$IV$1,1)-60+26)=0,NA(),INDEX(指数走势!$F$7:$IV$7,1,MATCH(TODAY(),指数走势!$F$1:$IV$1,1)-60+26)))</f>
        <v>4131.5276</v>
      </c>
      <c r="AB1" s="2">
        <f ca="1">IF(ISERROR(INDEX(指数走势!$F$7:$IV$7,1,MATCH(TODAY(),指数走势!$F$1:$IV$1,1)-60+27)),NA(),IF(INDEX(指数走势!$F$7:$IV$7,1,MATCH(TODAY(),指数走势!$F$1:$IV$1,1)-60+27)=0,NA(),INDEX(指数走势!$F$7:$IV$7,1,MATCH(TODAY(),指数走势!$F$1:$IV$1,1)-60+27)))</f>
        <v>4169.5378</v>
      </c>
      <c r="AC1" s="2">
        <f ca="1">IF(ISERROR(INDEX(指数走势!$F$7:$IV$7,1,MATCH(TODAY(),指数走势!$F$1:$IV$1,1)-60+28)),NA(),IF(INDEX(指数走势!$F$7:$IV$7,1,MATCH(TODAY(),指数走势!$F$1:$IV$1,1)-60+28)=0,NA(),INDEX(指数走势!$F$7:$IV$7,1,MATCH(TODAY(),指数走势!$F$1:$IV$1,1)-60+28)))</f>
        <v>4162.1845</v>
      </c>
      <c r="AD1" s="2">
        <f ca="1">IF(ISERROR(INDEX(指数走势!$F$7:$IV$7,1,MATCH(TODAY(),指数走势!$F$1:$IV$1,1)-60+29)),NA(),IF(INDEX(指数走势!$F$7:$IV$7,1,MATCH(TODAY(),指数走势!$F$1:$IV$1,1)-60+29)=0,NA(),INDEX(指数走势!$F$7:$IV$7,1,MATCH(TODAY(),指数走势!$F$1:$IV$1,1)-60+29)))</f>
        <v>4077.2765</v>
      </c>
      <c r="AE1" s="2">
        <f ca="1">IF(ISERROR(INDEX(指数走势!$F$7:$IV$7,1,MATCH(TODAY(),指数走势!$F$1:$IV$1,1)-60+30)),NA(),IF(INDEX(指数走势!$F$7:$IV$7,1,MATCH(TODAY(),指数走势!$F$1:$IV$1,1)-60+30)=0,NA(),INDEX(指数走势!$F$7:$IV$7,1,MATCH(TODAY(),指数走势!$F$1:$IV$1,1)-60+30)))</f>
        <v>4112.8996</v>
      </c>
      <c r="AF1" s="2">
        <f ca="1">IF(ISERROR(INDEX(指数走势!$F$7:$IV$7,1,MATCH(TODAY(),指数走势!$F$1:$IV$1,1)-60+31)),NA(),IF(INDEX(指数走势!$F$7:$IV$7,1,MATCH(TODAY(),指数走势!$F$1:$IV$1,1)-60+31)=0,NA(),INDEX(指数走势!$F$7:$IV$7,1,MATCH(TODAY(),指数走势!$F$1:$IV$1,1)-60+31)))</f>
        <v>4152.5686</v>
      </c>
      <c r="AG1" s="2">
        <f ca="1">IF(ISERROR(INDEX(指数走势!$F$7:$IV$7,1,MATCH(TODAY(),指数走势!$F$1:$IV$1,1)-60+32)),NA(),IF(INDEX(指数走势!$F$7:$IV$7,1,MATCH(TODAY(),指数走势!$F$1:$IV$1,1)-60+32)=0,NA(),INDEX(指数走势!$F$7:$IV$7,1,MATCH(TODAY(),指数走势!$F$1:$IV$1,1)-60+32)))</f>
        <v>4145.373</v>
      </c>
      <c r="AH1" s="2">
        <f ca="1">IF(ISERROR(INDEX(指数走势!$F$7:$IV$7,1,MATCH(TODAY(),指数走势!$F$1:$IV$1,1)-60+33)),NA(),IF(INDEX(指数走势!$F$7:$IV$7,1,MATCH(TODAY(),指数走势!$F$1:$IV$1,1)-60+33)=0,NA(),INDEX(指数走势!$F$7:$IV$7,1,MATCH(TODAY(),指数走势!$F$1:$IV$1,1)-60+33)))</f>
        <v>4093.7266</v>
      </c>
      <c r="AI1" s="2">
        <f ca="1">IF(ISERROR(INDEX(指数走势!$F$7:$IV$7,1,MATCH(TODAY(),指数走势!$F$1:$IV$1,1)-60+34)),NA(),IF(INDEX(指数走势!$F$7:$IV$7,1,MATCH(TODAY(),指数走势!$F$1:$IV$1,1)-60+34)=0,NA(),INDEX(指数走势!$F$7:$IV$7,1,MATCH(TODAY(),指数走势!$F$1:$IV$1,1)-60+34)))</f>
        <v>4098.6358</v>
      </c>
      <c r="AJ1" s="2">
        <f ca="1">IF(ISERROR(INDEX(指数走势!$F$7:$IV$7,1,MATCH(TODAY(),指数走势!$F$1:$IV$1,1)-60+35)),NA(),IF(INDEX(指数走势!$F$7:$IV$7,1,MATCH(TODAY(),指数走势!$F$1:$IV$1,1)-60+35)=0,NA(),INDEX(指数走势!$F$7:$IV$7,1,MATCH(TODAY(),指数走势!$F$1:$IV$1,1)-60+35)))</f>
        <v>4068.5691</v>
      </c>
      <c r="AK1" s="2">
        <f ca="1">IF(ISERROR(INDEX(指数走势!$F$7:$IV$7,1,MATCH(TODAY(),指数走势!$F$1:$IV$1,1)-60+36)),NA(),IF(INDEX(指数走势!$F$7:$IV$7,1,MATCH(TODAY(),指数走势!$F$1:$IV$1,1)-60+36)=0,NA(),INDEX(指数走势!$F$7:$IV$7,1,MATCH(TODAY(),指数走势!$F$1:$IV$1,1)-60+36)))</f>
        <v>4057.74</v>
      </c>
      <c r="AL1" s="2">
        <f ca="1">IF(ISERROR(INDEX(指数走势!$F$7:$IV$7,1,MATCH(TODAY(),指数走势!$F$1:$IV$1,1)-60+37)),NA(),IF(INDEX(指数走势!$F$7:$IV$7,1,MATCH(TODAY(),指数走势!$F$1:$IV$1,1)-60+37)=0,NA(),INDEX(指数走势!$F$7:$IV$7,1,MATCH(TODAY(),指数走势!$F$1:$IV$1,1)-60+37)))</f>
        <v>4075.1016</v>
      </c>
      <c r="AM1" s="2">
        <f ca="1">IF(ISERROR(INDEX(指数走势!$F$7:$IV$7,1,MATCH(TODAY(),指数走势!$F$1:$IV$1,1)-60+38)),NA(),IF(INDEX(指数走势!$F$7:$IV$7,1,MATCH(TODAY(),指数走势!$F$1:$IV$1,1)-60+38)=0,NA(),INDEX(指数走势!$F$7:$IV$7,1,MATCH(TODAY(),指数走势!$F$1:$IV$1,1)-60+38)))</f>
        <v>4083.974</v>
      </c>
      <c r="AN1" s="2">
        <f ca="1">IF(ISERROR(INDEX(指数走势!$F$7:$IV$7,1,MATCH(TODAY(),指数走势!$F$1:$IV$1,1)-60+39)),NA(),IF(INDEX(指数走势!$F$7:$IV$7,1,MATCH(TODAY(),指数走势!$F$1:$IV$1,1)-60+39)=0,NA(),INDEX(指数走势!$F$7:$IV$7,1,MATCH(TODAY(),指数走势!$F$1:$IV$1,1)-60+39)))</f>
        <v>4057.7811</v>
      </c>
      <c r="AO1" s="2">
        <f ca="1">IF(ISERROR(INDEX(指数走势!$F$7:$IV$7,1,MATCH(TODAY(),指数走势!$F$1:$IV$1,1)-60+40)),NA(),IF(INDEX(指数走势!$F$7:$IV$7,1,MATCH(TODAY(),指数走势!$F$1:$IV$1,1)-60+40)=0,NA(),INDEX(指数走势!$F$7:$IV$7,1,MATCH(TODAY(),指数走势!$F$1:$IV$1,1)-60+40)))</f>
        <v>4027.7362</v>
      </c>
      <c r="AP1" s="2">
        <f ca="1">IF(ISERROR(INDEX(指数走势!$F$7:$IV$7,1,MATCH(TODAY(),指数走势!$F$1:$IV$1,1)-60+41)),NA(),IF(INDEX(指数走势!$F$7:$IV$7,1,MATCH(TODAY(),指数走势!$F$1:$IV$1,1)-60+41)=0,NA(),INDEX(指数走势!$F$7:$IV$7,1,MATCH(TODAY(),指数走势!$F$1:$IV$1,1)-60+41)))</f>
        <v>3959.3378</v>
      </c>
      <c r="AQ1" s="2">
        <f ca="1">IF(ISERROR(INDEX(指数走势!$F$7:$IV$7,1,MATCH(TODAY(),指数走势!$F$1:$IV$1,1)-60+42)),NA(),IF(INDEX(指数走势!$F$7:$IV$7,1,MATCH(TODAY(),指数走势!$F$1:$IV$1,1)-60+42)=0,NA(),INDEX(指数走势!$F$7:$IV$7,1,MATCH(TODAY(),指数走势!$F$1:$IV$1,1)-60+42)))</f>
        <v>4010.0307</v>
      </c>
      <c r="AR1" s="2">
        <f ca="1">IF(ISERROR(INDEX(指数走势!$F$7:$IV$7,1,MATCH(TODAY(),指数走势!$F$1:$IV$1,1)-60+43)),NA(),IF(INDEX(指数走势!$F$7:$IV$7,1,MATCH(TODAY(),指数走势!$F$1:$IV$1,1)-60+43)=0,NA(),INDEX(指数走势!$F$7:$IV$7,1,MATCH(TODAY(),指数走势!$F$1:$IV$1,1)-60+43)))</f>
        <v>3993.2258</v>
      </c>
      <c r="AS1" s="2">
        <f ca="1">IF(ISERROR(INDEX(指数走势!$F$7:$IV$7,1,MATCH(TODAY(),指数走势!$F$1:$IV$1,1)-60+44)),NA(),IF(INDEX(指数走势!$F$7:$IV$7,1,MATCH(TODAY(),指数走势!$F$1:$IV$1,1)-60+44)=0,NA(),INDEX(指数走势!$F$7:$IV$7,1,MATCH(TODAY(),指数走势!$F$1:$IV$1,1)-60+44)))</f>
        <v>3987.0147</v>
      </c>
      <c r="AT1" s="2">
        <f ca="1">IF(ISERROR(INDEX(指数走势!$F$7:$IV$7,1,MATCH(TODAY(),指数走势!$F$1:$IV$1,1)-60+45)),NA(),IF(INDEX(指数走势!$F$7:$IV$7,1,MATCH(TODAY(),指数走势!$F$1:$IV$1,1)-60+45)=0,NA(),INDEX(指数走势!$F$7:$IV$7,1,MATCH(TODAY(),指数走势!$F$1:$IV$1,1)-60+45)))</f>
        <v>4031.5129</v>
      </c>
      <c r="AU1" s="2">
        <f ca="1">IF(ISERROR(INDEX(指数走势!$F$7:$IV$7,1,MATCH(TODAY(),指数走势!$F$1:$IV$1,1)-60+46)),NA(),IF(INDEX(指数走势!$F$7:$IV$7,1,MATCH(TODAY(),指数走势!$F$1:$IV$1,1)-60+46)=0,NA(),INDEX(指数走势!$F$7:$IV$7,1,MATCH(TODAY(),指数走势!$F$1:$IV$1,1)-60+46)))</f>
        <v>4096.4717</v>
      </c>
      <c r="AV1" s="2">
        <f ca="1">IF(ISERROR(INDEX(指数走势!$F$7:$IV$7,1,MATCH(TODAY(),指数走势!$F$1:$IV$1,1)-60+47)),NA(),IF(INDEX(指数走势!$F$7:$IV$7,1,MATCH(TODAY(),指数走势!$F$1:$IV$1,1)-60+47)=0,NA(),INDEX(指数走势!$F$7:$IV$7,1,MATCH(TODAY(),指数走势!$F$1:$IV$1,1)-60+47)))</f>
        <v>4091.8917</v>
      </c>
      <c r="AW1" s="2">
        <f ca="1">IF(ISERROR(INDEX(指数走势!$F$7:$IV$7,1,MATCH(TODAY(),指数走势!$F$1:$IV$1,1)-60+48)),NA(),IF(INDEX(指数走势!$F$7:$IV$7,1,MATCH(TODAY(),指数走势!$F$1:$IV$1,1)-60+48)=0,NA(),INDEX(指数走势!$F$7:$IV$7,1,MATCH(TODAY(),指数走势!$F$1:$IV$1,1)-60+48)))</f>
        <v>4108.0762</v>
      </c>
      <c r="AX1" s="2">
        <f ca="1">IF(ISERROR(INDEX(指数走势!$F$7:$IV$7,1,MATCH(TODAY(),指数走势!$F$1:$IV$1,1)-60+49)),NA(),IF(INDEX(指数走势!$F$7:$IV$7,1,MATCH(TODAY(),指数走势!$F$1:$IV$1,1)-60+49)=0,NA(),INDEX(指数走势!$F$7:$IV$7,1,MATCH(TODAY(),指数走势!$F$1:$IV$1,1)-60+49)))</f>
        <v>4090.4813</v>
      </c>
      <c r="AY1" s="2">
        <f ca="1">IF(ISERROR(INDEX(指数走势!$F$7:$IV$7,1,MATCH(TODAY(),指数走势!$F$1:$IV$1,1)-60+50)),NA(),IF(INDEX(指数走势!$F$7:$IV$7,1,MATCH(TODAY(),指数走势!$F$1:$IV$1,1)-60+50)=0,NA(),INDEX(指数走势!$F$7:$IV$7,1,MATCH(TODAY(),指数走势!$F$1:$IV$1,1)-60+50)))</f>
        <v>4163.0965</v>
      </c>
      <c r="AZ1" s="2">
        <f ca="1">IF(ISERROR(INDEX(指数走势!$F$7:$IV$7,1,MATCH(TODAY(),指数走势!$F$1:$IV$1,1)-60+51)),NA(),IF(INDEX(指数走势!$F$7:$IV$7,1,MATCH(TODAY(),指数走势!$F$1:$IV$1,1)-60+51)=0,NA(),INDEX(指数走势!$F$7:$IV$7,1,MATCH(TODAY(),指数走势!$F$1:$IV$1,1)-60+51)))</f>
        <v>4106.2517</v>
      </c>
      <c r="BA1" s="2">
        <f ca="1">IF(ISERROR(INDEX(指数走势!$F$7:$IV$7,1,MATCH(TODAY(),指数走势!$F$1:$IV$1,1)-60+52)),NA(),IF(INDEX(指数走势!$F$7:$IV$7,1,MATCH(TODAY(),指数走势!$F$1:$IV$1,1)-60+52)=0,NA(),INDEX(指数走势!$F$7:$IV$7,1,MATCH(TODAY(),指数走势!$F$1:$IV$1,1)-60+52)))</f>
        <v>4110.8134</v>
      </c>
      <c r="BB1" s="2">
        <f ca="1">IF(ISERROR(INDEX(指数走势!$F$7:$IV$7,1,MATCH(TODAY(),指数走势!$F$1:$IV$1,1)-60+53)),NA(),IF(INDEX(指数走势!$F$7:$IV$7,1,MATCH(TODAY(),指数走势!$F$1:$IV$1,1)-60+53)=0,NA(),INDEX(指数走势!$F$7:$IV$7,1,MATCH(TODAY(),指数走势!$F$1:$IV$1,1)-60+53)))</f>
        <v>4120.2806</v>
      </c>
      <c r="BC1" s="2">
        <f ca="1">IF(ISERROR(INDEX(指数走势!$F$7:$IV$7,1,MATCH(TODAY(),指数走势!$F$1:$IV$1,1)-60+54)),NA(),IF(INDEX(指数走势!$F$7:$IV$7,1,MATCH(TODAY(),指数走势!$F$1:$IV$1,1)-60+54)=0,NA(),INDEX(指数走势!$F$7:$IV$7,1,MATCH(TODAY(),指数走势!$F$1:$IV$1,1)-60+54)))</f>
        <v>4027.2648</v>
      </c>
      <c r="BD1" s="2">
        <f ca="1">IF(ISERROR(INDEX(指数走势!$F$7:$IV$7,1,MATCH(TODAY(),指数走势!$F$1:$IV$1,1)-60+55)),NA(),IF(INDEX(指数走势!$F$7:$IV$7,1,MATCH(TODAY(),指数走势!$F$1:$IV$1,1)-60+55)=0,NA(),INDEX(指数走势!$F$7:$IV$7,1,MATCH(TODAY(),指数走势!$F$1:$IV$1,1)-60+55)))</f>
        <v>4073.9017</v>
      </c>
      <c r="BE1" s="2">
        <f ca="1">IF(ISERROR(INDEX(指数走势!$F$7:$IV$7,1,MATCH(TODAY(),指数走势!$F$1:$IV$1,1)-60+56)),NA(),IF(INDEX(指数走势!$F$7:$IV$7,1,MATCH(TODAY(),指数走势!$F$1:$IV$1,1)-60+56)=0,NA(),INDEX(指数走势!$F$7:$IV$7,1,MATCH(TODAY(),指数走势!$F$1:$IV$1,1)-60+56)))</f>
        <v>4094.3972</v>
      </c>
      <c r="BF1" s="2">
        <f ca="1">IF(ISERROR(INDEX(指数走势!$F$7:$IV$7,1,MATCH(TODAY(),指数走势!$F$1:$IV$1,1)-60+57)),NA(),IF(INDEX(指数走势!$F$7:$IV$7,1,MATCH(TODAY(),指数走势!$F$1:$IV$1,1)-60+57)=0,NA(),INDEX(指数走势!$F$7:$IV$7,1,MATCH(TODAY(),指数走势!$F$1:$IV$1,1)-60+57)))</f>
        <v>4112.4453</v>
      </c>
      <c r="BG1" s="2">
        <f ca="1">IF(ISERROR(INDEX(指数走势!$F$7:$IV$7,1,MATCH(TODAY(),指数走势!$F$1:$IV$1,1)-60+58)),NA(),IF(INDEX(指数走势!$F$7:$IV$7,1,MATCH(TODAY(),指数走势!$F$1:$IV$1,1)-60+58)=0,NA(),INDEX(指数走势!$F$7:$IV$7,1,MATCH(TODAY(),指数走势!$F$1:$IV$1,1)-60+58)))</f>
        <v>4028.9038</v>
      </c>
      <c r="BH1" s="2">
        <f ca="1">IF(ISERROR(INDEX(指数走势!$F$7:$IV$7,1,MATCH(TODAY(),指数走势!$F$1:$IV$1,1)-60+59)),NA(),IF(INDEX(指数走势!$F$7:$IV$7,1,MATCH(TODAY(),指数走势!$F$1:$IV$1,1)-60+59)=0,NA(),INDEX(指数走势!$F$7:$IV$7,1,MATCH(TODAY(),指数走势!$F$1:$IV$1,1)-60+59)))</f>
        <v>4043.6432</v>
      </c>
      <c r="BI1" t="e">
        <f ca="1">IF(ISERROR(INDEX(指数走势!$F$7:$IV$7,1,MATCH(TODAY(),指数走势!$F$1:$IV$1,1)-60+60)),NA(),IF(INDEX(指数走势!$F$7:$IV$7,1,MATCH(TODAY(),指数走势!$F$1:$IV$1,1)-60+60)=0,NA(),INDEX(指数走势!$F$7:$IV$7,1,MATCH(TODAY(),指数走势!$F$1:$IV$1,1)-60+60)))</f>
        <v>#N/A</v>
      </c>
    </row>
    <row r="2" ht="15" customHeight="1" spans="1:61">
      <c r="A2" s="1" t="s">
        <v>13</v>
      </c>
      <c r="B2" s="2">
        <f ca="1">IF(ISERROR(INDEX(指数走势!$F$5:$IV$5,1,MATCH(TODAY(),指数走势!$F$1:$IV$1,1)-60+1)),NA(),IF(INDEX(指数走势!$F$5:$IV$5,1,MATCH(TODAY(),指数走势!$F$1:$IV$1,1)-60+1)=0,NA(),INDEX(指数走势!$F$5:$IV$5,1,MATCH(TODAY(),指数走势!$F$1:$IV$1,1)-60+1)))</f>
        <v>14042.4964</v>
      </c>
      <c r="C2" s="2">
        <f ca="1">IF(ISERROR(INDEX(指数走势!$F$5:$IV$5,1,MATCH(TODAY(),指数走势!$F$1:$IV$1,1)-60+2)),NA(),IF(INDEX(指数走势!$F$5:$IV$5,1,MATCH(TODAY(),指数走势!$F$1:$IV$1,1)-60+2)=0,NA(),INDEX(指数走势!$F$5:$IV$5,1,MATCH(TODAY(),指数走势!$F$1:$IV$1,1)-60+2)))</f>
        <v>13996.2652</v>
      </c>
      <c r="D2" s="2">
        <f ca="1">IF(ISERROR(INDEX(指数走势!$F$5:$IV$5,1,MATCH(TODAY(),指数走势!$F$1:$IV$1,1)-60+3)),NA(),IF(INDEX(指数走势!$F$5:$IV$5,1,MATCH(TODAY(),指数走势!$F$1:$IV$1,1)-60+3)=0,NA(),INDEX(指数走势!$F$5:$IV$5,1,MATCH(TODAY(),指数走势!$F$1:$IV$1,1)-60+3)))</f>
        <v>14309.4718</v>
      </c>
      <c r="E2" s="2">
        <f ca="1">IF(ISERROR(INDEX(指数走势!$F$5:$IV$5,1,MATCH(TODAY(),指数走势!$F$1:$IV$1,1)-60+4)),NA(),IF(INDEX(指数走势!$F$5:$IV$5,1,MATCH(TODAY(),指数走势!$F$1:$IV$1,1)-60+4)=0,NA(),INDEX(指数走势!$F$5:$IV$5,1,MATCH(TODAY(),指数走势!$F$1:$IV$1,1)-60+4)))</f>
        <v>14407.8639</v>
      </c>
      <c r="F2" s="2">
        <f ca="1">IF(ISERROR(INDEX(指数走势!$F$5:$IV$5,1,MATCH(TODAY(),指数走势!$F$1:$IV$1,1)-60+5)),NA(),IF(INDEX(指数走势!$F$5:$IV$5,1,MATCH(TODAY(),指数走势!$F$1:$IV$1,1)-60+5)=0,NA(),INDEX(指数走势!$F$5:$IV$5,1,MATCH(TODAY(),指数走势!$F$1:$IV$1,1)-60+5)))</f>
        <v>14639.9522</v>
      </c>
      <c r="G2" s="2">
        <f ca="1">IF(ISERROR(INDEX(指数走势!$F$5:$IV$5,1,MATCH(TODAY(),指数走势!$F$1:$IV$1,1)-60+6)),NA(),IF(INDEX(指数走势!$F$5:$IV$5,1,MATCH(TODAY(),指数走势!$F$1:$IV$1,1)-60+6)=0,NA(),INDEX(指数走势!$F$5:$IV$5,1,MATCH(TODAY(),指数走势!$F$1:$IV$1,1)-60+6)))</f>
        <v>14498.4546</v>
      </c>
      <c r="H2" s="2">
        <f ca="1">IF(ISERROR(INDEX(指数走势!$F$5:$IV$5,1,MATCH(TODAY(),指数走势!$F$1:$IV$1,1)-60+7)),NA(),IF(INDEX(指数走势!$F$5:$IV$5,1,MATCH(TODAY(),指数走势!$F$1:$IV$1,1)-60+7)=0,NA(),INDEX(指数走势!$F$5:$IV$5,1,MATCH(TODAY(),指数走势!$F$1:$IV$1,1)-60+7)))</f>
        <v>14796.3345</v>
      </c>
      <c r="I2" s="2">
        <f ca="1">IF(ISERROR(INDEX(指数走势!$F$5:$IV$5,1,MATCH(TODAY(),指数走势!$F$1:$IV$1,1)-60+8)),NA(),IF(INDEX(指数走势!$F$5:$IV$5,1,MATCH(TODAY(),指数走势!$F$1:$IV$1,1)-60+8)=0,NA(),INDEX(指数走势!$F$5:$IV$5,1,MATCH(TODAY(),指数走势!$F$1:$IV$1,1)-60+8)))</f>
        <v>14885.4159</v>
      </c>
      <c r="J2" s="2">
        <f ca="1">IF(ISERROR(INDEX(指数走势!$F$5:$IV$5,1,MATCH(TODAY(),指数走势!$F$1:$IV$1,1)-60+9)),NA(),IF(INDEX(指数走势!$F$5:$IV$5,1,MATCH(TODAY(),指数走势!$F$1:$IV$1,1)-60+9)=0,NA(),INDEX(指数走势!$F$5:$IV$5,1,MATCH(TODAY(),指数走势!$F$1:$IV$1,1)-60+9)))</f>
        <v>14966.7468</v>
      </c>
      <c r="K2" s="2">
        <f ca="1">IF(ISERROR(INDEX(指数走势!$F$5:$IV$5,1,MATCH(TODAY(),指数走势!$F$1:$IV$1,1)-60+10)),NA(),IF(INDEX(指数走势!$F$5:$IV$5,1,MATCH(TODAY(),指数走势!$F$1:$IV$1,1)-60+10)=0,NA(),INDEX(指数走势!$F$5:$IV$5,1,MATCH(TODAY(),指数走势!$F$1:$IV$1,1)-60+10)))</f>
        <v>14982.1397</v>
      </c>
      <c r="L2" s="2">
        <f ca="1">IF(ISERROR(INDEX(指数走势!$F$5:$IV$5,1,MATCH(TODAY(),指数走势!$F$1:$IV$1,1)-60+11)),NA(),IF(INDEX(指数走势!$F$5:$IV$5,1,MATCH(TODAY(),指数走势!$F$1:$IV$1,1)-60+11)=0,NA(),INDEX(指数走势!$F$5:$IV$5,1,MATCH(TODAY(),指数走势!$F$1:$IV$1,1)-60+11)))</f>
        <v>15177.2862</v>
      </c>
      <c r="M2" s="2">
        <f ca="1">IF(ISERROR(INDEX(指数走势!$F$5:$IV$5,1,MATCH(TODAY(),指数走势!$F$1:$IV$1,1)-60+12)),NA(),IF(INDEX(指数走势!$F$5:$IV$5,1,MATCH(TODAY(),指数走势!$F$1:$IV$1,1)-60+12)=0,NA(),INDEX(指数走势!$F$5:$IV$5,1,MATCH(TODAY(),指数走势!$F$1:$IV$1,1)-60+12)))</f>
        <v>15043.4494</v>
      </c>
      <c r="N2" s="2">
        <f ca="1">IF(ISERROR(INDEX(指数走势!$F$5:$IV$5,1,MATCH(TODAY(),指数走势!$F$1:$IV$1,1)-60+13)),NA(),IF(INDEX(指数走势!$F$5:$IV$5,1,MATCH(TODAY(),指数走势!$F$1:$IV$1,1)-60+13)=0,NA(),INDEX(指数走势!$F$5:$IV$5,1,MATCH(TODAY(),指数走势!$F$1:$IV$1,1)-60+13)))</f>
        <v>14940.3003</v>
      </c>
      <c r="O2" s="2">
        <f ca="1">IF(ISERROR(INDEX(指数走势!$F$5:$IV$5,1,MATCH(TODAY(),指数走势!$F$1:$IV$1,1)-60+14)),NA(),IF(INDEX(指数走势!$F$5:$IV$5,1,MATCH(TODAY(),指数走势!$F$1:$IV$1,1)-60+14)=0,NA(),INDEX(指数走势!$F$5:$IV$5,1,MATCH(TODAY(),指数走势!$F$1:$IV$1,1)-60+14)))</f>
        <v>14995.7483</v>
      </c>
      <c r="P2" s="2">
        <f ca="1">IF(ISERROR(INDEX(指数走势!$F$5:$IV$5,1,MATCH(TODAY(),指数走势!$F$1:$IV$1,1)-60+15)),NA(),IF(INDEX(指数走势!$F$5:$IV$5,1,MATCH(TODAY(),指数走势!$F$1:$IV$1,1)-60+15)=0,NA(),INDEX(指数走势!$F$5:$IV$5,1,MATCH(TODAY(),指数走势!$F$1:$IV$1,1)-60+15)))</f>
        <v>14830.4552</v>
      </c>
      <c r="Q2" s="2">
        <f ca="1">IF(ISERROR(INDEX(指数走势!$F$5:$IV$5,1,MATCH(TODAY(),指数走势!$F$1:$IV$1,1)-60+16)),NA(),IF(INDEX(指数走势!$F$5:$IV$5,1,MATCH(TODAY(),指数走势!$F$1:$IV$1,1)-60+16)=0,NA(),INDEX(指数走势!$F$5:$IV$5,1,MATCH(TODAY(),指数走势!$F$1:$IV$1,1)-60+16)))</f>
        <v>15120.9227</v>
      </c>
      <c r="R2" s="2">
        <f ca="1">IF(ISERROR(INDEX(指数走势!$F$5:$IV$5,1,MATCH(TODAY(),指数走势!$F$1:$IV$1,1)-60+17)),NA(),IF(INDEX(指数走势!$F$5:$IV$5,1,MATCH(TODAY(),指数走势!$F$1:$IV$1,1)-60+17)=0,NA(),INDEX(指数走势!$F$5:$IV$5,1,MATCH(TODAY(),指数走势!$F$1:$IV$1,1)-60+17)))</f>
        <v>15107.5532</v>
      </c>
      <c r="S2" s="2">
        <f ca="1">IF(ISERROR(INDEX(指数走势!$F$5:$IV$5,1,MATCH(TODAY(),指数走势!$F$1:$IV$1,1)-60+18)),NA(),IF(INDEX(指数走势!$F$5:$IV$5,1,MATCH(TODAY(),指数走势!$F$1:$IV$1,1)-60+18)=0,NA(),INDEX(指数走势!$F$5:$IV$5,1,MATCH(TODAY(),指数走势!$F$1:$IV$1,1)-60+18)))</f>
        <v>15459.6166</v>
      </c>
      <c r="T2" s="2">
        <f ca="1">IF(ISERROR(INDEX(指数走势!$F$5:$IV$5,1,MATCH(TODAY(),指数走势!$F$1:$IV$1,1)-60+19)),NA(),IF(INDEX(指数走势!$F$5:$IV$5,1,MATCH(TODAY(),指数走势!$F$1:$IV$1,1)-60+19)=0,NA(),INDEX(指数走势!$F$5:$IV$5,1,MATCH(TODAY(),指数走势!$F$1:$IV$1,1)-60+19)))</f>
        <v>15641.8855</v>
      </c>
      <c r="U2" s="2">
        <f ca="1">IF(ISERROR(INDEX(指数走势!$F$5:$IV$5,1,MATCH(TODAY(),指数走势!$F$1:$IV$1,1)-60+20)),NA(),IF(INDEX(指数走势!$F$5:$IV$5,1,MATCH(TODAY(),指数走势!$F$1:$IV$1,1)-60+20)=0,NA(),INDEX(指数走势!$F$5:$IV$5,1,MATCH(TODAY(),指数走势!$F$1:$IV$1,1)-60+20)))</f>
        <v>15563.7971</v>
      </c>
      <c r="V2" s="2">
        <f ca="1">IF(ISERROR(INDEX(指数走势!$F$5:$IV$5,1,MATCH(TODAY(),指数走势!$F$1:$IV$1,1)-60+21)),NA(),IF(INDEX(指数走势!$F$5:$IV$5,1,MATCH(TODAY(),指数走势!$F$1:$IV$1,1)-60+21)=0,NA(),INDEX(指数走势!$F$5:$IV$5,1,MATCH(TODAY(),指数走势!$F$1:$IV$1,1)-60+21)))</f>
        <v>15899.302</v>
      </c>
      <c r="W2" s="2">
        <f ca="1">IF(ISERROR(INDEX(指数走势!$F$5:$IV$5,1,MATCH(TODAY(),指数走势!$F$1:$IV$1,1)-60+22)),NA(),IF(INDEX(指数走势!$F$5:$IV$5,1,MATCH(TODAY(),指数走势!$F$1:$IV$1,1)-60+22)=0,NA(),INDEX(指数走势!$F$5:$IV$5,1,MATCH(TODAY(),指数走势!$F$1:$IV$1,1)-60+22)))</f>
        <v>15824.9211</v>
      </c>
      <c r="X2" s="2">
        <f ca="1">IF(ISERROR(INDEX(指数走势!$F$5:$IV$5,1,MATCH(TODAY(),指数走势!$F$1:$IV$1,1)-60+23)),NA(),IF(INDEX(指数走势!$F$5:$IV$5,1,MATCH(TODAY(),指数走势!$F$1:$IV$1,1)-60+23)=0,NA(),INDEX(指数走势!$F$5:$IV$5,1,MATCH(TODAY(),指数走势!$F$1:$IV$1,1)-60+23)))</f>
        <v>16089.7491</v>
      </c>
      <c r="Y2" s="2">
        <f ca="1">IF(ISERROR(INDEX(指数走势!$F$5:$IV$5,1,MATCH(TODAY(),指数走势!$F$1:$IV$1,1)-60+24)),NA(),IF(INDEX(指数走势!$F$5:$IV$5,1,MATCH(TODAY(),指数走势!$F$1:$IV$1,1)-60+24)=0,NA(),INDEX(指数走势!$F$5:$IV$5,1,MATCH(TODAY(),指数走势!$F$1:$IV$1,1)-60+24)))</f>
        <v>15745.736</v>
      </c>
      <c r="Z2" s="2">
        <f ca="1">IF(ISERROR(INDEX(指数走势!$F$5:$IV$5,1,MATCH(TODAY(),指数走势!$F$1:$IV$1,1)-60+25)),NA(),IF(INDEX(指数走势!$F$5:$IV$5,1,MATCH(TODAY(),指数走势!$F$1:$IV$1,1)-60+25)=0,NA(),INDEX(指数走势!$F$5:$IV$5,1,MATCH(TODAY(),指数走势!$F$1:$IV$1,1)-60+25)))</f>
        <v>15561.372</v>
      </c>
      <c r="AA2" s="2">
        <f ca="1">IF(ISERROR(INDEX(指数走势!$F$5:$IV$5,1,MATCH(TODAY(),指数走势!$F$1:$IV$1,1)-60+26)),NA(),IF(INDEX(指数走势!$F$5:$IV$5,1,MATCH(TODAY(),指数走势!$F$1:$IV$1,1)-60+26)=0,NA(),INDEX(指数走势!$F$5:$IV$5,1,MATCH(TODAY(),指数走势!$F$1:$IV$1,1)-60+26)))</f>
        <v>15530.2295</v>
      </c>
      <c r="AB2" s="2">
        <f ca="1">IF(ISERROR(INDEX(指数走势!$F$5:$IV$5,1,MATCH(TODAY(),指数走势!$F$1:$IV$1,1)-60+27)),NA(),IF(INDEX(指数走势!$F$5:$IV$5,1,MATCH(TODAY(),指数走势!$F$1:$IV$1,1)-60+27)=0,NA(),INDEX(指数走势!$F$5:$IV$5,1,MATCH(TODAY(),指数走势!$F$1:$IV$1,1)-60+27)))</f>
        <v>15569.9072</v>
      </c>
      <c r="AC2" s="2">
        <f ca="1">IF(ISERROR(INDEX(指数走势!$F$5:$IV$5,1,MATCH(TODAY(),指数走势!$F$1:$IV$1,1)-60+28)),NA(),IF(INDEX(指数走势!$F$5:$IV$5,1,MATCH(TODAY(),指数走势!$F$1:$IV$1,1)-60+28)=0,NA(),INDEX(指数走势!$F$5:$IV$5,1,MATCH(TODAY(),指数走势!$F$1:$IV$1,1)-60+28)))</f>
        <v>15569.979</v>
      </c>
      <c r="AD2" s="2">
        <f ca="1">IF(ISERROR(INDEX(指数走势!$F$5:$IV$5,1,MATCH(TODAY(),指数走势!$F$1:$IV$1,1)-60+29)),NA(),IF(INDEX(指数走势!$F$5:$IV$5,1,MATCH(TODAY(),指数走势!$F$1:$IV$1,1)-60+29)=0,NA(),INDEX(指数走势!$F$5:$IV$5,1,MATCH(TODAY(),指数走势!$F$1:$IV$1,1)-60+29)))</f>
        <v>15247.2702</v>
      </c>
      <c r="AE2" s="2">
        <f ca="1">IF(ISERROR(INDEX(指数走势!$F$5:$IV$5,1,MATCH(TODAY(),指数走势!$F$1:$IV$1,1)-60+30)),NA(),IF(INDEX(指数走势!$F$5:$IV$5,1,MATCH(TODAY(),指数走势!$F$1:$IV$1,1)-60+30)=0,NA(),INDEX(指数走势!$F$5:$IV$5,1,MATCH(TODAY(),指数走势!$F$1:$IV$1,1)-60+30)))</f>
        <v>15597.2969</v>
      </c>
      <c r="AF2" s="2">
        <f ca="1">IF(ISERROR(INDEX(指数走势!$F$5:$IV$5,1,MATCH(TODAY(),指数走势!$F$1:$IV$1,1)-60+31)),NA(),IF(INDEX(指数走势!$F$5:$IV$5,1,MATCH(TODAY(),指数走势!$F$1:$IV$1,1)-60+31)=0,NA(),INDEX(指数走势!$F$5:$IV$5,1,MATCH(TODAY(),指数走势!$F$1:$IV$1,1)-60+31)))</f>
        <v>15856.6102</v>
      </c>
      <c r="AG2" s="2">
        <f ca="1">IF(ISERROR(INDEX(指数走势!$F$5:$IV$5,1,MATCH(TODAY(),指数走势!$F$1:$IV$1,1)-60+32)),NA(),IF(INDEX(指数走势!$F$5:$IV$5,1,MATCH(TODAY(),指数走势!$F$1:$IV$1,1)-60+32)=0,NA(),INDEX(指数走势!$F$5:$IV$5,1,MATCH(TODAY(),指数走势!$F$1:$IV$1,1)-60+32)))</f>
        <v>15876.1628</v>
      </c>
      <c r="AH2" s="2">
        <f ca="1">IF(ISERROR(INDEX(指数走势!$F$5:$IV$5,1,MATCH(TODAY(),指数走势!$F$1:$IV$1,1)-60+33)),NA(),IF(INDEX(指数走势!$F$5:$IV$5,1,MATCH(TODAY(),指数走势!$F$1:$IV$1,1)-60+33)=0,NA(),INDEX(指数走势!$F$5:$IV$5,1,MATCH(TODAY(),指数走势!$F$1:$IV$1,1)-60+33)))</f>
        <v>15736.4688</v>
      </c>
      <c r="AI2" s="2">
        <f ca="1">IF(ISERROR(INDEX(指数走势!$F$5:$IV$5,1,MATCH(TODAY(),指数走势!$F$1:$IV$1,1)-60+34)),NA(),IF(INDEX(指数走势!$F$5:$IV$5,1,MATCH(TODAY(),指数走势!$F$1:$IV$1,1)-60+34)=0,NA(),INDEX(指数走势!$F$5:$IV$5,1,MATCH(TODAY(),指数走势!$F$1:$IV$1,1)-60+34)))</f>
        <v>15861.891</v>
      </c>
      <c r="AJ2" s="2">
        <f ca="1">IF(ISERROR(INDEX(指数走势!$F$5:$IV$5,1,MATCH(TODAY(),指数走势!$F$1:$IV$1,1)-60+35)),NA(),IF(INDEX(指数走势!$F$5:$IV$5,1,MATCH(TODAY(),指数走势!$F$1:$IV$1,1)-60+35)=0,NA(),INDEX(指数走势!$F$5:$IV$5,1,MATCH(TODAY(),指数走势!$F$1:$IV$1,1)-60+35)))</f>
        <v>15575.1338</v>
      </c>
      <c r="AK2" s="2">
        <f ca="1">IF(ISERROR(INDEX(指数走势!$F$5:$IV$5,1,MATCH(TODAY(),指数走势!$F$1:$IV$1,1)-60+36)),NA(),IF(INDEX(指数走势!$F$5:$IV$5,1,MATCH(TODAY(),指数走势!$F$1:$IV$1,1)-60+36)=0,NA(),INDEX(指数走势!$F$5:$IV$5,1,MATCH(TODAY(),指数走势!$F$1:$IV$1,1)-60+36)))</f>
        <v>15340.3562</v>
      </c>
      <c r="AL2" s="2">
        <f ca="1">IF(ISERROR(INDEX(指数走势!$F$5:$IV$5,1,MATCH(TODAY(),指数走势!$F$1:$IV$1,1)-60+37)),NA(),IF(INDEX(指数走势!$F$5:$IV$5,1,MATCH(TODAY(),指数走势!$F$1:$IV$1,1)-60+37)=0,NA(),INDEX(指数走势!$F$5:$IV$5,1,MATCH(TODAY(),指数走势!$F$1:$IV$1,1)-60+37)))</f>
        <v>15591.1282</v>
      </c>
      <c r="AM2" s="2">
        <f ca="1">IF(ISERROR(INDEX(指数走势!$F$5:$IV$5,1,MATCH(TODAY(),指数走势!$F$1:$IV$1,1)-60+38)),NA(),IF(INDEX(指数走势!$F$5:$IV$5,1,MATCH(TODAY(),指数走势!$F$1:$IV$1,1)-60+38)=0,NA(),INDEX(指数走势!$F$5:$IV$5,1,MATCH(TODAY(),指数走势!$F$1:$IV$1,1)-60+38)))</f>
        <v>15704.7108</v>
      </c>
      <c r="AN2" s="2">
        <f ca="1">IF(ISERROR(INDEX(指数走势!$F$5:$IV$5,1,MATCH(TODAY(),指数走势!$F$1:$IV$1,1)-60+39)),NA(),IF(INDEX(指数走势!$F$5:$IV$5,1,MATCH(TODAY(),指数走势!$F$1:$IV$1,1)-60+39)=0,NA(),INDEX(指数走势!$F$5:$IV$5,1,MATCH(TODAY(),指数走势!$F$1:$IV$1,1)-60+39)))</f>
        <v>15661.574</v>
      </c>
      <c r="AO2" s="2">
        <f ca="1">IF(ISERROR(INDEX(指数走势!$F$5:$IV$5,1,MATCH(TODAY(),指数走势!$F$1:$IV$1,1)-60+40)),NA(),IF(INDEX(指数走势!$F$5:$IV$5,1,MATCH(TODAY(),指数走势!$F$1:$IV$1,1)-60+40)=0,NA(),INDEX(指数走势!$F$5:$IV$5,1,MATCH(TODAY(),指数走势!$F$1:$IV$1,1)-60+40)))</f>
        <v>15314.7002</v>
      </c>
      <c r="AP2" s="2">
        <f ca="1">IF(ISERROR(INDEX(指数走势!$F$5:$IV$5,1,MATCH(TODAY(),指数走势!$F$1:$IV$1,1)-60+41)),NA(),IF(INDEX(指数走势!$F$5:$IV$5,1,MATCH(TODAY(),指数走势!$F$1:$IV$1,1)-60+41)=0,NA(),INDEX(指数走势!$F$5:$IV$5,1,MATCH(TODAY(),指数走势!$F$1:$IV$1,1)-60+41)))</f>
        <v>14821.1861</v>
      </c>
      <c r="AQ2" s="2">
        <f ca="1">IF(ISERROR(INDEX(指数走势!$F$5:$IV$5,1,MATCH(TODAY(),指数走势!$F$1:$IV$1,1)-60+42)),NA(),IF(INDEX(指数走势!$F$5:$IV$5,1,MATCH(TODAY(),指数走势!$F$1:$IV$1,1)-60+42)=0,NA(),INDEX(指数走势!$F$5:$IV$5,1,MATCH(TODAY(),指数走势!$F$1:$IV$1,1)-60+42)))</f>
        <v>15268.7147</v>
      </c>
      <c r="AR2" s="2">
        <f ca="1">IF(ISERROR(INDEX(指数走势!$F$5:$IV$5,1,MATCH(TODAY(),指数走势!$F$1:$IV$1,1)-60+43)),NA(),IF(INDEX(指数走势!$F$5:$IV$5,1,MATCH(TODAY(),指数走势!$F$1:$IV$1,1)-60+43)=0,NA(),INDEX(指数走势!$F$5:$IV$5,1,MATCH(TODAY(),指数走势!$F$1:$IV$1,1)-60+43)))</f>
        <v>14954.1008</v>
      </c>
      <c r="AS2" s="2">
        <f ca="1">IF(ISERROR(INDEX(指数走势!$F$5:$IV$5,1,MATCH(TODAY(),指数走势!$F$1:$IV$1,1)-60+44)),NA(),IF(INDEX(指数走势!$F$5:$IV$5,1,MATCH(TODAY(),指数走势!$F$1:$IV$1,1)-60+44)=0,NA(),INDEX(指数走势!$F$5:$IV$5,1,MATCH(TODAY(),指数走势!$F$1:$IV$1,1)-60+44)))</f>
        <v>14851.9751</v>
      </c>
      <c r="AT2" s="2">
        <f ca="1">IF(ISERROR(INDEX(指数走势!$F$5:$IV$5,1,MATCH(TODAY(),指数走势!$F$1:$IV$1,1)-60+45)),NA(),IF(INDEX(指数走势!$F$5:$IV$5,1,MATCH(TODAY(),指数走势!$F$1:$IV$1,1)-60+45)=0,NA(),INDEX(指数走势!$F$5:$IV$5,1,MATCH(TODAY(),指数走势!$F$1:$IV$1,1)-60+45)))</f>
        <v>14963.4073</v>
      </c>
      <c r="AU2" s="2">
        <f ca="1">IF(ISERROR(INDEX(指数走势!$F$5:$IV$5,1,MATCH(TODAY(),指数走势!$F$1:$IV$1,1)-60+46)),NA(),IF(INDEX(指数走势!$F$5:$IV$5,1,MATCH(TODAY(),指数走势!$F$1:$IV$1,1)-60+46)=0,NA(),INDEX(指数走势!$F$5:$IV$5,1,MATCH(TODAY(),指数走势!$F$1:$IV$1,1)-60+46)))</f>
        <v>15531.1095</v>
      </c>
      <c r="AV2" s="2">
        <f ca="1">IF(ISERROR(INDEX(指数走势!$F$5:$IV$5,1,MATCH(TODAY(),指数走势!$F$1:$IV$1,1)-60+47)),NA(),IF(INDEX(指数走势!$F$5:$IV$5,1,MATCH(TODAY(),指数走势!$F$1:$IV$1,1)-60+47)=0,NA(),INDEX(指数走势!$F$5:$IV$5,1,MATCH(TODAY(),指数走势!$F$1:$IV$1,1)-60+47)))</f>
        <v>15675.2457</v>
      </c>
      <c r="AW2" s="2">
        <f ca="1">IF(ISERROR(INDEX(指数走势!$F$5:$IV$5,1,MATCH(TODAY(),指数走势!$F$1:$IV$1,1)-60+48)),NA(),IF(INDEX(指数走势!$F$5:$IV$5,1,MATCH(TODAY(),指数走势!$F$1:$IV$1,1)-60+48)=0,NA(),INDEX(指数走势!$F$5:$IV$5,1,MATCH(TODAY(),指数走势!$F$1:$IV$1,1)-60+48)))</f>
        <v>15880.9507</v>
      </c>
      <c r="AX2" s="2">
        <f ca="1">IF(ISERROR(INDEX(指数走势!$F$5:$IV$5,1,MATCH(TODAY(),指数走势!$F$1:$IV$1,1)-60+49)),NA(),IF(INDEX(指数走势!$F$5:$IV$5,1,MATCH(TODAY(),指数走势!$F$1:$IV$1,1)-60+49)=0,NA(),INDEX(指数走势!$F$5:$IV$5,1,MATCH(TODAY(),指数走势!$F$1:$IV$1,1)-60+49)))</f>
        <v>16030.7024</v>
      </c>
      <c r="AY2" s="2">
        <f ca="1">IF(ISERROR(INDEX(指数走势!$F$5:$IV$5,1,MATCH(TODAY(),指数走势!$F$1:$IV$1,1)-60+50)),NA(),IF(INDEX(指数走势!$F$5:$IV$5,1,MATCH(TODAY(),指数走势!$F$1:$IV$1,1)-60+50)=0,NA(),INDEX(指数走势!$F$5:$IV$5,1,MATCH(TODAY(),指数走势!$F$1:$IV$1,1)-60+50)))</f>
        <v>16372.4987</v>
      </c>
      <c r="AZ2" s="2">
        <f ca="1">IF(ISERROR(INDEX(指数走势!$F$5:$IV$5,1,MATCH(TODAY(),指数走势!$F$1:$IV$1,1)-60+51)),NA(),IF(INDEX(指数走势!$F$5:$IV$5,1,MATCH(TODAY(),指数走势!$F$1:$IV$1,1)-60+51)=0,NA(),INDEX(指数走势!$F$5:$IV$5,1,MATCH(TODAY(),指数走势!$F$1:$IV$1,1)-60+51)))</f>
        <v>15854.1963</v>
      </c>
      <c r="BA2" s="2">
        <f ca="1">IF(ISERROR(INDEX(指数走势!$F$5:$IV$5,1,MATCH(TODAY(),指数走势!$F$1:$IV$1,1)-60+52)),NA(),IF(INDEX(指数走势!$F$5:$IV$5,1,MATCH(TODAY(),指数走势!$F$1:$IV$1,1)-60+52)=0,NA(),INDEX(指数走势!$F$5:$IV$5,1,MATCH(TODAY(),指数走势!$F$1:$IV$1,1)-60+52)))</f>
        <v>16051.3193</v>
      </c>
      <c r="BB2" s="2">
        <f ca="1">IF(ISERROR(INDEX(指数走势!$F$5:$IV$5,1,MATCH(TODAY(),指数走势!$F$1:$IV$1,1)-60+53)),NA(),IF(INDEX(指数走势!$F$5:$IV$5,1,MATCH(TODAY(),指数走势!$F$1:$IV$1,1)-60+53)=0,NA(),INDEX(指数走势!$F$5:$IV$5,1,MATCH(TODAY(),指数走势!$F$1:$IV$1,1)-60+53)))</f>
        <v>16344.0829</v>
      </c>
      <c r="BC2" s="2">
        <f ca="1">IF(ISERROR(INDEX(指数走势!$F$5:$IV$5,1,MATCH(TODAY(),指数走势!$F$1:$IV$1,1)-60+54)),NA(),IF(INDEX(指数走势!$F$5:$IV$5,1,MATCH(TODAY(),指数走势!$F$1:$IV$1,1)-60+54)=0,NA(),INDEX(指数走势!$F$5:$IV$5,1,MATCH(TODAY(),指数走势!$F$1:$IV$1,1)-60+54)))</f>
        <v>15782.2229</v>
      </c>
      <c r="BD2" s="2">
        <f ca="1">IF(ISERROR(INDEX(指数走势!$F$5:$IV$5,1,MATCH(TODAY(),指数走势!$F$1:$IV$1,1)-60+55)),NA(),IF(INDEX(指数走势!$F$5:$IV$5,1,MATCH(TODAY(),指数走势!$F$1:$IV$1,1)-60+55)=0,NA(),INDEX(指数走势!$F$5:$IV$5,1,MATCH(TODAY(),指数走势!$F$1:$IV$1,1)-60+55)))</f>
        <v>15812.8707</v>
      </c>
      <c r="BE2" s="2">
        <f ca="1">IF(ISERROR(INDEX(指数走势!$F$5:$IV$5,1,MATCH(TODAY(),指数走势!$F$1:$IV$1,1)-60+56)),NA(),IF(INDEX(指数走势!$F$5:$IV$5,1,MATCH(TODAY(),指数走势!$F$1:$IV$1,1)-60+56)=0,NA(),INDEX(指数走势!$F$5:$IV$5,1,MATCH(TODAY(),指数走势!$F$1:$IV$1,1)-60+56)))</f>
        <v>16205.5565</v>
      </c>
      <c r="BF2" s="2">
        <f ca="1">IF(ISERROR(INDEX(指数走势!$F$5:$IV$5,1,MATCH(TODAY(),指数走势!$F$1:$IV$1,1)-60+57)),NA(),IF(INDEX(指数走势!$F$5:$IV$5,1,MATCH(TODAY(),指数走势!$F$1:$IV$1,1)-60+57)=0,NA(),INDEX(指数走势!$F$5:$IV$5,1,MATCH(TODAY(),指数走势!$F$1:$IV$1,1)-60+57)))</f>
        <v>16119.1683</v>
      </c>
      <c r="BG2" s="2">
        <f ca="1">IF(ISERROR(INDEX(指数走势!$F$5:$IV$5,1,MATCH(TODAY(),指数走势!$F$1:$IV$1,1)-60+58)),NA(),IF(INDEX(指数走势!$F$5:$IV$5,1,MATCH(TODAY(),指数走势!$F$1:$IV$1,1)-60+58)=0,NA(),INDEX(指数走势!$F$5:$IV$5,1,MATCH(TODAY(),指数走势!$F$1:$IV$1,1)-60+58)))</f>
        <v>15498.8101</v>
      </c>
      <c r="BH2" s="2">
        <f ca="1">IF(ISERROR(INDEX(指数走势!$F$5:$IV$5,1,MATCH(TODAY(),指数走势!$F$1:$IV$1,1)-60+59)),NA(),IF(INDEX(指数走势!$F$5:$IV$5,1,MATCH(TODAY(),指数走势!$F$1:$IV$1,1)-60+59)=0,NA(),INDEX(指数走势!$F$5:$IV$5,1,MATCH(TODAY(),指数走势!$F$1:$IV$1,1)-60+59)))</f>
        <v>15597.5116</v>
      </c>
      <c r="BI2" t="e">
        <f ca="1">IF(ISERROR(INDEX(指数走势!$F$5:$IV$5,1,MATCH(TODAY(),指数走势!$F$1:$IV$1,1)-60+60)),NA(),IF(INDEX(指数走势!$F$5:$IV$5,1,MATCH(TODAY(),指数走势!$F$1:$IV$1,1)-60+60)=0,NA(),INDEX(指数走势!$F$5:$IV$5,1,MATCH(TODAY(),指数走势!$F$1:$IV$1,1)-60+60)))</f>
        <v>#N/A</v>
      </c>
    </row>
    <row r="3" ht="16.5" customHeight="1" spans="1:61">
      <c r="A3" s="1" t="s">
        <v>15</v>
      </c>
      <c r="B3" s="2">
        <f ca="1">IF(ISERROR(INDEX(指数走势!$F$6:$IV$6,1,MATCH(TODAY(),指数走势!$F$1:$IV$1,1)-60+1)),NA(),IF(INDEX(指数走势!$F$6:$IV$6,1,MATCH(TODAY(),指数走势!$F$1:$IV$1,1)-60+1)=0,NA(),INDEX(指数走势!$F$6:$IV$6,1,MATCH(TODAY(),指数走势!$F$1:$IV$1,1)-60+1)))</f>
        <v>4595.556</v>
      </c>
      <c r="C3" s="2">
        <f ca="1">IF(ISERROR(INDEX(指数走势!$F$6:$IV$6,1,MATCH(TODAY(),指数走势!$F$1:$IV$1,1)-60+2)),NA(),IF(INDEX(指数走势!$F$6:$IV$6,1,MATCH(TODAY(),指数走势!$F$1:$IV$1,1)-60+2)=0,NA(),INDEX(指数走势!$F$6:$IV$6,1,MATCH(TODAY(),指数走势!$F$1:$IV$1,1)-60+2)))</f>
        <v>4566.2237</v>
      </c>
      <c r="D3" s="2">
        <f ca="1">IF(ISERROR(INDEX(指数走势!$F$6:$IV$6,1,MATCH(TODAY(),指数走势!$F$1:$IV$1,1)-60+3)),NA(),IF(INDEX(指数走势!$F$6:$IV$6,1,MATCH(TODAY(),指数走势!$F$1:$IV$1,1)-60+3)=0,NA(),INDEX(指数走势!$F$6:$IV$6,1,MATCH(TODAY(),指数走势!$F$1:$IV$1,1)-60+3)))</f>
        <v>4636.5655</v>
      </c>
      <c r="E3" s="2">
        <f ca="1">IF(ISERROR(INDEX(指数走势!$F$6:$IV$6,1,MATCH(TODAY(),指数走势!$F$1:$IV$1,1)-60+4)),NA(),IF(INDEX(指数走势!$F$6:$IV$6,1,MATCH(TODAY(),指数走势!$F$1:$IV$1,1)-60+4)=0,NA(),INDEX(指数走势!$F$6:$IV$6,1,MATCH(TODAY(),指数走势!$F$1:$IV$1,1)-60+4)))</f>
        <v>4646.1546</v>
      </c>
      <c r="F3" s="2">
        <f ca="1">IF(ISERROR(INDEX(指数走势!$F$6:$IV$6,1,MATCH(TODAY(),指数走势!$F$1:$IV$1,1)-60+5)),NA(),IF(INDEX(指数走势!$F$6:$IV$6,1,MATCH(TODAY(),指数走势!$F$1:$IV$1,1)-60+5)=0,NA(),INDEX(指数走势!$F$6:$IV$6,1,MATCH(TODAY(),指数走势!$F$1:$IV$1,1)-60+5)))</f>
        <v>4701.2837</v>
      </c>
      <c r="G3" s="2">
        <f ca="1">IF(ISERROR(INDEX(指数走势!$F$6:$IV$6,1,MATCH(TODAY(),指数走势!$F$1:$IV$1,1)-60+6)),NA(),IF(INDEX(指数走势!$F$6:$IV$6,1,MATCH(TODAY(),指数走势!$F$1:$IV$1,1)-60+6)=0,NA(),INDEX(指数走势!$F$6:$IV$6,1,MATCH(TODAY(),指数走势!$F$1:$IV$1,1)-60+6)))</f>
        <v>4685.2464</v>
      </c>
      <c r="H3" s="2">
        <f ca="1">IF(ISERROR(INDEX(指数走势!$F$6:$IV$6,1,MATCH(TODAY(),指数走势!$F$1:$IV$1,1)-60+7)),NA(),IF(INDEX(指数走势!$F$6:$IV$6,1,MATCH(TODAY(),指数走势!$F$1:$IV$1,1)-60+7)=0,NA(),INDEX(指数走势!$F$6:$IV$6,1,MATCH(TODAY(),指数走势!$F$1:$IV$1,1)-60+7)))</f>
        <v>4736.6077</v>
      </c>
      <c r="I3" s="2">
        <f ca="1">IF(ISERROR(INDEX(指数走势!$F$6:$IV$6,1,MATCH(TODAY(),指数走势!$F$1:$IV$1,1)-60+8)),NA(),IF(INDEX(指数走势!$F$6:$IV$6,1,MATCH(TODAY(),指数走势!$F$1:$IV$1,1)-60+8)=0,NA(),INDEX(指数走势!$F$6:$IV$6,1,MATCH(TODAY(),指数走势!$F$1:$IV$1,1)-60+8)))</f>
        <v>4728.6716</v>
      </c>
      <c r="J3" s="2">
        <f ca="1">IF(ISERROR(INDEX(指数走势!$F$6:$IV$6,1,MATCH(TODAY(),指数走势!$F$1:$IV$1,1)-60+9)),NA(),IF(INDEX(指数走势!$F$6:$IV$6,1,MATCH(TODAY(),指数走势!$F$1:$IV$1,1)-60+9)=0,NA(),INDEX(指数走势!$F$6:$IV$6,1,MATCH(TODAY(),指数走势!$F$1:$IV$1,1)-60+9)))</f>
        <v>4757.4419</v>
      </c>
      <c r="K3" s="2">
        <f ca="1">IF(ISERROR(INDEX(指数走势!$F$6:$IV$6,1,MATCH(TODAY(),指数走势!$F$1:$IV$1,1)-60+10)),NA(),IF(INDEX(指数走势!$F$6:$IV$6,1,MATCH(TODAY(),指数走势!$F$1:$IV$1,1)-60+10)=0,NA(),INDEX(指数走势!$F$6:$IV$6,1,MATCH(TODAY(),指数走势!$F$1:$IV$1,1)-60+10)))</f>
        <v>4767.997</v>
      </c>
      <c r="L3" s="2">
        <f ca="1">IF(ISERROR(INDEX(指数走势!$F$6:$IV$6,1,MATCH(TODAY(),指数走势!$F$1:$IV$1,1)-60+11)),NA(),IF(INDEX(指数走势!$F$6:$IV$6,1,MATCH(TODAY(),指数走势!$F$1:$IV$1,1)-60+11)=0,NA(),INDEX(指数走势!$F$6:$IV$6,1,MATCH(TODAY(),指数走势!$F$1:$IV$1,1)-60+11)))</f>
        <v>4799.627</v>
      </c>
      <c r="M3" s="2">
        <f ca="1">IF(ISERROR(INDEX(指数走势!$F$6:$IV$6,1,MATCH(TODAY(),指数走势!$F$1:$IV$1,1)-60+12)),NA(),IF(INDEX(指数走势!$F$6:$IV$6,1,MATCH(TODAY(),指数走势!$F$1:$IV$1,1)-60+12)=0,NA(),INDEX(指数走势!$F$6:$IV$6,1,MATCH(TODAY(),指数走势!$F$1:$IV$1,1)-60+12)))</f>
        <v>4786.3273</v>
      </c>
      <c r="N3" s="2">
        <f ca="1">IF(ISERROR(INDEX(指数走势!$F$6:$IV$6,1,MATCH(TODAY(),指数走势!$F$1:$IV$1,1)-60+13)),NA(),IF(INDEX(指数走势!$F$6:$IV$6,1,MATCH(TODAY(),指数走势!$F$1:$IV$1,1)-60+13)=0,NA(),INDEX(指数走势!$F$6:$IV$6,1,MATCH(TODAY(),指数走势!$F$1:$IV$1,1)-60+13)))</f>
        <v>4769.3688</v>
      </c>
      <c r="O3" s="2">
        <f ca="1">IF(ISERROR(INDEX(指数走势!$F$6:$IV$6,1,MATCH(TODAY(),指数走势!$F$1:$IV$1,1)-60+14)),NA(),IF(INDEX(指数走势!$F$6:$IV$6,1,MATCH(TODAY(),指数走势!$F$1:$IV$1,1)-60+14)=0,NA(),INDEX(指数走势!$F$6:$IV$6,1,MATCH(TODAY(),指数走势!$F$1:$IV$1,1)-60+14)))</f>
        <v>4770.9469</v>
      </c>
      <c r="P3" s="2">
        <f ca="1">IF(ISERROR(INDEX(指数走势!$F$6:$IV$6,1,MATCH(TODAY(),指数走势!$F$1:$IV$1,1)-60+15)),NA(),IF(INDEX(指数走势!$F$6:$IV$6,1,MATCH(TODAY(),指数走势!$F$1:$IV$1,1)-60+15)=0,NA(),INDEX(指数走势!$F$6:$IV$6,1,MATCH(TODAY(),指数走势!$F$1:$IV$1,1)-60+15)))</f>
        <v>4758.2083</v>
      </c>
      <c r="Q3" s="2">
        <f ca="1">IF(ISERROR(INDEX(指数走势!$F$6:$IV$6,1,MATCH(TODAY(),指数走势!$F$1:$IV$1,1)-60+16)),NA(),IF(INDEX(指数走势!$F$6:$IV$6,1,MATCH(TODAY(),指数走势!$F$1:$IV$1,1)-60+16)=0,NA(),INDEX(指数走势!$F$6:$IV$6,1,MATCH(TODAY(),指数走势!$F$1:$IV$1,1)-60+16)))</f>
        <v>4810.3468</v>
      </c>
      <c r="R3" s="2">
        <f ca="1">IF(ISERROR(INDEX(指数走势!$F$6:$IV$6,1,MATCH(TODAY(),指数走势!$F$1:$IV$1,1)-60+17)),NA(),IF(INDEX(指数走势!$F$6:$IV$6,1,MATCH(TODAY(),指数走势!$F$1:$IV$1,1)-60+17)=0,NA(),INDEX(指数走势!$F$6:$IV$6,1,MATCH(TODAY(),指数走势!$F$1:$IV$1,1)-60+17)))</f>
        <v>4807.3069</v>
      </c>
      <c r="S3" s="2">
        <f ca="1">IF(ISERROR(INDEX(指数走势!$F$6:$IV$6,1,MATCH(TODAY(),指数走势!$F$1:$IV$1,1)-60+18)),NA(),IF(INDEX(指数走势!$F$6:$IV$6,1,MATCH(TODAY(),指数走势!$F$1:$IV$1,1)-60+18)=0,NA(),INDEX(指数走势!$F$6:$IV$6,1,MATCH(TODAY(),指数走势!$F$1:$IV$1,1)-60+18)))</f>
        <v>4877.0932</v>
      </c>
      <c r="T3" s="2">
        <f ca="1">IF(ISERROR(INDEX(指数走势!$F$6:$IV$6,1,MATCH(TODAY(),指数走势!$F$1:$IV$1,1)-60+19)),NA(),IF(INDEX(指数走势!$F$6:$IV$6,1,MATCH(TODAY(),指数走势!$F$1:$IV$1,1)-60+19)=0,NA(),INDEX(指数走势!$F$6:$IV$6,1,MATCH(TODAY(),指数走势!$F$1:$IV$1,1)-60+19)))</f>
        <v>4900.5098</v>
      </c>
      <c r="U3" s="2">
        <f ca="1">IF(ISERROR(INDEX(指数走势!$F$6:$IV$6,1,MATCH(TODAY(),指数走势!$F$1:$IV$1,1)-60+20)),NA(),IF(INDEX(指数走势!$F$6:$IV$6,1,MATCH(TODAY(),指数走势!$F$1:$IV$1,1)-60+20)=0,NA(),INDEX(指数走势!$F$6:$IV$6,1,MATCH(TODAY(),指数走势!$F$1:$IV$1,1)-60+20)))</f>
        <v>4871.9122</v>
      </c>
      <c r="V3" s="2">
        <f ca="1">IF(ISERROR(INDEX(指数走势!$F$6:$IV$6,1,MATCH(TODAY(),指数走势!$F$1:$IV$1,1)-60+21)),NA(),IF(INDEX(指数走势!$F$6:$IV$6,1,MATCH(TODAY(),指数走势!$F$1:$IV$1,1)-60+21)=0,NA(),INDEX(指数走势!$F$6:$IV$6,1,MATCH(TODAY(),指数走势!$F$1:$IV$1,1)-60+21)))</f>
        <v>4951.8366</v>
      </c>
      <c r="W3" s="2">
        <f ca="1">IF(ISERROR(INDEX(指数走势!$F$6:$IV$6,1,MATCH(TODAY(),指数走势!$F$1:$IV$1,1)-60+22)),NA(),IF(INDEX(指数走势!$F$6:$IV$6,1,MATCH(TODAY(),指数走势!$F$1:$IV$1,1)-60+22)=0,NA(),INDEX(指数走势!$F$6:$IV$6,1,MATCH(TODAY(),指数走势!$F$1:$IV$1,1)-60+22)))</f>
        <v>4948.0465</v>
      </c>
      <c r="X3" s="2">
        <f ca="1">IF(ISERROR(INDEX(指数走势!$F$6:$IV$6,1,MATCH(TODAY(),指数走势!$F$1:$IV$1,1)-60+23)),NA(),IF(INDEX(指数走势!$F$6:$IV$6,1,MATCH(TODAY(),指数走势!$F$1:$IV$1,1)-60+23)=0,NA(),INDEX(指数走势!$F$6:$IV$6,1,MATCH(TODAY(),指数走势!$F$1:$IV$1,1)-60+23)))</f>
        <v>4998.3417</v>
      </c>
      <c r="Y3" s="2">
        <f ca="1">IF(ISERROR(INDEX(指数走势!$F$6:$IV$6,1,MATCH(TODAY(),指数走势!$F$1:$IV$1,1)-60+24)),NA(),IF(INDEX(指数走势!$F$6:$IV$6,1,MATCH(TODAY(),指数走势!$F$1:$IV$1,1)-60+24)=0,NA(),INDEX(指数走势!$F$6:$IV$6,1,MATCH(TODAY(),指数走势!$F$1:$IV$1,1)-60+24)))</f>
        <v>4914.5971</v>
      </c>
      <c r="Z3" s="2">
        <f ca="1">IF(ISERROR(INDEX(指数走势!$F$6:$IV$6,1,MATCH(TODAY(),指数走势!$F$1:$IV$1,1)-60+25)),NA(),IF(INDEX(指数走势!$F$6:$IV$6,1,MATCH(TODAY(),指数走势!$F$1:$IV$1,1)-60+25)=0,NA(),INDEX(指数走势!$F$6:$IV$6,1,MATCH(TODAY(),指数走势!$F$1:$IV$1,1)-60+25)))</f>
        <v>4859.5927</v>
      </c>
      <c r="AA3" s="2">
        <f ca="1">IF(ISERROR(INDEX(指数走势!$F$6:$IV$6,1,MATCH(TODAY(),指数走势!$F$1:$IV$1,1)-60+26)),NA(),IF(INDEX(指数走势!$F$6:$IV$6,1,MATCH(TODAY(),指数走势!$F$1:$IV$1,1)-60+26)=0,NA(),INDEX(指数走势!$F$6:$IV$6,1,MATCH(TODAY(),指数走势!$F$1:$IV$1,1)-60+26)))</f>
        <v>4833.5237</v>
      </c>
      <c r="AB3" s="2">
        <f ca="1">IF(ISERROR(INDEX(指数走势!$F$6:$IV$6,1,MATCH(TODAY(),指数走势!$F$1:$IV$1,1)-60+27)),NA(),IF(INDEX(指数走势!$F$6:$IV$6,1,MATCH(TODAY(),指数走势!$F$1:$IV$1,1)-60+27)=0,NA(),INDEX(指数走势!$F$6:$IV$6,1,MATCH(TODAY(),指数走势!$F$1:$IV$1,1)-60+27)))</f>
        <v>4852.8832</v>
      </c>
      <c r="AC3" s="2">
        <f ca="1">IF(ISERROR(INDEX(指数走势!$F$6:$IV$6,1,MATCH(TODAY(),指数走势!$F$1:$IV$1,1)-60+28)),NA(),IF(INDEX(指数走势!$F$6:$IV$6,1,MATCH(TODAY(),指数走势!$F$1:$IV$1,1)-60+28)=0,NA(),INDEX(指数走势!$F$6:$IV$6,1,MATCH(TODAY(),指数走势!$F$1:$IV$1,1)-60+28)))</f>
        <v>4850.7</v>
      </c>
      <c r="AD3" s="2">
        <f ca="1">IF(ISERROR(INDEX(指数走势!$F$6:$IV$6,1,MATCH(TODAY(),指数走势!$F$1:$IV$1,1)-60+29)),NA(),IF(INDEX(指数走势!$F$6:$IV$6,1,MATCH(TODAY(),指数走势!$F$1:$IV$1,1)-60+29)=0,NA(),INDEX(指数走势!$F$6:$IV$6,1,MATCH(TODAY(),指数走势!$F$1:$IV$1,1)-60+29)))</f>
        <v>4783.0976</v>
      </c>
      <c r="AE3" s="2">
        <f ca="1">IF(ISERROR(INDEX(指数走势!$F$6:$IV$6,1,MATCH(TODAY(),指数走势!$F$1:$IV$1,1)-60+30)),NA(),IF(INDEX(指数走势!$F$6:$IV$6,1,MATCH(TODAY(),指数走势!$F$1:$IV$1,1)-60+30)=0,NA(),INDEX(指数走势!$F$6:$IV$6,1,MATCH(TODAY(),指数走势!$F$1:$IV$1,1)-60+30)))</f>
        <v>4845.0956</v>
      </c>
      <c r="AF3" s="2">
        <f ca="1">IF(ISERROR(INDEX(指数走势!$F$6:$IV$6,1,MATCH(TODAY(),指数走势!$F$1:$IV$1,1)-60+31)),NA(),IF(INDEX(指数走势!$F$6:$IV$6,1,MATCH(TODAY(),指数走势!$F$1:$IV$1,1)-60+31)=0,NA(),INDEX(指数走势!$F$6:$IV$6,1,MATCH(TODAY(),指数走势!$F$1:$IV$1,1)-60+31)))</f>
        <v>4921.5974</v>
      </c>
      <c r="AG3" s="2">
        <f ca="1">IF(ISERROR(INDEX(指数走势!$F$6:$IV$6,1,MATCH(TODAY(),指数走势!$F$1:$IV$1,1)-60+32)),NA(),IF(INDEX(指数走势!$F$6:$IV$6,1,MATCH(TODAY(),指数走势!$F$1:$IV$1,1)-60+32)=0,NA(),INDEX(指数走势!$F$6:$IV$6,1,MATCH(TODAY(),指数走势!$F$1:$IV$1,1)-60+32)))</f>
        <v>4947.8493</v>
      </c>
      <c r="AH3" s="2">
        <f ca="1">IF(ISERROR(INDEX(指数走势!$F$6:$IV$6,1,MATCH(TODAY(),指数走势!$F$1:$IV$1,1)-60+33)),NA(),IF(INDEX(指数走势!$F$6:$IV$6,1,MATCH(TODAY(),指数走势!$F$1:$IV$1,1)-60+33)=0,NA(),INDEX(指数走势!$F$6:$IV$6,1,MATCH(TODAY(),指数走势!$F$1:$IV$1,1)-60+33)))</f>
        <v>4908.1714</v>
      </c>
      <c r="AI3" s="2">
        <f ca="1">IF(ISERROR(INDEX(指数走势!$F$6:$IV$6,1,MATCH(TODAY(),指数走势!$F$1:$IV$1,1)-60+34)),NA(),IF(INDEX(指数走势!$F$6:$IV$6,1,MATCH(TODAY(),指数走势!$F$1:$IV$1,1)-60+34)=0,NA(),INDEX(指数走势!$F$6:$IV$6,1,MATCH(TODAY(),指数走势!$F$1:$IV$1,1)-60+34)))</f>
        <v>4914.2133</v>
      </c>
      <c r="AJ3" s="2">
        <f ca="1">IF(ISERROR(INDEX(指数走势!$F$6:$IV$6,1,MATCH(TODAY(),指数走势!$F$1:$IV$1,1)-60+35)),NA(),IF(INDEX(指数走势!$F$6:$IV$6,1,MATCH(TODAY(),指数走势!$F$1:$IV$1,1)-60+35)=0,NA(),INDEX(指数走势!$F$6:$IV$6,1,MATCH(TODAY(),指数走势!$F$1:$IV$1,1)-60+35)))</f>
        <v>4892.1213</v>
      </c>
      <c r="AK3" s="2">
        <f ca="1">IF(ISERROR(INDEX(指数走势!$F$6:$IV$6,1,MATCH(TODAY(),指数走势!$F$1:$IV$1,1)-60+36)),NA(),IF(INDEX(指数走势!$F$6:$IV$6,1,MATCH(TODAY(),指数走势!$F$1:$IV$1,1)-60+36)=0,NA(),INDEX(指数走势!$F$6:$IV$6,1,MATCH(TODAY(),指数走势!$F$1:$IV$1,1)-60+36)))</f>
        <v>4844.2556</v>
      </c>
      <c r="AL3" s="2">
        <f ca="1">IF(ISERROR(INDEX(指数走势!$F$6:$IV$6,1,MATCH(TODAY(),指数走势!$F$1:$IV$1,1)-60+37)),NA(),IF(INDEX(指数走势!$F$6:$IV$6,1,MATCH(TODAY(),指数走势!$F$1:$IV$1,1)-60+37)=0,NA(),INDEX(指数走势!$F$6:$IV$6,1,MATCH(TODAY(),指数走势!$F$1:$IV$1,1)-60+37)))</f>
        <v>4914.5591</v>
      </c>
      <c r="AM3" s="2">
        <f ca="1">IF(ISERROR(INDEX(指数走势!$F$6:$IV$6,1,MATCH(TODAY(),指数走势!$F$1:$IV$1,1)-60+38)),NA(),IF(INDEX(指数走势!$F$6:$IV$6,1,MATCH(TODAY(),指数走势!$F$1:$IV$1,1)-60+38)=0,NA(),INDEX(指数走势!$F$6:$IV$6,1,MATCH(TODAY(),指数走势!$F$1:$IV$1,1)-60+38)))</f>
        <v>4938.8091</v>
      </c>
      <c r="AN3" s="2">
        <f ca="1">IF(ISERROR(INDEX(指数走势!$F$6:$IV$6,1,MATCH(TODAY(),指数走势!$F$1:$IV$1,1)-60+39)),NA(),IF(INDEX(指数走势!$F$6:$IV$6,1,MATCH(TODAY(),指数走势!$F$1:$IV$1,1)-60+39)=0,NA(),INDEX(指数走势!$F$6:$IV$6,1,MATCH(TODAY(),指数走势!$F$1:$IV$1,1)-60+39)))</f>
        <v>4904.7454</v>
      </c>
      <c r="AO3" s="2">
        <f ca="1">IF(ISERROR(INDEX(指数走势!$F$6:$IV$6,1,MATCH(TODAY(),指数走势!$F$1:$IV$1,1)-60+40)),NA(),IF(INDEX(指数走势!$F$6:$IV$6,1,MATCH(TODAY(),指数走势!$F$1:$IV$1,1)-60+40)=0,NA(),INDEX(指数走势!$F$6:$IV$6,1,MATCH(TODAY(),指数走势!$F$1:$IV$1,1)-60+40)))</f>
        <v>4816.9199</v>
      </c>
      <c r="AP3" s="2">
        <f ca="1">IF(ISERROR(INDEX(指数走势!$F$6:$IV$6,1,MATCH(TODAY(),指数走势!$F$1:$IV$1,1)-60+41)),NA(),IF(INDEX(指数走势!$F$6:$IV$6,1,MATCH(TODAY(),指数走势!$F$1:$IV$1,1)-60+41)=0,NA(),INDEX(指数走势!$F$6:$IV$6,1,MATCH(TODAY(),指数走势!$F$1:$IV$1,1)-60+41)))</f>
        <v>4713.6358</v>
      </c>
      <c r="AQ3" s="2">
        <f ca="1">IF(ISERROR(INDEX(指数走势!$F$6:$IV$6,1,MATCH(TODAY(),指数走势!$F$1:$IV$1,1)-60+42)),NA(),IF(INDEX(指数走势!$F$6:$IV$6,1,MATCH(TODAY(),指数走势!$F$1:$IV$1,1)-60+42)=0,NA(),INDEX(指数走势!$F$6:$IV$6,1,MATCH(TODAY(),指数走势!$F$1:$IV$1,1)-60+42)))</f>
        <v>4801.8106</v>
      </c>
      <c r="AR3" s="2">
        <f ca="1">IF(ISERROR(INDEX(指数走势!$F$6:$IV$6,1,MATCH(TODAY(),指数走势!$F$1:$IV$1,1)-60+43)),NA(),IF(INDEX(指数走势!$F$6:$IV$6,1,MATCH(TODAY(),指数走势!$F$1:$IV$1,1)-60+43)=0,NA(),INDEX(指数走势!$F$6:$IV$6,1,MATCH(TODAY(),指数走势!$F$1:$IV$1,1)-60+43)))</f>
        <v>4748.5932</v>
      </c>
      <c r="AS3" s="2">
        <f ca="1">IF(ISERROR(INDEX(指数走势!$F$6:$IV$6,1,MATCH(TODAY(),指数走势!$F$1:$IV$1,1)-60+44)),NA(),IF(INDEX(指数走势!$F$6:$IV$6,1,MATCH(TODAY(),指数走势!$F$1:$IV$1,1)-60+44)=0,NA(),INDEX(指数走势!$F$6:$IV$6,1,MATCH(TODAY(),指数走势!$F$1:$IV$1,1)-60+44)))</f>
        <v>4722.4122</v>
      </c>
      <c r="AT3" s="2">
        <f ca="1">IF(ISERROR(INDEX(指数走势!$F$6:$IV$6,1,MATCH(TODAY(),指数走势!$F$1:$IV$1,1)-60+45)),NA(),IF(INDEX(指数走势!$F$6:$IV$6,1,MATCH(TODAY(),指数走势!$F$1:$IV$1,1)-60+45)=0,NA(),INDEX(指数走势!$F$6:$IV$6,1,MATCH(TODAY(),指数走势!$F$1:$IV$1,1)-60+45)))</f>
        <v>4777.3206</v>
      </c>
      <c r="AU3" s="2">
        <f ca="1">IF(ISERROR(INDEX(指数走势!$F$6:$IV$6,1,MATCH(TODAY(),指数走势!$F$1:$IV$1,1)-60+46)),NA(),IF(INDEX(指数走势!$F$6:$IV$6,1,MATCH(TODAY(),指数走势!$F$1:$IV$1,1)-60+46)=0,NA(),INDEX(指数走势!$F$6:$IV$6,1,MATCH(TODAY(),指数走势!$F$1:$IV$1,1)-60+46)))</f>
        <v>4891.7126</v>
      </c>
      <c r="AV3" s="2">
        <f ca="1">IF(ISERROR(INDEX(指数走势!$F$6:$IV$6,1,MATCH(TODAY(),指数走势!$F$1:$IV$1,1)-60+47)),NA(),IF(INDEX(指数走势!$F$6:$IV$6,1,MATCH(TODAY(),指数走势!$F$1:$IV$1,1)-60+47)=0,NA(),INDEX(指数走势!$F$6:$IV$6,1,MATCH(TODAY(),指数走势!$F$1:$IV$1,1)-60+47)))</f>
        <v>4884.2322</v>
      </c>
      <c r="AW3" s="2">
        <f ca="1">IF(ISERROR(INDEX(指数走势!$F$6:$IV$6,1,MATCH(TODAY(),指数走势!$F$1:$IV$1,1)-60+48)),NA(),IF(INDEX(指数走势!$F$6:$IV$6,1,MATCH(TODAY(),指数走势!$F$1:$IV$1,1)-60+48)=0,NA(),INDEX(指数走势!$F$6:$IV$6,1,MATCH(TODAY(),指数走势!$F$1:$IV$1,1)-60+48)))</f>
        <v>4931.3861</v>
      </c>
      <c r="AX3" s="2">
        <f ca="1">IF(ISERROR(INDEX(指数走势!$F$6:$IV$6,1,MATCH(TODAY(),指数走势!$F$1:$IV$1,1)-60+49)),NA(),IF(INDEX(指数走势!$F$6:$IV$6,1,MATCH(TODAY(),指数走势!$F$1:$IV$1,1)-60+49)=0,NA(),INDEX(指数走势!$F$6:$IV$6,1,MATCH(TODAY(),指数走势!$F$1:$IV$1,1)-60+49)))</f>
        <v>4941.5986</v>
      </c>
      <c r="AY3" s="2">
        <f ca="1">IF(ISERROR(INDEX(指数走势!$F$6:$IV$6,1,MATCH(TODAY(),指数走势!$F$1:$IV$1,1)-60+50)),NA(),IF(INDEX(指数走势!$F$6:$IV$6,1,MATCH(TODAY(),指数走势!$F$1:$IV$1,1)-60+50)=0,NA(),INDEX(指数走势!$F$6:$IV$6,1,MATCH(TODAY(),指数走势!$F$1:$IV$1,1)-60+50)))</f>
        <v>5059.6582</v>
      </c>
      <c r="AZ3" s="2">
        <f ca="1">IF(ISERROR(INDEX(指数走势!$F$6:$IV$6,1,MATCH(TODAY(),指数走势!$F$1:$IV$1,1)-60+51)),NA(),IF(INDEX(指数走势!$F$6:$IV$6,1,MATCH(TODAY(),指数走势!$F$1:$IV$1,1)-60+51)=0,NA(),INDEX(指数走势!$F$6:$IV$6,1,MATCH(TODAY(),指数走势!$F$1:$IV$1,1)-60+51)))</f>
        <v>4919.386</v>
      </c>
      <c r="BA3" s="2">
        <f ca="1">IF(ISERROR(INDEX(指数走势!$F$6:$IV$6,1,MATCH(TODAY(),指数走势!$F$1:$IV$1,1)-60+52)),NA(),IF(INDEX(指数走势!$F$6:$IV$6,1,MATCH(TODAY(),指数走势!$F$1:$IV$1,1)-60+52)=0,NA(),INDEX(指数走势!$F$6:$IV$6,1,MATCH(TODAY(),指数走势!$F$1:$IV$1,1)-60+52)))</f>
        <v>4943.0197</v>
      </c>
      <c r="BB3" s="2">
        <f ca="1">IF(ISERROR(INDEX(指数走势!$F$6:$IV$6,1,MATCH(TODAY(),指数走势!$F$1:$IV$1,1)-60+53)),NA(),IF(INDEX(指数走势!$F$6:$IV$6,1,MATCH(TODAY(),指数走势!$F$1:$IV$1,1)-60+53)=0,NA(),INDEX(指数走势!$F$6:$IV$6,1,MATCH(TODAY(),指数走势!$F$1:$IV$1,1)-60+53)))</f>
        <v>5020.1038</v>
      </c>
      <c r="BC3" s="2">
        <f ca="1">IF(ISERROR(INDEX(指数走势!$F$6:$IV$6,1,MATCH(TODAY(),指数走势!$F$1:$IV$1,1)-60+54)),NA(),IF(INDEX(指数走势!$F$6:$IV$6,1,MATCH(TODAY(),指数走势!$F$1:$IV$1,1)-60+54)=0,NA(),INDEX(指数走势!$F$6:$IV$6,1,MATCH(TODAY(),指数走势!$F$1:$IV$1,1)-60+54)))</f>
        <v>4868.2205</v>
      </c>
      <c r="BD3" s="2">
        <f ca="1">IF(ISERROR(INDEX(指数走势!$F$6:$IV$6,1,MATCH(TODAY(),指数走势!$F$1:$IV$1,1)-60+55)),NA(),IF(INDEX(指数走势!$F$6:$IV$6,1,MATCH(TODAY(),指数走势!$F$1:$IV$1,1)-60+55)=0,NA(),INDEX(指数走势!$F$6:$IV$6,1,MATCH(TODAY(),指数走势!$F$1:$IV$1,1)-60+55)))</f>
        <v>4926.921</v>
      </c>
      <c r="BE3" s="2">
        <f ca="1">IF(ISERROR(INDEX(指数走势!$F$6:$IV$6,1,MATCH(TODAY(),指数走势!$F$1:$IV$1,1)-60+56)),NA(),IF(INDEX(指数走势!$F$6:$IV$6,1,MATCH(TODAY(),指数走势!$F$1:$IV$1,1)-60+56)=0,NA(),INDEX(指数走势!$F$6:$IV$6,1,MATCH(TODAY(),指数走势!$F$1:$IV$1,1)-60+56)))</f>
        <v>4979.4328</v>
      </c>
      <c r="BF3" s="2">
        <f ca="1">IF(ISERROR(INDEX(指数走势!$F$6:$IV$6,1,MATCH(TODAY(),指数走势!$F$1:$IV$1,1)-60+57)),NA(),IF(INDEX(指数走势!$F$6:$IV$6,1,MATCH(TODAY(),指数走势!$F$1:$IV$1,1)-60+57)=0,NA(),INDEX(指数走势!$F$6:$IV$6,1,MATCH(TODAY(),指数走势!$F$1:$IV$1,1)-60+57)))</f>
        <v>4958.9773</v>
      </c>
      <c r="BG3" s="2">
        <f ca="1">IF(ISERROR(INDEX(指数走势!$F$6:$IV$6,1,MATCH(TODAY(),指数走势!$F$1:$IV$1,1)-60+58)),NA(),IF(INDEX(指数走势!$F$6:$IV$6,1,MATCH(TODAY(),指数走势!$F$1:$IV$1,1)-60+58)=0,NA(),INDEX(指数走势!$F$6:$IV$6,1,MATCH(TODAY(),指数走势!$F$1:$IV$1,1)-60+58)))</f>
        <v>4812.2957</v>
      </c>
      <c r="BH3" s="2">
        <f ca="1">IF(ISERROR(INDEX(指数走势!$F$6:$IV$6,1,MATCH(TODAY(),指数走势!$F$1:$IV$1,1)-60+59)),NA(),IF(INDEX(指数走势!$F$6:$IV$6,1,MATCH(TODAY(),指数走势!$F$1:$IV$1,1)-60+59)=0,NA(),INDEX(指数走势!$F$6:$IV$6,1,MATCH(TODAY(),指数走势!$F$1:$IV$1,1)-60+59)))</f>
        <v>4842.1737</v>
      </c>
      <c r="BI3" t="e">
        <f ca="1">IF(ISERROR(INDEX(指数走势!$F$6:$IV$6,1,MATCH(TODAY(),指数走势!$F$1:$IV$1,1)-60+60)),NA(),IF(INDEX(指数走势!$F$6:$IV$6,1,MATCH(TODAY(),指数走势!$F$1:$IV$1,1)-60+60)=0,NA(),INDEX(指数走势!$F$6:$IV$6,1,MATCH(TODAY(),指数走势!$F$1:$IV$1,1)-60+60)))</f>
        <v>#N/A</v>
      </c>
    </row>
    <row r="4" ht="15" customHeight="1" spans="1:61">
      <c r="A4" s="1" t="s">
        <v>17</v>
      </c>
      <c r="B4" s="2">
        <f ca="1">IF(ISERROR(INDEX(指数走势!$F$4:$IV$4,1,MATCH(TODAY(),指数走势!$F$1:$IV$1,1)-60+1)),NA(),IF(INDEX(指数走势!$F$4:$IV$4,1,MATCH(TODAY(),指数走势!$F$1:$IV$1,1)-60+1)=0,NA(),INDEX(指数走势!$F$4:$IV$4,1,MATCH(TODAY(),指数走势!$F$1:$IV$1,1)-60+1)))</f>
        <v>3347.61</v>
      </c>
      <c r="C4" s="2">
        <f ca="1">IF(ISERROR(INDEX(指数走势!$F$4:$IV$4,1,MATCH(TODAY(),指数走势!$F$1:$IV$1,1)-60+2)),NA(),IF(INDEX(指数走势!$F$4:$IV$4,1,MATCH(TODAY(),指数走势!$F$1:$IV$1,1)-60+2)=0,NA(),INDEX(指数走势!$F$4:$IV$4,1,MATCH(TODAY(),指数走势!$F$1:$IV$1,1)-60+2)))</f>
        <v>3323.2989</v>
      </c>
      <c r="D4" s="2">
        <f ca="1">IF(ISERROR(INDEX(指数走势!$F$4:$IV$4,1,MATCH(TODAY(),指数走势!$F$1:$IV$1,1)-60+3)),NA(),IF(INDEX(指数走势!$F$4:$IV$4,1,MATCH(TODAY(),指数走势!$F$1:$IV$1,1)-60+3)=0,NA(),INDEX(指数走势!$F$4:$IV$4,1,MATCH(TODAY(),指数走势!$F$1:$IV$1,1)-60+3)))</f>
        <v>3448.787</v>
      </c>
      <c r="E4" s="2">
        <f ca="1">IF(ISERROR(INDEX(指数走势!$F$4:$IV$4,1,MATCH(TODAY(),指数走势!$F$1:$IV$1,1)-60+4)),NA(),IF(INDEX(指数走势!$F$4:$IV$4,1,MATCH(TODAY(),指数走势!$F$1:$IV$1,1)-60+4)=0,NA(),INDEX(指数走势!$F$4:$IV$4,1,MATCH(TODAY(),指数走势!$F$1:$IV$1,1)-60+4)))</f>
        <v>3476.4396</v>
      </c>
      <c r="F4" s="2">
        <f ca="1">IF(ISERROR(INDEX(指数走势!$F$4:$IV$4,1,MATCH(TODAY(),指数走势!$F$1:$IV$1,1)-60+5)),NA(),IF(INDEX(指数走势!$F$4:$IV$4,1,MATCH(TODAY(),指数走势!$F$1:$IV$1,1)-60+5)=0,NA(),INDEX(指数走势!$F$4:$IV$4,1,MATCH(TODAY(),指数走势!$F$1:$IV$1,1)-60+5)))</f>
        <v>3558.5273</v>
      </c>
      <c r="G4" s="2">
        <f ca="1">IF(ISERROR(INDEX(指数走势!$F$4:$IV$4,1,MATCH(TODAY(),指数走势!$F$1:$IV$1,1)-60+6)),NA(),IF(INDEX(指数走势!$F$4:$IV$4,1,MATCH(TODAY(),指数走势!$F$1:$IV$1,1)-60+6)=0,NA(),INDEX(指数走势!$F$4:$IV$4,1,MATCH(TODAY(),指数走势!$F$1:$IV$1,1)-60+6)))</f>
        <v>3514.9604</v>
      </c>
      <c r="H4" s="2">
        <f ca="1">IF(ISERROR(INDEX(指数走势!$F$4:$IV$4,1,MATCH(TODAY(),指数走势!$F$1:$IV$1,1)-60+7)),NA(),IF(INDEX(指数走势!$F$4:$IV$4,1,MATCH(TODAY(),指数走势!$F$1:$IV$1,1)-60+7)=0,NA(),INDEX(指数走势!$F$4:$IV$4,1,MATCH(TODAY(),指数走势!$F$1:$IV$1,1)-60+7)))</f>
        <v>3626.271</v>
      </c>
      <c r="I4" s="2">
        <f ca="1">IF(ISERROR(INDEX(指数走势!$F$4:$IV$4,1,MATCH(TODAY(),指数走势!$F$1:$IV$1,1)-60+8)),NA(),IF(INDEX(指数走势!$F$4:$IV$4,1,MATCH(TODAY(),指数走势!$F$1:$IV$1,1)-60+8)=0,NA(),INDEX(指数走势!$F$4:$IV$4,1,MATCH(TODAY(),指数走势!$F$1:$IV$1,1)-60+8)))</f>
        <v>3678.2934</v>
      </c>
      <c r="J4" s="2">
        <f ca="1">IF(ISERROR(INDEX(指数走势!$F$4:$IV$4,1,MATCH(TODAY(),指数走势!$F$1:$IV$1,1)-60+9)),NA(),IF(INDEX(指数走势!$F$4:$IV$4,1,MATCH(TODAY(),指数走势!$F$1:$IV$1,1)-60+9)=0,NA(),INDEX(指数走势!$F$4:$IV$4,1,MATCH(TODAY(),指数走势!$F$1:$IV$1,1)-60+9)))</f>
        <v>3677.5758</v>
      </c>
      <c r="K4" s="2">
        <f ca="1">IF(ISERROR(INDEX(指数走势!$F$4:$IV$4,1,MATCH(TODAY(),指数走势!$F$1:$IV$1,1)-60+10)),NA(),IF(INDEX(指数走势!$F$4:$IV$4,1,MATCH(TODAY(),指数走势!$F$1:$IV$1,1)-60+10)=0,NA(),INDEX(指数走势!$F$4:$IV$4,1,MATCH(TODAY(),指数走势!$F$1:$IV$1,1)-60+10)))</f>
        <v>3688.9372</v>
      </c>
      <c r="L4" s="2">
        <f ca="1">IF(ISERROR(INDEX(指数走势!$F$4:$IV$4,1,MATCH(TODAY(),指数走势!$F$1:$IV$1,1)-60+11)),NA(),IF(INDEX(指数走势!$F$4:$IV$4,1,MATCH(TODAY(),指数走势!$F$1:$IV$1,1)-60+11)=0,NA(),INDEX(指数走势!$F$4:$IV$4,1,MATCH(TODAY(),指数走势!$F$1:$IV$1,1)-60+11)))</f>
        <v>3752.7591</v>
      </c>
      <c r="M4" s="2">
        <f ca="1">IF(ISERROR(INDEX(指数走势!$F$4:$IV$4,1,MATCH(TODAY(),指数走势!$F$1:$IV$1,1)-60+12)),NA(),IF(INDEX(指数走势!$F$4:$IV$4,1,MATCH(TODAY(),指数走势!$F$1:$IV$1,1)-60+12)=0,NA(),INDEX(指数走势!$F$4:$IV$4,1,MATCH(TODAY(),指数走势!$F$1:$IV$1,1)-60+12)))</f>
        <v>3720.2474</v>
      </c>
      <c r="N4" s="2">
        <f ca="1">IF(ISERROR(INDEX(指数走势!$F$4:$IV$4,1,MATCH(TODAY(),指数走势!$F$1:$IV$1,1)-60+13)),NA(),IF(INDEX(指数走势!$F$4:$IV$4,1,MATCH(TODAY(),指数走势!$F$1:$IV$1,1)-60+13)=0,NA(),INDEX(指数走势!$F$4:$IV$4,1,MATCH(TODAY(),指数走势!$F$1:$IV$1,1)-60+13)))</f>
        <v>3667.7851</v>
      </c>
      <c r="O4" s="2">
        <f ca="1">IF(ISERROR(INDEX(指数走势!$F$4:$IV$4,1,MATCH(TODAY(),指数走势!$F$1:$IV$1,1)-60+14)),NA(),IF(INDEX(指数走势!$F$4:$IV$4,1,MATCH(TODAY(),指数走势!$F$1:$IV$1,1)-60+14)=0,NA(),INDEX(指数走势!$F$4:$IV$4,1,MATCH(TODAY(),指数走势!$F$1:$IV$1,1)-60+14)))</f>
        <v>3648.788</v>
      </c>
      <c r="P4" s="2">
        <f ca="1">IF(ISERROR(INDEX(指数走势!$F$4:$IV$4,1,MATCH(TODAY(),指数走势!$F$1:$IV$1,1)-60+15)),NA(),IF(INDEX(指数走势!$F$4:$IV$4,1,MATCH(TODAY(),指数走势!$F$1:$IV$1,1)-60+15)=0,NA(),INDEX(指数走势!$F$4:$IV$4,1,MATCH(TODAY(),指数走势!$F$1:$IV$1,1)-60+15)))</f>
        <v>3596.7118</v>
      </c>
      <c r="Q4" s="2">
        <f ca="1">IF(ISERROR(INDEX(指数走势!$F$4:$IV$4,1,MATCH(TODAY(),指数走势!$F$1:$IV$1,1)-60+16)),NA(),IF(INDEX(指数走势!$F$4:$IV$4,1,MATCH(TODAY(),指数走势!$F$1:$IV$1,1)-60+16)=0,NA(),INDEX(指数走势!$F$4:$IV$4,1,MATCH(TODAY(),指数走势!$F$1:$IV$1,1)-60+16)))</f>
        <v>3687.1681</v>
      </c>
      <c r="R4" s="2">
        <f ca="1">IF(ISERROR(INDEX(指数走势!$F$4:$IV$4,1,MATCH(TODAY(),指数走势!$F$1:$IV$1,1)-60+17)),NA(),IF(INDEX(指数走势!$F$4:$IV$4,1,MATCH(TODAY(),指数走势!$F$1:$IV$1,1)-60+17)=0,NA(),INDEX(指数走势!$F$4:$IV$4,1,MATCH(TODAY(),指数走势!$F$1:$IV$1,1)-60+17)))</f>
        <v>3677.1485</v>
      </c>
      <c r="S4" s="2">
        <f ca="1">IF(ISERROR(INDEX(指数走势!$F$4:$IV$4,1,MATCH(TODAY(),指数走势!$F$1:$IV$1,1)-60+18)),NA(),IF(INDEX(指数走势!$F$4:$IV$4,1,MATCH(TODAY(),指数走势!$F$1:$IV$1,1)-60+18)=0,NA(),INDEX(指数走势!$F$4:$IV$4,1,MATCH(TODAY(),指数走势!$F$1:$IV$1,1)-60+18)))</f>
        <v>3778.1595</v>
      </c>
      <c r="T4" s="2">
        <f ca="1">IF(ISERROR(INDEX(指数走势!$F$4:$IV$4,1,MATCH(TODAY(),指数走势!$F$1:$IV$1,1)-60+19)),NA(),IF(INDEX(指数走势!$F$4:$IV$4,1,MATCH(TODAY(),指数走势!$F$1:$IV$1,1)-60+19)=0,NA(),INDEX(指数走势!$F$4:$IV$4,1,MATCH(TODAY(),指数走势!$F$1:$IV$1,1)-60+19)))</f>
        <v>3833.0572</v>
      </c>
      <c r="U4" s="2">
        <f ca="1">IF(ISERROR(INDEX(指数走势!$F$4:$IV$4,1,MATCH(TODAY(),指数走势!$F$1:$IV$1,1)-60+20)),NA(),IF(INDEX(指数走势!$F$4:$IV$4,1,MATCH(TODAY(),指数走势!$F$1:$IV$1,1)-60+20)=0,NA(),INDEX(指数走势!$F$4:$IV$4,1,MATCH(TODAY(),指数走势!$F$1:$IV$1,1)-60+20)))</f>
        <v>3796.1283</v>
      </c>
      <c r="V4" s="2">
        <f ca="1">IF(ISERROR(INDEX(指数走势!$F$4:$IV$4,1,MATCH(TODAY(),指数走势!$F$1:$IV$1,1)-60+21)),NA(),IF(INDEX(指数走势!$F$4:$IV$4,1,MATCH(TODAY(),指数走势!$F$1:$IV$1,1)-60+21)=0,NA(),INDEX(指数走势!$F$4:$IV$4,1,MATCH(TODAY(),指数走势!$F$1:$IV$1,1)-60+21)))</f>
        <v>3928.9739</v>
      </c>
      <c r="W4" s="2">
        <f ca="1">IF(ISERROR(INDEX(指数走势!$F$4:$IV$4,1,MATCH(TODAY(),指数走势!$F$1:$IV$1,1)-60+22)),NA(),IF(INDEX(指数走势!$F$4:$IV$4,1,MATCH(TODAY(),指数走势!$F$1:$IV$1,1)-60+22)=0,NA(),INDEX(指数走势!$F$4:$IV$4,1,MATCH(TODAY(),指数走势!$F$1:$IV$1,1)-60+22)))</f>
        <v>3934.882</v>
      </c>
      <c r="X4" s="2">
        <f ca="1">IF(ISERROR(INDEX(指数走势!$F$4:$IV$4,1,MATCH(TODAY(),指数走势!$F$1:$IV$1,1)-60+23)),NA(),IF(INDEX(指数走势!$F$4:$IV$4,1,MATCH(TODAY(),指数走势!$F$1:$IV$1,1)-60+23)=0,NA(),INDEX(指数走势!$F$4:$IV$4,1,MATCH(TODAY(),指数走势!$F$1:$IV$1,1)-60+23)))</f>
        <v>4038.3327</v>
      </c>
      <c r="Y4" s="2">
        <f ca="1">IF(ISERROR(INDEX(指数走势!$F$4:$IV$4,1,MATCH(TODAY(),指数走势!$F$1:$IV$1,1)-60+24)),NA(),IF(INDEX(指数走势!$F$4:$IV$4,1,MATCH(TODAY(),指数走势!$F$1:$IV$1,1)-60+24)=0,NA(),INDEX(指数走势!$F$4:$IV$4,1,MATCH(TODAY(),指数走势!$F$1:$IV$1,1)-60+24)))</f>
        <v>3951.1404</v>
      </c>
      <c r="Z4" s="2">
        <f ca="1">IF(ISERROR(INDEX(指数走势!$F$4:$IV$4,1,MATCH(TODAY(),指数走势!$F$1:$IV$1,1)-60+25)),NA(),IF(INDEX(指数走势!$F$4:$IV$4,1,MATCH(TODAY(),指数走势!$F$1:$IV$1,1)-60+25)=0,NA(),INDEX(指数走势!$F$4:$IV$4,1,MATCH(TODAY(),指数走势!$F$1:$IV$1,1)-60+25)))</f>
        <v>3929.0642</v>
      </c>
      <c r="AA4" s="2">
        <f ca="1">IF(ISERROR(INDEX(指数走势!$F$4:$IV$4,1,MATCH(TODAY(),指数走势!$F$1:$IV$1,1)-60+26)),NA(),IF(INDEX(指数走势!$F$4:$IV$4,1,MATCH(TODAY(),指数走势!$F$1:$IV$1,1)-60+26)=0,NA(),INDEX(指数走势!$F$4:$IV$4,1,MATCH(TODAY(),指数走势!$F$1:$IV$1,1)-60+26)))</f>
        <v>3914.8753</v>
      </c>
      <c r="AB4" s="2">
        <f ca="1">IF(ISERROR(INDEX(指数走势!$F$4:$IV$4,1,MATCH(TODAY(),指数走势!$F$1:$IV$1,1)-60+27)),NA(),IF(INDEX(指数走势!$F$4:$IV$4,1,MATCH(TODAY(),指数走势!$F$1:$IV$1,1)-60+27)=0,NA(),INDEX(指数走势!$F$4:$IV$4,1,MATCH(TODAY(),指数走势!$F$1:$IV$1,1)-60+27)))</f>
        <v>3908.4374</v>
      </c>
      <c r="AC4" s="2">
        <f ca="1">IF(ISERROR(INDEX(指数走势!$F$4:$IV$4,1,MATCH(TODAY(),指数走势!$F$1:$IV$1,1)-60+28)),NA(),IF(INDEX(指数走势!$F$4:$IV$4,1,MATCH(TODAY(),指数走势!$F$1:$IV$1,1)-60+28)=0,NA(),INDEX(指数走势!$F$4:$IV$4,1,MATCH(TODAY(),指数走势!$F$1:$IV$1,1)-60+28)))</f>
        <v>3921.7894</v>
      </c>
      <c r="AD4" s="2">
        <f ca="1">IF(ISERROR(INDEX(指数走势!$F$4:$IV$4,1,MATCH(TODAY(),指数走势!$F$1:$IV$1,1)-60+29)),NA(),IF(INDEX(指数走势!$F$4:$IV$4,1,MATCH(TODAY(),指数走势!$F$1:$IV$1,1)-60+29)=0,NA(),INDEX(指数走势!$F$4:$IV$4,1,MATCH(TODAY(),指数走势!$F$1:$IV$1,1)-60+29)))</f>
        <v>3829.7786</v>
      </c>
      <c r="AE4" s="2">
        <f ca="1">IF(ISERROR(INDEX(指数走势!$F$4:$IV$4,1,MATCH(TODAY(),指数走势!$F$1:$IV$1,1)-60+30)),NA(),IF(INDEX(指数走势!$F$4:$IV$4,1,MATCH(TODAY(),指数走势!$F$1:$IV$1,1)-60+30)=0,NA(),INDEX(指数走势!$F$4:$IV$4,1,MATCH(TODAY(),指数走势!$F$1:$IV$1,1)-60+30)))</f>
        <v>3938.502</v>
      </c>
      <c r="AF4" s="2">
        <f ca="1">IF(ISERROR(INDEX(指数走势!$F$4:$IV$4,1,MATCH(TODAY(),指数走势!$F$1:$IV$1,1)-60+31)),NA(),IF(INDEX(指数走势!$F$4:$IV$4,1,MATCH(TODAY(),指数走势!$F$1:$IV$1,1)-60+31)=0,NA(),INDEX(指数走势!$F$4:$IV$4,1,MATCH(TODAY(),指数走势!$F$1:$IV$1,1)-60+31)))</f>
        <v>4021.1602</v>
      </c>
      <c r="AG4" s="2">
        <f ca="1">IF(ISERROR(INDEX(指数走势!$F$4:$IV$4,1,MATCH(TODAY(),指数走势!$F$1:$IV$1,1)-60+32)),NA(),IF(INDEX(指数走势!$F$4:$IV$4,1,MATCH(TODAY(),指数走势!$F$1:$IV$1,1)-60+32)=0,NA(),INDEX(指数走势!$F$4:$IV$4,1,MATCH(TODAY(),指数走势!$F$1:$IV$1,1)-60+32)))</f>
        <v>4043.0658</v>
      </c>
      <c r="AH4" s="2">
        <f ca="1">IF(ISERROR(INDEX(指数走势!$F$4:$IV$4,1,MATCH(TODAY(),指数走势!$F$1:$IV$1,1)-60+33)),NA(),IF(INDEX(指数走势!$F$4:$IV$4,1,MATCH(TODAY(),指数走势!$F$1:$IV$1,1)-60+33)=0,NA(),INDEX(指数走势!$F$4:$IV$4,1,MATCH(TODAY(),指数走势!$F$1:$IV$1,1)-60+33)))</f>
        <v>4045.7731</v>
      </c>
      <c r="AI4" s="2">
        <f ca="1">IF(ISERROR(INDEX(指数走势!$F$4:$IV$4,1,MATCH(TODAY(),指数走势!$F$1:$IV$1,1)-60+34)),NA(),IF(INDEX(指数走势!$F$4:$IV$4,1,MATCH(TODAY(),指数走势!$F$1:$IV$1,1)-60+34)=0,NA(),INDEX(指数走势!$F$4:$IV$4,1,MATCH(TODAY(),指数走势!$F$1:$IV$1,1)-60+34)))</f>
        <v>4125.0749</v>
      </c>
      <c r="AJ4" s="2">
        <f ca="1">IF(ISERROR(INDEX(指数走势!$F$4:$IV$4,1,MATCH(TODAY(),指数走势!$F$1:$IV$1,1)-60+35)),NA(),IF(INDEX(指数走势!$F$4:$IV$4,1,MATCH(TODAY(),指数走势!$F$1:$IV$1,1)-60+35)=0,NA(),INDEX(指数走势!$F$4:$IV$4,1,MATCH(TODAY(),指数走势!$F$1:$IV$1,1)-60+35)))</f>
        <v>4037.951</v>
      </c>
      <c r="AK4" s="2">
        <f ca="1">IF(ISERROR(INDEX(指数走势!$F$4:$IV$4,1,MATCH(TODAY(),指数走势!$F$1:$IV$1,1)-60+36)),NA(),IF(INDEX(指数走势!$F$4:$IV$4,1,MATCH(TODAY(),指数走势!$F$1:$IV$1,1)-60+36)=0,NA(),INDEX(指数走势!$F$4:$IV$4,1,MATCH(TODAY(),指数走势!$F$1:$IV$1,1)-60+36)))</f>
        <v>3950.9432</v>
      </c>
      <c r="AL4" s="2">
        <f ca="1">IF(ISERROR(INDEX(指数走势!$F$4:$IV$4,1,MATCH(TODAY(),指数走势!$F$1:$IV$1,1)-60+37)),NA(),IF(INDEX(指数走势!$F$4:$IV$4,1,MATCH(TODAY(),指数走势!$F$1:$IV$1,1)-60+37)=0,NA(),INDEX(指数走势!$F$4:$IV$4,1,MATCH(TODAY(),指数走势!$F$1:$IV$1,1)-60+37)))</f>
        <v>4055.8709</v>
      </c>
      <c r="AM4" s="2">
        <f ca="1">IF(ISERROR(INDEX(指数走势!$F$4:$IV$4,1,MATCH(TODAY(),指数走势!$F$1:$IV$1,1)-60+38)),NA(),IF(INDEX(指数走势!$F$4:$IV$4,1,MATCH(TODAY(),指数走势!$F$1:$IV$1,1)-60+38)=0,NA(),INDEX(指数走势!$F$4:$IV$4,1,MATCH(TODAY(),指数走势!$F$1:$IV$1,1)-60+38)))</f>
        <v>4122.987</v>
      </c>
      <c r="AN4" s="2">
        <f ca="1">IF(ISERROR(INDEX(指数走势!$F$4:$IV$4,1,MATCH(TODAY(),指数走势!$F$1:$IV$1,1)-60+39)),NA(),IF(INDEX(指数走势!$F$4:$IV$4,1,MATCH(TODAY(),指数走势!$F$1:$IV$1,1)-60+39)=0,NA(),INDEX(指数走势!$F$4:$IV$4,1,MATCH(TODAY(),指数走势!$F$1:$IV$1,1)-60+39)))</f>
        <v>4088.884</v>
      </c>
      <c r="AO4" s="2">
        <f ca="1">IF(ISERROR(INDEX(指数走势!$F$4:$IV$4,1,MATCH(TODAY(),指数走势!$F$1:$IV$1,1)-60+40)),NA(),IF(INDEX(指数走势!$F$4:$IV$4,1,MATCH(TODAY(),指数走势!$F$1:$IV$1,1)-60+40)=0,NA(),INDEX(指数走势!$F$4:$IV$4,1,MATCH(TODAY(),指数走势!$F$1:$IV$1,1)-60+40)))</f>
        <v>3957.935</v>
      </c>
      <c r="AP4" s="2">
        <f ca="1">IF(ISERROR(INDEX(指数走势!$F$4:$IV$4,1,MATCH(TODAY(),指数走势!$F$1:$IV$1,1)-60+41)),NA(),IF(INDEX(指数走势!$F$4:$IV$4,1,MATCH(TODAY(),指数走势!$F$1:$IV$1,1)-60+41)=0,NA(),INDEX(指数走势!$F$4:$IV$4,1,MATCH(TODAY(),指数走势!$F$1:$IV$1,1)-60+41)))</f>
        <v>3811.7854</v>
      </c>
      <c r="AQ4" s="2">
        <f ca="1">IF(ISERROR(INDEX(指数走势!$F$4:$IV$4,1,MATCH(TODAY(),指数走势!$F$1:$IV$1,1)-60+42)),NA(),IF(INDEX(指数走势!$F$4:$IV$4,1,MATCH(TODAY(),指数走势!$F$1:$IV$1,1)-60+42)=0,NA(),INDEX(指数走势!$F$4:$IV$4,1,MATCH(TODAY(),指数走势!$F$1:$IV$1,1)-60+42)))</f>
        <v>3961.7493</v>
      </c>
      <c r="AR4" s="2">
        <f ca="1">IF(ISERROR(INDEX(指数走势!$F$4:$IV$4,1,MATCH(TODAY(),指数走势!$F$1:$IV$1,1)-60+43)),NA(),IF(INDEX(指数走势!$F$4:$IV$4,1,MATCH(TODAY(),指数走势!$F$1:$IV$1,1)-60+43)=0,NA(),INDEX(指数走势!$F$4:$IV$4,1,MATCH(TODAY(),指数走势!$F$1:$IV$1,1)-60+43)))</f>
        <v>3854.7935</v>
      </c>
      <c r="AS4" s="2">
        <f ca="1">IF(ISERROR(INDEX(指数走势!$F$4:$IV$4,1,MATCH(TODAY(),指数走势!$F$1:$IV$1,1)-60+44)),NA(),IF(INDEX(指数走势!$F$4:$IV$4,1,MATCH(TODAY(),指数走势!$F$1:$IV$1,1)-60+44)=0,NA(),INDEX(指数走势!$F$4:$IV$4,1,MATCH(TODAY(),指数走势!$F$1:$IV$1,1)-60+44)))</f>
        <v>3811.246</v>
      </c>
      <c r="AT4" s="2">
        <f ca="1">IF(ISERROR(INDEX(指数走势!$F$4:$IV$4,1,MATCH(TODAY(),指数走势!$F$1:$IV$1,1)-60+45)),NA(),IF(INDEX(指数走势!$F$4:$IV$4,1,MATCH(TODAY(),指数走势!$F$1:$IV$1,1)-60+45)=0,NA(),INDEX(指数走势!$F$4:$IV$4,1,MATCH(TODAY(),指数走势!$F$1:$IV$1,1)-60+45)))</f>
        <v>3830.353</v>
      </c>
      <c r="AU4" s="2">
        <f ca="1">IF(ISERROR(INDEX(指数走势!$F$4:$IV$4,1,MATCH(TODAY(),指数走势!$F$1:$IV$1,1)-60+46)),NA(),IF(INDEX(指数走势!$F$4:$IV$4,1,MATCH(TODAY(),指数走势!$F$1:$IV$1,1)-60+46)=0,NA(),INDEX(指数走势!$F$4:$IV$4,1,MATCH(TODAY(),指数走势!$F$1:$IV$1,1)-60+46)))</f>
        <v>4033.5349</v>
      </c>
      <c r="AV4" s="2">
        <f ca="1">IF(ISERROR(INDEX(指数走势!$F$4:$IV$4,1,MATCH(TODAY(),指数走势!$F$1:$IV$1,1)-60+47)),NA(),IF(INDEX(指数走势!$F$4:$IV$4,1,MATCH(TODAY(),指数走势!$F$1:$IV$1,1)-60+47)=0,NA(),INDEX(指数走势!$F$4:$IV$4,1,MATCH(TODAY(),指数走势!$F$1:$IV$1,1)-60+47)))</f>
        <v>4102.9421</v>
      </c>
      <c r="AW4" s="2">
        <f ca="1">IF(ISERROR(INDEX(指数走势!$F$4:$IV$4,1,MATCH(TODAY(),指数走势!$F$1:$IV$1,1)-60+48)),NA(),IF(INDEX(指数走势!$F$4:$IV$4,1,MATCH(TODAY(),指数走势!$F$1:$IV$1,1)-60+48)=0,NA(),INDEX(指数走势!$F$4:$IV$4,1,MATCH(TODAY(),指数走势!$F$1:$IV$1,1)-60+48)))</f>
        <v>4167.0478</v>
      </c>
      <c r="AX4" s="2">
        <f ca="1">IF(ISERROR(INDEX(指数走势!$F$4:$IV$4,1,MATCH(TODAY(),指数走势!$F$1:$IV$1,1)-60+49)),NA(),IF(INDEX(指数走势!$F$4:$IV$4,1,MATCH(TODAY(),指数走势!$F$1:$IV$1,1)-60+49)=0,NA(),INDEX(指数走势!$F$4:$IV$4,1,MATCH(TODAY(),指数走势!$F$1:$IV$1,1)-60+49)))</f>
        <v>4252.3903</v>
      </c>
      <c r="AY4" s="2">
        <f ca="1">IF(ISERROR(INDEX(指数走势!$F$4:$IV$4,1,MATCH(TODAY(),指数走势!$F$1:$IV$1,1)-60+50)),NA(),IF(INDEX(指数走势!$F$4:$IV$4,1,MATCH(TODAY(),指数走势!$F$1:$IV$1,1)-60+50)=0,NA(),INDEX(指数走势!$F$4:$IV$4,1,MATCH(TODAY(),指数走势!$F$1:$IV$1,1)-60+50)))</f>
        <v>4359.392</v>
      </c>
      <c r="AZ4" s="2">
        <f ca="1">IF(ISERROR(INDEX(指数走势!$F$4:$IV$4,1,MATCH(TODAY(),指数走势!$F$1:$IV$1,1)-60+51)),NA(),IF(INDEX(指数走势!$F$4:$IV$4,1,MATCH(TODAY(),指数走势!$F$1:$IV$1,1)-60+51)=0,NA(),INDEX(指数走势!$F$4:$IV$4,1,MATCH(TODAY(),指数走势!$F$1:$IV$1,1)-60+51)))</f>
        <v>4192.1945</v>
      </c>
      <c r="BA4" s="2">
        <f ca="1">IF(ISERROR(INDEX(指数走势!$F$4:$IV$4,1,MATCH(TODAY(),指数走势!$F$1:$IV$1,1)-60+52)),NA(),IF(INDEX(指数走势!$F$4:$IV$4,1,MATCH(TODAY(),指数走势!$F$1:$IV$1,1)-60+52)=0,NA(),INDEX(指数走势!$F$4:$IV$4,1,MATCH(TODAY(),指数走势!$F$1:$IV$1,1)-60+52)))</f>
        <v>4251.4244</v>
      </c>
      <c r="BB4" s="2">
        <f ca="1">IF(ISERROR(INDEX(指数走势!$F$4:$IV$4,1,MATCH(TODAY(),指数走势!$F$1:$IV$1,1)-60+53)),NA(),IF(INDEX(指数走势!$F$4:$IV$4,1,MATCH(TODAY(),指数走势!$F$1:$IV$1,1)-60+53)=0,NA(),INDEX(指数走势!$F$4:$IV$4,1,MATCH(TODAY(),指数走势!$F$1:$IV$1,1)-60+53)))</f>
        <v>4371.9891</v>
      </c>
      <c r="BC4" s="2">
        <f ca="1">IF(ISERROR(INDEX(指数走势!$F$4:$IV$4,1,MATCH(TODAY(),指数走势!$F$1:$IV$1,1)-60+54)),NA(),IF(INDEX(指数走势!$F$4:$IV$4,1,MATCH(TODAY(),指数走势!$F$1:$IV$1,1)-60+54)=0,NA(),INDEX(指数走势!$F$4:$IV$4,1,MATCH(TODAY(),指数走势!$F$1:$IV$1,1)-60+54)))</f>
        <v>4194.2089</v>
      </c>
      <c r="BD4" s="2">
        <f ca="1">IF(ISERROR(INDEX(指数走势!$F$4:$IV$4,1,MATCH(TODAY(),指数走势!$F$1:$IV$1,1)-60+55)),NA(),IF(INDEX(指数走势!$F$4:$IV$4,1,MATCH(TODAY(),指数走势!$F$1:$IV$1,1)-60+55)=0,NA(),INDEX(指数走势!$F$4:$IV$4,1,MATCH(TODAY(),指数走势!$F$1:$IV$1,1)-60+55)))</f>
        <v>4216.6985</v>
      </c>
      <c r="BE4" s="2">
        <f ca="1">IF(ISERROR(INDEX(指数走势!$F$4:$IV$4,1,MATCH(TODAY(),指数走势!$F$1:$IV$1,1)-60+56)),NA(),IF(INDEX(指数走势!$F$4:$IV$4,1,MATCH(TODAY(),指数走势!$F$1:$IV$1,1)-60+56)=0,NA(),INDEX(指数走势!$F$4:$IV$4,1,MATCH(TODAY(),指数走势!$F$1:$IV$1,1)-60+56)))</f>
        <v>4342.7123</v>
      </c>
      <c r="BF4" s="2">
        <f ca="1">IF(ISERROR(INDEX(指数走势!$F$4:$IV$4,1,MATCH(TODAY(),指数走势!$F$1:$IV$1,1)-60+57)),NA(),IF(INDEX(指数走势!$F$4:$IV$4,1,MATCH(TODAY(),指数走势!$F$1:$IV$1,1)-60+57)=0,NA(),INDEX(指数走势!$F$4:$IV$4,1,MATCH(TODAY(),指数走势!$F$1:$IV$1,1)-60+57)))</f>
        <v>4260.7208</v>
      </c>
      <c r="BG4" s="2">
        <f ca="1">IF(ISERROR(INDEX(指数走势!$F$4:$IV$4,1,MATCH(TODAY(),指数走势!$F$1:$IV$1,1)-60+58)),NA(),IF(INDEX(指数走势!$F$4:$IV$4,1,MATCH(TODAY(),指数走势!$F$1:$IV$1,1)-60+58)=0,NA(),INDEX(指数走势!$F$4:$IV$4,1,MATCH(TODAY(),指数走势!$F$1:$IV$1,1)-60+58)))</f>
        <v>4017.2735</v>
      </c>
      <c r="BH4" s="2">
        <f ca="1">IF(ISERROR(INDEX(指数走势!$F$4:$IV$4,1,MATCH(TODAY(),指数走势!$F$1:$IV$1,1)-60+59)),NA(),IF(INDEX(指数走势!$F$4:$IV$4,1,MATCH(TODAY(),指数走势!$F$1:$IV$1,1)-60+59)=0,NA(),INDEX(指数走势!$F$4:$IV$4,1,MATCH(TODAY(),指数走势!$F$1:$IV$1,1)-60+59)))</f>
        <v>4019.9341</v>
      </c>
      <c r="BI4" t="e">
        <f ca="1">IF(ISERROR(INDEX(指数走势!$F$4:$IV$4,1,MATCH(TODAY(),指数走势!$F$1:$IV$1,1)-60+60)),NA(),IF(INDEX(指数走势!$F$4:$IV$4,1,MATCH(TODAY(),指数走势!$F$1:$IV$1,1)-60+60)=0,NA(),INDEX(指数走势!$F$4:$IV$4,1,MATCH(TODAY(),指数走势!$F$1:$IV$1,1)-60+60)))</f>
        <v>#N/A</v>
      </c>
    </row>
    <row r="5" ht="15" customHeight="1" spans="1:61">
      <c r="A5" s="1" t="s">
        <v>617</v>
      </c>
      <c r="B5">
        <f>IF(OR(ISERROR(INDEX(A股成交额换手率测试1!$I$8:$I$200,60)),ISERROR(INDEX(A股成交额换手率测试1!$L$8:$L$200,60))),NA(),IF(OR(INDEX(A股成交额换手率测试1!$I$8:$I$200,60)=0,INDEX(A股成交额换手率测试1!$L$8:$L$200,60)=0),NA(),INDEX(A股成交额换手率测试1!$I$8:$I$200,60)+INDEX(A股成交额换手率测试1!$L$8:$L$200,60)))</f>
        <v>2400.5389</v>
      </c>
      <c r="C5">
        <f>IF(OR(ISERROR(INDEX(A股成交额换手率测试1!$I$8:$I$200,59)),ISERROR(INDEX(A股成交额换手率测试1!$L$8:$L$200,59))),NA(),IF(OR(INDEX(A股成交额换手率测试1!$I$8:$I$200,59)=0,INDEX(A股成交额换手率测试1!$L$8:$L$200,59)=0),NA(),INDEX(A股成交额换手率测试1!$I$8:$I$200,59)+INDEX(A股成交额换手率测试1!$L$8:$L$200,59)))</f>
        <v>2291.8109</v>
      </c>
      <c r="D5">
        <f>IF(OR(ISERROR(INDEX(A股成交额换手率测试1!$I$8:$I$200,58)),ISERROR(INDEX(A股成交额换手率测试1!$L$8:$L$200,58))),NA(),IF(OR(INDEX(A股成交额换手率测试1!$I$8:$I$200,58)=0,INDEX(A股成交额换手率测试1!$L$8:$L$200,58)=0),NA(),INDEX(A股成交额换手率测试1!$I$8:$I$200,58)+INDEX(A股成交额换手率测试1!$L$8:$L$200,58)))</f>
        <v>2041.6255</v>
      </c>
      <c r="E5">
        <f>IF(OR(ISERROR(INDEX(A股成交额换手率测试1!$I$8:$I$200,57)),ISERROR(INDEX(A股成交额换手率测试1!$L$8:$L$200,57))),NA(),IF(OR(INDEX(A股成交额换手率测试1!$I$8:$I$200,57)=0,INDEX(A股成交额换手率测试1!$L$8:$L$200,57)=0),NA(),INDEX(A股成交额换手率测试1!$I$8:$I$200,57)+INDEX(A股成交额换手率测试1!$L$8:$L$200,57)))</f>
        <v>2932.7475</v>
      </c>
      <c r="F5">
        <f>IF(OR(ISERROR(INDEX(A股成交额换手率测试1!$I$8:$I$200,56)),ISERROR(INDEX(A股成交额换手率测试1!$L$8:$L$200,56))),NA(),IF(OR(INDEX(A股成交额换手率测试1!$I$8:$I$200,56)=0,INDEX(A股成交额换手率测试1!$L$8:$L$200,56)=0),NA(),INDEX(A股成交额换手率测试1!$I$8:$I$200,56)+INDEX(A股成交额换手率测试1!$L$8:$L$200,56)))</f>
        <v>2593.1826</v>
      </c>
      <c r="G5">
        <f>IF(OR(ISERROR(INDEX(A股成交额换手率测试1!$I$8:$I$200,55)),ISERROR(INDEX(A股成交额换手率测试1!$L$8:$L$200,55))),NA(),IF(OR(INDEX(A股成交额换手率测试1!$I$8:$I$200,55)=0,INDEX(A股成交额换手率测试1!$L$8:$L$200,55)=0),NA(),INDEX(A股成交额换手率测试1!$I$8:$I$200,55)+INDEX(A股成交额换手率测试1!$L$8:$L$200,55)))</f>
        <v>2807.7375</v>
      </c>
      <c r="H5">
        <f>IF(OR(ISERROR(INDEX(A股成交额换手率测试1!$I$8:$I$200,54)),ISERROR(INDEX(A股成交额换手率测试1!$L$8:$L$200,54))),NA(),IF(OR(INDEX(A股成交额换手率测试1!$I$8:$I$200,54)=0,INDEX(A股成交额换手率测试1!$L$8:$L$200,54)=0),NA(),INDEX(A股成交额换手率测试1!$I$8:$I$200,54)+INDEX(A股成交额换手率测试1!$L$8:$L$200,54)))</f>
        <v>2726.228</v>
      </c>
      <c r="I5">
        <f>IF(OR(ISERROR(INDEX(A股成交额换手率测试1!$I$8:$I$200,53)),ISERROR(INDEX(A股成交额换手率测试1!$L$8:$L$200,53))),NA(),IF(OR(INDEX(A股成交额换手率测试1!$I$8:$I$200,53)=0,INDEX(A股成交额换手率测试1!$L$8:$L$200,53)=0),NA(),INDEX(A股成交额换手率测试1!$I$8:$I$200,53)+INDEX(A股成交额换手率测试1!$L$8:$L$200,53)))</f>
        <v>2951.7908</v>
      </c>
      <c r="J5">
        <f>IF(OR(ISERROR(INDEX(A股成交额换手率测试1!$I$8:$I$200,52)),ISERROR(INDEX(A股成交额换手率测试1!$L$8:$L$200,52))),NA(),IF(OR(INDEX(A股成交额换手率测试1!$I$8:$I$200,52)=0,INDEX(A股成交额换手率测试1!$L$8:$L$200,52)=0),NA(),INDEX(A股成交额换手率测试1!$I$8:$I$200,52)+INDEX(A股成交额换手率测试1!$L$8:$L$200,52)))</f>
        <v>2976.637</v>
      </c>
      <c r="K5">
        <f>IF(OR(ISERROR(INDEX(A股成交额换手率测试1!$I$8:$I$200,51)),ISERROR(INDEX(A股成交额换手率测试1!$L$8:$L$200,51))),NA(),IF(OR(INDEX(A股成交额换手率测试1!$I$8:$I$200,51)=0,INDEX(A股成交额换手率测试1!$L$8:$L$200,51)=0),NA(),INDEX(A股成交额换手率测试1!$I$8:$I$200,51)+INDEX(A股成交额换手率测试1!$L$8:$L$200,51)))</f>
        <v>2925.0049</v>
      </c>
      <c r="L5">
        <f>IF(OR(ISERROR(INDEX(A股成交额换手率测试1!$I$8:$I$200,50)),ISERROR(INDEX(A股成交额换手率测试1!$L$8:$L$200,50))),NA(),IF(OR(INDEX(A股成交额换手率测试1!$I$8:$I$200,50)=0,INDEX(A股成交额换手率测试1!$L$8:$L$200,50)=0),NA(),INDEX(A股成交额换手率测试1!$I$8:$I$200,50)+INDEX(A股成交额换手率测试1!$L$8:$L$200,50)))</f>
        <v>2980.6398</v>
      </c>
      <c r="M5">
        <f>IF(OR(ISERROR(INDEX(A股成交额换手率测试1!$I$8:$I$200,49)),ISERROR(INDEX(A股成交额换手率测试1!$L$8:$L$200,49))),NA(),IF(OR(INDEX(A股成交额换手率测试1!$I$8:$I$200,49)=0,INDEX(A股成交额换手率测试1!$L$8:$L$200,49)=0),NA(),INDEX(A股成交额换手率测试1!$I$8:$I$200,49)+INDEX(A股成交额换手率测试1!$L$8:$L$200,49)))</f>
        <v>3106.3279</v>
      </c>
      <c r="N5">
        <f>IF(OR(ISERROR(INDEX(A股成交额换手率测试1!$I$8:$I$200,48)),ISERROR(INDEX(A股成交额换手率测试1!$L$8:$L$200,48))),NA(),IF(OR(INDEX(A股成交额换手率测试1!$I$8:$I$200,48)=0,INDEX(A股成交额换手率测试1!$L$8:$L$200,48)=0),NA(),INDEX(A股成交额换手率测试1!$I$8:$I$200,48)+INDEX(A股成交额换手率测试1!$L$8:$L$200,48)))</f>
        <v>3010.4298</v>
      </c>
      <c r="O5">
        <f>IF(OR(ISERROR(INDEX(A股成交额换手率测试1!$I$8:$I$200,47)),ISERROR(INDEX(A股成交额换手率测试1!$L$8:$L$200,47))),NA(),IF(OR(INDEX(A股成交额换手率测试1!$I$8:$I$200,47)=0,INDEX(A股成交额换手率测试1!$L$8:$L$200,47)=0),NA(),INDEX(A股成交额换手率测试1!$I$8:$I$200,47)+INDEX(A股成交额换手率测试1!$L$8:$L$200,47)))</f>
        <v>3064.0491</v>
      </c>
      <c r="P5">
        <f>IF(OR(ISERROR(INDEX(A股成交额换手率测试1!$I$8:$I$200,46)),ISERROR(INDEX(A股成交额换手率测试1!$L$8:$L$200,46))),NA(),IF(OR(INDEX(A股成交额换手率测试1!$I$8:$I$200,46)=0,INDEX(A股成交额换手率测试1!$L$8:$L$200,46)=0),NA(),INDEX(A股成交额换手率测试1!$I$8:$I$200,46)+INDEX(A股成交额换手率测试1!$L$8:$L$200,46)))</f>
        <v>3530.9526</v>
      </c>
      <c r="Q5">
        <f>IF(OR(ISERROR(INDEX(A股成交额换手率测试1!$I$8:$I$200,45)),ISERROR(INDEX(A股成交额换手率测试1!$L$8:$L$200,45))),NA(),IF(OR(INDEX(A股成交额换手率测试1!$I$8:$I$200,45)=0,INDEX(A股成交额换手率测试1!$L$8:$L$200,45)=0),NA(),INDEX(A股成交额换手率测试1!$I$8:$I$200,45)+INDEX(A股成交额换手率测试1!$L$8:$L$200,45)))</f>
        <v>3428.9048</v>
      </c>
      <c r="R5">
        <f>IF(OR(ISERROR(INDEX(A股成交额换手率测试1!$I$8:$I$200,44)),ISERROR(INDEX(A股成交额换手率测试1!$L$8:$L$200,44))),NA(),IF(OR(INDEX(A股成交额换手率测试1!$I$8:$I$200,44)=0,INDEX(A股成交额换手率测试1!$L$8:$L$200,44)=0),NA(),INDEX(A股成交额换手率测试1!$I$8:$I$200,44)+INDEX(A股成交额换手率测试1!$L$8:$L$200,44)))</f>
        <v>3224.7772</v>
      </c>
      <c r="S5">
        <f>IF(OR(ISERROR(INDEX(A股成交额换手率测试1!$I$8:$I$200,43)),ISERROR(INDEX(A股成交额换手率测试1!$L$8:$L$200,43))),NA(),IF(OR(INDEX(A股成交额换手率测试1!$I$8:$I$200,43)=0,INDEX(A股成交额换手率测试1!$L$8:$L$200,43)=0),NA(),INDEX(A股成交额换手率测试1!$I$8:$I$200,43)+INDEX(A股成交额换手率测试1!$L$8:$L$200,43)))</f>
        <v>3333.114</v>
      </c>
      <c r="T5">
        <f>IF(OR(ISERROR(INDEX(A股成交额换手率测试1!$I$8:$I$200,42)),ISERROR(INDEX(A股成交额换手率测试1!$L$8:$L$200,42))),NA(),IF(OR(INDEX(A股成交额换手率测试1!$I$8:$I$200,42)=0,INDEX(A股成交额换手率测试1!$L$8:$L$200,42)=0),NA(),INDEX(A股成交额换手率测试1!$I$8:$I$200,42)+INDEX(A股成交额换手率测试1!$L$8:$L$200,42)))</f>
        <v>3412.4151</v>
      </c>
      <c r="U5">
        <f>IF(OR(ISERROR(INDEX(A股成交额换手率测试1!$I$8:$I$200,41)),ISERROR(INDEX(A股成交额换手率测试1!$L$8:$L$200,41))),NA(),IF(OR(INDEX(A股成交额换手率测试1!$I$8:$I$200,41)=0,INDEX(A股成交额换手率测试1!$L$8:$L$200,41)=0),NA(),INDEX(A股成交额换手率测试1!$I$8:$I$200,41)+INDEX(A股成交额换手率测试1!$L$8:$L$200,41)))</f>
        <v>3506.8249</v>
      </c>
      <c r="V5">
        <f>IF(OR(ISERROR(INDEX(A股成交额换手率测试1!$I$8:$I$200,40)),ISERROR(INDEX(A股成交额换手率测试1!$L$8:$L$200,40))),NA(),IF(OR(INDEX(A股成交额换手率测试1!$I$8:$I$200,40)=0,INDEX(A股成交额换手率测试1!$L$8:$L$200,40)=0),NA(),INDEX(A股成交额换手率测试1!$I$8:$I$200,40)+INDEX(A股成交额换手率测试1!$L$8:$L$200,40)))</f>
        <v>4142.4456</v>
      </c>
      <c r="W5">
        <f>IF(OR(ISERROR(INDEX(A股成交额换手率测试1!$I$8:$I$200,39)),ISERROR(INDEX(A股成交额换手率测试1!$L$8:$L$200,39))),NA(),IF(OR(INDEX(A股成交额换手率测试1!$I$8:$I$200,39)=0,INDEX(A股成交额换手率测试1!$L$8:$L$200,39)=0),NA(),INDEX(A股成交额换手率测试1!$I$8:$I$200,39)+INDEX(A股成交额换手率测试1!$L$8:$L$200,39)))</f>
        <v>3923.0332</v>
      </c>
      <c r="X5">
        <f>IF(OR(ISERROR(INDEX(A股成交额换手率测试1!$I$8:$I$200,38)),ISERROR(INDEX(A股成交额换手率测试1!$L$8:$L$200,38))),NA(),IF(OR(INDEX(A股成交额换手率测试1!$I$8:$I$200,38)=0,INDEX(A股成交额换手率测试1!$L$8:$L$200,38)=0),NA(),INDEX(A股成交额换手率测试1!$I$8:$I$200,38)+INDEX(A股成交额换手率测试1!$L$8:$L$200,38)))</f>
        <v>3570.4196</v>
      </c>
      <c r="Y5">
        <f>IF(OR(ISERROR(INDEX(A股成交额换手率测试1!$I$8:$I$200,37)),ISERROR(INDEX(A股成交额换手率测试1!$L$8:$L$200,37))),NA(),IF(OR(INDEX(A股成交额换手率测试1!$I$8:$I$200,37)=0,INDEX(A股成交额换手率测试1!$L$8:$L$200,37)=0),NA(),INDEX(A股成交额换手率测试1!$I$8:$I$200,37)+INDEX(A股成交额换手率测试1!$L$8:$L$200,37)))</f>
        <v>4239.9449</v>
      </c>
      <c r="Z5">
        <f>IF(OR(ISERROR(INDEX(A股成交额换手率测试1!$I$8:$I$200,36)),ISERROR(INDEX(A股成交额换手率测试1!$L$8:$L$200,36))),NA(),IF(OR(INDEX(A股成交额换手率测试1!$I$8:$I$200,36)=0,INDEX(A股成交额换手率测试1!$L$8:$L$200,36)=0),NA(),INDEX(A股成交额换手率测试1!$I$8:$I$200,36)+INDEX(A股成交额换手率测试1!$L$8:$L$200,36)))</f>
        <v>4055.4348</v>
      </c>
      <c r="AA5">
        <f>IF(OR(ISERROR(INDEX(A股成交额换手率测试1!$I$8:$I$200,35)),ISERROR(INDEX(A股成交额换手率测试1!$L$8:$L$200,35))),NA(),IF(OR(INDEX(A股成交额换手率测试1!$I$8:$I$200,35)=0,INDEX(A股成交额换手率测试1!$L$8:$L$200,35)=0),NA(),INDEX(A股成交额换手率测试1!$I$8:$I$200,35)+INDEX(A股成交额换手率测试1!$L$8:$L$200,35)))</f>
        <v>3932.6101</v>
      </c>
      <c r="AB5">
        <f>IF(OR(ISERROR(INDEX(A股成交额换手率测试1!$I$8:$I$200,34)),ISERROR(INDEX(A股成交额换手率测试1!$L$8:$L$200,34))),NA(),IF(OR(INDEX(A股成交额换手率测试1!$I$8:$I$200,34)=0,INDEX(A股成交额换手率测试1!$L$8:$L$200,34)=0),NA(),INDEX(A股成交额换手率测试1!$I$8:$I$200,34)+INDEX(A股成交额换手率测试1!$L$8:$L$200,34)))</f>
        <v>4134.2726</v>
      </c>
      <c r="AC5">
        <f>IF(OR(ISERROR(INDEX(A股成交额换手率测试1!$I$8:$I$200,33)),ISERROR(INDEX(A股成交额换手率测试1!$L$8:$L$200,33))),NA(),IF(OR(INDEX(A股成交额换手率测试1!$I$8:$I$200,33)=0,INDEX(A股成交额换手率测试1!$L$8:$L$200,33)=0),NA(),INDEX(A股成交额换手率测试1!$I$8:$I$200,33)+INDEX(A股成交额换手率测试1!$L$8:$L$200,33)))</f>
        <v>4353.3885</v>
      </c>
      <c r="AD5">
        <f>IF(OR(ISERROR(INDEX(A股成交额换手率测试1!$I$8:$I$200,32)),ISERROR(INDEX(A股成交额换手率测试1!$L$8:$L$200,32))),NA(),IF(OR(INDEX(A股成交额换手率测试1!$I$8:$I$200,32)=0,INDEX(A股成交额换手率测试1!$L$8:$L$200,32)=0),NA(),INDEX(A股成交额换手率测试1!$I$8:$I$200,32)+INDEX(A股成交额换手率测试1!$L$8:$L$200,32)))</f>
        <v>3803.7072</v>
      </c>
      <c r="AE5">
        <f>IF(OR(ISERROR(INDEX(A股成交额换手率测试1!$I$8:$I$200,31)),ISERROR(INDEX(A股成交额换手率测试1!$L$8:$L$200,31))),NA(),IF(OR(INDEX(A股成交额换手率测试1!$I$8:$I$200,31)=0,INDEX(A股成交额换手率测试1!$L$8:$L$200,31)=0),NA(),INDEX(A股成交额换手率测试1!$I$8:$I$200,31)+INDEX(A股成交额换手率测试1!$L$8:$L$200,31)))</f>
        <v>3586.8144</v>
      </c>
      <c r="AF5">
        <f>IF(OR(ISERROR(INDEX(A股成交额换手率测试1!$I$8:$I$200,30)),ISERROR(INDEX(A股成交额换手率测试1!$L$8:$L$200,30))),NA(),IF(OR(INDEX(A股成交额换手率测试1!$I$8:$I$200,30)=0,INDEX(A股成交额换手率测试1!$L$8:$L$200,30)=0),NA(),INDEX(A股成交额换手率测试1!$I$8:$I$200,30)+INDEX(A股成交额换手率测试1!$L$8:$L$200,30)))</f>
        <v>3532.1456</v>
      </c>
      <c r="AG5">
        <f>IF(OR(ISERROR(INDEX(A股成交额换手率测试1!$I$8:$I$200,29)),ISERROR(INDEX(A股成交额换手率测试1!$L$8:$L$200,29))),NA(),IF(OR(INDEX(A股成交额换手率测试1!$I$8:$I$200,29)=0,INDEX(A股成交额换手率测试1!$L$8:$L$200,29)=0),NA(),INDEX(A股成交额换手率测试1!$I$8:$I$200,29)+INDEX(A股成交额换手率测试1!$L$8:$L$200,29)))</f>
        <v>4004.8581</v>
      </c>
      <c r="AH5">
        <f>IF(OR(ISERROR(INDEX(A股成交额换手率测试1!$I$8:$I$200,28)),ISERROR(INDEX(A股成交额换手率测试1!$L$8:$L$200,28))),NA(),IF(OR(INDEX(A股成交额换手率测试1!$I$8:$I$200,28)=0,INDEX(A股成交额换手率测试1!$L$8:$L$200,28)=0),NA(),INDEX(A股成交额换手率测试1!$I$8:$I$200,28)+INDEX(A股成交额换手率测试1!$L$8:$L$200,28)))</f>
        <v>3325.7701</v>
      </c>
      <c r="AI5">
        <f>IF(OR(ISERROR(INDEX(A股成交额换手率测试1!$I$8:$I$200,27)),ISERROR(INDEX(A股成交额换手率测试1!$L$8:$L$200,27))),NA(),IF(OR(INDEX(A股成交额换手率测试1!$I$8:$I$200,27)=0,INDEX(A股成交额换手率测试1!$L$8:$L$200,27)=0),NA(),INDEX(A股成交额换手率测试1!$I$8:$I$200,27)+INDEX(A股成交额换手率测试1!$L$8:$L$200,27)))</f>
        <v>3946.6541</v>
      </c>
      <c r="AJ5">
        <f>IF(OR(ISERROR(INDEX(A股成交额换手率测试1!$I$8:$I$200,26)),ISERROR(INDEX(A股成交额换手率测试1!$L$8:$L$200,26))),NA(),IF(OR(INDEX(A股成交额换手率测试1!$I$8:$I$200,26)=0,INDEX(A股成交额换手率测试1!$L$8:$L$200,26)=0),NA(),INDEX(A股成交额换手率测试1!$I$8:$I$200,26)+INDEX(A股成交额换手率测试1!$L$8:$L$200,26)))</f>
        <v>4074.7268</v>
      </c>
      <c r="AK5">
        <f>IF(OR(ISERROR(INDEX(A股成交额换手率测试1!$I$8:$I$200,25)),ISERROR(INDEX(A股成交额换手率测试1!$L$8:$L$200,25))),NA(),IF(OR(INDEX(A股成交额换手率测试1!$I$8:$I$200,25)=0,INDEX(A股成交额换手率测试1!$L$8:$L$200,25)=0),NA(),INDEX(A股成交额换手率测试1!$I$8:$I$200,25)+INDEX(A股成交额换手率测试1!$L$8:$L$200,25)))</f>
        <v>3835.009</v>
      </c>
      <c r="AL5">
        <f>IF(OR(ISERROR(INDEX(A股成交额换手率测试1!$I$8:$I$200,24)),ISERROR(INDEX(A股成交额换手率测试1!$L$8:$L$200,24))),NA(),IF(OR(INDEX(A股成交额换手率测试1!$I$8:$I$200,24)=0,INDEX(A股成交额换手率测试1!$L$8:$L$200,24)=0),NA(),INDEX(A股成交额换手率测试1!$I$8:$I$200,24)+INDEX(A股成交额换手率测试1!$L$8:$L$200,24)))</f>
        <v>4734.0549</v>
      </c>
      <c r="AM5">
        <f>IF(OR(ISERROR(INDEX(A股成交额换手率测试1!$I$8:$I$200,23)),ISERROR(INDEX(A股成交额换手率测试1!$L$8:$L$200,23))),NA(),IF(OR(INDEX(A股成交额换手率测试1!$I$8:$I$200,23)=0,INDEX(A股成交额换手率测试1!$L$8:$L$200,23)=0),NA(),INDEX(A股成交额换手率测试1!$I$8:$I$200,23)+INDEX(A股成交额换手率测试1!$L$8:$L$200,23)))</f>
        <v>4074.1027</v>
      </c>
      <c r="AN5">
        <f>IF(OR(ISERROR(INDEX(A股成交额换手率测试1!$I$8:$I$200,22)),ISERROR(INDEX(A股成交额换手率测试1!$L$8:$L$200,22))),NA(),IF(OR(INDEX(A股成交额换手率测试1!$I$8:$I$200,22)=0,INDEX(A股成交额换手率测试1!$L$8:$L$200,22)=0),NA(),INDEX(A股成交额换手率测试1!$I$8:$I$200,22)+INDEX(A股成交额换手率测试1!$L$8:$L$200,22)))</f>
        <v>3761.5433</v>
      </c>
      <c r="AO5">
        <f>IF(OR(ISERROR(INDEX(A股成交额换手率测试1!$I$8:$I$200,21)),ISERROR(INDEX(A股成交额换手率测试1!$L$8:$L$200,21))),NA(),IF(OR(INDEX(A股成交额换手率测试1!$I$8:$I$200,21)=0,INDEX(A股成交额换手率测试1!$L$8:$L$200,21)=0),NA(),INDEX(A股成交额换手率测试1!$I$8:$I$200,21)+INDEX(A股成交额换手率测试1!$L$8:$L$200,21)))</f>
        <v>4147.4772</v>
      </c>
      <c r="AP5">
        <f>IF(OR(ISERROR(INDEX(A股成交额换手率测试1!$I$8:$I$200,20)),ISERROR(INDEX(A股成交额换手率测试1!$L$8:$L$200,20))),NA(),IF(OR(INDEX(A股成交额换手率测试1!$I$8:$I$200,20)=0,INDEX(A股成交额换手率测试1!$L$8:$L$200,20)=0),NA(),INDEX(A股成交额换手率测试1!$I$8:$I$200,20)+INDEX(A股成交额换手率测试1!$L$8:$L$200,20)))</f>
        <v>3651.6883</v>
      </c>
      <c r="AQ5">
        <f>IF(OR(ISERROR(INDEX(A股成交额换手率测试1!$I$8:$I$200,19)),ISERROR(INDEX(A股成交额换手率测试1!$L$8:$L$200,19))),NA(),IF(OR(INDEX(A股成交额换手率测试1!$I$8:$I$200,19)=0,INDEX(A股成交额换手率测试1!$L$8:$L$200,19)=0),NA(),INDEX(A股成交额换手率测试1!$I$8:$I$200,19)+INDEX(A股成交额换手率测试1!$L$8:$L$200,19)))</f>
        <v>4047.7071</v>
      </c>
      <c r="AR5">
        <f>IF(OR(ISERROR(INDEX(A股成交额换手率测试1!$I$8:$I$200,18)),ISERROR(INDEX(A股成交额换手率测试1!$L$8:$L$200,18))),NA(),IF(OR(INDEX(A股成交额换手率测试1!$I$8:$I$200,18)=0,INDEX(A股成交额换手率测试1!$L$8:$L$200,18)=0),NA(),INDEX(A股成交额换手率测试1!$I$8:$I$200,18)+INDEX(A股成交额换手率测试1!$L$8:$L$200,18)))</f>
        <v>3700.652</v>
      </c>
      <c r="AS5">
        <f>IF(OR(ISERROR(INDEX(A股成交额换手率测试1!$I$8:$I$200,17)),ISERROR(INDEX(A股成交额换手率测试1!$L$8:$L$200,17))),NA(),IF(OR(INDEX(A股成交额换手率测试1!$I$8:$I$200,17)=0,INDEX(A股成交额换手率测试1!$L$8:$L$200,17)=0),NA(),INDEX(A股成交额换手率测试1!$I$8:$I$200,17)+INDEX(A股成交额换手率测试1!$L$8:$L$200,17)))</f>
        <v>3609.3293</v>
      </c>
      <c r="AT5">
        <f>IF(OR(ISERROR(INDEX(A股成交额换手率测试1!$I$8:$I$200,16)),ISERROR(INDEX(A股成交额换手率测试1!$L$8:$L$200,16))),NA(),IF(OR(INDEX(A股成交额换手率测试1!$I$8:$I$200,16)=0,INDEX(A股成交额换手率测试1!$L$8:$L$200,16)=0),NA(),INDEX(A股成交额换手率测试1!$I$8:$I$200,16)+INDEX(A股成交额换手率测试1!$L$8:$L$200,16)))</f>
        <v>3498.7201</v>
      </c>
      <c r="AU5">
        <f>IF(OR(ISERROR(INDEX(A股成交额换手率测试1!$I$8:$I$200,15)),ISERROR(INDEX(A股成交额换手率测试1!$L$8:$L$200,15))),NA(),IF(OR(INDEX(A股成交额换手率测试1!$I$8:$I$200,15)=0,INDEX(A股成交额换手率测试1!$L$8:$L$200,15)=0),NA(),INDEX(A股成交额换手率测试1!$I$8:$I$200,15)+INDEX(A股成交额换手率测试1!$L$8:$L$200,15)))</f>
        <v>3393.2125</v>
      </c>
      <c r="AV5">
        <f>IF(OR(ISERROR(INDEX(A股成交额换手率测试1!$I$8:$I$200,14)),ISERROR(INDEX(A股成交额换手率测试1!$L$8:$L$200,14))),NA(),IF(OR(INDEX(A股成交额换手率测试1!$I$8:$I$200,14)=0,INDEX(A股成交额换手率测试1!$L$8:$L$200,14)=0),NA(),INDEX(A股成交额换手率测试1!$I$8:$I$200,14)+INDEX(A股成交额换手率测试1!$L$8:$L$200,14)))</f>
        <v>4910.2771</v>
      </c>
      <c r="AW5">
        <f>IF(OR(ISERROR(INDEX(A股成交额换手率测试1!$I$8:$I$200,13)),ISERROR(INDEX(A股成交额换手率测试1!$L$8:$L$200,13))),NA(),IF(OR(INDEX(A股成交额换手率测试1!$I$8:$I$200,13)=0,INDEX(A股成交额换手率测试1!$L$8:$L$200,13)=0),NA(),INDEX(A股成交额换手率测试1!$I$8:$I$200,13)+INDEX(A股成交额换手率测试1!$L$8:$L$200,13)))</f>
        <v>4097.2304</v>
      </c>
      <c r="AX5">
        <f>IF(OR(ISERROR(INDEX(A股成交额换手率测试1!$I$8:$I$200,12)),ISERROR(INDEX(A股成交额换手率测试1!$L$8:$L$200,12))),NA(),IF(OR(INDEX(A股成交额换手率测试1!$I$8:$I$200,12)=0,INDEX(A股成交额换手率测试1!$L$8:$L$200,12)=0),NA(),INDEX(A股成交额换手率测试1!$I$8:$I$200,12)+INDEX(A股成交额换手率测试1!$L$8:$L$200,12)))</f>
        <v>3829.9025</v>
      </c>
      <c r="AY5">
        <f>IF(OR(ISERROR(INDEX(A股成交额换手率测试1!$I$8:$I$200,11)),ISERROR(INDEX(A股成交额换手率测试1!$L$8:$L$200,11))),NA(),IF(OR(INDEX(A股成交额换手率测试1!$I$8:$I$200,11)=0,INDEX(A股成交额换手率测试1!$L$8:$L$200,11)=0),NA(),INDEX(A股成交额换手率测试1!$I$8:$I$200,11)+INDEX(A股成交额换手率测试1!$L$8:$L$200,11)))</f>
        <v>3850.5584</v>
      </c>
      <c r="AZ5">
        <f>IF(OR(ISERROR(INDEX(A股成交额换手率测试1!$I$8:$I$200,10)),ISERROR(INDEX(A股成交额换手率测试1!$L$8:$L$200,10))),NA(),IF(OR(INDEX(A股成交额换手率测试1!$I$8:$I$200,10)=0,INDEX(A股成交额换手率测试1!$L$8:$L$200,10)=0),NA(),INDEX(A股成交额换手率测试1!$I$8:$I$200,10)+INDEX(A股成交额换手率测试1!$L$8:$L$200,10)))</f>
        <v>4293.4356</v>
      </c>
      <c r="BA5">
        <f>IF(OR(ISERROR(INDEX(A股成交额换手率测试1!$I$8:$I$200,9)),ISERROR(INDEX(A股成交额换手率测试1!$L$8:$L$200,9))),NA(),IF(OR(INDEX(A股成交额换手率测试1!$I$8:$I$200,9)=0,INDEX(A股成交额换手率测试1!$L$8:$L$200,9)=0),NA(),INDEX(A股成交额换手率测试1!$I$8:$I$200,9)+INDEX(A股成交额换手率测试1!$L$8:$L$200,9)))</f>
        <v>4821.7741</v>
      </c>
      <c r="BB5">
        <f>IF(OR(ISERROR(INDEX(A股成交额换手率测试1!$I$8:$I$200,8)),ISERROR(INDEX(A股成交额换手率测试1!$L$8:$L$200,8))),NA(),IF(OR(INDEX(A股成交额换手率测试1!$I$8:$I$200,8)=0,INDEX(A股成交额换手率测试1!$L$8:$L$200,8)=0),NA(),INDEX(A股成交额换手率测试1!$I$8:$I$200,8)+INDEX(A股成交额换手率测试1!$L$8:$L$200,8)))</f>
        <v>4439.7157</v>
      </c>
      <c r="BC5">
        <f>IF(OR(ISERROR(INDEX(A股成交额换手率测试1!$I$8:$I$200,7)),ISERROR(INDEX(A股成交额换手率测试1!$L$8:$L$200,7))),NA(),IF(OR(INDEX(A股成交额换手率测试1!$I$8:$I$200,7)=0,INDEX(A股成交额换手率测试1!$L$8:$L$200,7)=0),NA(),INDEX(A股成交额换手率测试1!$I$8:$I$200,7)+INDEX(A股成交额换手率测试1!$L$8:$L$200,7)))</f>
        <v>4243.5582</v>
      </c>
      <c r="BD5">
        <f>IF(OR(ISERROR(INDEX(A股成交额换手率测试1!$I$8:$I$200,6)),ISERROR(INDEX(A股成交额换手率测试1!$L$8:$L$200,6))),NA(),IF(OR(INDEX(A股成交额换手率测试1!$I$8:$I$200,6)=0,INDEX(A股成交额换手率测试1!$L$8:$L$200,6)=0),NA(),INDEX(A股成交额换手率测试1!$I$8:$I$200,6)+INDEX(A股成交额换手率测试1!$L$8:$L$200,6)))</f>
        <v>4238.5796</v>
      </c>
      <c r="BE5">
        <f>IF(OR(ISERROR(INDEX(A股成交额换手率测试1!$I$8:$I$200,5)),ISERROR(INDEX(A股成交额换手率测试1!$L$8:$L$200,5))),NA(),IF(OR(INDEX(A股成交额换手率测试1!$I$8:$I$200,5)=0,INDEX(A股成交额换手率测试1!$L$8:$L$200,5)=0),NA(),INDEX(A股成交额换手率测试1!$I$8:$I$200,5)+INDEX(A股成交额换手率测试1!$L$8:$L$200,5)))</f>
        <v>4131.4063</v>
      </c>
      <c r="BF5">
        <f>IF(OR(ISERROR(INDEX(A股成交额换手率测试1!$I$8:$I$200,4)),ISERROR(INDEX(A股成交额换手率测试1!$L$8:$L$200,4))),NA(),IF(OR(INDEX(A股成交额换手率测试1!$I$8:$I$200,4)=0,INDEX(A股成交额换手率测试1!$L$8:$L$200,4)=0),NA(),INDEX(A股成交额换手率测试1!$I$8:$I$200,4)+INDEX(A股成交额换手率测试1!$L$8:$L$200,4)))</f>
        <v>4267.222</v>
      </c>
      <c r="BG5">
        <f>IF(OR(ISERROR(INDEX(A股成交额换手率测试1!$I$8:$I$200,3)),ISERROR(INDEX(A股成交额换手率测试1!$L$8:$L$200,3))),NA(),IF(OR(INDEX(A股成交额换手率测试1!$I$8:$I$200,3)=0,INDEX(A股成交额换手率测试1!$L$8:$L$200,3)=0),NA(),INDEX(A股成交额换手率测试1!$I$8:$I$200,3)+INDEX(A股成交额换手率测试1!$L$8:$L$200,3)))</f>
        <v>3644.5241</v>
      </c>
      <c r="BH5">
        <f>IF(OR(ISERROR(INDEX(A股成交额换手率测试1!$I$8:$I$200,2)),ISERROR(INDEX(A股成交额换手率测试1!$L$8:$L$200,2))),NA(),IF(OR(INDEX(A股成交额换手率测试1!$I$8:$I$200,2)=0,INDEX(A股成交额换手率测试1!$L$8:$L$200,2)=0),NA(),INDEX(A股成交额换手率测试1!$I$8:$I$200,2)+INDEX(A股成交额换手率测试1!$L$8:$L$200,2)))</f>
        <v>4240.1805</v>
      </c>
      <c r="BI5">
        <f>IF(OR(ISERROR(INDEX(A股成交额换手率测试1!$I$8:$I$200,1)),ISERROR(INDEX(A股成交额换手率测试1!$L$8:$L$200,1))),NA(),IF(OR(INDEX(A股成交额换手率测试1!$I$8:$I$200,1)=0,INDEX(A股成交额换手率测试1!$L$8:$L$200,1)=0),NA(),INDEX(A股成交额换手率测试1!$I$8:$I$200,1)+INDEX(A股成交额换手率测试1!$L$8:$L$200,1)))</f>
        <v>3915.1525</v>
      </c>
    </row>
    <row r="6" ht="16.5" customHeight="1" spans="1:61">
      <c r="A6" t="s">
        <v>21</v>
      </c>
      <c r="B6" s="3">
        <f>IF(ISERROR(INDEX(A股成交额换手率测试1!$B$9:$B$200,60)),NA(),IF(INDEX(A股成交额换手率测试1!$B$9:$B$200,60)=0,NA(),INDEX(A股成交额换手率测试1!$B$9:$B$200,60)))</f>
        <v>16235.81024468</v>
      </c>
      <c r="C6" s="3">
        <f>IF(ISERROR(INDEX(A股成交额换手率测试1!$B$9:$B$200,59)),NA(),IF(INDEX(A股成交额换手率测试1!$B$9:$B$200,59)=0,NA(),INDEX(A股成交额换手率测试1!$B$9:$B$200,59)))</f>
        <v>24506.44988823</v>
      </c>
      <c r="D6" s="3">
        <f>IF(ISERROR(INDEX(A股成交额换手率测试1!$B$9:$B$200,58)),NA(),IF(INDEX(A股成交额换手率测试1!$B$9:$B$200,58)=0,NA(),INDEX(A股成交额换手率测试1!$B$9:$B$200,58)))</f>
        <v>21473.41438986</v>
      </c>
      <c r="E6" s="3">
        <f>IF(ISERROR(INDEX(A股成交额换手率测试1!$B$9:$B$200,57)),NA(),IF(INDEX(A股成交额换手率测试1!$B$9:$B$200,57)=0,NA(),INDEX(A股成交额换手率测试1!$B$9:$B$200,57)))</f>
        <v>23376.11173968</v>
      </c>
      <c r="F6" s="3">
        <f>IF(ISERROR(INDEX(A股成交额换手率测试1!$B$9:$B$200,56)),NA(),IF(INDEX(A股成交额换手率测试1!$B$9:$B$200,56)=0,NA(),INDEX(A股成交额换手率测试1!$B$9:$B$200,56)))</f>
        <v>21630.64886938</v>
      </c>
      <c r="G6" s="3">
        <f>IF(ISERROR(INDEX(A股成交额换手率测试1!$B$9:$B$200,55)),NA(),IF(INDEX(A股成交额换手率测试1!$B$9:$B$200,55)=0,NA(),INDEX(A股成交额换手率测试1!$B$9:$B$200,55)))</f>
        <v>23967.98587915</v>
      </c>
      <c r="H6" s="3">
        <f>IF(ISERROR(INDEX(A股成交额换手率测试1!$B$9:$B$200,54)),NA(),IF(INDEX(A股成交额换手率测试1!$B$9:$B$200,54)=0,NA(),INDEX(A股成交额换手率测试1!$B$9:$B$200,54)))</f>
        <v>24294.77820339</v>
      </c>
      <c r="I6" s="3">
        <f>IF(ISERROR(INDEX(A股成交额换手率测试1!$B$9:$B$200,53)),NA(),IF(INDEX(A股成交额换手率测试1!$B$9:$B$200,53)=0,NA(),INDEX(A股成交额换手率测试1!$B$9:$B$200,53)))</f>
        <v>23549.62986554</v>
      </c>
      <c r="J6" s="3">
        <f>IF(ISERROR(INDEX(A股成交额换手率测试1!$B$9:$B$200,52)),NA(),IF(INDEX(A股成交额换手率测试1!$B$9:$B$200,52)=0,NA(),INDEX(A股成交额换手率测试1!$B$9:$B$200,52)))</f>
        <v>24528.93221587</v>
      </c>
      <c r="K6" s="3">
        <f>IF(ISERROR(INDEX(A股成交额换手率测试1!$B$9:$B$200,51)),NA(),IF(INDEX(A股成交额换手率测试1!$B$9:$B$200,51)=0,NA(),INDEX(A股成交额换手率测试1!$B$9:$B$200,51)))</f>
        <v>26065.22778409</v>
      </c>
      <c r="L6" s="3">
        <f>IF(ISERROR(INDEX(A股成交额换手率测试1!$B$9:$B$200,50)),NA(),IF(INDEX(A股成交额换手率测试1!$B$9:$B$200,50)=0,NA(),INDEX(A股成交额换手率测试1!$B$9:$B$200,50)))</f>
        <v>24266.46682146</v>
      </c>
      <c r="M6" s="3">
        <f>IF(ISERROR(INDEX(A股成交额换手率测试1!$B$9:$B$200,49)),NA(),IF(INDEX(A股成交额换手率测试1!$B$9:$B$200,49)=0,NA(),INDEX(A股成交额换手率测试1!$B$9:$B$200,49)))</f>
        <v>25788.47156589</v>
      </c>
      <c r="N6" s="3">
        <f>IF(ISERROR(INDEX(A股成交额换手率测试1!$B$9:$B$200,48)),NA(),IF(INDEX(A股成交额换手率测试1!$B$9:$B$200,48)=0,NA(),INDEX(A股成交额换手率测试1!$B$9:$B$200,48)))</f>
        <v>28233.15532636</v>
      </c>
      <c r="O6" s="3">
        <f>IF(ISERROR(INDEX(A股成交额换手率测试1!$B$9:$B$200,47)),NA(),IF(INDEX(A股成交额换手率测试1!$B$9:$B$200,47)=0,NA(),INDEX(A股成交额换手率测试1!$B$9:$B$200,47)))</f>
        <v>26576.22712603</v>
      </c>
      <c r="P6" s="3">
        <f>IF(ISERROR(INDEX(A股成交额换手率测试1!$B$9:$B$200,46)),NA(),IF(INDEX(A股成交额换手率测试1!$B$9:$B$200,46)=0,NA(),INDEX(A股成交额换手率测试1!$B$9:$B$200,46)))</f>
        <v>26048.07456078</v>
      </c>
      <c r="Q6" s="3">
        <f>IF(ISERROR(INDEX(A股成交额换手率测试1!$B$9:$B$200,45)),NA(),IF(INDEX(A股成交额换手率测试1!$B$9:$B$200,45)=0,NA(),INDEX(A股成交额换手率测试1!$B$9:$B$200,45)))</f>
        <v>25504.73217357</v>
      </c>
      <c r="R6" s="3">
        <f>IF(ISERROR(INDEX(A股成交额换手率测试1!$B$9:$B$200,44)),NA(),IF(INDEX(A股成交额换手率测试1!$B$9:$B$200,44)=0,NA(),INDEX(A股成交额换手率测试1!$B$9:$B$200,44)))</f>
        <v>26088.7389289</v>
      </c>
      <c r="S6" s="3">
        <f>IF(ISERROR(INDEX(A股成交额换手率测试1!$B$9:$B$200,43)),NA(),IF(INDEX(A股成交额换手率测试1!$B$9:$B$200,43)=0,NA(),INDEX(A股成交额换手率测试1!$B$9:$B$200,43)))</f>
        <v>27592.05598067</v>
      </c>
      <c r="T6" s="3">
        <f>IF(ISERROR(INDEX(A股成交额换手率测试1!$B$9:$B$200,42)),NA(),IF(INDEX(A股成交额换手率测试1!$B$9:$B$200,42)=0,NA(),INDEX(A股成交额换手率测试1!$B$9:$B$200,42)))</f>
        <v>32465.96327641</v>
      </c>
      <c r="U6" s="3">
        <f>IF(ISERROR(INDEX(A股成交额换手率测试1!$B$9:$B$200,41)),NA(),IF(INDEX(A股成交额换手率测试1!$B$9:$B$200,41)=0,NA(),INDEX(A股成交额换手率测试1!$B$9:$B$200,41)))</f>
        <v>31682.69724249</v>
      </c>
      <c r="V6" s="3">
        <f>IF(ISERROR(INDEX(A股成交额换手率测试1!$B$9:$B$200,40)),NA(),IF(INDEX(A股成交额换手率测试1!$B$9:$B$200,40)=0,NA(),INDEX(A股成交额换手率测试1!$B$9:$B$200,40)))</f>
        <v>30757.19586376</v>
      </c>
      <c r="W6" s="3">
        <f>IF(ISERROR(INDEX(A股成交额换手率测试1!$B$9:$B$200,39)),NA(),IF(INDEX(A股成交额换手率测试1!$B$9:$B$200,39)=0,NA(),INDEX(A股成交额换手率测试1!$B$9:$B$200,39)))</f>
        <v>35654.5283218</v>
      </c>
      <c r="X6" s="3">
        <f>IF(ISERROR(INDEX(A股成交额换手率测试1!$B$9:$B$200,38)),NA(),IF(INDEX(A股成交额换手率测试1!$B$9:$B$200,38)=0,NA(),INDEX(A股成交额换手率测试1!$B$9:$B$200,38)))</f>
        <v>32697.36242917</v>
      </c>
      <c r="Y6" s="3">
        <f>IF(ISERROR(INDEX(A股成交额换手率测试1!$B$9:$B$200,37)),NA(),IF(INDEX(A股成交额换手率测试1!$B$9:$B$200,37)=0,NA(),INDEX(A股成交额换手率测试1!$B$9:$B$200,37)))</f>
        <v>32642.12322031</v>
      </c>
      <c r="Z6" s="3">
        <f>IF(ISERROR(INDEX(A股成交额换手率测试1!$B$9:$B$200,36)),NA(),IF(INDEX(A股成交额换手率测试1!$B$9:$B$200,36)=0,NA(),INDEX(A股成交额换手率测试1!$B$9:$B$200,36)))</f>
        <v>33880.86341176</v>
      </c>
      <c r="AA6" s="3">
        <f>IF(ISERROR(INDEX(A股成交额换手率测试1!$B$9:$B$200,35)),NA(),IF(INDEX(A股成交额换手率测试1!$B$9:$B$200,35)=0,NA(),INDEX(A股成交额换手率测试1!$B$9:$B$200,35)))</f>
        <v>33702.32295625</v>
      </c>
      <c r="AB6" s="3">
        <f>IF(ISERROR(INDEX(A股成交额换手率测试1!$B$9:$B$200,34)),NA(),IF(INDEX(A股成交额换手率测试1!$B$9:$B$200,34)=0,NA(),INDEX(A股成交额换手率测试1!$B$9:$B$200,34)))</f>
        <v>29170.73666062</v>
      </c>
      <c r="AC6" s="3">
        <f>IF(ISERROR(INDEX(A股成交额换手率测试1!$B$9:$B$200,33)),NA(),IF(INDEX(A股成交额换手率测试1!$B$9:$B$200,33)=0,NA(),INDEX(A股成交额换手率测试1!$B$9:$B$200,33)))</f>
        <v>29089.76620151</v>
      </c>
      <c r="AD6" s="3">
        <f>IF(ISERROR(INDEX(A股成交额换手率测试1!$B$9:$B$200,32)),NA(),IF(INDEX(A股成交额换手率测试1!$B$9:$B$200,32)=0,NA(),INDEX(A股成交额换手率测试1!$B$9:$B$200,32)))</f>
        <v>29764.58677756</v>
      </c>
      <c r="AE6" s="3">
        <f>IF(ISERROR(INDEX(A股成交额换手率测试1!$B$9:$B$200,31)),NA(),IF(INDEX(A股成交额换手率测试1!$B$9:$B$200,31)=0,NA(),INDEX(A股成交额换手率测试1!$B$9:$B$200,31)))</f>
        <v>35072.79541527</v>
      </c>
      <c r="AF6" s="3">
        <f>IF(ISERROR(INDEX(A股成交额换手率测试1!$B$9:$B$200,30)),NA(),IF(INDEX(A股成交额换手率测试1!$B$9:$B$200,30)=0,NA(),INDEX(A股成交额换手率测试1!$B$9:$B$200,30)))</f>
        <v>29246.59105588</v>
      </c>
      <c r="AG6" s="3">
        <f>IF(ISERROR(INDEX(A股成交额换手率测试1!$B$9:$B$200,29)),NA(),IF(INDEX(A股成交额换手率测试1!$B$9:$B$200,29)=0,NA(),INDEX(A股成交额换手率测试1!$B$9:$B$200,29)))</f>
        <v>32269.52453297</v>
      </c>
      <c r="AH6" s="3">
        <f>IF(ISERROR(INDEX(A股成交额换手率测试1!$B$9:$B$200,28)),NA(),IF(INDEX(A股成交额换手率测试1!$B$9:$B$200,28)=0,NA(),INDEX(A股成交额换手率测试1!$B$9:$B$200,28)))</f>
        <v>32643.59080086</v>
      </c>
      <c r="AI6" s="3">
        <f>IF(ISERROR(INDEX(A股成交额换手率测试1!$B$9:$B$200,27)),NA(),IF(INDEX(A股成交额换手率测试1!$B$9:$B$200,27)=0,NA(),INDEX(A股成交额换手率测试1!$B$9:$B$200,27)))</f>
        <v>32599.04342636</v>
      </c>
      <c r="AJ6" s="3">
        <f>IF(ISERROR(INDEX(A股成交额换手率测试1!$B$9:$B$200,26)),NA(),IF(INDEX(A股成交额换手率测试1!$B$9:$B$200,26)=0,NA(),INDEX(A股成交额换手率测试1!$B$9:$B$200,26)))</f>
        <v>29873.26312007</v>
      </c>
      <c r="AK6" s="3">
        <f>IF(ISERROR(INDEX(A股成交额换手率测试1!$B$9:$B$200,25)),NA(),IF(INDEX(A股成交额换手率测试1!$B$9:$B$200,25)=0,NA(),INDEX(A股成交额换手率测试1!$B$9:$B$200,25)))</f>
        <v>33408.58147402</v>
      </c>
      <c r="AL6" s="3">
        <f>IF(ISERROR(INDEX(A股成交额换手率测试1!$B$9:$B$200,24)),NA(),IF(INDEX(A股成交额换手率测试1!$B$9:$B$200,24)=0,NA(),INDEX(A股成交额换手率测试1!$B$9:$B$200,24)))</f>
        <v>28967.24496386</v>
      </c>
      <c r="AM6" s="3">
        <f>IF(ISERROR(INDEX(A股成交额换手率测试1!$B$9:$B$200,23)),NA(),IF(INDEX(A股成交额换手率测试1!$B$9:$B$200,23)=0,NA(),INDEX(A股成交额换手率测试1!$B$9:$B$200,23)))</f>
        <v>28128.49119499</v>
      </c>
      <c r="AN6" s="3">
        <f>IF(ISERROR(INDEX(A股成交额换手率测试1!$B$9:$B$200,22)),NA(),IF(INDEX(A股成交额换手率测试1!$B$9:$B$200,22)=0,NA(),INDEX(A股成交额换手率测试1!$B$9:$B$200,22)))</f>
        <v>31531.24583892</v>
      </c>
      <c r="AO6" s="3">
        <f>IF(ISERROR(INDEX(A股成交额换手率测试1!$B$9:$B$200,21)),NA(),IF(INDEX(A股成交额换手率测试1!$B$9:$B$200,21)=0,NA(),INDEX(A股成交额换手率测试1!$B$9:$B$200,21)))</f>
        <v>27791.63742118</v>
      </c>
      <c r="AP6" s="3">
        <f>IF(ISERROR(INDEX(A股成交额换手率测试1!$B$9:$B$200,20)),NA(),IF(INDEX(A股成交额换手率测试1!$B$9:$B$200,20)=0,NA(),INDEX(A股成交额换手率测试1!$B$9:$B$200,20)))</f>
        <v>31006.90304725</v>
      </c>
      <c r="AQ6" s="3">
        <f>IF(ISERROR(INDEX(A股成交额换手率测试1!$B$9:$B$200,19)),NA(),IF(INDEX(A股成交额换手率测试1!$B$9:$B$200,19)=0,NA(),INDEX(A股成交额换手率测试1!$B$9:$B$200,19)))</f>
        <v>28234.28976929</v>
      </c>
      <c r="AR6" s="3">
        <f>IF(ISERROR(INDEX(A股成交额换手率测试1!$B$9:$B$200,18)),NA(),IF(INDEX(A股成交额换手率测试1!$B$9:$B$200,18)=0,NA(),INDEX(A股成交额换手率测试1!$B$9:$B$200,18)))</f>
        <v>26667.32928344</v>
      </c>
      <c r="AS6" s="3">
        <f>IF(ISERROR(INDEX(A股成交额换手率测试1!$B$9:$B$200,17)),NA(),IF(INDEX(A股成交额换手率测试1!$B$9:$B$200,17)=0,NA(),INDEX(A股成交额换手率测试1!$B$9:$B$200,17)))</f>
        <v>26441.43270938</v>
      </c>
      <c r="AT6" s="3">
        <f>IF(ISERROR(INDEX(A股成交额换手率测试1!$B$9:$B$200,16)),NA(),IF(INDEX(A股成交额换手率测试1!$B$9:$B$200,16)=0,NA(),INDEX(A股成交额换手率测试1!$B$9:$B$200,16)))</f>
        <v>25749.32584543</v>
      </c>
      <c r="AU6" s="3">
        <f>IF(ISERROR(INDEX(A股成交额换手率测试1!$B$9:$B$200,15)),NA(),IF(INDEX(A股成交额换手率测试1!$B$9:$B$200,15)=0,NA(),INDEX(A股成交额换手率测试1!$B$9:$B$200,15)))</f>
        <v>32361.11011499</v>
      </c>
      <c r="AV6" s="3">
        <f>IF(ISERROR(INDEX(A股成交额换手率测试1!$B$9:$B$200,14)),NA(),IF(INDEX(A股成交额换手率测试1!$B$9:$B$200,14)=0,NA(),INDEX(A股成交额换手率测试1!$B$9:$B$200,14)))</f>
        <v>30507.41533237</v>
      </c>
      <c r="AW6" s="3">
        <f>IF(ISERROR(INDEX(A股成交额换手率测试1!$B$9:$B$200,13)),NA(),IF(INDEX(A股成交额换手率测试1!$B$9:$B$200,13)=0,NA(),INDEX(A股成交额换手率测试1!$B$9:$B$200,13)))</f>
        <v>30863.46944215</v>
      </c>
      <c r="AX6" s="3">
        <f>IF(ISERROR(INDEX(A股成交额换手率测试1!$B$9:$B$200,12)),NA(),IF(INDEX(A股成交额换手率测试1!$B$9:$B$200,12)=0,NA(),INDEX(A股成交额换手率测试1!$B$9:$B$200,12)))</f>
        <v>31140.3904993</v>
      </c>
      <c r="AY6" s="3">
        <f>IF(ISERROR(INDEX(A股成交额换手率测试1!$B$9:$B$200,11)),NA(),IF(INDEX(A股成交额换手率测试1!$B$9:$B$200,11)=0,NA(),INDEX(A股成交额换手率测试1!$B$9:$B$200,11)))</f>
        <v>33317.19013037</v>
      </c>
      <c r="AZ6" s="3">
        <f>IF(ISERROR(INDEX(A股成交额换手率测试1!$B$9:$B$200,10)),NA(),IF(INDEX(A股成交额换手率测试1!$B$9:$B$200,10)=0,NA(),INDEX(A股成交额换手率测试1!$B$9:$B$200,10)))</f>
        <v>37621.0309881</v>
      </c>
      <c r="BA6" s="3">
        <f>IF(ISERROR(INDEX(A股成交额换手率测试1!$B$9:$B$200,9)),NA(),IF(INDEX(A股成交额换手率测试1!$B$9:$B$200,9)=0,NA(),INDEX(A股成交额换手率测试1!$B$9:$B$200,9)))</f>
        <v>34660.26692706</v>
      </c>
      <c r="BB6" s="3">
        <f>IF(ISERROR(INDEX(A股成交额换手率测试1!$B$9:$B$200,8)),NA(),IF(INDEX(A股成交额换手率测试1!$B$9:$B$200,8)=0,NA(),INDEX(A股成交额换手率测试1!$B$9:$B$200,8)))</f>
        <v>33069.39188919</v>
      </c>
      <c r="BC6" s="3">
        <f>IF(ISERROR(INDEX(A股成交额换手率测试1!$B$9:$B$200,7)),NA(),IF(INDEX(A股成交额换手率测试1!$B$9:$B$200,7)=0,NA(),INDEX(A股成交额换手率测试1!$B$9:$B$200,7)))</f>
        <v>36189.44417138</v>
      </c>
      <c r="BD6" s="3">
        <f>IF(ISERROR(INDEX(A股成交额换手率测试1!$B$9:$B$200,6)),NA(),IF(INDEX(A股成交额换手率测试1!$B$9:$B$200,6)=0,NA(),INDEX(A股成交额换手率测试1!$B$9:$B$200,6)))</f>
        <v>35753.91121306</v>
      </c>
      <c r="BE6" s="3">
        <f>IF(ISERROR(INDEX(A股成交额换手率测试1!$B$9:$B$200,5)),NA(),IF(INDEX(A股成交额换手率测试1!$B$9:$B$200,5)=0,NA(),INDEX(A股成交额换手率测试1!$B$9:$B$200,5)))</f>
        <v>35393.41107475</v>
      </c>
      <c r="BF6" s="3">
        <f>IF(ISERROR(INDEX(A股成交额换手率测试1!$B$9:$B$200,4)),NA(),IF(INDEX(A股成交额换手率测试1!$B$9:$B$200,4)=0,NA(),INDEX(A股成交额换手率测试1!$B$9:$B$200,4)))</f>
        <v>32938.19556704</v>
      </c>
      <c r="BG6" s="3">
        <f>IF(ISERROR(INDEX(A股成交额换手率测试1!$B$9:$B$200,3)),NA(),IF(INDEX(A股成交额换手率测试1!$B$9:$B$200,3)=0,NA(),INDEX(A股成交额换手率测试1!$B$9:$B$200,3)))</f>
        <v>36827.96937452</v>
      </c>
      <c r="BH6" s="3">
        <f>IF(ISERROR(INDEX(A股成交额换手率测试1!$B$9:$B$200,2)),NA(),IF(INDEX(A股成交额换手率测试1!$B$9:$B$200,2)=0,NA(),INDEX(A股成交额换手率测试1!$B$9:$B$200,2)))</f>
        <v>34739.26261813</v>
      </c>
      <c r="BI6" s="3">
        <f>IF(ISERROR(INDEX(A股成交额换手率测试1!$B$9:$B$200,1)),NA(),IF(INDEX(A股成交额换手率测试1!$B$9:$B$200,1)=0,NA(),INDEX(A股成交额换手率测试1!$B$9:$B$200,1)))</f>
        <v>32052.61678068</v>
      </c>
    </row>
    <row r="7" ht="15" customHeight="1" spans="1:61">
      <c r="A7" s="1" t="s">
        <v>22</v>
      </c>
      <c r="B7">
        <f>IF(ISERROR(INDEX(A股成交额换手率测试1!$F$9:$F$200,60)),NA(),IF(INDEX(A股成交额换手率测试1!$F$9:$F$200,60)=0,NA(),INDEX(A股成交额换手率测试1!$F$9:$F$200,60)/1000000000000))</f>
        <v>2.584963909375</v>
      </c>
      <c r="C7">
        <f>IF(ISERROR(INDEX(A股成交额换手率测试1!$F$9:$F$200,59)),NA(),IF(INDEX(A股成交额换手率测试1!$F$9:$F$200,59)=0,NA(),INDEX(A股成交额换手率测试1!$F$9:$F$200,59)/1000000000000))</f>
        <v>2.601533591144</v>
      </c>
      <c r="D7">
        <f>IF(ISERROR(INDEX(A股成交额换手率测试1!$F$9:$F$200,58)),NA(),IF(INDEX(A股成交额换手率测试1!$F$9:$F$200,58)=0,NA(),INDEX(A股成交额换手率测试1!$F$9:$F$200,58)/1000000000000))</f>
        <v>2.608710586364</v>
      </c>
      <c r="E7">
        <f>IF(ISERROR(INDEX(A股成交额换手率测试1!$F$9:$F$200,57)),NA(),IF(INDEX(A股成交额换手率测试1!$F$9:$F$200,57)=0,NA(),INDEX(A股成交额换手率测试1!$F$9:$F$200,57)/1000000000000))</f>
        <v>2.614403832155</v>
      </c>
      <c r="F7">
        <f>IF(ISERROR(INDEX(A股成交额换手率测试1!$F$9:$F$200,56)),NA(),IF(INDEX(A股成交额换手率测试1!$F$9:$F$200,56)=0,NA(),INDEX(A股成交额换手率测试1!$F$9:$F$200,56)/1000000000000))</f>
        <v>2.630735925306</v>
      </c>
      <c r="G7">
        <f>IF(ISERROR(INDEX(A股成交额换手率测试1!$F$9:$F$200,55)),NA(),IF(INDEX(A股成交额换手率测试1!$F$9:$F$200,55)=0,NA(),INDEX(A股成交额换手率测试1!$F$9:$F$200,55)/1000000000000))</f>
        <v>2.647627220657</v>
      </c>
      <c r="H7">
        <f>IF(ISERROR(INDEX(A股成交额换手率测试1!$F$9:$F$200,54)),NA(),IF(INDEX(A股成交额换手率测试1!$F$9:$F$200,54)=0,NA(),INDEX(A股成交额换手率测试1!$F$9:$F$200,54)/1000000000000))</f>
        <v>2.657670695938</v>
      </c>
      <c r="I7">
        <f>IF(ISERROR(INDEX(A股成交额换手率测试1!$F$9:$F$200,53)),NA(),IF(INDEX(A股成交额换手率测试1!$F$9:$F$200,53)=0,NA(),INDEX(A股成交额换手率测试1!$F$9:$F$200,53)/1000000000000))</f>
        <v>2.668730933522</v>
      </c>
      <c r="J7">
        <f>IF(ISERROR(INDEX(A股成交额换手率测试1!$F$9:$F$200,52)),NA(),IF(INDEX(A股成交额换手率测试1!$F$9:$F$200,52)=0,NA(),INDEX(A股成交额换手率测试1!$F$9:$F$200,52)/1000000000000))</f>
        <v>2.67102938941</v>
      </c>
      <c r="K7">
        <f>IF(ISERROR(INDEX(A股成交额换手率测试1!$F$9:$F$200,51)),NA(),IF(INDEX(A股成交额换手率测试1!$F$9:$F$200,51)=0,NA(),INDEX(A股成交额换手率测试1!$F$9:$F$200,51)/1000000000000))</f>
        <v>2.700259517709</v>
      </c>
      <c r="L7">
        <f>IF(ISERROR(INDEX(A股成交额换手率测试1!$F$9:$F$200,50)),NA(),IF(INDEX(A股成交额换手率测试1!$F$9:$F$200,50)=0,NA(),INDEX(A股成交额换手率测试1!$F$9:$F$200,50)/1000000000000))</f>
        <v>2.706669382509</v>
      </c>
      <c r="M7">
        <f>IF(ISERROR(INDEX(A股成交额换手率测试1!$F$9:$F$200,49)),NA(),IF(INDEX(A股成交额换手率测试1!$F$9:$F$200,49)=0,NA(),INDEX(A股成交额换手率测试1!$F$9:$F$200,49)/1000000000000))</f>
        <v>2.720690098241</v>
      </c>
      <c r="N7">
        <f>IF(ISERROR(INDEX(A股成交额换手率测试1!$F$9:$F$200,48)),NA(),IF(INDEX(A股成交额换手率测试1!$F$9:$F$200,48)=0,NA(),INDEX(A股成交额换手率测试1!$F$9:$F$200,48)/1000000000000))</f>
        <v>2.724272602086</v>
      </c>
      <c r="O7">
        <f>IF(ISERROR(INDEX(A股成交额换手率测试1!$F$9:$F$200,47)),NA(),IF(INDEX(A股成交额换手率测试1!$F$9:$F$200,47)=0,NA(),INDEX(A股成交额换手率测试1!$F$9:$F$200,47)/1000000000000))</f>
        <v>2.712786066717</v>
      </c>
      <c r="P7">
        <f>IF(ISERROR(INDEX(A股成交额换手率测试1!$F$9:$F$200,46)),NA(),IF(INDEX(A股成交额换手率测试1!$F$9:$F$200,46)=0,NA(),INDEX(A股成交额换手率测试1!$F$9:$F$200,46)/1000000000000))</f>
        <v>2.728530208429</v>
      </c>
      <c r="Q7">
        <f>IF(ISERROR(INDEX(A股成交额换手率测试1!$F$9:$F$200,45)),NA(),IF(INDEX(A股成交额换手率测试1!$F$9:$F$200,45)=0,NA(),INDEX(A股成交额换手率测试1!$F$9:$F$200,45)/1000000000000))</f>
        <v>2.728436698193</v>
      </c>
      <c r="R7">
        <f>IF(ISERROR(INDEX(A股成交额换手率测试1!$F$9:$F$200,44)),NA(),IF(INDEX(A股成交额换手率测试1!$F$9:$F$200,44)=0,NA(),INDEX(A股成交额换手率测试1!$F$9:$F$200,44)/1000000000000))</f>
        <v>2.732302217011</v>
      </c>
      <c r="S7">
        <f>IF(ISERROR(INDEX(A股成交额换手率测试1!$F$9:$F$200,43)),NA(),IF(INDEX(A股成交额换手率测试1!$F$9:$F$200,43)=0,NA(),INDEX(A股成交额换手率测试1!$F$9:$F$200,43)/1000000000000))</f>
        <v>2.715208487233</v>
      </c>
      <c r="T7">
        <f>IF(ISERROR(INDEX(A股成交额换手率测试1!$F$9:$F$200,42)),NA(),IF(INDEX(A股成交额换手率测试1!$F$9:$F$200,42)=0,NA(),INDEX(A股成交额换手率测试1!$F$9:$F$200,42)/1000000000000))</f>
        <v>2.756712595521</v>
      </c>
      <c r="U7">
        <f>IF(ISERROR(INDEX(A股成交额换手率测试1!$F$9:$F$200,41)),NA(),IF(INDEX(A股成交额换手率测试1!$F$9:$F$200,41)=0,NA(),INDEX(A股成交额换手率测试1!$F$9:$F$200,41)/1000000000000))</f>
        <v>2.786436392025</v>
      </c>
      <c r="V7">
        <f>IF(ISERROR(INDEX(A股成交额换手率测试1!$F$9:$F$200,40)),NA(),IF(INDEX(A股成交额换手率测试1!$F$9:$F$200,40)=0,NA(),INDEX(A股成交额换手率测试1!$F$9:$F$200,40)/1000000000000))</f>
        <v>2.802501273707</v>
      </c>
      <c r="W7">
        <f>IF(ISERROR(INDEX(A股成交额换手率测试1!$F$9:$F$200,39)),NA(),IF(INDEX(A股成交额换手率测试1!$F$9:$F$200,39)=0,NA(),INDEX(A股成交额换手率测试1!$F$9:$F$200,39)/1000000000000))</f>
        <v>2.833857790591</v>
      </c>
      <c r="X7">
        <f>IF(ISERROR(INDEX(A股成交额换手率测试1!$F$9:$F$200,38)),NA(),IF(INDEX(A股成交额换手率测试1!$F$9:$F$200,38)=0,NA(),INDEX(A股成交额换手率测试1!$F$9:$F$200,38)/1000000000000))</f>
        <v>2.850744314103</v>
      </c>
      <c r="Y7">
        <f>IF(ISERROR(INDEX(A股成交额换手率测试1!$F$9:$F$200,37)),NA(),IF(INDEX(A股成交额换手率测试1!$F$9:$F$200,37)=0,NA(),INDEX(A股成交额换手率测试1!$F$9:$F$200,37)/1000000000000))</f>
        <v>2.873945270713</v>
      </c>
      <c r="Z7">
        <f>IF(ISERROR(INDEX(A股成交额换手率测试1!$F$9:$F$200,36)),NA(),IF(INDEX(A股成交额换手率测试1!$F$9:$F$200,36)=0,NA(),INDEX(A股成交额换手率测试1!$F$9:$F$200,36)/1000000000000))</f>
        <v>2.882755007011</v>
      </c>
      <c r="AA7">
        <f>IF(ISERROR(INDEX(A股成交额换手率测试1!$F$9:$F$200,35)),NA(),IF(INDEX(A股成交额换手率测试1!$F$9:$F$200,35)=0,NA(),INDEX(A股成交额换手率测试1!$F$9:$F$200,35)/1000000000000))</f>
        <v>2.876460427504</v>
      </c>
      <c r="AB7">
        <f>IF(ISERROR(INDEX(A股成交额换手率测试1!$F$9:$F$200,34)),NA(),IF(INDEX(A股成交额换手率测试1!$F$9:$F$200,34)=0,NA(),INDEX(A股成交额换手率测试1!$F$9:$F$200,34)/1000000000000))</f>
        <v>2.892379831046</v>
      </c>
      <c r="AC7">
        <f>IF(ISERROR(INDEX(A股成交额换手率测试1!$F$9:$F$200,33)),NA(),IF(INDEX(A股成交额换手率测试1!$F$9:$F$200,33)=0,NA(),INDEX(A股成交额换手率测试1!$F$9:$F$200,33)/1000000000000))</f>
        <v>2.897938493443</v>
      </c>
      <c r="AD7">
        <f>IF(ISERROR(INDEX(A股成交额换手率测试1!$F$9:$F$200,32)),NA(),IF(INDEX(A股成交额换手率测试1!$F$9:$F$200,32)=0,NA(),INDEX(A股成交额换手率测试1!$F$9:$F$200,32)/1000000000000))</f>
        <v>2.904939465937</v>
      </c>
      <c r="AE7">
        <f>IF(ISERROR(INDEX(A股成交额换手率测试1!$F$9:$F$200,31)),NA(),IF(INDEX(A股成交额换手率测试1!$F$9:$F$200,31)=0,NA(),INDEX(A股成交额换手率测试1!$F$9:$F$200,31)/1000000000000))</f>
        <v>2.896210904143</v>
      </c>
      <c r="AF7">
        <f>IF(ISERROR(INDEX(A股成交额换手率测试1!$F$9:$F$200,30)),NA(),IF(INDEX(A股成交额换手率测试1!$F$9:$F$200,30)=0,NA(),INDEX(A股成交额换手率测试1!$F$9:$F$200,30)/1000000000000))</f>
        <v>2.899151925961</v>
      </c>
      <c r="AG7">
        <f>IF(ISERROR(INDEX(A股成交额换手率测试1!$F$9:$F$200,29)),NA(),IF(INDEX(A股成交额换手率测试1!$F$9:$F$200,29)=0,NA(),INDEX(A股成交额换手率测试1!$F$9:$F$200,29)/1000000000000))</f>
        <v>2.92520877945</v>
      </c>
      <c r="AH7">
        <f>IF(ISERROR(INDEX(A股成交额换手率测试1!$F$9:$F$200,28)),NA(),IF(INDEX(A股成交额换手率测试1!$F$9:$F$200,28)=0,NA(),INDEX(A股成交额换手率测试1!$F$9:$F$200,28)/1000000000000))</f>
        <v>2.932629362443</v>
      </c>
      <c r="AI7">
        <f>IF(ISERROR(INDEX(A股成交额换手率测试1!$F$9:$F$200,27)),NA(),IF(INDEX(A股成交额换手率测试1!$F$9:$F$200,27)=0,NA(),INDEX(A股成交额换手率测试1!$F$9:$F$200,27)/1000000000000))</f>
        <v>2.93666666971</v>
      </c>
      <c r="AJ7">
        <f>IF(ISERROR(INDEX(A股成交额换手率测试1!$F$9:$F$200,26)),NA(),IF(INDEX(A股成交额换手率测试1!$F$9:$F$200,26)=0,NA(),INDEX(A股成交额换手率测试1!$F$9:$F$200,26)/1000000000000))</f>
        <v>2.942402697453</v>
      </c>
      <c r="AK7">
        <f>IF(ISERROR(INDEX(A股成交额换手率测试1!$F$9:$F$200,25)),NA(),IF(INDEX(A股成交额换手率测试1!$F$9:$F$200,25)=0,NA(),INDEX(A股成交额换手率测试1!$F$9:$F$200,25)/1000000000000))</f>
        <v>2.912418160134</v>
      </c>
      <c r="AL7">
        <f>IF(ISERROR(INDEX(A股成交额换手率测试1!$F$9:$F$200,24)),NA(),IF(INDEX(A股成交额换手率测试1!$F$9:$F$200,24)=0,NA(),INDEX(A股成交额换手率测试1!$F$9:$F$200,24)/1000000000000))</f>
        <v>2.904302483979</v>
      </c>
      <c r="AM7">
        <f>IF(ISERROR(INDEX(A股成交额换手率测试1!$F$9:$F$200,23)),NA(),IF(INDEX(A股成交额换手率测试1!$F$9:$F$200,23)=0,NA(),INDEX(A股成交额换手率测试1!$F$9:$F$200,23)/1000000000000))</f>
        <v>2.905595251708</v>
      </c>
      <c r="AN7">
        <f>IF(ISERROR(INDEX(A股成交额换手率测试1!$F$9:$F$200,22)),NA(),IF(INDEX(A股成交额换手率测试1!$F$9:$F$200,22)=0,NA(),INDEX(A股成交额换手率测试1!$F$9:$F$200,22)/1000000000000))</f>
        <v>2.914375514366</v>
      </c>
      <c r="AO7">
        <f>IF(ISERROR(INDEX(A股成交额换手率测试1!$F$9:$F$200,21)),NA(),IF(INDEX(A股成交额换手率测试1!$F$9:$F$200,21)=0,NA(),INDEX(A股成交额换手率测试1!$F$9:$F$200,21)/1000000000000))</f>
        <v>2.920686113684</v>
      </c>
      <c r="AP7">
        <f>IF(ISERROR(INDEX(A股成交额换手率测试1!$F$9:$F$200,20)),NA(),IF(INDEX(A股成交额换手率测试1!$F$9:$F$200,20)=0,NA(),INDEX(A股成交额换手率测试1!$F$9:$F$200,20)/1000000000000))</f>
        <v>2.906688099505</v>
      </c>
      <c r="AQ7">
        <f>IF(ISERROR(INDEX(A股成交额换手率测试1!$F$9:$F$200,19)),NA(),IF(INDEX(A股成交额换手率测试1!$F$9:$F$200,19)=0,NA(),INDEX(A股成交额换手率测试1!$F$9:$F$200,19)/1000000000000))</f>
        <v>2.882895221196</v>
      </c>
      <c r="AR7">
        <f>IF(ISERROR(INDEX(A股成交额换手率测试1!$F$9:$F$200,18)),NA(),IF(INDEX(A股成交额换手率测试1!$F$9:$F$200,18)=0,NA(),INDEX(A股成交额换手率测试1!$F$9:$F$200,18)/1000000000000))</f>
        <v>2.887275686085</v>
      </c>
      <c r="AS7">
        <f>IF(ISERROR(INDEX(A股成交额换手率测试1!$F$9:$F$200,17)),NA(),IF(INDEX(A股成交额换手率测试1!$F$9:$F$200,17)=0,NA(),INDEX(A股成交额换手率测试1!$F$9:$F$200,17)/1000000000000))</f>
        <v>2.879114601496</v>
      </c>
      <c r="AT7">
        <f>IF(ISERROR(INDEX(A股成交额换手率测试1!$F$9:$F$200,16)),NA(),IF(INDEX(A股成交额换手率测试1!$F$9:$F$200,16)=0,NA(),INDEX(A股成交额换手率测试1!$F$9:$F$200,16)/1000000000000))</f>
        <v>2.873626097853</v>
      </c>
      <c r="AU7">
        <f>IF(ISERROR(INDEX(A股成交额换手率测试1!$F$9:$F$200,15)),NA(),IF(INDEX(A股成交额换手率测试1!$F$9:$F$200,15)=0,NA(),INDEX(A股成交额换手率测试1!$F$9:$F$200,15)/1000000000000))</f>
        <v>2.873482273963</v>
      </c>
      <c r="AV7">
        <f>IF(ISERROR(INDEX(A股成交额换手率测试1!$F$9:$F$200,14)),NA(),IF(INDEX(A股成交额换手率测试1!$F$9:$F$200,14)=0,NA(),INDEX(A股成交额换手率测试1!$F$9:$F$200,14)/1000000000000))</f>
        <v>2.897938436116</v>
      </c>
      <c r="AW7">
        <f>IF(ISERROR(INDEX(A股成交额换手率测试1!$F$9:$F$200,13)),NA(),IF(INDEX(A股成交额换手率测试1!$F$9:$F$200,13)=0,NA(),INDEX(A股成交额换手率测试1!$F$9:$F$200,13)/1000000000000))</f>
        <v>2.924861966559</v>
      </c>
      <c r="AX7">
        <f>IF(ISERROR(INDEX(A股成交额换手率测试1!$F$9:$F$200,12)),NA(),IF(INDEX(A股成交额换手率测试1!$F$9:$F$200,12)=0,NA(),INDEX(A股成交额换手率测试1!$F$9:$F$200,12)/1000000000000))</f>
        <v>2.952886169592</v>
      </c>
      <c r="AY7">
        <f>IF(ISERROR(INDEX(A股成交额换手率测试1!$F$9:$F$200,11)),NA(),IF(INDEX(A股成交额换手率测试1!$F$9:$F$200,11)=0,NA(),INDEX(A股成交额换手率测试1!$F$9:$F$200,11)/1000000000000))</f>
        <v>2.965511867332</v>
      </c>
      <c r="AZ7">
        <f>IF(ISERROR(INDEX(A股成交额换手率测试1!$F$9:$F$200,10)),NA(),IF(INDEX(A股成交额换手率测试1!$F$9:$F$200,10)=0,NA(),INDEX(A股成交额换手率测试1!$F$9:$F$200,10)/1000000000000))</f>
        <v>2.995031276856</v>
      </c>
      <c r="BA7">
        <f>IF(ISERROR(INDEX(A股成交额换手率测试1!$F$9:$F$200,9)),NA(),IF(INDEX(A股成交额换手率测试1!$F$9:$F$200,9)=0,NA(),INDEX(A股成交额换手率测试1!$F$9:$F$200,9)/1000000000000))</f>
        <v>3.000971239804</v>
      </c>
      <c r="BB7">
        <f>IF(ISERROR(INDEX(A股成交额换手率测试1!$F$9:$F$200,8)),NA(),IF(INDEX(A股成交额换手率测试1!$F$9:$F$200,8)=0,NA(),INDEX(A股成交额换手率测试1!$F$9:$F$200,8)/1000000000000))</f>
        <v>3.01514929313</v>
      </c>
      <c r="BC7">
        <f>IF(ISERROR(INDEX(A股成交额换手率测试1!$F$9:$F$200,7)),NA(),IF(INDEX(A股成交额换手率测试1!$F$9:$F$200,7)=0,NA(),INDEX(A股成交额换手率测试1!$F$9:$F$200,7)/1000000000000))</f>
        <v>3.032991749139</v>
      </c>
      <c r="BD7">
        <f>IF(ISERROR(INDEX(A股成交额换手率测试1!$F$9:$F$200,6)),NA(),IF(INDEX(A股成交额换手率测试1!$F$9:$F$200,6)=0,NA(),INDEX(A股成交额换手率测试1!$F$9:$F$200,6)/1000000000000))</f>
        <v>3.011961034065</v>
      </c>
      <c r="BE7">
        <f>IF(ISERROR(INDEX(A股成交额换手率测试1!$F$9:$F$200,5)),NA(),IF(INDEX(A股成交额换手率测试1!$F$9:$F$200,5)=0,NA(),INDEX(A股成交额换手率测试1!$F$9:$F$200,5)/1000000000000))</f>
        <v>3.003681403983</v>
      </c>
      <c r="BF7">
        <f>IF(ISERROR(INDEX(A股成交额换手率测试1!$F$9:$F$200,4)),NA(),IF(INDEX(A股成交额换手率测试1!$F$9:$F$200,4)=0,NA(),INDEX(A股成交额换手率测试1!$F$9:$F$200,4)/1000000000000))</f>
        <v>3.020396491899</v>
      </c>
      <c r="BG7">
        <f>IF(ISERROR(INDEX(A股成交额换手率测试1!$F$9:$F$200,3)),NA(),IF(INDEX(A股成交额换手率测试1!$F$9:$F$200,3)=0,NA(),INDEX(A股成交额换手率测试1!$F$9:$F$200,3)/1000000000000))</f>
        <v>3.030474237454</v>
      </c>
      <c r="BH7">
        <f>IF(ISERROR(INDEX(A股成交额换手率测试1!$F$9:$F$200,2)),NA(),IF(INDEX(A股成交额换手率测试1!$F$9:$F$200,2)=0,NA(),INDEX(A股成交额换手率测试1!$F$9:$F$200,2)/1000000000000))</f>
        <v>3.022896231933</v>
      </c>
      <c r="BI7">
        <f>IF(ISERROR(INDEX(A股成交额换手率测试1!$F$9:$F$200,1)),NA(),IF(INDEX(A股成交额换手率测试1!$F$9:$F$200,1)=0,NA(),INDEX(A股成交额换手率测试1!$F$9:$F$200,1)/1000000000000))</f>
        <v>3.003336934139</v>
      </c>
    </row>
    <row r="8" ht="15" customHeight="1" spans="1:61">
      <c r="A8" s="1" t="s">
        <v>24</v>
      </c>
      <c r="B8" s="3">
        <f>IF(ISERROR(INDEX(A股成交额换手率测试1!$C$9:$C$200,60)),NA(),IF(INDEX(A股成交额换手率测试1!$C$9:$C$200,60)=0,NA(),INDEX(A股成交额换手率测试1!$C$9:$C$200,60)))</f>
        <v>2.76447465925725</v>
      </c>
      <c r="C8" s="3">
        <f>IF(ISERROR(INDEX(A股成交额换手率测试1!$C$9:$C$200,59)),NA(),IF(INDEX(A股成交额换手率测试1!$C$9:$C$200,59)=0,NA(),INDEX(A股成交额换手率测试1!$C$9:$C$200,59)))</f>
        <v>3.68079593627193</v>
      </c>
      <c r="D8" s="3">
        <f>IF(ISERROR(INDEX(A股成交额换手率测试1!$C$9:$C$200,58)),NA(),IF(INDEX(A股成交额换手率测试1!$C$9:$C$200,58)=0,NA(),INDEX(A股成交额换手率测试1!$C$9:$C$200,58)))</f>
        <v>3.29485591707924</v>
      </c>
      <c r="E8" s="3">
        <f>IF(ISERROR(INDEX(A股成交额换手率测试1!$C$9:$C$200,57)),NA(),IF(INDEX(A股成交额换手率测试1!$C$9:$C$200,57)=0,NA(),INDEX(A股成交额换手率测试1!$C$9:$C$200,57)))</f>
        <v>3.36339548332487</v>
      </c>
      <c r="F8" s="3">
        <f>IF(ISERROR(INDEX(A股成交额换手率测试1!$C$9:$C$200,56)),NA(),IF(INDEX(A股成交额换手率测试1!$C$9:$C$200,56)=0,NA(),INDEX(A股成交额换手率测试1!$C$9:$C$200,56)))</f>
        <v>3.17654958446354</v>
      </c>
      <c r="G8" s="3">
        <f>IF(ISERROR(INDEX(A股成交额换手率测试1!$C$9:$C$200,55)),NA(),IF(INDEX(A股成交额换手率测试1!$C$9:$C$200,55)=0,NA(),INDEX(A股成交额换手率测试1!$C$9:$C$200,55)))</f>
        <v>3.40434653114951</v>
      </c>
      <c r="H8" s="3">
        <f>IF(ISERROR(INDEX(A股成交额换手率测试1!$C$9:$C$200,54)),NA(),IF(INDEX(A股成交额换手率测试1!$C$9:$C$200,54)=0,NA(),INDEX(A股成交额换手率测试1!$C$9:$C$200,54)))</f>
        <v>3.48482676167502</v>
      </c>
      <c r="I8" s="3">
        <f>IF(ISERROR(INDEX(A股成交额换手率测试1!$C$9:$C$200,53)),NA(),IF(INDEX(A股成交额换手率测试1!$C$9:$C$200,53)=0,NA(),INDEX(A股成交额换手率测试1!$C$9:$C$200,53)))</f>
        <v>3.50902481750678</v>
      </c>
      <c r="J8" s="3">
        <f>IF(ISERROR(INDEX(A股成交额换手率测试1!$C$9:$C$200,52)),NA(),IF(INDEX(A股成交额换手率测试1!$C$9:$C$200,52)=0,NA(),INDEX(A股成交额换手率测试1!$C$9:$C$200,52)))</f>
        <v>3.70606168759778</v>
      </c>
      <c r="K8" s="3">
        <f>IF(ISERROR(INDEX(A股成交额换手率测试1!$C$9:$C$200,51)),NA(),IF(INDEX(A股成交额换手率测试1!$C$9:$C$200,51)=0,NA(),INDEX(A股成交额换手率测试1!$C$9:$C$200,51)))</f>
        <v>3.76265030536903</v>
      </c>
      <c r="L8" s="3">
        <f>IF(ISERROR(INDEX(A股成交额换手率测试1!$C$9:$C$200,50)),NA(),IF(INDEX(A股成交额换手率测试1!$C$9:$C$200,50)=0,NA(),INDEX(A股成交额换手率测试1!$C$9:$C$200,50)))</f>
        <v>3.53907414079288</v>
      </c>
      <c r="M8" s="3">
        <f>IF(ISERROR(INDEX(A股成交额换手率测试1!$C$9:$C$200,49)),NA(),IF(INDEX(A股成交额换手率测试1!$C$9:$C$200,49)=0,NA(),INDEX(A股成交额换手率测试1!$C$9:$C$200,49)))</f>
        <v>3.59053322217781</v>
      </c>
      <c r="N8" s="3">
        <f>IF(ISERROR(INDEX(A股成交额换手率测试1!$C$9:$C$200,48)),NA(),IF(INDEX(A股成交额换手率测试1!$C$9:$C$200,48)=0,NA(),INDEX(A股成交额换手率测试1!$C$9:$C$200,48)))</f>
        <v>3.83430960882323</v>
      </c>
      <c r="O8" s="3">
        <f>IF(ISERROR(INDEX(A股成交额换手率测试1!$C$9:$C$200,47)),NA(),IF(INDEX(A股成交额换手率测试1!$C$9:$C$200,47)=0,NA(),INDEX(A股成交额换手率测试1!$C$9:$C$200,47)))</f>
        <v>3.64475955728664</v>
      </c>
      <c r="P8" s="3">
        <f>IF(ISERROR(INDEX(A股成交额换手率测试1!$C$9:$C$200,46)),NA(),IF(INDEX(A股成交额换手率测试1!$C$9:$C$200,46)=0,NA(),INDEX(A股成交额换手率测试1!$C$9:$C$200,46)))</f>
        <v>3.71677951102414</v>
      </c>
      <c r="Q8" s="3">
        <f>IF(ISERROR(INDEX(A股成交额换手率测试1!$C$9:$C$200,45)),NA(),IF(INDEX(A股成交额换手率测试1!$C$9:$C$200,45)=0,NA(),INDEX(A股成交额换手率测试1!$C$9:$C$200,45)))</f>
        <v>3.70437873134854</v>
      </c>
      <c r="R8" s="3">
        <f>IF(ISERROR(INDEX(A股成交额换手率测试1!$C$9:$C$200,44)),NA(),IF(INDEX(A股成交额换手率测试1!$C$9:$C$200,44)=0,NA(),INDEX(A股成交额换手率测试1!$C$9:$C$200,44)))</f>
        <v>3.73286319516424</v>
      </c>
      <c r="S8" s="3">
        <f>IF(ISERROR(INDEX(A股成交额换手率测试1!$C$9:$C$200,43)),NA(),IF(INDEX(A股成交额换手率测试1!$C$9:$C$200,43)=0,NA(),INDEX(A股成交额换手率测试1!$C$9:$C$200,43)))</f>
        <v>3.76384954490645</v>
      </c>
      <c r="T8" s="3">
        <f>IF(ISERROR(INDEX(A股成交额换手率测试1!$C$9:$C$200,42)),NA(),IF(INDEX(A股成交额换手率测试1!$C$9:$C$200,42)=0,NA(),INDEX(A股成交额换手率测试1!$C$9:$C$200,42)))</f>
        <v>4.23732865223239</v>
      </c>
      <c r="U8" s="3">
        <f>IF(ISERROR(INDEX(A股成交额换手率测试1!$C$9:$C$200,41)),NA(),IF(INDEX(A股成交额换手率测试1!$C$9:$C$200,41)=0,NA(),INDEX(A股成交额换手率测试1!$C$9:$C$200,41)))</f>
        <v>4.16843499852078</v>
      </c>
      <c r="V8" s="3">
        <f>IF(ISERROR(INDEX(A股成交额换手率测试1!$C$9:$C$200,40)),NA(),IF(INDEX(A股成交额换手率测试1!$C$9:$C$200,40)=0,NA(),INDEX(A股成交额换手率测试1!$C$9:$C$200,40)))</f>
        <v>4.20229367314612</v>
      </c>
      <c r="W8" s="3">
        <f>IF(ISERROR(INDEX(A股成交额换手率测试1!$C$9:$C$200,39)),NA(),IF(INDEX(A股成交额换手率测试1!$C$9:$C$200,39)=0,NA(),INDEX(A股成交额换手率测试1!$C$9:$C$200,39)))</f>
        <v>4.60800734719984</v>
      </c>
      <c r="X8" s="3">
        <f>IF(ISERROR(INDEX(A股成交额换手率测试1!$C$9:$C$200,38)),NA(),IF(INDEX(A股成交额换手率测试1!$C$9:$C$200,38)=0,NA(),INDEX(A股成交额换手率测试1!$C$9:$C$200,38)))</f>
        <v>4.22786927847743</v>
      </c>
      <c r="Y8" s="3">
        <f>IF(ISERROR(INDEX(A股成交额换手率测试1!$C$9:$C$200,37)),NA(),IF(INDEX(A股成交额换手率测试1!$C$9:$C$200,37)=0,NA(),INDEX(A股成交额换手率测试1!$C$9:$C$200,37)))</f>
        <v>4.13258618099622</v>
      </c>
      <c r="Z8" s="3">
        <f>IF(ISERROR(INDEX(A股成交额换手率测试1!$C$9:$C$200,36)),NA(),IF(INDEX(A股成交额换手率测试1!$C$9:$C$200,36)=0,NA(),INDEX(A股成交额换手率测试1!$C$9:$C$200,36)))</f>
        <v>4.26161327675736</v>
      </c>
      <c r="AA8" s="3">
        <f>IF(ISERROR(INDEX(A股成交额换手率测试1!$C$9:$C$200,35)),NA(),IF(INDEX(A股成交额换手率测试1!$C$9:$C$200,35)=0,NA(),INDEX(A股成交额换手率测试1!$C$9:$C$200,35)))</f>
        <v>4.28532100538493</v>
      </c>
      <c r="AB8" s="3">
        <f>IF(ISERROR(INDEX(A股成交额换手率测试1!$C$9:$C$200,34)),NA(),IF(INDEX(A股成交额换手率测试1!$C$9:$C$200,34)=0,NA(),INDEX(A股成交额换手率测试1!$C$9:$C$200,34)))</f>
        <v>3.90589632436989</v>
      </c>
      <c r="AC8" s="3">
        <f>IF(ISERROR(INDEX(A股成交额换手率测试1!$C$9:$C$200,33)),NA(),IF(INDEX(A股成交额换手率测试1!$C$9:$C$200,33)=0,NA(),INDEX(A股成交额换手率测试1!$C$9:$C$200,33)))</f>
        <v>3.83881526308986</v>
      </c>
      <c r="AD8" s="3">
        <f>IF(ISERROR(INDEX(A股成交额换手率测试1!$C$9:$C$200,32)),NA(),IF(INDEX(A股成交额换手率测试1!$C$9:$C$200,32)=0,NA(),INDEX(A股成交额换手率测试1!$C$9:$C$200,32)))</f>
        <v>3.84995798482907</v>
      </c>
      <c r="AE8" s="3">
        <f>IF(ISERROR(INDEX(A股成交额换手率测试1!$C$9:$C$200,31)),NA(),IF(INDEX(A股成交额换手率测试1!$C$9:$C$200,31)=0,NA(),INDEX(A股成交额换手率测试1!$C$9:$C$200,31)))</f>
        <v>4.53940160254612</v>
      </c>
      <c r="AF8" s="3">
        <f>IF(ISERROR(INDEX(A股成交额换手率测试1!$C$9:$C$200,30)),NA(),IF(INDEX(A股成交额换手率测试1!$C$9:$C$200,30)=0,NA(),INDEX(A股成交额换手率测试1!$C$9:$C$200,30)))</f>
        <v>3.81747837344469</v>
      </c>
      <c r="AG8" s="3">
        <f>IF(ISERROR(INDEX(A股成交额换手率测试1!$C$9:$C$200,29)),NA(),IF(INDEX(A股成交额换手率测试1!$C$9:$C$200,29)=0,NA(),INDEX(A股成交额换手率测试1!$C$9:$C$200,29)))</f>
        <v>4.04296709487074</v>
      </c>
      <c r="AH8" s="3">
        <f>IF(ISERROR(INDEX(A股成交额换手率测试1!$C$9:$C$200,28)),NA(),IF(INDEX(A股成交额换手率测试1!$C$9:$C$200,28)=0,NA(),INDEX(A股成交额换手率测试1!$C$9:$C$200,28)))</f>
        <v>4.00804605856649</v>
      </c>
      <c r="AI8" s="3">
        <f>IF(ISERROR(INDEX(A股成交额换手率测试1!$C$9:$C$200,27)),NA(),IF(INDEX(A股成交额换手率测试1!$C$9:$C$200,27)=0,NA(),INDEX(A股成交额换手率测试1!$C$9:$C$200,27)))</f>
        <v>3.97211720013556</v>
      </c>
      <c r="AJ8" s="3">
        <f>IF(ISERROR(INDEX(A股成交额换手率测试1!$C$9:$C$200,26)),NA(),IF(INDEX(A股成交额换手率测试1!$C$9:$C$200,26)=0,NA(),INDEX(A股成交额换手率测试1!$C$9:$C$200,26)))</f>
        <v>3.69361975116176</v>
      </c>
      <c r="AK8" s="3">
        <f>IF(ISERROR(INDEX(A股成交额换手率测试1!$C$9:$C$200,25)),NA(),IF(INDEX(A股成交额换手率测试1!$C$9:$C$200,25)=0,NA(),INDEX(A股成交额换手率测试1!$C$9:$C$200,25)))</f>
        <v>4.10286812332418</v>
      </c>
      <c r="AL8" s="3">
        <f>IF(ISERROR(INDEX(A股成交额换手率测试1!$C$9:$C$200,24)),NA(),IF(INDEX(A股成交额换手率测试1!$C$9:$C$200,24)=0,NA(),INDEX(A股成交额换手率测试1!$C$9:$C$200,24)))</f>
        <v>3.68947700538959</v>
      </c>
      <c r="AM8" s="3">
        <f>IF(ISERROR(INDEX(A股成交额换手率测试1!$C$9:$C$200,23)),NA(),IF(INDEX(A股成交额换手率测试1!$C$9:$C$200,23)=0,NA(),INDEX(A股成交额换手率测试1!$C$9:$C$200,23)))</f>
        <v>3.59524771328544</v>
      </c>
      <c r="AN8" s="3">
        <f>IF(ISERROR(INDEX(A股成交额换手率测试1!$C$9:$C$200,22)),NA(),IF(INDEX(A股成交额换手率测试1!$C$9:$C$200,22)=0,NA(),INDEX(A股成交额换手率测试1!$C$9:$C$200,22)))</f>
        <v>3.75665685273761</v>
      </c>
      <c r="AO8" s="3">
        <f>IF(ISERROR(INDEX(A股成交额换手率测试1!$C$9:$C$200,21)),NA(),IF(INDEX(A股成交额换手率测试1!$C$9:$C$200,21)=0,NA(),INDEX(A股成交额换手率测试1!$C$9:$C$200,21)))</f>
        <v>3.52475217791607</v>
      </c>
      <c r="AP8" s="3">
        <f>IF(ISERROR(INDEX(A股成交额换手率测试1!$C$9:$C$200,20)),NA(),IF(INDEX(A股成交额换手率测试1!$C$9:$C$200,20)=0,NA(),INDEX(A股成交额换手率测试1!$C$9:$C$200,20)))</f>
        <v>3.94525375212606</v>
      </c>
      <c r="AQ8" s="3">
        <f>IF(ISERROR(INDEX(A股成交额换手率测试1!$C$9:$C$200,19)),NA(),IF(INDEX(A股成交额换手率测试1!$C$9:$C$200,19)=0,NA(),INDEX(A股成交额换手率测试1!$C$9:$C$200,19)))</f>
        <v>3.84514255967394</v>
      </c>
      <c r="AR8" s="3">
        <f>IF(ISERROR(INDEX(A股成交额换手率测试1!$C$9:$C$200,18)),NA(),IF(INDEX(A股成交额换手率测试1!$C$9:$C$200,18)=0,NA(),INDEX(A股成交额换手率测试1!$C$9:$C$200,18)))</f>
        <v>3.50508725131984</v>
      </c>
      <c r="AS8" s="3">
        <f>IF(ISERROR(INDEX(A股成交额换手率测试1!$C$9:$C$200,17)),NA(),IF(INDEX(A股成交额换手率测试1!$C$9:$C$200,17)=0,NA(),INDEX(A股成交额换手率测试1!$C$9:$C$200,17)))</f>
        <v>3.53676897531473</v>
      </c>
      <c r="AT8" s="3">
        <f>IF(ISERROR(INDEX(A股成交额换手率测试1!$C$9:$C$200,16)),NA(),IF(INDEX(A股成交额换手率测试1!$C$9:$C$200,16)=0,NA(),INDEX(A股成交额换手率测试1!$C$9:$C$200,16)))</f>
        <v>3.42600876954582</v>
      </c>
      <c r="AU8" s="3">
        <f>IF(ISERROR(INDEX(A股成交额换手率测试1!$C$9:$C$200,15)),NA(),IF(INDEX(A股成交额换手率测试1!$C$9:$C$200,15)=0,NA(),INDEX(A股成交额换手率测试1!$C$9:$C$200,15)))</f>
        <v>3.86946880041035</v>
      </c>
      <c r="AV8" s="3">
        <f>IF(ISERROR(INDEX(A股成交额换手率测试1!$C$9:$C$200,14)),NA(),IF(INDEX(A股成交额换手率测试1!$C$9:$C$200,14)=0,NA(),INDEX(A股成交额换手率测试1!$C$9:$C$200,14)))</f>
        <v>3.69699400225265</v>
      </c>
      <c r="AW8" s="3">
        <f>IF(ISERROR(INDEX(A股成交额换手率测试1!$C$9:$C$200,13)),NA(),IF(INDEX(A股成交额换手率测试1!$C$9:$C$200,13)=0,NA(),INDEX(A股成交额换手率测试1!$C$9:$C$200,13)))</f>
        <v>3.72148359332026</v>
      </c>
      <c r="AX8" s="3">
        <f>IF(ISERROR(INDEX(A股成交额换手率测试1!$C$9:$C$200,12)),NA(),IF(INDEX(A股成交额换手率测试1!$C$9:$C$200,12)=0,NA(),INDEX(A股成交额换手率测试1!$C$9:$C$200,12)))</f>
        <v>3.71598112136493</v>
      </c>
      <c r="AY8" s="3">
        <f>IF(ISERROR(INDEX(A股成交额换手率测试1!$C$9:$C$200,11)),NA(),IF(INDEX(A股成交额换手率测试1!$C$9:$C$200,11)=0,NA(),INDEX(A股成交额换手率测试1!$C$9:$C$200,11)))</f>
        <v>3.76542360869424</v>
      </c>
      <c r="AZ8" s="3">
        <f>IF(ISERROR(INDEX(A股成交额换手率测试1!$C$9:$C$200,10)),NA(),IF(INDEX(A股成交额换手率测试1!$C$9:$C$200,10)=0,NA(),INDEX(A股成交额换手率测试1!$C$9:$C$200,10)))</f>
        <v>4.31615055149878</v>
      </c>
      <c r="BA8" s="3">
        <f>IF(ISERROR(INDEX(A股成交额换手率测试1!$C$9:$C$200,9)),NA(),IF(INDEX(A股成交额换手率测试1!$C$9:$C$200,9)=0,NA(),INDEX(A股成交额换手率测试1!$C$9:$C$200,9)))</f>
        <v>3.99245149505039</v>
      </c>
      <c r="BB8" s="3">
        <f>IF(ISERROR(INDEX(A股成交额换手率测试1!$C$9:$C$200,8)),NA(),IF(INDEX(A股成交额换手率测试1!$C$9:$C$200,8)=0,NA(),INDEX(A股成交额换手率测试1!$C$9:$C$200,8)))</f>
        <v>3.86137268484111</v>
      </c>
      <c r="BC8" s="3">
        <f>IF(ISERROR(INDEX(A股成交额换手率测试1!$C$9:$C$200,7)),NA(),IF(INDEX(A股成交额换手率测试1!$C$9:$C$200,7)=0,NA(),INDEX(A股成交额换手率测试1!$C$9:$C$200,7)))</f>
        <v>4.00149198675832</v>
      </c>
      <c r="BD8" s="3">
        <f>IF(ISERROR(INDEX(A股成交额换手率测试1!$C$9:$C$200,6)),NA(),IF(INDEX(A股成交额换手率测试1!$C$9:$C$200,6)=0,NA(),INDEX(A股成交额换手率测试1!$C$9:$C$200,6)))</f>
        <v>3.89770648630909</v>
      </c>
      <c r="BE8" s="3">
        <f>IF(ISERROR(INDEX(A股成交额换手率测试1!$C$9:$C$200,5)),NA(),IF(INDEX(A股成交额换手率测试1!$C$9:$C$200,5)=0,NA(),INDEX(A股成交额换手率测试1!$C$9:$C$200,5)))</f>
        <v>4.00564250832244</v>
      </c>
      <c r="BF8" s="3">
        <f>IF(ISERROR(INDEX(A股成交额换手率测试1!$C$9:$C$200,4)),NA(),IF(INDEX(A股成交额换手率测试1!$C$9:$C$200,4)=0,NA(),INDEX(A股成交额换手率测试1!$C$9:$C$200,4)))</f>
        <v>3.68132997815146</v>
      </c>
      <c r="BG8" s="3">
        <f>IF(ISERROR(INDEX(A股成交额换手率测试1!$C$9:$C$200,3)),NA(),IF(INDEX(A股成交额换手率测试1!$C$9:$C$200,3)=0,NA(),INDEX(A股成交额换手率测试1!$C$9:$C$200,3)))</f>
        <v>4.1691026207898</v>
      </c>
      <c r="BH8" s="3">
        <f>IF(ISERROR(INDEX(A股成交额换手率测试1!$C$9:$C$200,2)),NA(),IF(INDEX(A股成交额换手率测试1!$C$9:$C$200,2)=0,NA(),INDEX(A股成交额换手率测试1!$C$9:$C$200,2)))</f>
        <v>4.02405640275316</v>
      </c>
      <c r="BI8" s="3">
        <f>IF(ISERROR(INDEX(A股成交额换手率测试1!$C$9:$C$200,1)),NA(),IF(INDEX(A股成交额换手率测试1!$C$9:$C$200,1)=0,NA(),INDEX(A股成交额换手率测试1!$C$9:$C$200,1)))</f>
        <v>3.84540364864079</v>
      </c>
    </row>
    <row r="9" ht="15" customHeight="1" spans="1:61">
      <c r="A9" s="1" t="s">
        <v>26</v>
      </c>
      <c r="B9" s="2">
        <f ca="1">IF(ISERROR(INDEX(指数走势!$F$8:$IV$8,1,MATCH(TODAY(),指数走势!$F$1:$IV$1,1)-60+1)),NA(),IF(INDEX(指数走势!$F$8:$IV$8,1,MATCH(TODAY(),指数走势!$F$1:$IV$1,1)-60+1)=0,NA(),INDEX(指数走势!$F$8:$IV$8,1,MATCH(TODAY(),指数走势!$F$1:$IV$1,1)-60+1)))</f>
        <v>25893.02</v>
      </c>
      <c r="C9" s="2">
        <f ca="1">IF(ISERROR(INDEX(指数走势!$F$8:$IV$8,1,MATCH(TODAY(),指数走势!$F$1:$IV$1,1)-60+2)),NA(),IF(INDEX(指数走势!$F$8:$IV$8,1,MATCH(TODAY(),指数走势!$F$1:$IV$1,1)-60+2)=0,NA(),INDEX(指数走势!$F$8:$IV$8,1,MATCH(TODAY(),指数走势!$F$1:$IV$1,1)-60+2)))</f>
        <v>25752.4</v>
      </c>
      <c r="D9" s="2">
        <f ca="1">IF(ISERROR(INDEX(指数走势!$F$8:$IV$8,1,MATCH(TODAY(),指数走势!$F$1:$IV$1,1)-60+3)),NA(),IF(INDEX(指数走势!$F$8:$IV$8,1,MATCH(TODAY(),指数走势!$F$1:$IV$1,1)-60+3)=0,NA(),INDEX(指数走势!$F$8:$IV$8,1,MATCH(TODAY(),指数走势!$F$1:$IV$1,1)-60+3)))</f>
        <v>25893.54</v>
      </c>
      <c r="E9" s="2">
        <f ca="1">IF(ISERROR(INDEX(指数走势!$F$8:$IV$8,1,MATCH(TODAY(),指数走势!$F$1:$IV$1,1)-60+4)),NA(),IF(INDEX(指数走势!$F$8:$IV$8,1,MATCH(TODAY(),指数走势!$F$1:$IV$1,1)-60+4)=0,NA(),INDEX(指数走势!$F$8:$IV$8,1,MATCH(TODAY(),指数走势!$F$1:$IV$1,1)-60+4)))</f>
        <v>25660.85</v>
      </c>
      <c r="F9" s="2">
        <f ca="1">IF(ISERROR(INDEX(指数走势!$F$8:$IV$8,1,MATCH(TODAY(),指数走势!$F$1:$IV$1,1)-60+5)),NA(),IF(INDEX(指数走势!$F$8:$IV$8,1,MATCH(TODAY(),指数走势!$F$1:$IV$1,1)-60+5)=0,NA(),INDEX(指数走势!$F$8:$IV$8,1,MATCH(TODAY(),指数走势!$F$1:$IV$1,1)-60+5)))</f>
        <v>25872.32</v>
      </c>
      <c r="G9" s="2">
        <f ca="1">IF(ISERROR(INDEX(指数走势!$F$8:$IV$8,1,MATCH(TODAY(),指数走势!$F$1:$IV$1,1)-60+6)),NA(),IF(INDEX(指数走势!$F$8:$IV$8,1,MATCH(TODAY(),指数走势!$F$1:$IV$1,1)-60+6)=0,NA(),INDEX(指数走势!$F$8:$IV$8,1,MATCH(TODAY(),指数走势!$F$1:$IV$1,1)-60+6)))</f>
        <v>25947.32</v>
      </c>
      <c r="H9" s="2">
        <f ca="1">IF(ISERROR(INDEX(指数走势!$F$8:$IV$8,1,MATCH(TODAY(),指数走势!$F$1:$IV$1,1)-60+7)),NA(),IF(INDEX(指数走势!$F$8:$IV$8,1,MATCH(TODAY(),指数走势!$F$1:$IV$1,1)-60+7)=0,NA(),INDEX(指数走势!$F$8:$IV$8,1,MATCH(TODAY(),指数走势!$F$1:$IV$1,1)-60+7)))</f>
        <v>26394.26</v>
      </c>
      <c r="I9" s="2">
        <f ca="1">IF(ISERROR(INDEX(指数走势!$F$8:$IV$8,1,MATCH(TODAY(),指数走势!$F$1:$IV$1,1)-60+8)),NA(),IF(INDEX(指数走势!$F$8:$IV$8,1,MATCH(TODAY(),指数走势!$F$1:$IV$1,1)-60+8)=0,NA(),INDEX(指数走势!$F$8:$IV$8,1,MATCH(TODAY(),指数走势!$F$1:$IV$1,1)-60+8)))</f>
        <v>26160.33</v>
      </c>
      <c r="J9" s="2">
        <f ca="1">IF(ISERROR(INDEX(指数走势!$F$8:$IV$8,1,MATCH(TODAY(),指数走势!$F$1:$IV$1,1)-60+9)),NA(),IF(INDEX(指数走势!$F$8:$IV$8,1,MATCH(TODAY(),指数走势!$F$1:$IV$1,1)-60+9)=0,NA(),INDEX(指数走势!$F$8:$IV$8,1,MATCH(TODAY(),指数走势!$F$1:$IV$1,1)-60+9)))</f>
        <v>26361.07</v>
      </c>
      <c r="K9" s="2">
        <f ca="1">IF(ISERROR(INDEX(指数走势!$F$8:$IV$8,1,MATCH(TODAY(),指数走势!$F$1:$IV$1,1)-60+10)),NA(),IF(INDEX(指数走势!$F$8:$IV$8,1,MATCH(TODAY(),指数走势!$F$1:$IV$1,1)-60+10)=0,NA(),INDEX(指数走势!$F$8:$IV$8,1,MATCH(TODAY(),指数走势!$F$1:$IV$1,1)-60+10)))</f>
        <v>26487.48</v>
      </c>
      <c r="L9" s="2">
        <f ca="1">IF(ISERROR(INDEX(指数走势!$F$8:$IV$8,1,MATCH(TODAY(),指数走势!$F$1:$IV$1,1)-60+11)),NA(),IF(INDEX(指数走势!$F$8:$IV$8,1,MATCH(TODAY(),指数走势!$F$1:$IV$1,1)-60+11)=0,NA(),INDEX(指数走势!$F$8:$IV$8,1,MATCH(TODAY(),指数走势!$F$1:$IV$1,1)-60+11)))</f>
        <v>26163.24</v>
      </c>
      <c r="M9" s="2">
        <f ca="1">IF(ISERROR(INDEX(指数走势!$F$8:$IV$8,1,MATCH(TODAY(),指数走势!$F$1:$IV$1,1)-60+12)),NA(),IF(INDEX(指数走势!$F$8:$IV$8,1,MATCH(TODAY(),指数走势!$F$1:$IV$1,1)-60+12)=0,NA(),INDEX(指数走势!$F$8:$IV$8,1,MATCH(TODAY(),指数走势!$F$1:$IV$1,1)-60+12)))</f>
        <v>25915.2</v>
      </c>
      <c r="N9" s="2">
        <f ca="1">IF(ISERROR(INDEX(指数走势!$F$8:$IV$8,1,MATCH(TODAY(),指数走势!$F$1:$IV$1,1)-60+13)),NA(),IF(INDEX(指数走势!$F$8:$IV$8,1,MATCH(TODAY(),指数走势!$F$1:$IV$1,1)-60+13)=0,NA(),INDEX(指数走势!$F$8:$IV$8,1,MATCH(TODAY(),指数走势!$F$1:$IV$1,1)-60+13)))</f>
        <v>25978.07</v>
      </c>
      <c r="O9" s="2">
        <f ca="1">IF(ISERROR(INDEX(指数走势!$F$8:$IV$8,1,MATCH(TODAY(),指数走势!$F$1:$IV$1,1)-60+14)),NA(),IF(INDEX(指数走势!$F$8:$IV$8,1,MATCH(TODAY(),指数走势!$F$1:$IV$1,1)-60+14)=0,NA(),INDEX(指数走势!$F$8:$IV$8,1,MATCH(TODAY(),指数走势!$F$1:$IV$1,1)-60+14)))</f>
        <v>25925.65</v>
      </c>
      <c r="P9" s="2">
        <f ca="1">IF(ISERROR(INDEX(指数走势!$F$8:$IV$8,1,MATCH(TODAY(),指数走势!$F$1:$IV$1,1)-60+15)),NA(),IF(INDEX(指数走势!$F$8:$IV$8,1,MATCH(TODAY(),指数走势!$F$1:$IV$1,1)-60+15)=0,NA(),INDEX(指数走势!$F$8:$IV$8,1,MATCH(TODAY(),指数走势!$F$1:$IV$1,1)-60+15)))</f>
        <v>25679.78</v>
      </c>
      <c r="Q9" s="2">
        <f ca="1">IF(ISERROR(INDEX(指数走势!$F$8:$IV$8,1,MATCH(TODAY(),指数走势!$F$1:$IV$1,1)-60+16)),NA(),IF(INDEX(指数走势!$F$8:$IV$8,1,MATCH(TODAY(),指数走势!$F$1:$IV$1,1)-60+16)=0,NA(),INDEX(指数走势!$F$8:$IV$8,1,MATCH(TODAY(),指数走势!$F$1:$IV$1,1)-60+16)))</f>
        <v>26111.84</v>
      </c>
      <c r="R9" s="2">
        <f ca="1">IF(ISERROR(INDEX(指数走势!$F$8:$IV$8,1,MATCH(TODAY(),指数走势!$F$1:$IV$1,1)-60+17)),NA(),IF(INDEX(指数走势!$F$8:$IV$8,1,MATCH(TODAY(),指数走势!$F$1:$IV$1,1)-60+17)=0,NA(),INDEX(指数走势!$F$8:$IV$8,1,MATCH(TODAY(),指数走势!$F$1:$IV$1,1)-60+17)))</f>
        <v>25776.53</v>
      </c>
      <c r="S9" s="2">
        <f ca="1">IF(ISERROR(INDEX(指数走势!$F$8:$IV$8,1,MATCH(TODAY(),指数走势!$F$1:$IV$1,1)-60+18)),NA(),IF(INDEX(指数走势!$F$8:$IV$8,1,MATCH(TODAY(),指数走势!$F$1:$IV$1,1)-60+18)=0,NA(),INDEX(指数走势!$F$8:$IV$8,1,MATCH(TODAY(),指数走势!$F$1:$IV$1,1)-60+18)))</f>
        <v>26213.78</v>
      </c>
      <c r="T9" s="2">
        <f ca="1">IF(ISERROR(INDEX(指数走势!$F$8:$IV$8,1,MATCH(TODAY(),指数走势!$F$1:$IV$1,1)-60+19)),NA(),IF(INDEX(指数走势!$F$8:$IV$8,1,MATCH(TODAY(),指数走势!$F$1:$IV$1,1)-60+19)=0,NA(),INDEX(指数走势!$F$8:$IV$8,1,MATCH(TODAY(),指数走势!$F$1:$IV$1,1)-60+19)))</f>
        <v>26626.28</v>
      </c>
      <c r="U9" s="2">
        <f ca="1">IF(ISERROR(INDEX(指数走势!$F$8:$IV$8,1,MATCH(TODAY(),指数走势!$F$1:$IV$1,1)-60+20)),NA(),IF(INDEX(指数走势!$F$8:$IV$8,1,MATCH(TODAY(),指数走势!$F$1:$IV$1,1)-60+20)=0,NA(),INDEX(指数走势!$F$8:$IV$8,1,MATCH(TODAY(),指数走势!$F$1:$IV$1,1)-60+20)))</f>
        <v>26393.71</v>
      </c>
      <c r="V9" s="2">
        <f ca="1">IF(ISERROR(INDEX(指数走势!$F$8:$IV$8,1,MATCH(TODAY(),指数走势!$F$1:$IV$1,1)-60+21)),NA(),IF(INDEX(指数走势!$F$8:$IV$8,1,MATCH(TODAY(),指数走势!$F$1:$IV$1,1)-60+21)=0,NA(),INDEX(指数走势!$F$8:$IV$8,1,MATCH(TODAY(),指数走势!$F$1:$IV$1,1)-60+21)))</f>
        <v>26406.84</v>
      </c>
      <c r="W9" s="2">
        <f ca="1">IF(ISERROR(INDEX(指数走势!$F$8:$IV$8,1,MATCH(TODAY(),指数走势!$F$1:$IV$1,1)-60+22)),NA(),IF(INDEX(指数走势!$F$8:$IV$8,1,MATCH(TODAY(),指数走势!$F$1:$IV$1,1)-60+22)=0,NA(),INDEX(指数走势!$F$8:$IV$8,1,MATCH(TODAY(),指数走势!$F$1:$IV$1,1)-60+22)))</f>
        <v>26347.91</v>
      </c>
      <c r="X9" s="2">
        <f ca="1">IF(ISERROR(INDEX(指数走势!$F$8:$IV$8,1,MATCH(TODAY(),指数走势!$F$1:$IV$1,1)-60+23)),NA(),IF(INDEX(指数走势!$F$8:$IV$8,1,MATCH(TODAY(),指数走势!$F$1:$IV$1,1)-60+23)=0,NA(),INDEX(指数走势!$F$8:$IV$8,1,MATCH(TODAY(),指数走势!$F$1:$IV$1,1)-60+23)))</f>
        <v>26388.44</v>
      </c>
      <c r="Y9" s="2">
        <f ca="1">IF(ISERROR(INDEX(指数走势!$F$8:$IV$8,1,MATCH(TODAY(),指数走势!$F$1:$IV$1,1)-60+24)),NA(),IF(INDEX(指数走势!$F$8:$IV$8,1,MATCH(TODAY(),指数走势!$F$1:$IV$1,1)-60+24)=0,NA(),INDEX(指数走势!$F$8:$IV$8,1,MATCH(TODAY(),指数走势!$F$1:$IV$1,1)-60+24)))</f>
        <v>26389.04</v>
      </c>
      <c r="Z9" s="2">
        <f ca="1">IF(ISERROR(INDEX(指数走势!$F$8:$IV$8,1,MATCH(TODAY(),指数走势!$F$1:$IV$1,1)-60+25)),NA(),IF(INDEX(指数走势!$F$8:$IV$8,1,MATCH(TODAY(),指数走势!$F$1:$IV$1,1)-60+25)=0,NA(),INDEX(指数走势!$F$8:$IV$8,1,MATCH(TODAY(),指数走势!$F$1:$IV$1,1)-60+25)))</f>
        <v>25962.73</v>
      </c>
      <c r="AA9" s="2">
        <f ca="1">IF(ISERROR(INDEX(指数走势!$F$8:$IV$8,1,MATCH(TODAY(),指数走势!$F$1:$IV$1,1)-60+26)),NA(),IF(INDEX(指数走势!$F$8:$IV$8,1,MATCH(TODAY(),指数走势!$F$1:$IV$1,1)-60+26)=0,NA(),INDEX(指数走势!$F$8:$IV$8,1,MATCH(TODAY(),指数走势!$F$1:$IV$1,1)-60+26)))</f>
        <v>25675.18</v>
      </c>
      <c r="AB9" s="2">
        <f ca="1">IF(ISERROR(INDEX(指数走势!$F$8:$IV$8,1,MATCH(TODAY(),指数走势!$F$1:$IV$1,1)-60+27)),NA(),IF(INDEX(指数走势!$F$8:$IV$8,1,MATCH(TODAY(),指数走势!$F$1:$IV$1,1)-60+27)=0,NA(),INDEX(指数走势!$F$8:$IV$8,1,MATCH(TODAY(),指数走势!$F$1:$IV$1,1)-60+27)))</f>
        <v>25797.85</v>
      </c>
      <c r="AC9" s="2">
        <f ca="1">IF(ISERROR(INDEX(指数走势!$F$8:$IV$8,1,MATCH(TODAY(),指数走势!$F$1:$IV$1,1)-60+28)),NA(),IF(INDEX(指数走势!$F$8:$IV$8,1,MATCH(TODAY(),指数走势!$F$1:$IV$1,1)-60+28)=0,NA(),INDEX(指数走势!$F$8:$IV$8,1,MATCH(TODAY(),指数走势!$F$1:$IV$1,1)-60+28)))</f>
        <v>25651.12</v>
      </c>
      <c r="AD9" s="2">
        <f ca="1">IF(ISERROR(INDEX(指数走势!$F$8:$IV$8,1,MATCH(TODAY(),指数走势!$F$1:$IV$1,1)-60+29)),NA(),IF(INDEX(指数走势!$F$8:$IV$8,1,MATCH(TODAY(),指数走势!$F$1:$IV$1,1)-60+29)=0,NA(),INDEX(指数走势!$F$8:$IV$8,1,MATCH(TODAY(),指数走势!$F$1:$IV$1,1)-60+29)))</f>
        <v>25386.52</v>
      </c>
      <c r="AE9" s="2">
        <f ca="1">IF(ISERROR(INDEX(指数走势!$F$8:$IV$8,1,MATCH(TODAY(),指数走势!$F$1:$IV$1,1)-60+30)),NA(),IF(INDEX(指数走势!$F$8:$IV$8,1,MATCH(TODAY(),指数走势!$F$1:$IV$1,1)-60+30)=0,NA(),INDEX(指数走势!$F$8:$IV$8,1,MATCH(TODAY(),指数走势!$F$1:$IV$1,1)-60+30)))</f>
        <v>25606.03</v>
      </c>
      <c r="AF9" s="2" t="e">
        <f ca="1">IF(ISERROR(INDEX(指数走势!$F$8:$IV$8,1,MATCH(TODAY(),指数走势!$F$1:$IV$1,1)-60+31)),NA(),IF(INDEX(指数走势!$F$8:$IV$8,1,MATCH(TODAY(),指数走势!$F$1:$IV$1,1)-60+31)=0,NA(),INDEX(指数走势!$F$8:$IV$8,1,MATCH(TODAY(),指数走势!$F$1:$IV$1,1)-60+31)))</f>
        <v>#N/A</v>
      </c>
      <c r="AG9" s="2">
        <f ca="1">IF(ISERROR(INDEX(指数走势!$F$8:$IV$8,1,MATCH(TODAY(),指数走势!$F$1:$IV$1,1)-60+32)),NA(),IF(INDEX(指数走势!$F$8:$IV$8,1,MATCH(TODAY(),指数走势!$F$1:$IV$1,1)-60+32)=0,NA(),INDEX(指数走势!$F$8:$IV$8,1,MATCH(TODAY(),指数走势!$F$1:$IV$1,1)-60+32)))</f>
        <v>25599.45</v>
      </c>
      <c r="AH9" s="2">
        <f ca="1">IF(ISERROR(INDEX(指数走势!$F$8:$IV$8,1,MATCH(TODAY(),指数走势!$F$1:$IV$1,1)-60+33)),NA(),IF(INDEX(指数走势!$F$8:$IV$8,1,MATCH(TODAY(),指数走势!$F$1:$IV$1,1)-60+33)=0,NA(),INDEX(指数走势!$F$8:$IV$8,1,MATCH(TODAY(),指数走势!$F$1:$IV$1,1)-60+33)))</f>
        <v>25328.23</v>
      </c>
      <c r="AI9" s="2">
        <f ca="1">IF(ISERROR(INDEX(指数走势!$F$8:$IV$8,1,MATCH(TODAY(),指数走势!$F$1:$IV$1,1)-60+34)),NA(),IF(INDEX(指数走势!$F$8:$IV$8,1,MATCH(TODAY(),指数走势!$F$1:$IV$1,1)-60+34)=0,NA(),INDEX(指数走势!$F$8:$IV$8,1,MATCH(TODAY(),指数走势!$F$1:$IV$1,1)-60+34)))</f>
        <v>25006.16</v>
      </c>
      <c r="AJ9">
        <f ca="1">IF(ISERROR(INDEX(指数走势!$F$8:$IV$8,1,MATCH(TODAY(),指数走势!$F$1:$IV$1,1)-60+35)),NA(),IF(INDEX(指数走势!$F$8:$IV$8,1,MATCH(TODAY(),指数走势!$F$1:$IV$1,1)-60+35)=0,NA(),INDEX(指数走势!$F$8:$IV$8,1,MATCH(TODAY(),指数走势!$F$1:$IV$1,1)-60+35)))</f>
        <v>25182.39</v>
      </c>
      <c r="AK9">
        <f ca="1">IF(ISERROR(INDEX(指数走势!$F$8:$IV$8,1,MATCH(TODAY(),指数走势!$F$1:$IV$1,1)-60+36)),NA(),IF(INDEX(指数走势!$F$8:$IV$8,1,MATCH(TODAY(),指数走势!$F$1:$IV$1,1)-60+36)=0,NA(),INDEX(指数走势!$F$8:$IV$8,1,MATCH(TODAY(),指数走势!$F$1:$IV$1,1)-60+36)))</f>
        <v>25398.18</v>
      </c>
      <c r="AL9" s="2">
        <f ca="1">IF(ISERROR(INDEX(指数走势!$F$8:$IV$8,1,MATCH(TODAY(),指数走势!$F$1:$IV$1,1)-60+37)),NA(),IF(INDEX(指数走势!$F$8:$IV$8,1,MATCH(TODAY(),指数走势!$F$1:$IV$1,1)-60+37)=0,NA(),INDEX(指数走势!$F$8:$IV$8,1,MATCH(TODAY(),指数走势!$F$1:$IV$1,1)-60+37)))</f>
        <v>26038.32</v>
      </c>
      <c r="AM9" s="2">
        <f ca="1">IF(ISERROR(INDEX(指数走势!$F$8:$IV$8,1,MATCH(TODAY(),指数走势!$F$1:$IV$1,1)-60+38)),NA(),IF(INDEX(指数走势!$F$8:$IV$8,1,MATCH(TODAY(),指数走势!$F$1:$IV$1,1)-60+38)=0,NA(),INDEX(指数走势!$F$8:$IV$8,1,MATCH(TODAY(),指数走势!$F$1:$IV$1,1)-60+38)))</f>
        <v>25633.21</v>
      </c>
      <c r="AN9" s="2">
        <f ca="1">IF(ISERROR(INDEX(指数走势!$F$8:$IV$8,1,MATCH(TODAY(),指数走势!$F$1:$IV$1,1)-60+39)),NA(),IF(INDEX(指数走势!$F$8:$IV$8,1,MATCH(TODAY(),指数走势!$F$1:$IV$1,1)-60+39)=0,NA(),INDEX(指数走势!$F$8:$IV$8,1,MATCH(TODAY(),指数走势!$F$1:$IV$1,1)-60+39)))</f>
        <v>25253.4</v>
      </c>
      <c r="AO9" s="2">
        <f ca="1">IF(ISERROR(INDEX(指数走势!$F$8:$IV$8,1,MATCH(TODAY(),指数走势!$F$1:$IV$1,1)-60+40)),NA(),IF(INDEX(指数走势!$F$8:$IV$8,1,MATCH(TODAY(),指数走势!$F$1:$IV$1,1)-60+40)=0,NA(),INDEX(指数走势!$F$8:$IV$8,1,MATCH(TODAY(),指数走势!$F$1:$IV$1,1)-60+40)))</f>
        <v>24961.95</v>
      </c>
      <c r="AP9" s="2">
        <f ca="1">IF(ISERROR(INDEX(指数走势!$F$8:$IV$8,1,MATCH(TODAY(),指数走势!$F$1:$IV$1,1)-60+41)),NA(),IF(INDEX(指数走势!$F$8:$IV$8,1,MATCH(TODAY(),指数走势!$F$1:$IV$1,1)-60+41)=0,NA(),INDEX(指数走势!$F$8:$IV$8,1,MATCH(TODAY(),指数走势!$F$1:$IV$1,1)-60+41)))</f>
        <v>24657.06</v>
      </c>
      <c r="AQ9" s="2">
        <f ca="1">IF(ISERROR(INDEX(指数走势!$F$8:$IV$8,1,MATCH(TODAY(),指数走势!$F$1:$IV$1,1)-60+42)),NA(),IF(INDEX(指数走势!$F$8:$IV$8,1,MATCH(TODAY(),指数走势!$F$1:$IV$1,1)-60+42)=0,NA(),INDEX(指数走势!$F$8:$IV$8,1,MATCH(TODAY(),指数走势!$F$1:$IV$1,1)-60+42)))</f>
        <v>24565.9</v>
      </c>
      <c r="AR9" s="2">
        <f ca="1">IF(ISERROR(INDEX(指数走势!$F$8:$IV$8,1,MATCH(TODAY(),指数走势!$F$1:$IV$1,1)-60+43)),NA(),IF(INDEX(指数走势!$F$8:$IV$8,1,MATCH(TODAY(),指数走势!$F$1:$IV$1,1)-60+43)=0,NA(),INDEX(指数走势!$F$8:$IV$8,1,MATCH(TODAY(),指数走势!$F$1:$IV$1,1)-60+43)))</f>
        <v>24407.96</v>
      </c>
      <c r="AS9" s="2">
        <f ca="1">IF(ISERROR(INDEX(指数走势!$F$8:$IV$8,1,MATCH(TODAY(),指数走势!$F$1:$IV$1,1)-60+44)),NA(),IF(INDEX(指数走势!$F$8:$IV$8,1,MATCH(TODAY(),指数走势!$F$1:$IV$1,1)-60+44)=0,NA(),INDEX(指数走势!$F$8:$IV$8,1,MATCH(TODAY(),指数走势!$F$1:$IV$1,1)-60+44)))</f>
        <v>24249.29</v>
      </c>
      <c r="AT9" s="2">
        <f ca="1">IF(ISERROR(INDEX(指数走势!$F$8:$IV$8,1,MATCH(TODAY(),指数走势!$F$1:$IV$1,1)-60+45)),NA(),IF(INDEX(指数走势!$F$8:$IV$8,1,MATCH(TODAY(),指数走势!$F$1:$IV$1,1)-60+45)=0,NA(),INDEX(指数走势!$F$8:$IV$8,1,MATCH(TODAY(),指数走势!$F$1:$IV$1,1)-60+45)))</f>
        <v>24718.1</v>
      </c>
      <c r="AU9" s="2">
        <f ca="1">IF(ISERROR(INDEX(指数走势!$F$8:$IV$8,1,MATCH(TODAY(),指数走势!$F$1:$IV$1,1)-60+46)),NA(),IF(INDEX(指数走势!$F$8:$IV$8,1,MATCH(TODAY(),指数走势!$F$1:$IV$1,1)-60+46)=0,NA(),INDEX(指数走势!$F$8:$IV$8,1,MATCH(TODAY(),指数走势!$F$1:$IV$1,1)-60+46)))</f>
        <v>24842.67</v>
      </c>
      <c r="AV9" s="2">
        <f ca="1">IF(ISERROR(INDEX(指数走势!$F$8:$IV$8,1,MATCH(TODAY(),指数走势!$F$1:$IV$1,1)-60+47)),NA(),IF(INDEX(指数走势!$F$8:$IV$8,1,MATCH(TODAY(),指数走势!$F$1:$IV$1,1)-60+47)=0,NA(),INDEX(指数走势!$F$8:$IV$8,1,MATCH(TODAY(),指数走势!$F$1:$IV$1,1)-60+47)))</f>
        <v>24493.95</v>
      </c>
      <c r="AW9" s="2">
        <f ca="1">IF(ISERROR(INDEX(指数走势!$F$8:$IV$8,1,MATCH(TODAY(),指数走势!$F$1:$IV$1,1)-60+48)),NA(),IF(INDEX(指数走势!$F$8:$IV$8,1,MATCH(TODAY(),指数走势!$F$1:$IV$1,1)-60+48)=0,NA(),INDEX(指数走势!$F$8:$IV$8,1,MATCH(TODAY(),指数走势!$F$1:$IV$1,1)-60+48)))</f>
        <v>24312.16</v>
      </c>
      <c r="AX9" s="2">
        <f ca="1">IF(ISERROR(INDEX(指数走势!$F$8:$IV$8,1,MATCH(TODAY(),指数走势!$F$1:$IV$1,1)-60+49)),NA(),IF(INDEX(指数走势!$F$8:$IV$8,1,MATCH(TODAY(),指数走势!$F$1:$IV$1,1)-60+49)=0,NA(),INDEX(指数走势!$F$8:$IV$8,1,MATCH(TODAY(),指数走势!$F$1:$IV$1,1)-60+49)))</f>
        <v>23924.81</v>
      </c>
      <c r="AY9" s="2">
        <f ca="1">IF(ISERROR(INDEX(指数走势!$F$8:$IV$8,1,MATCH(TODAY(),指数走势!$F$1:$IV$1,1)-60+50)),NA(),IF(INDEX(指数走势!$F$8:$IV$8,1,MATCH(TODAY(),指数走势!$F$1:$IV$1,1)-60+50)=0,NA(),INDEX(指数走势!$F$8:$IV$8,1,MATCH(TODAY(),指数走势!$F$1:$IV$1,1)-60+50)))</f>
        <v>23768.52</v>
      </c>
      <c r="AZ9" s="2">
        <f ca="1">IF(ISERROR(INDEX(指数走势!$F$8:$IV$8,1,MATCH(TODAY(),指数走势!$F$1:$IV$1,1)-60+51)),NA(),IF(INDEX(指数走势!$F$8:$IV$8,1,MATCH(TODAY(),指数走势!$F$1:$IV$1,1)-60+51)=0,NA(),INDEX(指数走势!$F$8:$IV$8,1,MATCH(TODAY(),指数走势!$F$1:$IV$1,1)-60+51)))</f>
        <v>23336.28</v>
      </c>
      <c r="BA9" s="2">
        <f ca="1">IF(ISERROR(INDEX(指数走势!$F$8:$IV$8,1,MATCH(TODAY(),指数走势!$F$1:$IV$1,1)-60+52)),NA(),IF(INDEX(指数走势!$F$8:$IV$8,1,MATCH(TODAY(),指数走势!$F$1:$IV$1,1)-60+52)=0,NA(),INDEX(指数走势!$F$8:$IV$8,1,MATCH(TODAY(),指数走势!$F$1:$IV$1,1)-60+52)))</f>
        <v>23412.18</v>
      </c>
      <c r="BB9" s="2">
        <f ca="1">IF(ISERROR(INDEX(指数走势!$F$8:$IV$8,1,MATCH(TODAY(),指数走势!$F$1:$IV$1,1)-60+53)),NA(),IF(INDEX(指数走势!$F$8:$IV$8,1,MATCH(TODAY(),指数走势!$F$1:$IV$1,1)-60+53)=0,NA(),INDEX(指数走势!$F$8:$IV$8,1,MATCH(TODAY(),指数走势!$F$1:$IV$1,1)-60+53)))</f>
        <v>23076.91</v>
      </c>
      <c r="BC9" s="2">
        <f ca="1">IF(ISERROR(INDEX(指数走势!$F$8:$IV$8,1,MATCH(TODAY(),指数走势!$F$1:$IV$1,1)-60+54)),NA(),IF(INDEX(指数走势!$F$8:$IV$8,1,MATCH(TODAY(),指数走势!$F$1:$IV$1,1)-60+54)=0,NA(),INDEX(指数走势!$F$8:$IV$8,1,MATCH(TODAY(),指数走势!$F$1:$IV$1,1)-60+54)))</f>
        <v>22671.86</v>
      </c>
      <c r="BD9" s="2">
        <f ca="1">IF(ISERROR(INDEX(指数走势!$F$8:$IV$8,1,MATCH(TODAY(),指数走势!$F$1:$IV$1,1)-60+55)),NA(),IF(INDEX(指数走势!$F$8:$IV$8,1,MATCH(TODAY(),指数走势!$F$1:$IV$1,1)-60+55)=0,NA(),INDEX(指数走势!$F$8:$IV$8,1,MATCH(TODAY(),指数走势!$F$1:$IV$1,1)-60+55)))</f>
        <v>23026.68</v>
      </c>
      <c r="BE9" s="2">
        <f ca="1">IF(ISERROR(INDEX(指数走势!$F$8:$IV$8,1,MATCH(TODAY(),指数走势!$F$1:$IV$1,1)-60+56)),NA(),IF(INDEX(指数走势!$F$8:$IV$8,1,MATCH(TODAY(),指数走势!$F$1:$IV$1,1)-60+56)=0,NA(),INDEX(指数走势!$F$8:$IV$8,1,MATCH(TODAY(),指数走势!$F$1:$IV$1,1)-60+56)))</f>
        <v>22881.02</v>
      </c>
      <c r="BF9" s="2" t="e">
        <f ca="1">IF(ISERROR(INDEX(指数走势!$F$8:$IV$8,1,MATCH(TODAY(),指数走势!$F$1:$IV$1,1)-60+57)),NA(),IF(INDEX(指数走势!$F$8:$IV$8,1,MATCH(TODAY(),指数走势!$F$1:$IV$1,1)-60+57)=0,NA(),INDEX(指数走势!$F$8:$IV$8,1,MATCH(TODAY(),指数走势!$F$1:$IV$1,1)-60+57)))</f>
        <v>#N/A</v>
      </c>
      <c r="BG9" s="2">
        <f ca="1">IF(ISERROR(INDEX(指数走势!$F$8:$IV$8,1,MATCH(TODAY(),指数走势!$F$1:$IV$1,1)-60+58)),NA(),IF(INDEX(指数走势!$F$8:$IV$8,1,MATCH(TODAY(),指数走势!$F$1:$IV$1,1)-60+58)=0,NA(),INDEX(指数走势!$F$8:$IV$8,1,MATCH(TODAY(),指数走势!$F$1:$IV$1,1)-60+58)))</f>
        <v>23055.03</v>
      </c>
      <c r="BH9" s="2">
        <f ca="1">IF(ISERROR(INDEX(指数走势!$F$8:$IV$8,1,MATCH(TODAY(),指数走势!$F$1:$IV$1,1)-60+59)),NA(),IF(INDEX(指数走势!$F$8:$IV$8,1,MATCH(TODAY(),指数走势!$F$1:$IV$1,1)-60+59)=0,NA(),INDEX(指数走势!$F$8:$IV$8,1,MATCH(TODAY(),指数走势!$F$1:$IV$1,1)-60+59)))</f>
        <v>23350.03</v>
      </c>
      <c r="BI9" t="e">
        <f ca="1">IF(ISERROR(INDEX(指数走势!$F$8:$IV$8,1,MATCH(TODAY(),指数走势!$F$1:$IV$1,1)-60+60)),NA(),IF(INDEX(指数走势!$F$8:$IV$8,1,MATCH(TODAY(),指数走势!$F$1:$IV$1,1)-60+60)=0,NA(),INDEX(指数走势!$F$8:$IV$8,1,MATCH(TODAY(),指数走势!$F$1:$IV$1,1)-60+60)))</f>
        <v>#N/A</v>
      </c>
    </row>
    <row r="10" ht="15" customHeight="1" spans="1:61">
      <c r="A10" s="1" t="s">
        <v>28</v>
      </c>
      <c r="B10" s="2">
        <f ca="1">IF(ISERROR(INDEX(指数走势!$F$3:$IV$3,1,MATCH(TODAY(),指数走势!$F$1:$IV$1,1)-60+1)),NA(),IF(INDEX(指数走势!$F$3:$IV$3,1,MATCH(TODAY(),指数走势!$F$1:$IV$1,1)-60+1)=0,NA(),INDEX(指数走势!$F$3:$IV$3,1,MATCH(TODAY(),指数走势!$F$1:$IV$1,1)-60+1)))</f>
        <v>4923.25</v>
      </c>
      <c r="C10" s="2">
        <f ca="1">IF(ISERROR(INDEX(指数走势!$F$3:$IV$3,1,MATCH(TODAY(),指数走势!$F$1:$IV$1,1)-60+2)),NA(),IF(INDEX(指数走势!$F$3:$IV$3,1,MATCH(TODAY(),指数走势!$F$1:$IV$1,1)-60+2)=0,NA(),INDEX(指数走势!$F$3:$IV$3,1,MATCH(TODAY(),指数走势!$F$1:$IV$1,1)-60+2)))</f>
        <v>4821.67</v>
      </c>
      <c r="D10" s="2">
        <f ca="1">IF(ISERROR(INDEX(指数走势!$F$3:$IV$3,1,MATCH(TODAY(),指数走势!$F$1:$IV$1,1)-60+3)),NA(),IF(INDEX(指数走势!$F$3:$IV$3,1,MATCH(TODAY(),指数走势!$F$1:$IV$1,1)-60+3)=0,NA(),INDEX(指数走势!$F$3:$IV$3,1,MATCH(TODAY(),指数走势!$F$1:$IV$1,1)-60+3)))</f>
        <v>4860.26</v>
      </c>
      <c r="E10" s="2">
        <f ca="1">IF(ISERROR(INDEX(指数走势!$F$3:$IV$3,1,MATCH(TODAY(),指数走势!$F$1:$IV$1,1)-60+4)),NA(),IF(INDEX(指数走势!$F$3:$IV$3,1,MATCH(TODAY(),指数走势!$F$1:$IV$1,1)-60+4)=0,NA(),INDEX(指数走势!$F$3:$IV$3,1,MATCH(TODAY(),指数走势!$F$1:$IV$1,1)-60+4)))</f>
        <v>4822.01</v>
      </c>
      <c r="F10" s="2">
        <f ca="1">IF(ISERROR(INDEX(指数走势!$F$3:$IV$3,1,MATCH(TODAY(),指数走势!$F$1:$IV$1,1)-60+5)),NA(),IF(INDEX(指数走势!$F$3:$IV$3,1,MATCH(TODAY(),指数走势!$F$1:$IV$1,1)-60+5)=0,NA(),INDEX(指数走势!$F$3:$IV$3,1,MATCH(TODAY(),指数走势!$F$1:$IV$1,1)-60+5)))</f>
        <v>4851.96</v>
      </c>
      <c r="G10" s="2">
        <f ca="1">IF(ISERROR(INDEX(指数走势!$F$3:$IV$3,1,MATCH(TODAY(),指数走势!$F$1:$IV$1,1)-60+6)),NA(),IF(INDEX(指数走势!$F$3:$IV$3,1,MATCH(TODAY(),指数走势!$F$1:$IV$1,1)-60+6)=0,NA(),INDEX(指数走势!$F$3:$IV$3,1,MATCH(TODAY(),指数走势!$F$1:$IV$1,1)-60+6)))</f>
        <v>4911.79</v>
      </c>
      <c r="H10" s="2">
        <f ca="1">IF(ISERROR(INDEX(指数走势!$F$3:$IV$3,1,MATCH(TODAY(),指数走势!$F$1:$IV$1,1)-60+7)),NA(),IF(INDEX(指数走势!$F$3:$IV$3,1,MATCH(TODAY(),指数走势!$F$1:$IV$1,1)-60+7)=0,NA(),INDEX(指数走势!$F$3:$IV$3,1,MATCH(TODAY(),指数走势!$F$1:$IV$1,1)-60+7)))</f>
        <v>5092.08</v>
      </c>
      <c r="I10" s="2">
        <f ca="1">IF(ISERROR(INDEX(指数走势!$F$3:$IV$3,1,MATCH(TODAY(),指数走势!$F$1:$IV$1,1)-60+8)),NA(),IF(INDEX(指数走势!$F$3:$IV$3,1,MATCH(TODAY(),指数走势!$F$1:$IV$1,1)-60+8)=0,NA(),INDEX(指数走势!$F$3:$IV$3,1,MATCH(TODAY(),指数走势!$F$1:$IV$1,1)-60+8)))</f>
        <v>5042.68</v>
      </c>
      <c r="J10" s="2">
        <f ca="1">IF(ISERROR(INDEX(指数走势!$F$3:$IV$3,1,MATCH(TODAY(),指数走势!$F$1:$IV$1,1)-60+9)),NA(),IF(INDEX(指数走势!$F$3:$IV$3,1,MATCH(TODAY(),指数走势!$F$1:$IV$1,1)-60+9)=0,NA(),INDEX(指数走势!$F$3:$IV$3,1,MATCH(TODAY(),指数走势!$F$1:$IV$1,1)-60+9)))</f>
        <v>5065.63</v>
      </c>
      <c r="K10" s="2">
        <f ca="1">IF(ISERROR(INDEX(指数走势!$F$3:$IV$3,1,MATCH(TODAY(),指数走势!$F$1:$IV$1,1)-60+10)),NA(),IF(INDEX(指数走势!$F$3:$IV$3,1,MATCH(TODAY(),指数走势!$F$1:$IV$1,1)-60+10)=0,NA(),INDEX(指数走势!$F$3:$IV$3,1,MATCH(TODAY(),指数走势!$F$1:$IV$1,1)-60+10)))</f>
        <v>5061.5</v>
      </c>
      <c r="L10" s="2">
        <f ca="1">IF(ISERROR(INDEX(指数走势!$F$3:$IV$3,1,MATCH(TODAY(),指数走势!$F$1:$IV$1,1)-60+11)),NA(),IF(INDEX(指数走势!$F$3:$IV$3,1,MATCH(TODAY(),指数走势!$F$1:$IV$1,1)-60+11)=0,NA(),INDEX(指数走势!$F$3:$IV$3,1,MATCH(TODAY(),指数走势!$F$1:$IV$1,1)-60+11)))</f>
        <v>4963.94</v>
      </c>
      <c r="M10" s="2">
        <f ca="1">IF(ISERROR(INDEX(指数走势!$F$3:$IV$3,1,MATCH(TODAY(),指数走势!$F$1:$IV$1,1)-60+12)),NA(),IF(INDEX(指数走势!$F$3:$IV$3,1,MATCH(TODAY(),指数走势!$F$1:$IV$1,1)-60+12)=0,NA(),INDEX(指数走势!$F$3:$IV$3,1,MATCH(TODAY(),指数走势!$F$1:$IV$1,1)-60+12)))</f>
        <v>4865.52</v>
      </c>
      <c r="N10" s="2">
        <f ca="1">IF(ISERROR(INDEX(指数走势!$F$3:$IV$3,1,MATCH(TODAY(),指数走势!$F$1:$IV$1,1)-60+13)),NA(),IF(INDEX(指数走势!$F$3:$IV$3,1,MATCH(TODAY(),指数走势!$F$1:$IV$1,1)-60+13)=0,NA(),INDEX(指数走势!$F$3:$IV$3,1,MATCH(TODAY(),指数走势!$F$1:$IV$1,1)-60+13)))</f>
        <v>4902.2</v>
      </c>
      <c r="O10" s="2">
        <f ca="1">IF(ISERROR(INDEX(指数走势!$F$3:$IV$3,1,MATCH(TODAY(),指数走势!$F$1:$IV$1,1)-60+14)),NA(),IF(INDEX(指数走势!$F$3:$IV$3,1,MATCH(TODAY(),指数走势!$F$1:$IV$1,1)-60+14)=0,NA(),INDEX(指数走势!$F$3:$IV$3,1,MATCH(TODAY(),指数走势!$F$1:$IV$1,1)-60+14)))</f>
        <v>4939.84</v>
      </c>
      <c r="P10" s="2">
        <f ca="1">IF(ISERROR(INDEX(指数走势!$F$3:$IV$3,1,MATCH(TODAY(),指数走势!$F$1:$IV$1,1)-60+15)),NA(),IF(INDEX(指数走势!$F$3:$IV$3,1,MATCH(TODAY(),指数走势!$F$1:$IV$1,1)-60+15)=0,NA(),INDEX(指数走势!$F$3:$IV$3,1,MATCH(TODAY(),指数走势!$F$1:$IV$1,1)-60+15)))</f>
        <v>4827.19</v>
      </c>
      <c r="Q10" s="2">
        <f ca="1">IF(ISERROR(INDEX(指数走势!$F$3:$IV$3,1,MATCH(TODAY(),指数走势!$F$1:$IV$1,1)-60+16)),NA(),IF(INDEX(指数走势!$F$3:$IV$3,1,MATCH(TODAY(),指数走势!$F$1:$IV$1,1)-60+16)=0,NA(),INDEX(指数走势!$F$3:$IV$3,1,MATCH(TODAY(),指数走势!$F$1:$IV$1,1)-60+16)))</f>
        <v>4910.02</v>
      </c>
      <c r="R10" s="2">
        <f ca="1">IF(ISERROR(INDEX(指数走势!$F$3:$IV$3,1,MATCH(TODAY(),指数走势!$F$1:$IV$1,1)-60+17)),NA(),IF(INDEX(指数走势!$F$3:$IV$3,1,MATCH(TODAY(),指数走势!$F$1:$IV$1,1)-60+17)=0,NA(),INDEX(指数走势!$F$3:$IV$3,1,MATCH(TODAY(),指数走势!$F$1:$IV$1,1)-60+17)))</f>
        <v>4871.32</v>
      </c>
      <c r="S10" s="2">
        <f ca="1">IF(ISERROR(INDEX(指数走势!$F$3:$IV$3,1,MATCH(TODAY(),指数走势!$F$1:$IV$1,1)-60+18)),NA(),IF(INDEX(指数走势!$F$3:$IV$3,1,MATCH(TODAY(),指数走势!$F$1:$IV$1,1)-60+18)=0,NA(),INDEX(指数走势!$F$3:$IV$3,1,MATCH(TODAY(),指数走势!$F$1:$IV$1,1)-60+18)))</f>
        <v>4969.2</v>
      </c>
      <c r="T10" s="2">
        <f ca="1">IF(ISERROR(INDEX(指数走势!$F$3:$IV$3,1,MATCH(TODAY(),指数走势!$F$1:$IV$1,1)-60+19)),NA(),IF(INDEX(指数走势!$F$3:$IV$3,1,MATCH(TODAY(),指数走势!$F$1:$IV$1,1)-60+19)=0,NA(),INDEX(指数走势!$F$3:$IV$3,1,MATCH(TODAY(),指数走势!$F$1:$IV$1,1)-60+19)))</f>
        <v>5121.1</v>
      </c>
      <c r="U10" s="2">
        <f ca="1">IF(ISERROR(INDEX(指数走势!$F$3:$IV$3,1,MATCH(TODAY(),指数走势!$F$1:$IV$1,1)-60+20)),NA(),IF(INDEX(指数走势!$F$3:$IV$3,1,MATCH(TODAY(),指数走势!$F$1:$IV$1,1)-60+20)=0,NA(),INDEX(指数走势!$F$3:$IV$3,1,MATCH(TODAY(),指数走势!$F$1:$IV$1,1)-60+20)))</f>
        <v>5102.79</v>
      </c>
      <c r="V10" s="2">
        <f ca="1">IF(ISERROR(INDEX(指数走势!$F$3:$IV$3,1,MATCH(TODAY(),指数走势!$F$1:$IV$1,1)-60+21)),NA(),IF(INDEX(指数走势!$F$3:$IV$3,1,MATCH(TODAY(),指数走势!$F$1:$IV$1,1)-60+21)=0,NA(),INDEX(指数走势!$F$3:$IV$3,1,MATCH(TODAY(),指数走势!$F$1:$IV$1,1)-60+21)))</f>
        <v>5106.4</v>
      </c>
      <c r="W10" s="2">
        <f ca="1">IF(ISERROR(INDEX(指数走势!$F$3:$IV$3,1,MATCH(TODAY(),指数走势!$F$1:$IV$1,1)-60+22)),NA(),IF(INDEX(指数走势!$F$3:$IV$3,1,MATCH(TODAY(),指数走势!$F$1:$IV$1,1)-60+22)=0,NA(),INDEX(指数走势!$F$3:$IV$3,1,MATCH(TODAY(),指数走势!$F$1:$IV$1,1)-60+22)))</f>
        <v>5070.61</v>
      </c>
      <c r="X10" s="2">
        <f ca="1">IF(ISERROR(INDEX(指数走势!$F$3:$IV$3,1,MATCH(TODAY(),指数走势!$F$1:$IV$1,1)-60+23)),NA(),IF(INDEX(指数走势!$F$3:$IV$3,1,MATCH(TODAY(),指数走势!$F$1:$IV$1,1)-60+23)=0,NA(),INDEX(指数走势!$F$3:$IV$3,1,MATCH(TODAY(),指数走势!$F$1:$IV$1,1)-60+23)))</f>
        <v>5093.85</v>
      </c>
      <c r="Y10" s="2">
        <f ca="1">IF(ISERROR(INDEX(指数走势!$F$3:$IV$3,1,MATCH(TODAY(),指数走势!$F$1:$IV$1,1)-60+24)),NA(),IF(INDEX(指数走势!$F$3:$IV$3,1,MATCH(TODAY(),指数走势!$F$1:$IV$1,1)-60+24)=0,NA(),INDEX(指数走势!$F$3:$IV$3,1,MATCH(TODAY(),指数走势!$F$1:$IV$1,1)-60+24)))</f>
        <v>5076.2</v>
      </c>
      <c r="Z10" s="2">
        <f ca="1">IF(ISERROR(INDEX(指数走势!$F$3:$IV$3,1,MATCH(TODAY(),指数走势!$F$1:$IV$1,1)-60+25)),NA(),IF(INDEX(指数走势!$F$3:$IV$3,1,MATCH(TODAY(),指数走势!$F$1:$IV$1,1)-60+25)=0,NA(),INDEX(指数走势!$F$3:$IV$3,1,MATCH(TODAY(),指数走势!$F$1:$IV$1,1)-60+25)))</f>
        <v>4941.14</v>
      </c>
      <c r="AA10" s="2">
        <f ca="1">IF(ISERROR(INDEX(指数走势!$F$3:$IV$3,1,MATCH(TODAY(),指数走势!$F$1:$IV$1,1)-60+26)),NA(),IF(INDEX(指数走势!$F$3:$IV$3,1,MATCH(TODAY(),指数走势!$F$1:$IV$1,1)-60+26)=0,NA(),INDEX(指数走势!$F$3:$IV$3,1,MATCH(TODAY(),指数走势!$F$1:$IV$1,1)-60+26)))</f>
        <v>4844.94</v>
      </c>
      <c r="AB10" s="2">
        <f ca="1">IF(ISERROR(INDEX(指数走势!$F$3:$IV$3,1,MATCH(TODAY(),指数走势!$F$1:$IV$1,1)-60+27)),NA(),IF(INDEX(指数走势!$F$3:$IV$3,1,MATCH(TODAY(),指数走势!$F$1:$IV$1,1)-60+27)=0,NA(),INDEX(指数走势!$F$3:$IV$3,1,MATCH(TODAY(),指数走势!$F$1:$IV$1,1)-60+27)))</f>
        <v>4857.46</v>
      </c>
      <c r="AC10" s="2">
        <f ca="1">IF(ISERROR(INDEX(指数走势!$F$3:$IV$3,1,MATCH(TODAY(),指数走势!$F$1:$IV$1,1)-60+28)),NA(),IF(INDEX(指数走势!$F$3:$IV$3,1,MATCH(TODAY(),指数走势!$F$1:$IV$1,1)-60+28)=0,NA(),INDEX(指数走势!$F$3:$IV$3,1,MATCH(TODAY(),指数走势!$F$1:$IV$1,1)-60+28)))</f>
        <v>4873.82</v>
      </c>
      <c r="AD10" s="2">
        <f ca="1">IF(ISERROR(INDEX(指数走势!$F$3:$IV$3,1,MATCH(TODAY(),指数走势!$F$1:$IV$1,1)-60+29)),NA(),IF(INDEX(指数走势!$F$3:$IV$3,1,MATCH(TODAY(),指数走势!$F$1:$IV$1,1)-60+29)=0,NA(),INDEX(指数走势!$F$3:$IV$3,1,MATCH(TODAY(),指数走势!$F$1:$IV$1,1)-60+29)))</f>
        <v>4768.9</v>
      </c>
      <c r="AE10" s="2">
        <f ca="1">IF(ISERROR(INDEX(指数走势!$F$3:$IV$3,1,MATCH(TODAY(),指数走势!$F$1:$IV$1,1)-60+30)),NA(),IF(INDEX(指数走势!$F$3:$IV$3,1,MATCH(TODAY(),指数走势!$F$1:$IV$1,1)-60+30)=0,NA(),INDEX(指数走势!$F$3:$IV$3,1,MATCH(TODAY(),指数走势!$F$1:$IV$1,1)-60+30)))</f>
        <v>4869.57</v>
      </c>
      <c r="AF10" s="2" t="e">
        <f ca="1">IF(ISERROR(INDEX(指数走势!$F$3:$IV$3,1,MATCH(TODAY(),指数走势!$F$1:$IV$1,1)-60+31)),NA(),IF(INDEX(指数走势!$F$3:$IV$3,1,MATCH(TODAY(),指数走势!$F$1:$IV$1,1)-60+31)=0,NA(),INDEX(指数走势!$F$3:$IV$3,1,MATCH(TODAY(),指数走势!$F$1:$IV$1,1)-60+31)))</f>
        <v>#N/A</v>
      </c>
      <c r="AG10" s="2">
        <f ca="1">IF(ISERROR(INDEX(指数走势!$F$3:$IV$3,1,MATCH(TODAY(),指数走势!$F$1:$IV$1,1)-60+32)),NA(),IF(INDEX(指数走势!$F$3:$IV$3,1,MATCH(TODAY(),指数走势!$F$1:$IV$1,1)-60+32)=0,NA(),INDEX(指数走势!$F$3:$IV$3,1,MATCH(TODAY(),指数走势!$F$1:$IV$1,1)-60+32)))</f>
        <v>4946.88</v>
      </c>
      <c r="AH10" s="2">
        <f ca="1">IF(ISERROR(INDEX(指数走势!$F$3:$IV$3,1,MATCH(TODAY(),指数走势!$F$1:$IV$1,1)-60+33)),NA(),IF(INDEX(指数走势!$F$3:$IV$3,1,MATCH(TODAY(),指数走势!$F$1:$IV$1,1)-60+33)=0,NA(),INDEX(指数走势!$F$3:$IV$3,1,MATCH(TODAY(),指数走势!$F$1:$IV$1,1)-60+33)))</f>
        <v>4907.57</v>
      </c>
      <c r="AI10" s="2">
        <f ca="1">IF(ISERROR(INDEX(指数走势!$F$3:$IV$3,1,MATCH(TODAY(),指数走势!$F$1:$IV$1,1)-60+34)),NA(),IF(INDEX(指数走势!$F$3:$IV$3,1,MATCH(TODAY(),指数走势!$F$1:$IV$1,1)-60+34)=0,NA(),INDEX(指数走势!$F$3:$IV$3,1,MATCH(TODAY(),指数走势!$F$1:$IV$1,1)-60+34)))</f>
        <v>4888.58</v>
      </c>
      <c r="AJ10">
        <f ca="1">IF(ISERROR(INDEX(指数走势!$F$3:$IV$3,1,MATCH(TODAY(),指数走势!$F$1:$IV$1,1)-60+35)),NA(),IF(INDEX(指数走势!$F$3:$IV$3,1,MATCH(TODAY(),指数走势!$F$1:$IV$1,1)-60+35)=0,NA(),INDEX(指数走势!$F$3:$IV$3,1,MATCH(TODAY(),指数走势!$F$1:$IV$1,1)-60+35)))</f>
        <v>4884.23</v>
      </c>
      <c r="AK10">
        <f ca="1">IF(ISERROR(INDEX(指数走势!$F$3:$IV$3,1,MATCH(TODAY(),指数走势!$F$1:$IV$1,1)-60+36)),NA(),IF(INDEX(指数走势!$F$3:$IV$3,1,MATCH(TODAY(),指数走势!$F$1:$IV$1,1)-60+36)=0,NA(),INDEX(指数走势!$F$3:$IV$3,1,MATCH(TODAY(),指数走势!$F$1:$IV$1,1)-60+36)))</f>
        <v>4964.92</v>
      </c>
      <c r="AL10" s="2">
        <f ca="1">IF(ISERROR(INDEX(指数走势!$F$3:$IV$3,1,MATCH(TODAY(),指数走势!$F$1:$IV$1,1)-60+37)),NA(),IF(INDEX(指数走势!$F$3:$IV$3,1,MATCH(TODAY(),指数走势!$F$1:$IV$1,1)-60+37)=0,NA(),INDEX(指数走势!$F$3:$IV$3,1,MATCH(TODAY(),指数走势!$F$1:$IV$1,1)-60+37)))</f>
        <v>5199.28</v>
      </c>
      <c r="AM10" s="2">
        <f ca="1">IF(ISERROR(INDEX(指数走势!$F$3:$IV$3,1,MATCH(TODAY(),指数走势!$F$1:$IV$1,1)-60+38)),NA(),IF(INDEX(指数走势!$F$3:$IV$3,1,MATCH(TODAY(),指数走势!$F$1:$IV$1,1)-60+38)=0,NA(),INDEX(指数走势!$F$3:$IV$3,1,MATCH(TODAY(),指数走势!$F$1:$IV$1,1)-60+38)))</f>
        <v>5056.97</v>
      </c>
      <c r="AN10" s="2">
        <f ca="1">IF(ISERROR(INDEX(指数走势!$F$3:$IV$3,1,MATCH(TODAY(),指数走势!$F$1:$IV$1,1)-60+39)),NA(),IF(INDEX(指数走势!$F$3:$IV$3,1,MATCH(TODAY(),指数走势!$F$1:$IV$1,1)-60+39)=0,NA(),INDEX(指数走势!$F$3:$IV$3,1,MATCH(TODAY(),指数走势!$F$1:$IV$1,1)-60+39)))</f>
        <v>4975.36</v>
      </c>
      <c r="AO10" s="2">
        <f ca="1">IF(ISERROR(INDEX(指数走势!$F$3:$IV$3,1,MATCH(TODAY(),指数走势!$F$1:$IV$1,1)-60+40)),NA(),IF(INDEX(指数走势!$F$3:$IV$3,1,MATCH(TODAY(),指数走势!$F$1:$IV$1,1)-60+40)=0,NA(),INDEX(指数走势!$F$3:$IV$3,1,MATCH(TODAY(),指数走势!$F$1:$IV$1,1)-60+40)))</f>
        <v>4888.39</v>
      </c>
      <c r="AP10" s="2">
        <f ca="1">IF(ISERROR(INDEX(指数走势!$F$3:$IV$3,1,MATCH(TODAY(),指数走势!$F$1:$IV$1,1)-60+41)),NA(),IF(INDEX(指数走势!$F$3:$IV$3,1,MATCH(TODAY(),指数走势!$F$1:$IV$1,1)-60+41)=0,NA(),INDEX(指数走势!$F$3:$IV$3,1,MATCH(TODAY(),指数走势!$F$1:$IV$1,1)-60+41)))</f>
        <v>4755.91</v>
      </c>
      <c r="AQ10" s="2">
        <f ca="1">IF(ISERROR(INDEX(指数走势!$F$3:$IV$3,1,MATCH(TODAY(),指数走势!$F$1:$IV$1,1)-60+42)),NA(),IF(INDEX(指数走势!$F$3:$IV$3,1,MATCH(TODAY(),指数走势!$F$1:$IV$1,1)-60+42)=0,NA(),INDEX(指数走势!$F$3:$IV$3,1,MATCH(TODAY(),指数走势!$F$1:$IV$1,1)-60+42)))</f>
        <v>4769.61</v>
      </c>
      <c r="AR10" s="2">
        <f ca="1">IF(ISERROR(INDEX(指数走势!$F$3:$IV$3,1,MATCH(TODAY(),指数走势!$F$1:$IV$1,1)-60+43)),NA(),IF(INDEX(指数走势!$F$3:$IV$3,1,MATCH(TODAY(),指数走势!$F$1:$IV$1,1)-60+43)=0,NA(),INDEX(指数走势!$F$3:$IV$3,1,MATCH(TODAY(),指数走势!$F$1:$IV$1,1)-60+43)))</f>
        <v>4724.79</v>
      </c>
      <c r="AS10" s="2">
        <f ca="1">IF(ISERROR(INDEX(指数走势!$F$3:$IV$3,1,MATCH(TODAY(),指数走势!$F$1:$IV$1,1)-60+44)),NA(),IF(INDEX(指数走势!$F$3:$IV$3,1,MATCH(TODAY(),指数走势!$F$1:$IV$1,1)-60+44)=0,NA(),INDEX(指数走势!$F$3:$IV$3,1,MATCH(TODAY(),指数走势!$F$1:$IV$1,1)-60+44)))</f>
        <v>4655.74</v>
      </c>
      <c r="AT10" s="2">
        <f ca="1">IF(ISERROR(INDEX(指数走势!$F$3:$IV$3,1,MATCH(TODAY(),指数走势!$F$1:$IV$1,1)-60+45)),NA(),IF(INDEX(指数走势!$F$3:$IV$3,1,MATCH(TODAY(),指数走势!$F$1:$IV$1,1)-60+45)=0,NA(),INDEX(指数走势!$F$3:$IV$3,1,MATCH(TODAY(),指数走势!$F$1:$IV$1,1)-60+45)))</f>
        <v>4705.2</v>
      </c>
      <c r="AU10" s="2">
        <f ca="1">IF(ISERROR(INDEX(指数走势!$F$3:$IV$3,1,MATCH(TODAY(),指数走势!$F$1:$IV$1,1)-60+46)),NA(),IF(INDEX(指数走势!$F$3:$IV$3,1,MATCH(TODAY(),指数走势!$F$1:$IV$1,1)-60+46)=0,NA(),INDEX(指数走势!$F$3:$IV$3,1,MATCH(TODAY(),指数走势!$F$1:$IV$1,1)-60+46)))</f>
        <v>4765.58</v>
      </c>
      <c r="AV10" s="2">
        <f ca="1">IF(ISERROR(INDEX(指数走势!$F$3:$IV$3,1,MATCH(TODAY(),指数走势!$F$1:$IV$1,1)-60+47)),NA(),IF(INDEX(指数走势!$F$3:$IV$3,1,MATCH(TODAY(),指数走势!$F$1:$IV$1,1)-60+47)=0,NA(),INDEX(指数走势!$F$3:$IV$3,1,MATCH(TODAY(),指数走势!$F$1:$IV$1,1)-60+47)))</f>
        <v>4658.65</v>
      </c>
      <c r="AW10" s="2">
        <f ca="1">IF(ISERROR(INDEX(指数走势!$F$3:$IV$3,1,MATCH(TODAY(),指数走势!$F$1:$IV$1,1)-60+48)),NA(),IF(INDEX(指数走势!$F$3:$IV$3,1,MATCH(TODAY(),指数走势!$F$1:$IV$1,1)-60+48)=0,NA(),INDEX(指数走势!$F$3:$IV$3,1,MATCH(TODAY(),指数走势!$F$1:$IV$1,1)-60+48)))</f>
        <v>4669.07</v>
      </c>
      <c r="AX10" s="2">
        <f ca="1">IF(ISERROR(INDEX(指数走势!$F$3:$IV$3,1,MATCH(TODAY(),指数走势!$F$1:$IV$1,1)-60+49)),NA(),IF(INDEX(指数走势!$F$3:$IV$3,1,MATCH(TODAY(),指数走势!$F$1:$IV$1,1)-60+49)=0,NA(),INDEX(指数走势!$F$3:$IV$3,1,MATCH(TODAY(),指数走势!$F$1:$IV$1,1)-60+49)))</f>
        <v>4604.35</v>
      </c>
      <c r="AY10" s="2">
        <f ca="1">IF(ISERROR(INDEX(指数走势!$F$3:$IV$3,1,MATCH(TODAY(),指数走势!$F$1:$IV$1,1)-60+50)),NA(),IF(INDEX(指数走势!$F$3:$IV$3,1,MATCH(TODAY(),指数走势!$F$1:$IV$1,1)-60+50)=0,NA(),INDEX(指数走势!$F$3:$IV$3,1,MATCH(TODAY(),指数走势!$F$1:$IV$1,1)-60+50)))</f>
        <v>4549.41</v>
      </c>
      <c r="AZ10" s="2">
        <f ca="1">IF(ISERROR(INDEX(指数走势!$F$3:$IV$3,1,MATCH(TODAY(),指数走势!$F$1:$IV$1,1)-60+51)),NA(),IF(INDEX(指数走势!$F$3:$IV$3,1,MATCH(TODAY(),指数走势!$F$1:$IV$1,1)-60+51)=0,NA(),INDEX(指数走势!$F$3:$IV$3,1,MATCH(TODAY(),指数走势!$F$1:$IV$1,1)-60+51)))</f>
        <v>4399.22</v>
      </c>
      <c r="BA10" s="2">
        <f ca="1">IF(ISERROR(INDEX(指数走势!$F$3:$IV$3,1,MATCH(TODAY(),指数走势!$F$1:$IV$1,1)-60+52)),NA(),IF(INDEX(指数走势!$F$3:$IV$3,1,MATCH(TODAY(),指数走势!$F$1:$IV$1,1)-60+52)=0,NA(),INDEX(指数走势!$F$3:$IV$3,1,MATCH(TODAY(),指数走势!$F$1:$IV$1,1)-60+52)))</f>
        <v>4479.02</v>
      </c>
      <c r="BB10" s="2">
        <f ca="1">IF(ISERROR(INDEX(指数走势!$F$3:$IV$3,1,MATCH(TODAY(),指数走势!$F$1:$IV$1,1)-60+53)),NA(),IF(INDEX(指数走势!$F$3:$IV$3,1,MATCH(TODAY(),指数走势!$F$1:$IV$1,1)-60+53)=0,NA(),INDEX(指数走势!$F$3:$IV$3,1,MATCH(TODAY(),指数走势!$F$1:$IV$1,1)-60+53)))</f>
        <v>4405.92</v>
      </c>
      <c r="BC10" s="2">
        <f ca="1">IF(ISERROR(INDEX(指数走势!$F$3:$IV$3,1,MATCH(TODAY(),指数走势!$F$1:$IV$1,1)-60+54)),NA(),IF(INDEX(指数走势!$F$3:$IV$3,1,MATCH(TODAY(),指数走势!$F$1:$IV$1,1)-60+54)=0,NA(),INDEX(指数走势!$F$3:$IV$3,1,MATCH(TODAY(),指数走势!$F$1:$IV$1,1)-60+54)))</f>
        <v>4255.59</v>
      </c>
      <c r="BD10" s="2">
        <f ca="1">IF(ISERROR(INDEX(指数走势!$F$3:$IV$3,1,MATCH(TODAY(),指数走势!$F$1:$IV$1,1)-60+55)),NA(),IF(INDEX(指数走势!$F$3:$IV$3,1,MATCH(TODAY(),指数走势!$F$1:$IV$1,1)-60+55)=0,NA(),INDEX(指数走势!$F$3:$IV$3,1,MATCH(TODAY(),指数走势!$F$1:$IV$1,1)-60+55)))</f>
        <v>4393.01</v>
      </c>
      <c r="BE10" s="2">
        <f ca="1">IF(ISERROR(INDEX(指数走势!$F$3:$IV$3,1,MATCH(TODAY(),指数走势!$F$1:$IV$1,1)-60+56)),NA(),IF(INDEX(指数走势!$F$3:$IV$3,1,MATCH(TODAY(),指数走势!$F$1:$IV$1,1)-60+56)=0,NA(),INDEX(指数走势!$F$3:$IV$3,1,MATCH(TODAY(),指数走势!$F$1:$IV$1,1)-60+56)))</f>
        <v>4472.23</v>
      </c>
      <c r="BF10" s="2" t="e">
        <f ca="1">IF(ISERROR(INDEX(指数走势!$F$3:$IV$3,1,MATCH(TODAY(),指数走势!$F$1:$IV$1,1)-60+57)),NA(),IF(INDEX(指数走势!$F$3:$IV$3,1,MATCH(TODAY(),指数走势!$F$1:$IV$1,1)-60+57)=0,NA(),INDEX(指数走势!$F$3:$IV$3,1,MATCH(TODAY(),指数走势!$F$1:$IV$1,1)-60+57)))</f>
        <v>#N/A</v>
      </c>
      <c r="BG10" s="2">
        <f ca="1">IF(ISERROR(INDEX(指数走势!$F$3:$IV$3,1,MATCH(TODAY(),指数走势!$F$1:$IV$1,1)-60+58)),NA(),IF(INDEX(指数走势!$F$3:$IV$3,1,MATCH(TODAY(),指数走势!$F$1:$IV$1,1)-60+58)=0,NA(),INDEX(指数走势!$F$3:$IV$3,1,MATCH(TODAY(),指数走势!$F$1:$IV$1,1)-60+58)))</f>
        <v>4454.28</v>
      </c>
      <c r="BH10" s="2">
        <f ca="1">IF(ISERROR(INDEX(指数走势!$F$3:$IV$3,1,MATCH(TODAY(),指数走势!$F$1:$IV$1,1)-60+59)),NA(),IF(INDEX(指数走势!$F$3:$IV$3,1,MATCH(TODAY(),指数走势!$F$1:$IV$1,1)-60+59)=0,NA(),INDEX(指数走势!$F$3:$IV$3,1,MATCH(TODAY(),指数走势!$F$1:$IV$1,1)-60+59)))</f>
        <v>4499</v>
      </c>
      <c r="BI10" t="e">
        <f ca="1">IF(ISERROR(INDEX(指数走势!$F$3:$IV$3,1,MATCH(TODAY(),指数走势!$F$1:$IV$1,1)-60+60)),NA(),IF(INDEX(指数走势!$F$3:$IV$3,1,MATCH(TODAY(),指数走势!$F$1:$IV$1,1)-60+60)=0,NA(),INDEX(指数走势!$F$3:$IV$3,1,MATCH(TODAY(),指数走势!$F$1:$IV$1,1)-60+60)))</f>
        <v>#N/A</v>
      </c>
    </row>
    <row r="11" ht="15" customHeight="1" spans="1:61">
      <c r="A11" s="1" t="s">
        <v>618</v>
      </c>
      <c r="B11">
        <f>IF(OR(ISERROR(INDEX(A股成交额换手率测试1!$P$8:$P$200,60)),ISERROR(INDEX(A股成交额换手率测试1!$S$8:$S$200,60))),NA(),IF(AND(INDEX(A股成交额换手率测试1!$P$8:$P$200,60)=0,INDEX(A股成交额换手率测试1!$S$8:$S$200,60)=0),NA(),INDEX(A股成交额换手率测试1!$P$8:$P$200,60)+INDEX(A股成交额换手率测试1!$S$8:$S$200,60)))</f>
        <v>6.21730000000002</v>
      </c>
      <c r="C11">
        <f>IF(OR(ISERROR(INDEX(A股成交额换手率测试1!$P$8:$P$200,59)),ISERROR(INDEX(A股成交额换手率测试1!$S$8:$S$200,59))),NA(),IF(AND(INDEX(A股成交额换手率测试1!$P$8:$P$200,59)=0,INDEX(A股成交额换手率测试1!$S$8:$S$200,59)=0),NA(),INDEX(A股成交额换手率测试1!$P$8:$P$200,59)+INDEX(A股成交额换手率测试1!$S$8:$S$200,59)))</f>
        <v>-111.3111</v>
      </c>
      <c r="D11">
        <f>IF(OR(ISERROR(INDEX(A股成交额换手率测试1!$P$8:$P$200,58)),ISERROR(INDEX(A股成交额换手率测试1!$S$8:$S$200,58))),NA(),IF(AND(INDEX(A股成交额换手率测试1!$P$8:$P$200,58)=0,INDEX(A股成交额换手率测试1!$S$8:$S$200,58)=0),NA(),INDEX(A股成交额换手率测试1!$P$8:$P$200,58)+INDEX(A股成交额换手率测试1!$S$8:$S$200,58)))</f>
        <v>174.5924</v>
      </c>
      <c r="E11">
        <f>IF(OR(ISERROR(INDEX(A股成交额换手率测试1!$P$8:$P$200,57)),ISERROR(INDEX(A股成交额换手率测试1!$S$8:$S$200,57))),NA(),IF(AND(INDEX(A股成交额换手率测试1!$P$8:$P$200,57)=0,INDEX(A股成交额换手率测试1!$S$8:$S$200,57)=0),NA(),INDEX(A股成交额换手率测试1!$P$8:$P$200,57)+INDEX(A股成交额换手率测试1!$S$8:$S$200,57)))</f>
        <v>-187.9359</v>
      </c>
      <c r="F11">
        <f>IF(OR(ISERROR(INDEX(A股成交额换手率测试1!$P$8:$P$200,56)),ISERROR(INDEX(A股成交额换手率测试1!$S$8:$S$200,56))),NA(),IF(AND(INDEX(A股成交额换手率测试1!$P$8:$P$200,56)=0,INDEX(A股成交额换手率测试1!$S$8:$S$200,56)=0),NA(),INDEX(A股成交额换手率测试1!$P$8:$P$200,56)+INDEX(A股成交额换手率测试1!$S$8:$S$200,56)))</f>
        <v>109.9831</v>
      </c>
      <c r="G11">
        <f>IF(OR(ISERROR(INDEX(A股成交额换手率测试1!$P$8:$P$200,55)),ISERROR(INDEX(A股成交额换手率测试1!$S$8:$S$200,55))),NA(),IF(AND(INDEX(A股成交额换手率测试1!$P$8:$P$200,55)=0,INDEX(A股成交额换手率测试1!$S$8:$S$200,55)=0),NA(),INDEX(A股成交额换手率测试1!$P$8:$P$200,55)+INDEX(A股成交额换手率测试1!$S$8:$S$200,55)))</f>
        <v>-24.5469</v>
      </c>
      <c r="H11">
        <f>IF(OR(ISERROR(INDEX(A股成交额换手率测试1!$P$8:$P$200,54)),ISERROR(INDEX(A股成交额换手率测试1!$S$8:$S$200,54))),NA(),IF(AND(INDEX(A股成交额换手率测试1!$P$8:$P$200,54)=0,INDEX(A股成交额换手率测试1!$S$8:$S$200,54)=0),NA(),INDEX(A股成交额换手率测试1!$P$8:$P$200,54)+INDEX(A股成交额换手率测试1!$S$8:$S$200,54)))</f>
        <v>19.6372</v>
      </c>
      <c r="I11">
        <f>IF(OR(ISERROR(INDEX(A股成交额换手率测试1!$P$8:$P$200,53)),ISERROR(INDEX(A股成交额换手率测试1!$S$8:$S$200,53))),NA(),IF(AND(INDEX(A股成交额换手率测试1!$P$8:$P$200,53)=0,INDEX(A股成交额换手率测试1!$S$8:$S$200,53)=0),NA(),INDEX(A股成交额换手率测试1!$P$8:$P$200,53)+INDEX(A股成交额换手率测试1!$S$8:$S$200,53)))</f>
        <v>-17.5329</v>
      </c>
      <c r="J11">
        <f>IF(OR(ISERROR(INDEX(A股成交额换手率测试1!$P$8:$P$200,52)),ISERROR(INDEX(A股成交额换手率测试1!$S$8:$S$200,52))),NA(),IF(AND(INDEX(A股成交额换手率测试1!$P$8:$P$200,52)=0,INDEX(A股成交额换手率测试1!$S$8:$S$200,52)=0),NA(),INDEX(A股成交额换手率测试1!$P$8:$P$200,52)+INDEX(A股成交额换手率测试1!$S$8:$S$200,52)))</f>
        <v>36.7217</v>
      </c>
      <c r="K11">
        <f>IF(OR(ISERROR(INDEX(A股成交额换手率测试1!$P$8:$P$200,51)),ISERROR(INDEX(A股成交额换手率测试1!$S$8:$S$200,51))),NA(),IF(AND(INDEX(A股成交额换手率测试1!$P$8:$P$200,51)=0,INDEX(A股成交额换手率测试1!$S$8:$S$200,51)=0),NA(),INDEX(A股成交额换手率测试1!$P$8:$P$200,51)+INDEX(A股成交额换手率测试1!$S$8:$S$200,51)))</f>
        <v>37.3949</v>
      </c>
      <c r="L11">
        <f>IF(OR(ISERROR(INDEX(A股成交额换手率测试1!$P$8:$P$200,50)),ISERROR(INDEX(A股成交额换手率测试1!$S$8:$S$200,50))),NA(),IF(AND(INDEX(A股成交额换手率测试1!$P$8:$P$200,50)=0,INDEX(A股成交额换手率测试1!$S$8:$S$200,50)=0),NA(),INDEX(A股成交额换手率测试1!$P$8:$P$200,50)+INDEX(A股成交额换手率测试1!$S$8:$S$200,50)))</f>
        <v>148.3757</v>
      </c>
      <c r="M11">
        <f>IF(OR(ISERROR(INDEX(A股成交额换手率测试1!$P$8:$P$200,49)),ISERROR(INDEX(A股成交额换手率测试1!$S$8:$S$200,49))),NA(),IF(AND(INDEX(A股成交额换手率测试1!$P$8:$P$200,49)=0,INDEX(A股成交额换手率测试1!$S$8:$S$200,49)=0),NA(),INDEX(A股成交额换手率测试1!$P$8:$P$200,49)+INDEX(A股成交额换手率测试1!$S$8:$S$200,49)))</f>
        <v>-34.0192</v>
      </c>
      <c r="N11">
        <f>IF(OR(ISERROR(INDEX(A股成交额换手率测试1!$P$8:$P$200,48)),ISERROR(INDEX(A股成交额换手率测试1!$S$8:$S$200,48))),NA(),IF(AND(INDEX(A股成交额换手率测试1!$P$8:$P$200,48)=0,INDEX(A股成交额换手率测试1!$S$8:$S$200,48)=0),NA(),INDEX(A股成交额换手率测试1!$P$8:$P$200,48)+INDEX(A股成交额换手率测试1!$S$8:$S$200,48)))</f>
        <v>32.549</v>
      </c>
      <c r="O11">
        <f>IF(OR(ISERROR(INDEX(A股成交额换手率测试1!$P$8:$P$200,47)),ISERROR(INDEX(A股成交额换手率测试1!$S$8:$S$200,47))),NA(),IF(AND(INDEX(A股成交额换手率测试1!$P$8:$P$200,47)=0,INDEX(A股成交额换手率测试1!$S$8:$S$200,47)=0),NA(),INDEX(A股成交额换手率测试1!$P$8:$P$200,47)+INDEX(A股成交额换手率测试1!$S$8:$S$200,47)))</f>
        <v>42.6334</v>
      </c>
      <c r="P11">
        <f>IF(OR(ISERROR(INDEX(A股成交额换手率测试1!$P$8:$P$200,46)),ISERROR(INDEX(A股成交额换手率测试1!$S$8:$S$200,46))),NA(),IF(AND(INDEX(A股成交额换手率测试1!$P$8:$P$200,46)=0,INDEX(A股成交额换手率测试1!$S$8:$S$200,46)=0),NA(),INDEX(A股成交额换手率测试1!$P$8:$P$200,46)+INDEX(A股成交额换手率测试1!$S$8:$S$200,46)))</f>
        <v>75.0731</v>
      </c>
      <c r="Q11">
        <f>IF(OR(ISERROR(INDEX(A股成交额换手率测试1!$P$8:$P$200,45)),ISERROR(INDEX(A股成交额换手率测试1!$S$8:$S$200,45))),NA(),IF(AND(INDEX(A股成交额换手率测试1!$P$8:$P$200,45)=0,INDEX(A股成交额换手率测试1!$S$8:$S$200,45)=0),NA(),INDEX(A股成交额换手率测试1!$P$8:$P$200,45)+INDEX(A股成交额换手率测试1!$S$8:$S$200,45)))</f>
        <v>30.2007</v>
      </c>
      <c r="R11">
        <f>IF(OR(ISERROR(INDEX(A股成交额换手率测试1!$P$8:$P$200,44)),ISERROR(INDEX(A股成交额换手率测试1!$S$8:$S$200,44))),NA(),IF(AND(INDEX(A股成交额换手率测试1!$P$8:$P$200,44)=0,INDEX(A股成交额换手率测试1!$S$8:$S$200,44)=0),NA(),INDEX(A股成交额换手率测试1!$P$8:$P$200,44)+INDEX(A股成交额换手率测试1!$S$8:$S$200,44)))</f>
        <v>-35.5982</v>
      </c>
      <c r="S11">
        <f>IF(OR(ISERROR(INDEX(A股成交额换手率测试1!$P$8:$P$200,43)),ISERROR(INDEX(A股成交额换手率测试1!$S$8:$S$200,43))),NA(),IF(AND(INDEX(A股成交额换手率测试1!$P$8:$P$200,43)=0,INDEX(A股成交额换手率测试1!$S$8:$S$200,43)=0),NA(),INDEX(A股成交额换手率测试1!$P$8:$P$200,43)+INDEX(A股成交额换手率测试1!$S$8:$S$200,43)))</f>
        <v>126.8072</v>
      </c>
      <c r="T11">
        <f>IF(OR(ISERROR(INDEX(A股成交额换手率测试1!$P$8:$P$200,42)),ISERROR(INDEX(A股成交额换手率测试1!$S$8:$S$200,42))),NA(),IF(AND(INDEX(A股成交额换手率测试1!$P$8:$P$200,42)=0,INDEX(A股成交额换手率测试1!$S$8:$S$200,42)=0),NA(),INDEX(A股成交额换手率测试1!$P$8:$P$200,42)+INDEX(A股成交额换手率测试1!$S$8:$S$200,42)))</f>
        <v>-34.4488</v>
      </c>
      <c r="U11">
        <f>IF(OR(ISERROR(INDEX(A股成交额换手率测试1!$P$8:$P$200,41)),ISERROR(INDEX(A股成交额换手率测试1!$S$8:$S$200,41))),NA(),IF(AND(INDEX(A股成交额换手率测试1!$P$8:$P$200,41)=0,INDEX(A股成交额换手率测试1!$S$8:$S$200,41)=0),NA(),INDEX(A股成交额换手率测试1!$P$8:$P$200,41)+INDEX(A股成交额换手率测试1!$S$8:$S$200,41)))</f>
        <v>106.4825</v>
      </c>
      <c r="V11">
        <f>IF(OR(ISERROR(INDEX(A股成交额换手率测试1!$P$8:$P$200,40)),ISERROR(INDEX(A股成交额换手率测试1!$S$8:$S$200,40))),NA(),IF(AND(INDEX(A股成交额换手率测试1!$P$8:$P$200,40)=0,INDEX(A股成交额换手率测试1!$S$8:$S$200,40)=0),NA(),INDEX(A股成交额换手率测试1!$P$8:$P$200,40)+INDEX(A股成交额换手率测试1!$S$8:$S$200,40)))</f>
        <v>-74.4504</v>
      </c>
      <c r="W11">
        <f>IF(OR(ISERROR(INDEX(A股成交额换手率测试1!$P$8:$P$200,39)),ISERROR(INDEX(A股成交额换手率测试1!$S$8:$S$200,39))),NA(),IF(AND(INDEX(A股成交额换手率测试1!$P$8:$P$200,39)=0,INDEX(A股成交额换手率测试1!$S$8:$S$200,39)=0),NA(),INDEX(A股成交额换手率测试1!$P$8:$P$200,39)+INDEX(A股成交额换手率测试1!$S$8:$S$200,39)))</f>
        <v>-41.6322</v>
      </c>
      <c r="X11">
        <f>IF(OR(ISERROR(INDEX(A股成交额换手率测试1!$P$8:$P$200,38)),ISERROR(INDEX(A股成交额换手率测试1!$S$8:$S$200,38))),NA(),IF(AND(INDEX(A股成交额换手率测试1!$P$8:$P$200,38)=0,INDEX(A股成交额换手率测试1!$S$8:$S$200,38)=0),NA(),INDEX(A股成交额换手率测试1!$P$8:$P$200,38)+INDEX(A股成交额换手率测试1!$S$8:$S$200,38)))</f>
        <v>114.4286</v>
      </c>
      <c r="Y11">
        <f>IF(OR(ISERROR(INDEX(A股成交额换手率测试1!$P$8:$P$200,37)),ISERROR(INDEX(A股成交额换手率测试1!$S$8:$S$200,37))),NA(),IF(AND(INDEX(A股成交额换手率测试1!$P$8:$P$200,37)=0,INDEX(A股成交额换手率测试1!$S$8:$S$200,37)=0),NA(),INDEX(A股成交额换手率测试1!$P$8:$P$200,37)+INDEX(A股成交额换手率测试1!$S$8:$S$200,37)))</f>
        <v>0.629700000000042</v>
      </c>
      <c r="Z11">
        <f>IF(OR(ISERROR(INDEX(A股成交额换手率测试1!$P$8:$P$200,36)),ISERROR(INDEX(A股成交额换手率测试1!$S$8:$S$200,36))),NA(),IF(AND(INDEX(A股成交额换手率测试1!$P$8:$P$200,36)=0,INDEX(A股成交额换手率测试1!$S$8:$S$200,36)=0),NA(),INDEX(A股成交额换手率测试1!$P$8:$P$200,36)+INDEX(A股成交额换手率测试1!$S$8:$S$200,36)))</f>
        <v>6.86950000000002</v>
      </c>
      <c r="AA11">
        <f>IF(OR(ISERROR(INDEX(A股成交额换手率测试1!$P$8:$P$200,35)),ISERROR(INDEX(A股成交额换手率测试1!$S$8:$S$200,35))),NA(),IF(AND(INDEX(A股成交额换手率测试1!$P$8:$P$200,35)=0,INDEX(A股成交额换手率测试1!$S$8:$S$200,35)=0),NA(),INDEX(A股成交额换手率测试1!$P$8:$P$200,35)+INDEX(A股成交额换手率测试1!$S$8:$S$200,35)))</f>
        <v>-58.6813</v>
      </c>
      <c r="AB11">
        <f>IF(OR(ISERROR(INDEX(A股成交额换手率测试1!$P$8:$P$200,34)),ISERROR(INDEX(A股成交额换手率测试1!$S$8:$S$200,34))),NA(),IF(AND(INDEX(A股成交额换手率测试1!$P$8:$P$200,34)=0,INDEX(A股成交额换手率测试1!$S$8:$S$200,34)=0),NA(),INDEX(A股成交额换手率测试1!$P$8:$P$200,34)+INDEX(A股成交额换手率测试1!$S$8:$S$200,34)))</f>
        <v>-84.1029</v>
      </c>
      <c r="AC11">
        <f>IF(OR(ISERROR(INDEX(A股成交额换手率测试1!$P$8:$P$200,33)),ISERROR(INDEX(A股成交额换手率测试1!$S$8:$S$200,33))),NA(),IF(AND(INDEX(A股成交额换手率测试1!$P$8:$P$200,33)=0,INDEX(A股成交额换手率测试1!$S$8:$S$200,33)=0),NA(),INDEX(A股成交额换手率测试1!$P$8:$P$200,33)+INDEX(A股成交额换手率测试1!$S$8:$S$200,33)))</f>
        <v>217.0964</v>
      </c>
      <c r="AD11">
        <f>IF(OR(ISERROR(INDEX(A股成交额换手率测试1!$P$8:$P$200,32)),ISERROR(INDEX(A股成交额换手率测试1!$S$8:$S$200,32))),NA(),IF(AND(INDEX(A股成交额换手率测试1!$P$8:$P$200,32)=0,INDEX(A股成交额换手率测试1!$S$8:$S$200,32)=0),NA(),INDEX(A股成交额换手率测试1!$P$8:$P$200,32)+INDEX(A股成交额换手率测试1!$S$8:$S$200,32)))</f>
        <v>-68.3836</v>
      </c>
      <c r="AE11">
        <f>IF(OR(ISERROR(INDEX(A股成交额换手率测试1!$P$8:$P$200,31)),ISERROR(INDEX(A股成交额换手率测试1!$S$8:$S$200,31))),NA(),IF(AND(INDEX(A股成交额换手率测试1!$P$8:$P$200,31)=0,INDEX(A股成交额换手率测试1!$S$8:$S$200,31)=0),NA(),INDEX(A股成交额换手率测试1!$P$8:$P$200,31)+INDEX(A股成交额换手率测试1!$S$8:$S$200,31)))</f>
        <v>11.0102</v>
      </c>
      <c r="AF11">
        <f>IF(OR(ISERROR(INDEX(A股成交额换手率测试1!$P$8:$P$200,30)),ISERROR(INDEX(A股成交额换手率测试1!$S$8:$S$200,30))),NA(),IF(AND(INDEX(A股成交额换手率测试1!$P$8:$P$200,30)=0,INDEX(A股成交额换手率测试1!$S$8:$S$200,30)=0),NA(),INDEX(A股成交额换手率测试1!$P$8:$P$200,30)+INDEX(A股成交额换手率测试1!$S$8:$S$200,30)))</f>
        <v>49.6343</v>
      </c>
      <c r="AG11">
        <f>IF(OR(ISERROR(INDEX(A股成交额换手率测试1!$P$8:$P$200,29)),ISERROR(INDEX(A股成交额换手率测试1!$S$8:$S$200,29))),NA(),IF(AND(INDEX(A股成交额换手率测试1!$P$8:$P$200,29)=0,INDEX(A股成交额换手率测试1!$S$8:$S$200,29)=0),NA(),INDEX(A股成交额换手率测试1!$P$8:$P$200,29)+INDEX(A股成交额换手率测试1!$S$8:$S$200,29)))</f>
        <v>-52.9768</v>
      </c>
      <c r="AH11">
        <f>IF(OR(ISERROR(INDEX(A股成交额换手率测试1!$P$8:$P$200,28)),ISERROR(INDEX(A股成交额换手率测试1!$S$8:$S$200,28))),NA(),IF(AND(INDEX(A股成交额换手率测试1!$P$8:$P$200,28)=0,INDEX(A股成交额换手率测试1!$S$8:$S$200,28)=0),NA(),INDEX(A股成交额换手率测试1!$P$8:$P$200,28)+INDEX(A股成交额换手率测试1!$S$8:$S$200,28)))</f>
        <v>-56.3121</v>
      </c>
      <c r="AI11">
        <f>IF(OR(ISERROR(INDEX(A股成交额换手率测试1!$P$8:$P$200,27)),ISERROR(INDEX(A股成交额换手率测试1!$S$8:$S$200,27))),NA(),IF(AND(INDEX(A股成交额换手率测试1!$P$8:$P$200,27)=0,INDEX(A股成交额换手率测试1!$S$8:$S$200,27)=0),NA(),INDEX(A股成交额换手率测试1!$P$8:$P$200,27)+INDEX(A股成交额换手率测试1!$S$8:$S$200,27)))</f>
        <v>-8.36429999999996</v>
      </c>
      <c r="AJ11">
        <f>IF(OR(ISERROR(INDEX(A股成交额换手率测试1!$P$8:$P$200,26)),ISERROR(INDEX(A股成交额换手率测试1!$S$8:$S$200,26))),NA(),IF(AND(INDEX(A股成交额换手率测试1!$P$8:$P$200,26)=0,INDEX(A股成交额换手率测试1!$S$8:$S$200,26)=0),NA(),INDEX(A股成交额换手率测试1!$P$8:$P$200,26)+INDEX(A股成交额换手率测试1!$S$8:$S$200,26)))</f>
        <v>-66.7699</v>
      </c>
      <c r="AK11">
        <f>IF(OR(ISERROR(INDEX(A股成交额换手率测试1!$P$8:$P$200,25)),ISERROR(INDEX(A股成交额换手率测试1!$S$8:$S$200,25))),NA(),IF(AND(INDEX(A股成交额换手率测试1!$P$8:$P$200,25)=0,INDEX(A股成交额换手率测试1!$S$8:$S$200,25)=0),NA(),INDEX(A股成交额换手率测试1!$P$8:$P$200,25)+INDEX(A股成交额换手率测试1!$S$8:$S$200,25)))</f>
        <v>65.8858999999999</v>
      </c>
      <c r="AL11">
        <f>IF(OR(ISERROR(INDEX(A股成交额换手率测试1!$P$8:$P$200,24)),ISERROR(INDEX(A股成交额换手率测试1!$S$8:$S$200,24))),NA(),IF(AND(INDEX(A股成交额换手率测试1!$P$8:$P$200,24)=0,INDEX(A股成交额换手率测试1!$S$8:$S$200,24)=0),NA(),INDEX(A股成交额换手率测试1!$P$8:$P$200,24)+INDEX(A股成交额换手率测试1!$S$8:$S$200,24)))</f>
        <v>16.2866</v>
      </c>
      <c r="AM11">
        <f>IF(OR(ISERROR(INDEX(A股成交额换手率测试1!$P$8:$P$200,23)),ISERROR(INDEX(A股成交额换手率测试1!$S$8:$S$200,23))),NA(),IF(AND(INDEX(A股成交额换手率测试1!$P$8:$P$200,23)=0,INDEX(A股成交额换手率测试1!$S$8:$S$200,23)=0),NA(),INDEX(A股成交额换手率测试1!$P$8:$P$200,23)+INDEX(A股成交额换手率测试1!$S$8:$S$200,23)))</f>
        <v>40.2166</v>
      </c>
      <c r="AN11">
        <f>IF(OR(ISERROR(INDEX(A股成交额换手率测试1!$P$8:$P$200,22)),ISERROR(INDEX(A股成交额换手率测试1!$S$8:$S$200,22))),NA(),IF(AND(INDEX(A股成交额换手率测试1!$P$8:$P$200,22)=0,INDEX(A股成交额换手率测试1!$S$8:$S$200,22)=0),NA(),INDEX(A股成交额换手率测试1!$P$8:$P$200,22)+INDEX(A股成交额换手率测试1!$S$8:$S$200,22)))</f>
        <v>19.1885</v>
      </c>
      <c r="AO11">
        <f>IF(OR(ISERROR(INDEX(A股成交额换手率测试1!$P$8:$P$200,21)),ISERROR(INDEX(A股成交额换手率测试1!$S$8:$S$200,21))),NA(),IF(AND(INDEX(A股成交额换手率测试1!$P$8:$P$200,21)=0,INDEX(A股成交额换手率测试1!$S$8:$S$200,21)=0),NA(),INDEX(A股成交额换手率测试1!$P$8:$P$200,21)+INDEX(A股成交额换手率测试1!$S$8:$S$200,21)))</f>
        <v>161.5963</v>
      </c>
      <c r="AP11">
        <f>IF(OR(ISERROR(INDEX(A股成交额换手率测试1!$P$8:$P$200,20)),ISERROR(INDEX(A股成交额换手率测试1!$S$8:$S$200,20))),NA(),IF(AND(INDEX(A股成交额换手率测试1!$P$8:$P$200,20)=0,INDEX(A股成交额换手率测试1!$S$8:$S$200,20)=0),NA(),INDEX(A股成交额换手率测试1!$P$8:$P$200,20)+INDEX(A股成交额换手率测试1!$S$8:$S$200,20)))</f>
        <v>-2.70660000000004</v>
      </c>
      <c r="AQ11">
        <f>IF(OR(ISERROR(INDEX(A股成交额换手率测试1!$P$8:$P$200,19)),ISERROR(INDEX(A股成交额换手率测试1!$S$8:$S$200,19))),NA(),IF(AND(INDEX(A股成交额换手率测试1!$P$8:$P$200,19)=0,INDEX(A股成交额换手率测试1!$S$8:$S$200,19)=0),NA(),INDEX(A股成交额换手率测试1!$P$8:$P$200,19)+INDEX(A股成交额换手率测试1!$S$8:$S$200,19)))</f>
        <v>-20.9501</v>
      </c>
      <c r="AR11">
        <f>IF(OR(ISERROR(INDEX(A股成交额换手率测试1!$P$8:$P$200,18)),ISERROR(INDEX(A股成交额换手率测试1!$S$8:$S$200,18))),NA(),IF(AND(INDEX(A股成交额换手率测试1!$P$8:$P$200,18)=0,INDEX(A股成交额换手率测试1!$S$8:$S$200,18)=0),NA(),INDEX(A股成交额换手率测试1!$P$8:$P$200,18)+INDEX(A股成交额换手率测试1!$S$8:$S$200,18)))</f>
        <v>98.0863</v>
      </c>
      <c r="AS11">
        <f>IF(OR(ISERROR(INDEX(A股成交额换手率测试1!$P$8:$P$200,17)),ISERROR(INDEX(A股成交额换手率测试1!$S$8:$S$200,17))),NA(),IF(AND(INDEX(A股成交额换手率测试1!$P$8:$P$200,17)=0,INDEX(A股成交额换手率测试1!$S$8:$S$200,17)=0),NA(),INDEX(A股成交额换手率测试1!$P$8:$P$200,17)+INDEX(A股成交额换手率测试1!$S$8:$S$200,17)))</f>
        <v>-74.3884</v>
      </c>
      <c r="AT11">
        <f>IF(OR(ISERROR(INDEX(A股成交额换手率测试1!$P$8:$P$200,16)),ISERROR(INDEX(A股成交额换手率测试1!$S$8:$S$200,16))),NA(),IF(AND(INDEX(A股成交额换手率测试1!$P$8:$P$200,16)=0,INDEX(A股成交额换手率测试1!$S$8:$S$200,16)=0),NA(),INDEX(A股成交额换手率测试1!$P$8:$P$200,16)+INDEX(A股成交额换手率测试1!$S$8:$S$200,16)))</f>
        <v>71.3502</v>
      </c>
      <c r="AU11">
        <f>IF(OR(ISERROR(INDEX(A股成交额换手率测试1!$P$8:$P$200,15)),ISERROR(INDEX(A股成交额换手率测试1!$S$8:$S$200,15))),NA(),IF(AND(INDEX(A股成交额换手率测试1!$P$8:$P$200,15)=0,INDEX(A股成交额换手率测试1!$S$8:$S$200,15)=0),NA(),INDEX(A股成交额换手率测试1!$P$8:$P$200,15)+INDEX(A股成交额换手率测试1!$S$8:$S$200,15)))</f>
        <v>-23.8192999999999</v>
      </c>
      <c r="AV11">
        <f>IF(OR(ISERROR(INDEX(A股成交额换手率测试1!$P$8:$P$200,14)),ISERROR(INDEX(A股成交额换手率测试1!$S$8:$S$200,14))),NA(),IF(AND(INDEX(A股成交额换手率测试1!$P$8:$P$200,14)=0,INDEX(A股成交额换手率测试1!$S$8:$S$200,14)=0),NA(),INDEX(A股成交额换手率测试1!$P$8:$P$200,14)+INDEX(A股成交额换手率测试1!$S$8:$S$200,14)))</f>
        <v>-34.0106</v>
      </c>
      <c r="AW11">
        <f>IF(OR(ISERROR(INDEX(A股成交额换手率测试1!$P$8:$P$200,13)),ISERROR(INDEX(A股成交额换手率测试1!$S$8:$S$200,13))),NA(),IF(AND(INDEX(A股成交额换手率测试1!$P$8:$P$200,13)=0,INDEX(A股成交额换手率测试1!$S$8:$S$200,13)=0),NA(),INDEX(A股成交额换手率测试1!$P$8:$P$200,13)+INDEX(A股成交额换手率测试1!$S$8:$S$200,13)))</f>
        <v>18.2063</v>
      </c>
      <c r="AX11">
        <f>IF(OR(ISERROR(INDEX(A股成交额换手率测试1!$P$8:$P$200,12)),ISERROR(INDEX(A股成交额换手率测试1!$S$8:$S$200,12))),NA(),IF(AND(INDEX(A股成交额换手率测试1!$P$8:$P$200,12)=0,INDEX(A股成交额换手率测试1!$S$8:$S$200,12)=0),NA(),INDEX(A股成交额换手率测试1!$P$8:$P$200,12)+INDEX(A股成交额换手率测试1!$S$8:$S$200,12)))</f>
        <v>29.9029</v>
      </c>
      <c r="AY11">
        <f>IF(OR(ISERROR(INDEX(A股成交额换手率测试1!$P$8:$P$200,11)),ISERROR(INDEX(A股成交额换手率测试1!$S$8:$S$200,11))),NA(),IF(AND(INDEX(A股成交额换手率测试1!$P$8:$P$200,11)=0,INDEX(A股成交额换手率测试1!$S$8:$S$200,11)=0),NA(),INDEX(A股成交额换手率测试1!$P$8:$P$200,11)+INDEX(A股成交额换手率测试1!$S$8:$S$200,11)))</f>
        <v>-27.7753</v>
      </c>
      <c r="AZ11">
        <f>IF(OR(ISERROR(INDEX(A股成交额换手率测试1!$P$8:$P$200,10)),ISERROR(INDEX(A股成交额换手率测试1!$S$8:$S$200,10))),NA(),IF(AND(INDEX(A股成交额换手率测试1!$P$8:$P$200,10)=0,INDEX(A股成交额换手率测试1!$S$8:$S$200,10)=0),NA(),INDEX(A股成交额换手率测试1!$P$8:$P$200,10)+INDEX(A股成交额换手率测试1!$S$8:$S$200,10)))</f>
        <v>-58.5983</v>
      </c>
      <c r="BA11">
        <f>IF(OR(ISERROR(INDEX(A股成交额换手率测试1!$P$8:$P$200,9)),ISERROR(INDEX(A股成交额换手率测试1!$S$8:$S$200,9))),NA(),IF(AND(INDEX(A股成交额换手率测试1!$P$8:$P$200,9)=0,INDEX(A股成交额换手率测试1!$S$8:$S$200,9)=0),NA(),INDEX(A股成交额换手率测试1!$P$8:$P$200,9)+INDEX(A股成交额换手率测试1!$S$8:$S$200,9)))</f>
        <v>-50.2927</v>
      </c>
      <c r="BB11">
        <f>IF(OR(ISERROR(INDEX(A股成交额换手率测试1!$P$8:$P$200,8)),ISERROR(INDEX(A股成交额换手率测试1!$S$8:$S$200,8))),NA(),IF(AND(INDEX(A股成交额换手率测试1!$P$8:$P$200,8)=0,INDEX(A股成交额换手率测试1!$S$8:$S$200,8)=0),NA(),INDEX(A股成交额换手率测试1!$P$8:$P$200,8)+INDEX(A股成交额换手率测试1!$S$8:$S$200,8)))</f>
        <v>89.8576</v>
      </c>
      <c r="BC11">
        <f>IF(OR(ISERROR(INDEX(A股成交额换手率测试1!$P$8:$P$200,7)),ISERROR(INDEX(A股成交额换手率测试1!$S$8:$S$200,7))),NA(),IF(AND(INDEX(A股成交额换手率测试1!$P$8:$P$200,7)=0,INDEX(A股成交额换手率测试1!$S$8:$S$200,7)=0),NA(),INDEX(A股成交额换手率测试1!$P$8:$P$200,7)+INDEX(A股成交额换手率测试1!$S$8:$S$200,7)))</f>
        <v>136.8666</v>
      </c>
      <c r="BD11">
        <f>IF(OR(ISERROR(INDEX(A股成交额换手率测试1!$P$8:$P$200,6)),ISERROR(INDEX(A股成交额换手率测试1!$S$8:$S$200,6))),NA(),IF(AND(INDEX(A股成交额换手率测试1!$P$8:$P$200,6)=0,INDEX(A股成交额换手率测试1!$S$8:$S$200,6)=0),NA(),INDEX(A股成交额换手率测试1!$P$8:$P$200,6)+INDEX(A股成交额换手率测试1!$S$8:$S$200,6)))</f>
        <v>-76.9688</v>
      </c>
      <c r="BE11">
        <f>IF(OR(ISERROR(INDEX(A股成交额换手率测试1!$P$8:$P$200,5)),ISERROR(INDEX(A股成交额换手率测试1!$S$8:$S$200,5))),NA(),IF(AND(INDEX(A股成交额换手率测试1!$P$8:$P$200,5)=0,INDEX(A股成交额换手率测试1!$S$8:$S$200,5)=0),NA(),INDEX(A股成交额换手率测试1!$P$8:$P$200,5)+INDEX(A股成交额换手率测试1!$S$8:$S$200,5)))</f>
        <v>-21.7063</v>
      </c>
      <c r="BF11">
        <f>IF(OR(ISERROR(INDEX(A股成交额换手率测试1!$P$8:$P$200,4)),ISERROR(INDEX(A股成交额换手率测试1!$S$8:$S$200,4))),NA(),IF(AND(INDEX(A股成交额换手率测试1!$P$8:$P$200,4)=0,INDEX(A股成交额换手率测试1!$S$8:$S$200,4)=0),NA(),INDEX(A股成交额换手率测试1!$P$8:$P$200,4)+INDEX(A股成交额换手率测试1!$S$8:$S$200,4)))</f>
        <v>-89.5604</v>
      </c>
      <c r="BG11">
        <f>IF(OR(ISERROR(INDEX(A股成交额换手率测试1!$P$8:$P$200,3)),ISERROR(INDEX(A股成交额换手率测试1!$S$8:$S$200,3))),NA(),IF(AND(INDEX(A股成交额换手率测试1!$P$8:$P$200,3)=0,INDEX(A股成交额换手率测试1!$S$8:$S$200,3)=0),NA(),INDEX(A股成交额换手率测试1!$P$8:$P$200,3)+INDEX(A股成交额换手率测试1!$S$8:$S$200,3)))</f>
        <v>51.0722</v>
      </c>
      <c r="BH11">
        <f>IF(OR(ISERROR(INDEX(A股成交额换手率测试1!$P$8:$P$200,2)),ISERROR(INDEX(A股成交额换手率测试1!$S$8:$S$200,2))),NA(),IF(AND(INDEX(A股成交额换手率测试1!$P$8:$P$200,2)=0,INDEX(A股成交额换手率测试1!$S$8:$S$200,2)=0),NA(),INDEX(A股成交额换手率测试1!$P$8:$P$200,2)+INDEX(A股成交额换手率测试1!$S$8:$S$200,2)))</f>
        <v>-17.0672</v>
      </c>
      <c r="BI11">
        <f>IF(OR(ISERROR(INDEX(A股成交额换手率测试1!$P$8:$P$200,1)),ISERROR(INDEX(A股成交额换手率测试1!$S$8:$S$200,1))),NA(),IF(AND(INDEX(A股成交额换手率测试1!$P$8:$P$200,1)=0,INDEX(A股成交额换手率测试1!$S$8:$S$200,1)=0),NA(),INDEX(A股成交额换手率测试1!$P$8:$P$200,1)+INDEX(A股成交额换手率测试1!$S$8:$S$200,1)))</f>
        <v>39.264</v>
      </c>
    </row>
    <row r="12" ht="15" customHeight="1" spans="1:61">
      <c r="A12" s="1" t="s">
        <v>31</v>
      </c>
      <c r="B12" s="2">
        <f ca="1">IF(ISERROR(INDEX(指数走势!$F$17:$IV$17,1,MATCH(TODAY(),指数走势!$F$1:$IV$1,1)-60+1)),NA(),IF(INDEX(指数走势!$F$17:$IV$17,1,MATCH(TODAY(),指数走势!$F$1:$IV$1,1)-60+1)=0,NA(),INDEX(指数走势!$F$17:$IV$17,1,MATCH(TODAY(),指数走势!$F$1:$IV$1,1)-60+1)))</f>
        <v>0.465</v>
      </c>
      <c r="C12" s="2">
        <f ca="1">IF(ISERROR(INDEX(指数走势!$F$17:$IV$17,1,MATCH(TODAY(),指数走势!$F$1:$IV$1,1)-60+2)),NA(),IF(INDEX(指数走势!$F$17:$IV$17,1,MATCH(TODAY(),指数走势!$F$1:$IV$1,1)-60+2)=0,NA(),INDEX(指数走势!$F$17:$IV$17,1,MATCH(TODAY(),指数走势!$F$1:$IV$1,1)-60+2)))</f>
        <v>0.2785</v>
      </c>
      <c r="D12" s="2">
        <f ca="1">IF(ISERROR(INDEX(指数走势!$F$17:$IV$17,1,MATCH(TODAY(),指数走势!$F$1:$IV$1,1)-60+3)),NA(),IF(INDEX(指数走势!$F$17:$IV$17,1,MATCH(TODAY(),指数走势!$F$1:$IV$1,1)-60+3)=0,NA(),INDEX(指数走势!$F$17:$IV$17,1,MATCH(TODAY(),指数走势!$F$1:$IV$1,1)-60+3)))</f>
        <v>0.2456</v>
      </c>
      <c r="E12" s="2">
        <f ca="1">IF(ISERROR(INDEX(指数走势!$F$17:$IV$17,1,MATCH(TODAY(),指数走势!$F$1:$IV$1,1)-60+4)),NA(),IF(INDEX(指数走势!$F$17:$IV$17,1,MATCH(TODAY(),指数走势!$F$1:$IV$1,1)-60+4)=0,NA(),INDEX(指数走势!$F$17:$IV$17,1,MATCH(TODAY(),指数走势!$F$1:$IV$1,1)-60+4)))</f>
        <v>0.2185</v>
      </c>
      <c r="F12" s="2">
        <f ca="1">IF(ISERROR(INDEX(指数走势!$F$17:$IV$17,1,MATCH(TODAY(),指数走势!$F$1:$IV$1,1)-60+5)),NA(),IF(INDEX(指数走势!$F$17:$IV$17,1,MATCH(TODAY(),指数走势!$F$1:$IV$1,1)-60+5)=0,NA(),INDEX(指数走势!$F$17:$IV$17,1,MATCH(TODAY(),指数走势!$F$1:$IV$1,1)-60+5)))</f>
        <v>0.2584</v>
      </c>
      <c r="G12" s="2">
        <f ca="1">IF(ISERROR(INDEX(指数走势!$F$17:$IV$17,1,MATCH(TODAY(),指数走势!$F$1:$IV$1,1)-60+6)),NA(),IF(INDEX(指数走势!$F$17:$IV$17,1,MATCH(TODAY(),指数走势!$F$1:$IV$1,1)-60+6)=0,NA(),INDEX(指数走势!$F$17:$IV$17,1,MATCH(TODAY(),指数走势!$F$1:$IV$1,1)-60+6)))</f>
        <v>0.2884</v>
      </c>
      <c r="H12" s="2">
        <f ca="1">IF(ISERROR(INDEX(指数走势!$F$17:$IV$17,1,MATCH(TODAY(),指数走势!$F$1:$IV$1,1)-60+7)),NA(),IF(INDEX(指数走势!$F$17:$IV$17,1,MATCH(TODAY(),指数走势!$F$1:$IV$1,1)-60+7)=0,NA(),INDEX(指数走势!$F$17:$IV$17,1,MATCH(TODAY(),指数走势!$F$1:$IV$1,1)-60+7)))</f>
        <v>0.2679</v>
      </c>
      <c r="I12" s="2">
        <f ca="1">IF(ISERROR(INDEX(指数走势!$F$17:$IV$17,1,MATCH(TODAY(),指数走势!$F$1:$IV$1,1)-60+8)),NA(),IF(INDEX(指数走势!$F$17:$IV$17,1,MATCH(TODAY(),指数走势!$F$1:$IV$1,1)-60+8)=0,NA(),INDEX(指数走势!$F$17:$IV$17,1,MATCH(TODAY(),指数走势!$F$1:$IV$1,1)-60+8)))</f>
        <v>0.2667</v>
      </c>
      <c r="J12" s="2">
        <f ca="1">IF(ISERROR(INDEX(指数走势!$F$17:$IV$17,1,MATCH(TODAY(),指数走势!$F$1:$IV$1,1)-60+9)),NA(),IF(INDEX(指数走势!$F$17:$IV$17,1,MATCH(TODAY(),指数走势!$F$1:$IV$1,1)-60+9)=0,NA(),INDEX(指数走势!$F$17:$IV$17,1,MATCH(TODAY(),指数走势!$F$1:$IV$1,1)-60+9)))</f>
        <v>0.2743</v>
      </c>
      <c r="K12" s="2">
        <f ca="1">IF(ISERROR(INDEX(指数走势!$F$17:$IV$17,1,MATCH(TODAY(),指数走势!$F$1:$IV$1,1)-60+10)),NA(),IF(INDEX(指数走势!$F$17:$IV$17,1,MATCH(TODAY(),指数走势!$F$1:$IV$1,1)-60+10)=0,NA(),INDEX(指数走势!$F$17:$IV$17,1,MATCH(TODAY(),指数走势!$F$1:$IV$1,1)-60+10)))</f>
        <v>0.2349</v>
      </c>
      <c r="L12" s="2">
        <f ca="1">IF(ISERROR(INDEX(指数走势!$F$17:$IV$17,1,MATCH(TODAY(),指数走势!$F$1:$IV$1,1)-60+11)),NA(),IF(INDEX(指数走势!$F$17:$IV$17,1,MATCH(TODAY(),指数走势!$F$1:$IV$1,1)-60+11)=0,NA(),INDEX(指数走势!$F$17:$IV$17,1,MATCH(TODAY(),指数走势!$F$1:$IV$1,1)-60+11)))</f>
        <v>0.2446</v>
      </c>
      <c r="M12" s="2">
        <f ca="1">IF(ISERROR(INDEX(指数走势!$F$17:$IV$17,1,MATCH(TODAY(),指数走势!$F$1:$IV$1,1)-60+12)),NA(),IF(INDEX(指数走势!$F$17:$IV$17,1,MATCH(TODAY(),指数走势!$F$1:$IV$1,1)-60+12)=0,NA(),INDEX(指数走势!$F$17:$IV$17,1,MATCH(TODAY(),指数走势!$F$1:$IV$1,1)-60+12)))</f>
        <v>0.249</v>
      </c>
      <c r="N12" s="2">
        <f ca="1">IF(ISERROR(INDEX(指数走势!$F$17:$IV$17,1,MATCH(TODAY(),指数走势!$F$1:$IV$1,1)-60+13)),NA(),IF(INDEX(指数走势!$F$17:$IV$17,1,MATCH(TODAY(),指数走势!$F$1:$IV$1,1)-60+13)=0,NA(),INDEX(指数走势!$F$17:$IV$17,1,MATCH(TODAY(),指数走势!$F$1:$IV$1,1)-60+13)))</f>
        <v>0.2755</v>
      </c>
      <c r="O12" s="2">
        <f ca="1">IF(ISERROR(INDEX(指数走势!$F$17:$IV$17,1,MATCH(TODAY(),指数走势!$F$1:$IV$1,1)-60+14)),NA(),IF(INDEX(指数走势!$F$17:$IV$17,1,MATCH(TODAY(),指数走势!$F$1:$IV$1,1)-60+14)=0,NA(),INDEX(指数走势!$F$17:$IV$17,1,MATCH(TODAY(),指数走势!$F$1:$IV$1,1)-60+14)))</f>
        <v>0.2484</v>
      </c>
      <c r="P12" s="2">
        <f ca="1">IF(ISERROR(INDEX(指数走势!$F$17:$IV$17,1,MATCH(TODAY(),指数走势!$F$1:$IV$1,1)-60+15)),NA(),IF(INDEX(指数走势!$F$17:$IV$17,1,MATCH(TODAY(),指数走势!$F$1:$IV$1,1)-60+15)=0,NA(),INDEX(指数走势!$F$17:$IV$17,1,MATCH(TODAY(),指数走势!$F$1:$IV$1,1)-60+15)))</f>
        <v>0.3116</v>
      </c>
      <c r="Q12" s="2">
        <f ca="1">IF(ISERROR(INDEX(指数走势!$F$17:$IV$17,1,MATCH(TODAY(),指数走势!$F$1:$IV$1,1)-60+16)),NA(),IF(INDEX(指数走势!$F$17:$IV$17,1,MATCH(TODAY(),指数走势!$F$1:$IV$1,1)-60+16)=0,NA(),INDEX(指数走势!$F$17:$IV$17,1,MATCH(TODAY(),指数走势!$F$1:$IV$1,1)-60+16)))</f>
        <v>0.3612</v>
      </c>
      <c r="R12" s="2">
        <f ca="1">IF(ISERROR(INDEX(指数走势!$F$17:$IV$17,1,MATCH(TODAY(),指数走势!$F$1:$IV$1,1)-60+17)),NA(),IF(INDEX(指数走势!$F$17:$IV$17,1,MATCH(TODAY(),指数走势!$F$1:$IV$1,1)-60+17)=0,NA(),INDEX(指数走势!$F$17:$IV$17,1,MATCH(TODAY(),指数走势!$F$1:$IV$1,1)-60+17)))</f>
        <v>0.3942</v>
      </c>
      <c r="S12" s="2">
        <f ca="1">IF(ISERROR(INDEX(指数走势!$F$17:$IV$17,1,MATCH(TODAY(),指数走势!$F$1:$IV$1,1)-60+18)),NA(),IF(INDEX(指数走势!$F$17:$IV$17,1,MATCH(TODAY(),指数走势!$F$1:$IV$1,1)-60+18)=0,NA(),INDEX(指数走势!$F$17:$IV$17,1,MATCH(TODAY(),指数走势!$F$1:$IV$1,1)-60+18)))</f>
        <v>0.3384</v>
      </c>
      <c r="T12" s="2">
        <f ca="1">IF(ISERROR(INDEX(指数走势!$F$17:$IV$17,1,MATCH(TODAY(),指数走势!$F$1:$IV$1,1)-60+19)),NA(),IF(INDEX(指数走势!$F$17:$IV$17,1,MATCH(TODAY(),指数走势!$F$1:$IV$1,1)-60+19)=0,NA(),INDEX(指数走势!$F$17:$IV$17,1,MATCH(TODAY(),指数走势!$F$1:$IV$1,1)-60+19)))</f>
        <v>0.3808</v>
      </c>
      <c r="U12" s="2">
        <f ca="1">IF(ISERROR(INDEX(指数走势!$F$17:$IV$17,1,MATCH(TODAY(),指数走势!$F$1:$IV$1,1)-60+20)),NA(),IF(INDEX(指数走势!$F$17:$IV$17,1,MATCH(TODAY(),指数走势!$F$1:$IV$1,1)-60+20)=0,NA(),INDEX(指数走势!$F$17:$IV$17,1,MATCH(TODAY(),指数走势!$F$1:$IV$1,1)-60+20)))</f>
        <v>0.2923</v>
      </c>
      <c r="V12" s="2">
        <f ca="1">IF(ISERROR(INDEX(指数走势!$F$17:$IV$17,1,MATCH(TODAY(),指数走势!$F$1:$IV$1,1)-60+21)),NA(),IF(INDEX(指数走势!$F$17:$IV$17,1,MATCH(TODAY(),指数走势!$F$1:$IV$1,1)-60+21)=0,NA(),INDEX(指数走势!$F$17:$IV$17,1,MATCH(TODAY(),指数走势!$F$1:$IV$1,1)-60+21)))</f>
        <v>0.294</v>
      </c>
      <c r="W12" s="2">
        <f ca="1">IF(ISERROR(INDEX(指数走势!$F$17:$IV$17,1,MATCH(TODAY(),指数走势!$F$1:$IV$1,1)-60+22)),NA(),IF(INDEX(指数走势!$F$17:$IV$17,1,MATCH(TODAY(),指数走势!$F$1:$IV$1,1)-60+22)=0,NA(),INDEX(指数走势!$F$17:$IV$17,1,MATCH(TODAY(),指数走势!$F$1:$IV$1,1)-60+22)))</f>
        <v>0.2943</v>
      </c>
      <c r="X12" s="2">
        <f ca="1">IF(ISERROR(INDEX(指数走势!$F$17:$IV$17,1,MATCH(TODAY(),指数走势!$F$1:$IV$1,1)-60+23)),NA(),IF(INDEX(指数走势!$F$17:$IV$17,1,MATCH(TODAY(),指数走势!$F$1:$IV$1,1)-60+23)=0,NA(),INDEX(指数走势!$F$17:$IV$17,1,MATCH(TODAY(),指数走势!$F$1:$IV$1,1)-60+23)))</f>
        <v>0.2693</v>
      </c>
      <c r="Y12" s="2">
        <f ca="1">IF(ISERROR(INDEX(指数走势!$F$17:$IV$17,1,MATCH(TODAY(),指数走势!$F$1:$IV$1,1)-60+24)),NA(),IF(INDEX(指数走势!$F$17:$IV$17,1,MATCH(TODAY(),指数走势!$F$1:$IV$1,1)-60+24)=0,NA(),INDEX(指数走势!$F$17:$IV$17,1,MATCH(TODAY(),指数走势!$F$1:$IV$1,1)-60+24)))</f>
        <v>0.2983</v>
      </c>
      <c r="Z12" s="2">
        <f ca="1">IF(ISERROR(INDEX(指数走势!$F$17:$IV$17,1,MATCH(TODAY(),指数走势!$F$1:$IV$1,1)-60+25)),NA(),IF(INDEX(指数走势!$F$17:$IV$17,1,MATCH(TODAY(),指数走势!$F$1:$IV$1,1)-60+25)=0,NA(),INDEX(指数走势!$F$17:$IV$17,1,MATCH(TODAY(),指数走势!$F$1:$IV$1,1)-60+25)))</f>
        <v>0.3112</v>
      </c>
      <c r="AA12" s="2">
        <f ca="1">IF(ISERROR(INDEX(指数走势!$F$17:$IV$17,1,MATCH(TODAY(),指数走势!$F$1:$IV$1,1)-60+26)),NA(),IF(INDEX(指数走势!$F$17:$IV$17,1,MATCH(TODAY(),指数走势!$F$1:$IV$1,1)-60+26)=0,NA(),INDEX(指数走势!$F$17:$IV$17,1,MATCH(TODAY(),指数走势!$F$1:$IV$1,1)-60+26)))</f>
        <v>0.288</v>
      </c>
      <c r="AB12" s="2">
        <f ca="1">IF(ISERROR(INDEX(指数走势!$F$17:$IV$17,1,MATCH(TODAY(),指数走势!$F$1:$IV$1,1)-60+27)),NA(),IF(INDEX(指数走势!$F$17:$IV$17,1,MATCH(TODAY(),指数走势!$F$1:$IV$1,1)-60+27)=0,NA(),INDEX(指数走势!$F$17:$IV$17,1,MATCH(TODAY(),指数走势!$F$1:$IV$1,1)-60+27)))</f>
        <v>0.296</v>
      </c>
      <c r="AC12" s="2">
        <f ca="1">IF(ISERROR(INDEX(指数走势!$F$17:$IV$17,1,MATCH(TODAY(),指数走势!$F$1:$IV$1,1)-60+28)),NA(),IF(INDEX(指数走势!$F$17:$IV$17,1,MATCH(TODAY(),指数走势!$F$1:$IV$1,1)-60+28)=0,NA(),INDEX(指数走势!$F$17:$IV$17,1,MATCH(TODAY(),指数走势!$F$1:$IV$1,1)-60+28)))</f>
        <v>0.273</v>
      </c>
      <c r="AD12" s="2">
        <f ca="1">IF(ISERROR(INDEX(指数走势!$F$17:$IV$17,1,MATCH(TODAY(),指数走势!$F$1:$IV$1,1)-60+29)),NA(),IF(INDEX(指数走势!$F$17:$IV$17,1,MATCH(TODAY(),指数走势!$F$1:$IV$1,1)-60+29)=0,NA(),INDEX(指数走势!$F$17:$IV$17,1,MATCH(TODAY(),指数走势!$F$1:$IV$1,1)-60+29)))</f>
        <v>0.2891</v>
      </c>
      <c r="AE12" s="2">
        <f ca="1">IF(ISERROR(INDEX(指数走势!$F$17:$IV$17,1,MATCH(TODAY(),指数走势!$F$1:$IV$1,1)-60+30)),NA(),IF(INDEX(指数走势!$F$17:$IV$17,1,MATCH(TODAY(),指数走势!$F$1:$IV$1,1)-60+30)=0,NA(),INDEX(指数走势!$F$17:$IV$17,1,MATCH(TODAY(),指数走势!$F$1:$IV$1,1)-60+30)))</f>
        <v>0.3133</v>
      </c>
      <c r="AF12" s="2" t="e">
        <f ca="1">IF(ISERROR(INDEX(指数走势!$F$17:$IV$17,1,MATCH(TODAY(),指数走势!$F$1:$IV$1,1)-60+31)),NA(),IF(INDEX(指数走势!$F$17:$IV$17,1,MATCH(TODAY(),指数走势!$F$1:$IV$1,1)-60+31)=0,NA(),INDEX(指数走势!$F$17:$IV$17,1,MATCH(TODAY(),指数走势!$F$1:$IV$1,1)-60+31)))</f>
        <v>#N/A</v>
      </c>
      <c r="AG12" s="2">
        <f ca="1">IF(ISERROR(INDEX(指数走势!$F$17:$IV$17,1,MATCH(TODAY(),指数走势!$F$1:$IV$1,1)-60+32)),NA(),IF(INDEX(指数走势!$F$17:$IV$17,1,MATCH(TODAY(),指数走势!$F$1:$IV$1,1)-60+32)=0,NA(),INDEX(指数走势!$F$17:$IV$17,1,MATCH(TODAY(),指数走势!$F$1:$IV$1,1)-60+32)))</f>
        <v>0.3898</v>
      </c>
      <c r="AH12" s="2">
        <f ca="1">IF(ISERROR(INDEX(指数走势!$F$17:$IV$17,1,MATCH(TODAY(),指数走势!$F$1:$IV$1,1)-60+33)),NA(),IF(INDEX(指数走势!$F$17:$IV$17,1,MATCH(TODAY(),指数走势!$F$1:$IV$1,1)-60+33)=0,NA(),INDEX(指数走势!$F$17:$IV$17,1,MATCH(TODAY(),指数走势!$F$1:$IV$1,1)-60+33)))</f>
        <v>0.3549</v>
      </c>
      <c r="AI12" s="2">
        <f ca="1">IF(ISERROR(INDEX(指数走势!$F$17:$IV$17,1,MATCH(TODAY(),指数走势!$F$1:$IV$1,1)-60+34)),NA(),IF(INDEX(指数走势!$F$17:$IV$17,1,MATCH(TODAY(),指数走势!$F$1:$IV$1,1)-60+34)=0,NA(),INDEX(指数走势!$F$17:$IV$17,1,MATCH(TODAY(),指数走势!$F$1:$IV$1,1)-60+34)))</f>
        <v>0.4046</v>
      </c>
      <c r="AJ12">
        <f ca="1">IF(ISERROR(INDEX(指数走势!$F$17:$IV$17,1,MATCH(TODAY(),指数走势!$F$1:$IV$1,1)-60+35)),NA(),IF(INDEX(指数走势!$F$17:$IV$17,1,MATCH(TODAY(),指数走势!$F$1:$IV$1,1)-60+35)=0,NA(),INDEX(指数走势!$F$17:$IV$17,1,MATCH(TODAY(),指数走势!$F$1:$IV$1,1)-60+35)))</f>
        <v>0.6461</v>
      </c>
      <c r="AK12">
        <f ca="1">IF(ISERROR(INDEX(指数走势!$F$17:$IV$17,1,MATCH(TODAY(),指数走势!$F$1:$IV$1,1)-60+36)),NA(),IF(INDEX(指数走势!$F$17:$IV$17,1,MATCH(TODAY(),指数走势!$F$1:$IV$1,1)-60+36)=0,NA(),INDEX(指数走势!$F$17:$IV$17,1,MATCH(TODAY(),指数走势!$F$1:$IV$1,1)-60+36)))</f>
        <v>0.3536</v>
      </c>
      <c r="AL12" s="2">
        <f ca="1">IF(ISERROR(INDEX(指数走势!$F$17:$IV$17,1,MATCH(TODAY(),指数走势!$F$1:$IV$1,1)-60+37)),NA(),IF(INDEX(指数走势!$F$17:$IV$17,1,MATCH(TODAY(),指数走势!$F$1:$IV$1,1)-60+37)=0,NA(),INDEX(指数走势!$F$17:$IV$17,1,MATCH(TODAY(),指数走势!$F$1:$IV$1,1)-60+37)))</f>
        <v>0.3582</v>
      </c>
      <c r="AM12" s="2">
        <f ca="1">IF(ISERROR(INDEX(指数走势!$F$17:$IV$17,1,MATCH(TODAY(),指数走势!$F$1:$IV$1,1)-60+38)),NA(),IF(INDEX(指数走势!$F$17:$IV$17,1,MATCH(TODAY(),指数走势!$F$1:$IV$1,1)-60+38)=0,NA(),INDEX(指数走势!$F$17:$IV$17,1,MATCH(TODAY(),指数走势!$F$1:$IV$1,1)-60+38)))</f>
        <v>0.3031</v>
      </c>
      <c r="AN12" s="2">
        <f ca="1">IF(ISERROR(INDEX(指数走势!$F$17:$IV$17,1,MATCH(TODAY(),指数走势!$F$1:$IV$1,1)-60+39)),NA(),IF(INDEX(指数走势!$F$17:$IV$17,1,MATCH(TODAY(),指数走势!$F$1:$IV$1,1)-60+39)=0,NA(),INDEX(指数走势!$F$17:$IV$17,1,MATCH(TODAY(),指数走势!$F$1:$IV$1,1)-60+39)))</f>
        <v>0.2657</v>
      </c>
      <c r="AO12" s="2">
        <f ca="1">IF(ISERROR(INDEX(指数走势!$F$17:$IV$17,1,MATCH(TODAY(),指数走势!$F$1:$IV$1,1)-60+40)),NA(),IF(INDEX(指数走势!$F$17:$IV$17,1,MATCH(TODAY(),指数走势!$F$1:$IV$1,1)-60+40)=0,NA(),INDEX(指数走势!$F$17:$IV$17,1,MATCH(TODAY(),指数走势!$F$1:$IV$1,1)-60+40)))</f>
        <v>0.3413</v>
      </c>
      <c r="AP12" s="2">
        <f ca="1">IF(ISERROR(INDEX(指数走势!$F$17:$IV$17,1,MATCH(TODAY(),指数走势!$F$1:$IV$1,1)-60+41)),NA(),IF(INDEX(指数走势!$F$17:$IV$17,1,MATCH(TODAY(),指数走势!$F$1:$IV$1,1)-60+41)=0,NA(),INDEX(指数走势!$F$17:$IV$17,1,MATCH(TODAY(),指数走势!$F$1:$IV$1,1)-60+41)))</f>
        <v>0.3592</v>
      </c>
      <c r="AQ12" s="2">
        <f ca="1">IF(ISERROR(INDEX(指数走势!$F$17:$IV$17,1,MATCH(TODAY(),指数走势!$F$1:$IV$1,1)-60+42)),NA(),IF(INDEX(指数走势!$F$17:$IV$17,1,MATCH(TODAY(),指数走势!$F$1:$IV$1,1)-60+42)=0,NA(),INDEX(指数走势!$F$17:$IV$17,1,MATCH(TODAY(),指数走势!$F$1:$IV$1,1)-60+42)))</f>
        <v>0.3167</v>
      </c>
      <c r="AR12" s="2">
        <f ca="1">IF(ISERROR(INDEX(指数走势!$F$17:$IV$17,1,MATCH(TODAY(),指数走势!$F$1:$IV$1,1)-60+43)),NA(),IF(INDEX(指数走势!$F$17:$IV$17,1,MATCH(TODAY(),指数走势!$F$1:$IV$1,1)-60+43)=0,NA(),INDEX(指数走势!$F$17:$IV$17,1,MATCH(TODAY(),指数走势!$F$1:$IV$1,1)-60+43)))</f>
        <v>0.3717</v>
      </c>
      <c r="AS12" s="2">
        <f ca="1">IF(ISERROR(INDEX(指数走势!$F$17:$IV$17,1,MATCH(TODAY(),指数走势!$F$1:$IV$1,1)-60+44)),NA(),IF(INDEX(指数走势!$F$17:$IV$17,1,MATCH(TODAY(),指数走势!$F$1:$IV$1,1)-60+44)=0,NA(),INDEX(指数走势!$F$17:$IV$17,1,MATCH(TODAY(),指数走势!$F$1:$IV$1,1)-60+44)))</f>
        <v>0.3225</v>
      </c>
      <c r="AT12" s="2">
        <f ca="1">IF(ISERROR(INDEX(指数走势!$F$17:$IV$17,1,MATCH(TODAY(),指数走势!$F$1:$IV$1,1)-60+45)),NA(),IF(INDEX(指数走势!$F$17:$IV$17,1,MATCH(TODAY(),指数走势!$F$1:$IV$1,1)-60+45)=0,NA(),INDEX(指数走势!$F$17:$IV$17,1,MATCH(TODAY(),指数走势!$F$1:$IV$1,1)-60+45)))</f>
        <v>0.3537</v>
      </c>
      <c r="AU12" s="2">
        <f ca="1">IF(ISERROR(INDEX(指数走势!$F$17:$IV$17,1,MATCH(TODAY(),指数走势!$F$1:$IV$1,1)-60+46)),NA(),IF(INDEX(指数走势!$F$17:$IV$17,1,MATCH(TODAY(),指数走势!$F$1:$IV$1,1)-60+46)=0,NA(),INDEX(指数走势!$F$17:$IV$17,1,MATCH(TODAY(),指数走势!$F$1:$IV$1,1)-60+46)))</f>
        <v>0.3428</v>
      </c>
      <c r="AV12" s="2">
        <f ca="1">IF(ISERROR(INDEX(指数走势!$F$17:$IV$17,1,MATCH(TODAY(),指数走势!$F$1:$IV$1,1)-60+47)),NA(),IF(INDEX(指数走势!$F$17:$IV$17,1,MATCH(TODAY(),指数走势!$F$1:$IV$1,1)-60+47)=0,NA(),INDEX(指数走势!$F$17:$IV$17,1,MATCH(TODAY(),指数走势!$F$1:$IV$1,1)-60+47)))</f>
        <v>0.2965</v>
      </c>
      <c r="AW12" s="2">
        <f ca="1">IF(ISERROR(INDEX(指数走势!$F$17:$IV$17,1,MATCH(TODAY(),指数走势!$F$1:$IV$1,1)-60+48)),NA(),IF(INDEX(指数走势!$F$17:$IV$17,1,MATCH(TODAY(),指数走势!$F$1:$IV$1,1)-60+48)=0,NA(),INDEX(指数走势!$F$17:$IV$17,1,MATCH(TODAY(),指数走势!$F$1:$IV$1,1)-60+48)))</f>
        <v>0.288</v>
      </c>
      <c r="AX12" s="2">
        <f ca="1">IF(ISERROR(INDEX(指数走势!$F$17:$IV$17,1,MATCH(TODAY(),指数走势!$F$1:$IV$1,1)-60+49)),NA(),IF(INDEX(指数走势!$F$17:$IV$17,1,MATCH(TODAY(),指数走势!$F$1:$IV$1,1)-60+49)=0,NA(),INDEX(指数走势!$F$17:$IV$17,1,MATCH(TODAY(),指数走势!$F$1:$IV$1,1)-60+49)))</f>
        <v>0.4558</v>
      </c>
      <c r="AY12" s="2">
        <f ca="1">IF(ISERROR(INDEX(指数走势!$F$17:$IV$17,1,MATCH(TODAY(),指数走势!$F$1:$IV$1,1)-60+50)),NA(),IF(INDEX(指数走势!$F$17:$IV$17,1,MATCH(TODAY(),指数走势!$F$1:$IV$1,1)-60+50)=0,NA(),INDEX(指数走势!$F$17:$IV$17,1,MATCH(TODAY(),指数走势!$F$1:$IV$1,1)-60+50)))</f>
        <v>0.3818</v>
      </c>
      <c r="AZ12" s="2">
        <f ca="1">IF(ISERROR(INDEX(指数走势!$F$17:$IV$17,1,MATCH(TODAY(),指数走势!$F$1:$IV$1,1)-60+51)),NA(),IF(INDEX(指数走势!$F$17:$IV$17,1,MATCH(TODAY(),指数走势!$F$1:$IV$1,1)-60+51)=0,NA(),INDEX(指数走势!$F$17:$IV$17,1,MATCH(TODAY(),指数走势!$F$1:$IV$1,1)-60+51)))</f>
        <v>0.3478</v>
      </c>
      <c r="BA12" s="2">
        <f ca="1">IF(ISERROR(INDEX(指数走势!$F$17:$IV$17,1,MATCH(TODAY(),指数走势!$F$1:$IV$1,1)-60+52)),NA(),IF(INDEX(指数走势!$F$17:$IV$17,1,MATCH(TODAY(),指数走势!$F$1:$IV$1,1)-60+52)=0,NA(),INDEX(指数走势!$F$17:$IV$17,1,MATCH(TODAY(),指数走势!$F$1:$IV$1,1)-60+52)))</f>
        <v>0.3262</v>
      </c>
      <c r="BB12" s="2">
        <f ca="1">IF(ISERROR(INDEX(指数走势!$F$17:$IV$17,1,MATCH(TODAY(),指数走势!$F$1:$IV$1,1)-60+53)),NA(),IF(INDEX(指数走势!$F$17:$IV$17,1,MATCH(TODAY(),指数走势!$F$1:$IV$1,1)-60+53)=0,NA(),INDEX(指数走势!$F$17:$IV$17,1,MATCH(TODAY(),指数走势!$F$1:$IV$1,1)-60+53)))</f>
        <v>0.4022</v>
      </c>
      <c r="BC12" s="2">
        <f ca="1">IF(ISERROR(INDEX(指数走势!$F$17:$IV$17,1,MATCH(TODAY(),指数走势!$F$1:$IV$1,1)-60+54)),NA(),IF(INDEX(指数走势!$F$17:$IV$17,1,MATCH(TODAY(),指数走势!$F$1:$IV$1,1)-60+54)=0,NA(),INDEX(指数走势!$F$17:$IV$17,1,MATCH(TODAY(),指数走势!$F$1:$IV$1,1)-60+54)))</f>
        <v>0.3954</v>
      </c>
      <c r="BD12" s="2">
        <f ca="1">IF(ISERROR(INDEX(指数走势!$F$17:$IV$17,1,MATCH(TODAY(),指数走势!$F$1:$IV$1,1)-60+55)),NA(),IF(INDEX(指数走势!$F$17:$IV$17,1,MATCH(TODAY(),指数走势!$F$1:$IV$1,1)-60+55)=0,NA(),INDEX(指数走势!$F$17:$IV$17,1,MATCH(TODAY(),指数走势!$F$1:$IV$1,1)-60+55)))</f>
        <v>0.326</v>
      </c>
      <c r="BE12" s="2">
        <f ca="1">IF(ISERROR(INDEX(指数走势!$F$17:$IV$17,1,MATCH(TODAY(),指数走势!$F$1:$IV$1,1)-60+56)),NA(),IF(INDEX(指数走势!$F$17:$IV$17,1,MATCH(TODAY(),指数走势!$F$1:$IV$1,1)-60+56)=0,NA(),INDEX(指数走势!$F$17:$IV$17,1,MATCH(TODAY(),指数走势!$F$1:$IV$1,1)-60+56)))</f>
        <v>0.4237</v>
      </c>
      <c r="BF12" s="2" t="e">
        <f ca="1">IF(ISERROR(INDEX(指数走势!$F$17:$IV$17,1,MATCH(TODAY(),指数走势!$F$1:$IV$1,1)-60+57)),NA(),IF(INDEX(指数走势!$F$17:$IV$17,1,MATCH(TODAY(),指数走势!$F$1:$IV$1,1)-60+57)=0,NA(),INDEX(指数走势!$F$17:$IV$17,1,MATCH(TODAY(),指数走势!$F$1:$IV$1,1)-60+57)))</f>
        <v>#N/A</v>
      </c>
      <c r="BG12" s="2">
        <f ca="1">IF(ISERROR(INDEX(指数走势!$F$17:$IV$17,1,MATCH(TODAY(),指数走势!$F$1:$IV$1,1)-60+58)),NA(),IF(INDEX(指数走势!$F$17:$IV$17,1,MATCH(TODAY(),指数走势!$F$1:$IV$1,1)-60+58)=0,NA(),INDEX(指数走势!$F$17:$IV$17,1,MATCH(TODAY(),指数走势!$F$1:$IV$1,1)-60+58)))</f>
        <v>0.3907</v>
      </c>
      <c r="BH12" s="2">
        <f ca="1">IF(ISERROR(INDEX(指数走势!$F$17:$IV$17,1,MATCH(TODAY(),指数走势!$F$1:$IV$1,1)-60+59)),NA(),IF(INDEX(指数走势!$F$17:$IV$17,1,MATCH(TODAY(),指数走势!$F$1:$IV$1,1)-60+59)=0,NA(),INDEX(指数走势!$F$17:$IV$17,1,MATCH(TODAY(),指数走势!$F$1:$IV$1,1)-60+59)))</f>
        <v>0.32</v>
      </c>
      <c r="BI12" s="2" t="e">
        <f ca="1">IF(ISERROR(INDEX(指数走势!$F$17:$IV$17,1,MATCH(TODAY(),指数走势!$F$1:$IV$1,1)-60+60)),NA(),IF(INDEX(指数走势!$F$17:$IV$17,1,MATCH(TODAY(),指数走势!$F$1:$IV$1,1)-60+60)=0,NA(),INDEX(指数走势!$F$17:$IV$17,1,MATCH(TODAY(),指数走势!$F$1:$IV$1,1)-60+60)))</f>
        <v>#N/A</v>
      </c>
    </row>
    <row r="13" ht="15" customHeight="1" spans="1:61">
      <c r="A13" s="1" t="s">
        <v>32</v>
      </c>
      <c r="B13">
        <f>IF(ISERROR(INDEX(宏观数据!$F$112:$TN$112,1,LOOKUP(2,1/(宏观数据!$F$112:$TN$112&lt;&gt;""),COLUMN(宏观数据!$F$112:$TN$112))-COLUMN(宏观数据!$F$112)+1-60+1)),NA(),IF(INDEX(宏观数据!$F$112:$TN$112,1,LOOKUP(2,1/(宏观数据!$F$112:$TN$112&lt;&gt;""),COLUMN(宏观数据!$F$112:$TN$112))-COLUMN(宏观数据!$F$112)+1-60+1)=0,NA(),INDEX(宏观数据!$F$112:$TN$112,1,LOOKUP(2,1/(宏观数据!$F$112:$TN$112&lt;&gt;""),COLUMN(宏观数据!$F$112:$TN$112))-COLUMN(宏观数据!$F$112)+1-60+1)/100))</f>
        <v>2367.76</v>
      </c>
      <c r="C13">
        <f>IF(ISERROR(INDEX(宏观数据!$F$112:$TN$112,1,LOOKUP(2,1/(宏观数据!$F$112:$TN$112&lt;&gt;""),COLUMN(宏观数据!$F$112:$TN$112))-COLUMN(宏观数据!$F$112)+1-60+2)),NA(),IF(INDEX(宏观数据!$F$112:$TN$112,1,LOOKUP(2,1/(宏观数据!$F$112:$TN$112&lt;&gt;""),COLUMN(宏观数据!$F$112:$TN$112))-COLUMN(宏观数据!$F$112)+1-60+2)=0,NA(),INDEX(宏观数据!$F$112:$TN$112,1,LOOKUP(2,1/(宏观数据!$F$112:$TN$112&lt;&gt;""),COLUMN(宏观数据!$F$112:$TN$112))-COLUMN(宏观数据!$F$112)+1-60+2)/100))</f>
        <v>2455.88</v>
      </c>
      <c r="D13">
        <f>IF(ISERROR(INDEX(宏观数据!$F$112:$TN$112,1,LOOKUP(2,1/(宏观数据!$F$112:$TN$112&lt;&gt;""),COLUMN(宏观数据!$F$112:$TN$112))-COLUMN(宏观数据!$F$112)+1-60+3)),NA(),IF(INDEX(宏观数据!$F$112:$TN$112,1,LOOKUP(2,1/(宏观数据!$F$112:$TN$112&lt;&gt;""),COLUMN(宏观数据!$F$112:$TN$112))-COLUMN(宏观数据!$F$112)+1-60+3)=0,NA(),INDEX(宏观数据!$F$112:$TN$112,1,LOOKUP(2,1/(宏观数据!$F$112:$TN$112&lt;&gt;""),COLUMN(宏观数据!$F$112:$TN$112))-COLUMN(宏观数据!$F$112)+1-60+3)/100))</f>
        <v>2562.28</v>
      </c>
      <c r="E13">
        <f>IF(ISERROR(INDEX(宏观数据!$F$112:$TN$112,1,LOOKUP(2,1/(宏观数据!$F$112:$TN$112&lt;&gt;""),COLUMN(宏观数据!$F$112:$TN$112))-COLUMN(宏观数据!$F$112)+1-60+4)),NA(),IF(INDEX(宏观数据!$F$112:$TN$112,1,LOOKUP(2,1/(宏观数据!$F$112:$TN$112&lt;&gt;""),COLUMN(宏观数据!$F$112:$TN$112))-COLUMN(宏观数据!$F$112)+1-60+4)=0,NA(),INDEX(宏观数据!$F$112:$TN$112,1,LOOKUP(2,1/(宏观数据!$F$112:$TN$112&lt;&gt;""),COLUMN(宏观数据!$F$112:$TN$112))-COLUMN(宏观数据!$F$112)+1-60+4)/100))</f>
        <v>2380.42</v>
      </c>
      <c r="F13" t="e">
        <f>IF(ISERROR(INDEX(宏观数据!$F$112:$TN$112,1,LOOKUP(2,1/(宏观数据!$F$112:$TN$112&lt;&gt;""),COLUMN(宏观数据!$F$112:$TN$112))-COLUMN(宏观数据!$F$112)+1-60+5)),NA(),IF(INDEX(宏观数据!$F$112:$TN$112,1,LOOKUP(2,1/(宏观数据!$F$112:$TN$112&lt;&gt;""),COLUMN(宏观数据!$F$112:$TN$112))-COLUMN(宏观数据!$F$112)+1-60+5)=0,NA(),INDEX(宏观数据!$F$112:$TN$112,1,LOOKUP(2,1/(宏观数据!$F$112:$TN$112&lt;&gt;""),COLUMN(宏观数据!$F$112:$TN$112))-COLUMN(宏观数据!$F$112)+1-60+5)/100))</f>
        <v>#N/A</v>
      </c>
      <c r="G13" t="e">
        <f>IF(ISERROR(INDEX(宏观数据!$F$112:$TN$112,1,LOOKUP(2,1/(宏观数据!$F$112:$TN$112&lt;&gt;""),COLUMN(宏观数据!$F$112:$TN$112))-COLUMN(宏观数据!$F$112)+1-60+6)),NA(),IF(INDEX(宏观数据!$F$112:$TN$112,1,LOOKUP(2,1/(宏观数据!$F$112:$TN$112&lt;&gt;""),COLUMN(宏观数据!$F$112:$TN$112))-COLUMN(宏观数据!$F$112)+1-60+6)=0,NA(),INDEX(宏观数据!$F$112:$TN$112,1,LOOKUP(2,1/(宏观数据!$F$112:$TN$112&lt;&gt;""),COLUMN(宏观数据!$F$112:$TN$112))-COLUMN(宏观数据!$F$112)+1-60+6)/100))</f>
        <v>#N/A</v>
      </c>
      <c r="H13">
        <f>IF(ISERROR(INDEX(宏观数据!$F$112:$TN$112,1,LOOKUP(2,1/(宏观数据!$F$112:$TN$112&lt;&gt;""),COLUMN(宏观数据!$F$112:$TN$112))-COLUMN(宏观数据!$F$112)+1-60+7)),NA(),IF(INDEX(宏观数据!$F$112:$TN$112,1,LOOKUP(2,1/(宏观数据!$F$112:$TN$112&lt;&gt;""),COLUMN(宏观数据!$F$112:$TN$112))-COLUMN(宏观数据!$F$112)+1-60+7)=0,NA(),INDEX(宏观数据!$F$112:$TN$112,1,LOOKUP(2,1/(宏观数据!$F$112:$TN$112&lt;&gt;""),COLUMN(宏观数据!$F$112:$TN$112))-COLUMN(宏观数据!$F$112)+1-60+7)/100))</f>
        <v>2414.63</v>
      </c>
      <c r="I13">
        <f>IF(ISERROR(INDEX(宏观数据!$F$112:$TN$112,1,LOOKUP(2,1/(宏观数据!$F$112:$TN$112&lt;&gt;""),COLUMN(宏观数据!$F$112:$TN$112))-COLUMN(宏观数据!$F$112)+1-60+8)),NA(),IF(INDEX(宏观数据!$F$112:$TN$112,1,LOOKUP(2,1/(宏观数据!$F$112:$TN$112&lt;&gt;""),COLUMN(宏观数据!$F$112:$TN$112))-COLUMN(宏观数据!$F$112)+1-60+8)=0,NA(),INDEX(宏观数据!$F$112:$TN$112,1,LOOKUP(2,1/(宏观数据!$F$112:$TN$112&lt;&gt;""),COLUMN(宏观数据!$F$112:$TN$112))-COLUMN(宏观数据!$F$112)+1-60+8)/100))</f>
        <v>2051.77</v>
      </c>
      <c r="J13">
        <f>IF(ISERROR(INDEX(宏观数据!$F$112:$TN$112,1,LOOKUP(2,1/(宏观数据!$F$112:$TN$112&lt;&gt;""),COLUMN(宏观数据!$F$112:$TN$112))-COLUMN(宏观数据!$F$112)+1-60+9)),NA(),IF(INDEX(宏观数据!$F$112:$TN$112,1,LOOKUP(2,1/(宏观数据!$F$112:$TN$112&lt;&gt;""),COLUMN(宏观数据!$F$112:$TN$112))-COLUMN(宏观数据!$F$112)+1-60+9)=0,NA(),INDEX(宏观数据!$F$112:$TN$112,1,LOOKUP(2,1/(宏观数据!$F$112:$TN$112&lt;&gt;""),COLUMN(宏观数据!$F$112:$TN$112))-COLUMN(宏观数据!$F$112)+1-60+9)/100))</f>
        <v>2283.03</v>
      </c>
      <c r="K13">
        <f>IF(ISERROR(INDEX(宏观数据!$F$112:$TN$112,1,LOOKUP(2,1/(宏观数据!$F$112:$TN$112&lt;&gt;""),COLUMN(宏观数据!$F$112:$TN$112))-COLUMN(宏观数据!$F$112)+1-60+10)),NA(),IF(INDEX(宏观数据!$F$112:$TN$112,1,LOOKUP(2,1/(宏观数据!$F$112:$TN$112&lt;&gt;""),COLUMN(宏观数据!$F$112:$TN$112))-COLUMN(宏观数据!$F$112)+1-60+10)=0,NA(),INDEX(宏观数据!$F$112:$TN$112,1,LOOKUP(2,1/(宏观数据!$F$112:$TN$112&lt;&gt;""),COLUMN(宏观数据!$F$112:$TN$112))-COLUMN(宏观数据!$F$112)+1-60+10)/100))</f>
        <v>2553.79</v>
      </c>
      <c r="L13">
        <f>IF(ISERROR(INDEX(宏观数据!$F$112:$TN$112,1,LOOKUP(2,1/(宏观数据!$F$112:$TN$112&lt;&gt;""),COLUMN(宏观数据!$F$112:$TN$112))-COLUMN(宏观数据!$F$112)+1-60+11)),NA(),IF(INDEX(宏观数据!$F$112:$TN$112,1,LOOKUP(2,1/(宏观数据!$F$112:$TN$112&lt;&gt;""),COLUMN(宏观数据!$F$112:$TN$112))-COLUMN(宏观数据!$F$112)+1-60+11)=0,NA(),INDEX(宏观数据!$F$112:$TN$112,1,LOOKUP(2,1/(宏观数据!$F$112:$TN$112&lt;&gt;""),COLUMN(宏观数据!$F$112:$TN$112))-COLUMN(宏观数据!$F$112)+1-60+11)/100))</f>
        <v>2367.23</v>
      </c>
      <c r="M13" t="e">
        <f>IF(ISERROR(INDEX(宏观数据!$F$112:$TN$112,1,LOOKUP(2,1/(宏观数据!$F$112:$TN$112&lt;&gt;""),COLUMN(宏观数据!$F$112:$TN$112))-COLUMN(宏观数据!$F$112)+1-60+12)),NA(),IF(INDEX(宏观数据!$F$112:$TN$112,1,LOOKUP(2,1/(宏观数据!$F$112:$TN$112&lt;&gt;""),COLUMN(宏观数据!$F$112:$TN$112))-COLUMN(宏观数据!$F$112)+1-60+12)=0,NA(),INDEX(宏观数据!$F$112:$TN$112,1,LOOKUP(2,1/(宏观数据!$F$112:$TN$112&lt;&gt;""),COLUMN(宏观数据!$F$112:$TN$112))-COLUMN(宏观数据!$F$112)+1-60+12)/100))</f>
        <v>#N/A</v>
      </c>
      <c r="N13" t="e">
        <f>IF(ISERROR(INDEX(宏观数据!$F$112:$TN$112,1,LOOKUP(2,1/(宏观数据!$F$112:$TN$112&lt;&gt;""),COLUMN(宏观数据!$F$112:$TN$112))-COLUMN(宏观数据!$F$112)+1-60+13)),NA(),IF(INDEX(宏观数据!$F$112:$TN$112,1,LOOKUP(2,1/(宏观数据!$F$112:$TN$112&lt;&gt;""),COLUMN(宏观数据!$F$112:$TN$112))-COLUMN(宏观数据!$F$112)+1-60+13)=0,NA(),INDEX(宏观数据!$F$112:$TN$112,1,LOOKUP(2,1/(宏观数据!$F$112:$TN$112&lt;&gt;""),COLUMN(宏观数据!$F$112:$TN$112))-COLUMN(宏观数据!$F$112)+1-60+13)/100))</f>
        <v>#N/A</v>
      </c>
      <c r="O13">
        <f>IF(ISERROR(INDEX(宏观数据!$F$112:$TN$112,1,LOOKUP(2,1/(宏观数据!$F$112:$TN$112&lt;&gt;""),COLUMN(宏观数据!$F$112:$TN$112))-COLUMN(宏观数据!$F$112)+1-60+14)),NA(),IF(INDEX(宏观数据!$F$112:$TN$112,1,LOOKUP(2,1/(宏观数据!$F$112:$TN$112&lt;&gt;""),COLUMN(宏观数据!$F$112:$TN$112))-COLUMN(宏观数据!$F$112)+1-60+14)=0,NA(),INDEX(宏观数据!$F$112:$TN$112,1,LOOKUP(2,1/(宏观数据!$F$112:$TN$112&lt;&gt;""),COLUMN(宏观数据!$F$112:$TN$112))-COLUMN(宏观数据!$F$112)+1-60+14)/100))</f>
        <v>2516.34</v>
      </c>
      <c r="P13">
        <f>IF(ISERROR(INDEX(宏观数据!$F$112:$TN$112,1,LOOKUP(2,1/(宏观数据!$F$112:$TN$112&lt;&gt;""),COLUMN(宏观数据!$F$112:$TN$112))-COLUMN(宏观数据!$F$112)+1-60+15)),NA(),IF(INDEX(宏观数据!$F$112:$TN$112,1,LOOKUP(2,1/(宏观数据!$F$112:$TN$112&lt;&gt;""),COLUMN(宏观数据!$F$112:$TN$112))-COLUMN(宏观数据!$F$112)+1-60+15)=0,NA(),INDEX(宏观数据!$F$112:$TN$112,1,LOOKUP(2,1/(宏观数据!$F$112:$TN$112&lt;&gt;""),COLUMN(宏观数据!$F$112:$TN$112))-COLUMN(宏观数据!$F$112)+1-60+15)/100))</f>
        <v>2623.33</v>
      </c>
      <c r="Q13">
        <f>IF(ISERROR(INDEX(宏观数据!$F$112:$TN$112,1,LOOKUP(2,1/(宏观数据!$F$112:$TN$112&lt;&gt;""),COLUMN(宏观数据!$F$112:$TN$112))-COLUMN(宏观数据!$F$112)+1-60+16)),NA(),IF(INDEX(宏观数据!$F$112:$TN$112,1,LOOKUP(2,1/(宏观数据!$F$112:$TN$112&lt;&gt;""),COLUMN(宏观数据!$F$112:$TN$112))-COLUMN(宏观数据!$F$112)+1-60+16)=0,NA(),INDEX(宏观数据!$F$112:$TN$112,1,LOOKUP(2,1/(宏观数据!$F$112:$TN$112&lt;&gt;""),COLUMN(宏观数据!$F$112:$TN$112))-COLUMN(宏观数据!$F$112)+1-60+16)/100))</f>
        <v>2582.81</v>
      </c>
      <c r="R13">
        <f>IF(ISERROR(INDEX(宏观数据!$F$112:$TN$112,1,LOOKUP(2,1/(宏观数据!$F$112:$TN$112&lt;&gt;""),COLUMN(宏观数据!$F$112:$TN$112))-COLUMN(宏观数据!$F$112)+1-60+17)),NA(),IF(INDEX(宏观数据!$F$112:$TN$112,1,LOOKUP(2,1/(宏观数据!$F$112:$TN$112&lt;&gt;""),COLUMN(宏观数据!$F$112:$TN$112))-COLUMN(宏观数据!$F$112)+1-60+17)=0,NA(),INDEX(宏观数据!$F$112:$TN$112,1,LOOKUP(2,1/(宏观数据!$F$112:$TN$112&lt;&gt;""),COLUMN(宏观数据!$F$112:$TN$112))-COLUMN(宏观数据!$F$112)+1-60+17)/100))</f>
        <v>2915.53</v>
      </c>
      <c r="S13" t="e">
        <f>IF(ISERROR(INDEX(宏观数据!$F$112:$TN$112,1,LOOKUP(2,1/(宏观数据!$F$112:$TN$112&lt;&gt;""),COLUMN(宏观数据!$F$112:$TN$112))-COLUMN(宏观数据!$F$112)+1-60+18)),NA(),IF(INDEX(宏观数据!$F$112:$TN$112,1,LOOKUP(2,1/(宏观数据!$F$112:$TN$112&lt;&gt;""),COLUMN(宏观数据!$F$112:$TN$112))-COLUMN(宏观数据!$F$112)+1-60+18)=0,NA(),INDEX(宏观数据!$F$112:$TN$112,1,LOOKUP(2,1/(宏观数据!$F$112:$TN$112&lt;&gt;""),COLUMN(宏观数据!$F$112:$TN$112))-COLUMN(宏观数据!$F$112)+1-60+18)/100))</f>
        <v>#N/A</v>
      </c>
      <c r="T13" t="e">
        <f>IF(ISERROR(INDEX(宏观数据!$F$112:$TN$112,1,LOOKUP(2,1/(宏观数据!$F$112:$TN$112&lt;&gt;""),COLUMN(宏观数据!$F$112:$TN$112))-COLUMN(宏观数据!$F$112)+1-60+19)),NA(),IF(INDEX(宏观数据!$F$112:$TN$112,1,LOOKUP(2,1/(宏观数据!$F$112:$TN$112&lt;&gt;""),COLUMN(宏观数据!$F$112:$TN$112))-COLUMN(宏观数据!$F$112)+1-60+19)=0,NA(),INDEX(宏观数据!$F$112:$TN$112,1,LOOKUP(2,1/(宏观数据!$F$112:$TN$112&lt;&gt;""),COLUMN(宏观数据!$F$112:$TN$112))-COLUMN(宏观数据!$F$112)+1-60+19)/100))</f>
        <v>#N/A</v>
      </c>
      <c r="U13" t="e">
        <f>IF(ISERROR(INDEX(宏观数据!$F$112:$TN$112,1,LOOKUP(2,1/(宏观数据!$F$112:$TN$112&lt;&gt;""),COLUMN(宏观数据!$F$112:$TN$112))-COLUMN(宏观数据!$F$112)+1-60+20)),NA(),IF(INDEX(宏观数据!$F$112:$TN$112,1,LOOKUP(2,1/(宏观数据!$F$112:$TN$112&lt;&gt;""),COLUMN(宏观数据!$F$112:$TN$112))-COLUMN(宏观数据!$F$112)+1-60+20)=0,NA(),INDEX(宏观数据!$F$112:$TN$112,1,LOOKUP(2,1/(宏观数据!$F$112:$TN$112&lt;&gt;""),COLUMN(宏观数据!$F$112:$TN$112))-COLUMN(宏观数据!$F$112)+1-60+20)/100))</f>
        <v>#N/A</v>
      </c>
      <c r="V13">
        <f>IF(ISERROR(INDEX(宏观数据!$F$112:$TN$112,1,LOOKUP(2,1/(宏观数据!$F$112:$TN$112&lt;&gt;""),COLUMN(宏观数据!$F$112:$TN$112))-COLUMN(宏观数据!$F$112)+1-60+21)),NA(),IF(INDEX(宏观数据!$F$112:$TN$112,1,LOOKUP(2,1/(宏观数据!$F$112:$TN$112&lt;&gt;""),COLUMN(宏观数据!$F$112:$TN$112))-COLUMN(宏观数据!$F$112)+1-60+21)=0,NA(),INDEX(宏观数据!$F$112:$TN$112,1,LOOKUP(2,1/(宏观数据!$F$112:$TN$112&lt;&gt;""),COLUMN(宏观数据!$F$112:$TN$112))-COLUMN(宏观数据!$F$112)+1-60+21)/100))</f>
        <v>1769.79</v>
      </c>
      <c r="W13">
        <f>IF(ISERROR(INDEX(宏观数据!$F$112:$TN$112,1,LOOKUP(2,1/(宏观数据!$F$112:$TN$112&lt;&gt;""),COLUMN(宏观数据!$F$112:$TN$112))-COLUMN(宏观数据!$F$112)+1-60+22)),NA(),IF(INDEX(宏观数据!$F$112:$TN$112,1,LOOKUP(2,1/(宏观数据!$F$112:$TN$112&lt;&gt;""),COLUMN(宏观数据!$F$112:$TN$112))-COLUMN(宏观数据!$F$112)+1-60+22)=0,NA(),INDEX(宏观数据!$F$112:$TN$112,1,LOOKUP(2,1/(宏观数据!$F$112:$TN$112&lt;&gt;""),COLUMN(宏观数据!$F$112:$TN$112))-COLUMN(宏观数据!$F$112)+1-60+22)/100))</f>
        <v>1222.35</v>
      </c>
      <c r="X13">
        <f>IF(ISERROR(INDEX(宏观数据!$F$112:$TN$112,1,LOOKUP(2,1/(宏观数据!$F$112:$TN$112&lt;&gt;""),COLUMN(宏观数据!$F$112:$TN$112))-COLUMN(宏观数据!$F$112)+1-60+23)),NA(),IF(INDEX(宏观数据!$F$112:$TN$112,1,LOOKUP(2,1/(宏观数据!$F$112:$TN$112&lt;&gt;""),COLUMN(宏观数据!$F$112:$TN$112))-COLUMN(宏观数据!$F$112)+1-60+23)=0,NA(),INDEX(宏观数据!$F$112:$TN$112,1,LOOKUP(2,1/(宏观数据!$F$112:$TN$112&lt;&gt;""),COLUMN(宏观数据!$F$112:$TN$112))-COLUMN(宏观数据!$F$112)+1-60+23)/100))</f>
        <v>3047.37</v>
      </c>
      <c r="Y13">
        <f>IF(ISERROR(INDEX(宏观数据!$F$112:$TN$112,1,LOOKUP(2,1/(宏观数据!$F$112:$TN$112&lt;&gt;""),COLUMN(宏观数据!$F$112:$TN$112))-COLUMN(宏观数据!$F$112)+1-60+24)),NA(),IF(INDEX(宏观数据!$F$112:$TN$112,1,LOOKUP(2,1/(宏观数据!$F$112:$TN$112&lt;&gt;""),COLUMN(宏观数据!$F$112:$TN$112))-COLUMN(宏观数据!$F$112)+1-60+24)=0,NA(),INDEX(宏观数据!$F$112:$TN$112,1,LOOKUP(2,1/(宏观数据!$F$112:$TN$112&lt;&gt;""),COLUMN(宏观数据!$F$112:$TN$112))-COLUMN(宏观数据!$F$112)+1-60+24)/100))</f>
        <v>3124.89</v>
      </c>
      <c r="Z13">
        <f>IF(ISERROR(INDEX(宏观数据!$F$112:$TN$112,1,LOOKUP(2,1/(宏观数据!$F$112:$TN$112&lt;&gt;""),COLUMN(宏观数据!$F$112:$TN$112))-COLUMN(宏观数据!$F$112)+1-60+25)),NA(),IF(INDEX(宏观数据!$F$112:$TN$112,1,LOOKUP(2,1/(宏观数据!$F$112:$TN$112&lt;&gt;""),COLUMN(宏观数据!$F$112:$TN$112))-COLUMN(宏观数据!$F$112)+1-60+25)=0,NA(),INDEX(宏观数据!$F$112:$TN$112,1,LOOKUP(2,1/(宏观数据!$F$112:$TN$112&lt;&gt;""),COLUMN(宏观数据!$F$112:$TN$112))-COLUMN(宏观数据!$F$112)+1-60+25)/100))</f>
        <v>2797.54</v>
      </c>
      <c r="AA13" t="e">
        <f>IF(ISERROR(INDEX(宏观数据!$F$112:$TN$112,1,LOOKUP(2,1/(宏观数据!$F$112:$TN$112&lt;&gt;""),COLUMN(宏观数据!$F$112:$TN$112))-COLUMN(宏观数据!$F$112)+1-60+26)),NA(),IF(INDEX(宏观数据!$F$112:$TN$112,1,LOOKUP(2,1/(宏观数据!$F$112:$TN$112&lt;&gt;""),COLUMN(宏观数据!$F$112:$TN$112))-COLUMN(宏观数据!$F$112)+1-60+26)=0,NA(),INDEX(宏观数据!$F$112:$TN$112,1,LOOKUP(2,1/(宏观数据!$F$112:$TN$112&lt;&gt;""),COLUMN(宏观数据!$F$112:$TN$112))-COLUMN(宏观数据!$F$112)+1-60+26)/100))</f>
        <v>#N/A</v>
      </c>
      <c r="AB13" t="e">
        <f>IF(ISERROR(INDEX(宏观数据!$F$112:$TN$112,1,LOOKUP(2,1/(宏观数据!$F$112:$TN$112&lt;&gt;""),COLUMN(宏观数据!$F$112:$TN$112))-COLUMN(宏观数据!$F$112)+1-60+27)),NA(),IF(INDEX(宏观数据!$F$112:$TN$112,1,LOOKUP(2,1/(宏观数据!$F$112:$TN$112&lt;&gt;""),COLUMN(宏观数据!$F$112:$TN$112))-COLUMN(宏观数据!$F$112)+1-60+27)=0,NA(),INDEX(宏观数据!$F$112:$TN$112,1,LOOKUP(2,1/(宏观数据!$F$112:$TN$112&lt;&gt;""),COLUMN(宏观数据!$F$112:$TN$112))-COLUMN(宏观数据!$F$112)+1-60+27)/100))</f>
        <v>#N/A</v>
      </c>
      <c r="AC13">
        <f>IF(ISERROR(INDEX(宏观数据!$F$112:$TN$112,1,LOOKUP(2,1/(宏观数据!$F$112:$TN$112&lt;&gt;""),COLUMN(宏观数据!$F$112:$TN$112))-COLUMN(宏观数据!$F$112)+1-60+28)),NA(),IF(INDEX(宏观数据!$F$112:$TN$112,1,LOOKUP(2,1/(宏观数据!$F$112:$TN$112&lt;&gt;""),COLUMN(宏观数据!$F$112:$TN$112))-COLUMN(宏观数据!$F$112)+1-60+28)=0,NA(),INDEX(宏观数据!$F$112:$TN$112,1,LOOKUP(2,1/(宏观数据!$F$112:$TN$112&lt;&gt;""),COLUMN(宏观数据!$F$112:$TN$112))-COLUMN(宏观数据!$F$112)+1-60+28)/100))</f>
        <v>2884.91</v>
      </c>
      <c r="AD13">
        <f>IF(ISERROR(INDEX(宏观数据!$F$112:$TN$112,1,LOOKUP(2,1/(宏观数据!$F$112:$TN$112&lt;&gt;""),COLUMN(宏观数据!$F$112:$TN$112))-COLUMN(宏观数据!$F$112)+1-60+29)),NA(),IF(INDEX(宏观数据!$F$112:$TN$112,1,LOOKUP(2,1/(宏观数据!$F$112:$TN$112&lt;&gt;""),COLUMN(宏观数据!$F$112:$TN$112))-COLUMN(宏观数据!$F$112)+1-60+29)=0,NA(),INDEX(宏观数据!$F$112:$TN$112,1,LOOKUP(2,1/(宏观数据!$F$112:$TN$112&lt;&gt;""),COLUMN(宏观数据!$F$112:$TN$112))-COLUMN(宏观数据!$F$112)+1-60+29)/100))</f>
        <v>2626.47</v>
      </c>
      <c r="AE13">
        <f>IF(ISERROR(INDEX(宏观数据!$F$112:$TN$112,1,LOOKUP(2,1/(宏观数据!$F$112:$TN$112&lt;&gt;""),COLUMN(宏观数据!$F$112:$TN$112))-COLUMN(宏观数据!$F$112)+1-60+30)),NA(),IF(INDEX(宏观数据!$F$112:$TN$112,1,LOOKUP(2,1/(宏观数据!$F$112:$TN$112&lt;&gt;""),COLUMN(宏观数据!$F$112:$TN$112))-COLUMN(宏观数据!$F$112)+1-60+30)=0,NA(),INDEX(宏观数据!$F$112:$TN$112,1,LOOKUP(2,1/(宏观数据!$F$112:$TN$112&lt;&gt;""),COLUMN(宏观数据!$F$112:$TN$112))-COLUMN(宏观数据!$F$112)+1-60+30)/100))</f>
        <v>2777.71</v>
      </c>
      <c r="AF13">
        <f>IF(ISERROR(INDEX(宏观数据!$F$112:$TN$112,1,LOOKUP(2,1/(宏观数据!$F$112:$TN$112&lt;&gt;""),COLUMN(宏观数据!$F$112:$TN$112))-COLUMN(宏观数据!$F$112)+1-60+31)),NA(),IF(INDEX(宏观数据!$F$112:$TN$112,1,LOOKUP(2,1/(宏观数据!$F$112:$TN$112&lt;&gt;""),COLUMN(宏观数据!$F$112:$TN$112))-COLUMN(宏观数据!$F$112)+1-60+31)=0,NA(),INDEX(宏观数据!$F$112:$TN$112,1,LOOKUP(2,1/(宏观数据!$F$112:$TN$112&lt;&gt;""),COLUMN(宏观数据!$F$112:$TN$112))-COLUMN(宏观数据!$F$112)+1-60+31)/100))</f>
        <v>3067.02</v>
      </c>
      <c r="AG13">
        <f>IF(ISERROR(INDEX(宏观数据!$F$112:$TN$112,1,LOOKUP(2,1/(宏观数据!$F$112:$TN$112&lt;&gt;""),COLUMN(宏观数据!$F$112:$TN$112))-COLUMN(宏观数据!$F$112)+1-60+32)),NA(),IF(INDEX(宏观数据!$F$112:$TN$112,1,LOOKUP(2,1/(宏观数据!$F$112:$TN$112&lt;&gt;""),COLUMN(宏观数据!$F$112:$TN$112))-COLUMN(宏观数据!$F$112)+1-60+32)=0,NA(),INDEX(宏观数据!$F$112:$TN$112,1,LOOKUP(2,1/(宏观数据!$F$112:$TN$112&lt;&gt;""),COLUMN(宏观数据!$F$112:$TN$112))-COLUMN(宏观数据!$F$112)+1-60+32)/100))</f>
        <v>3253.86</v>
      </c>
      <c r="AH13" t="e">
        <f>IF(ISERROR(INDEX(宏观数据!$F$112:$TN$112,1,LOOKUP(2,1/(宏观数据!$F$112:$TN$112&lt;&gt;""),COLUMN(宏观数据!$F$112:$TN$112))-COLUMN(宏观数据!$F$112)+1-60+33)),NA(),IF(INDEX(宏观数据!$F$112:$TN$112,1,LOOKUP(2,1/(宏观数据!$F$112:$TN$112&lt;&gt;""),COLUMN(宏观数据!$F$112:$TN$112))-COLUMN(宏观数据!$F$112)+1-60+33)=0,NA(),INDEX(宏观数据!$F$112:$TN$112,1,LOOKUP(2,1/(宏观数据!$F$112:$TN$112&lt;&gt;""),COLUMN(宏观数据!$F$112:$TN$112))-COLUMN(宏观数据!$F$112)+1-60+33)/100))</f>
        <v>#N/A</v>
      </c>
      <c r="AI13" t="e">
        <f>IF(ISERROR(INDEX(宏观数据!$F$112:$TN$112,1,LOOKUP(2,1/(宏观数据!$F$112:$TN$112&lt;&gt;""),COLUMN(宏观数据!$F$112:$TN$112))-COLUMN(宏观数据!$F$112)+1-60+34)),NA(),IF(INDEX(宏观数据!$F$112:$TN$112,1,LOOKUP(2,1/(宏观数据!$F$112:$TN$112&lt;&gt;""),COLUMN(宏观数据!$F$112:$TN$112))-COLUMN(宏观数据!$F$112)+1-60+34)=0,NA(),INDEX(宏观数据!$F$112:$TN$112,1,LOOKUP(2,1/(宏观数据!$F$112:$TN$112&lt;&gt;""),COLUMN(宏观数据!$F$112:$TN$112))-COLUMN(宏观数据!$F$112)+1-60+34)/100))</f>
        <v>#N/A</v>
      </c>
      <c r="AJ13">
        <f>IF(ISERROR(INDEX(宏观数据!$F$112:$TN$112,1,LOOKUP(2,1/(宏观数据!$F$112:$TN$112&lt;&gt;""),COLUMN(宏观数据!$F$112:$TN$112))-COLUMN(宏观数据!$F$112)+1-60+35)),NA(),IF(INDEX(宏观数据!$F$112:$TN$112,1,LOOKUP(2,1/(宏观数据!$F$112:$TN$112&lt;&gt;""),COLUMN(宏观数据!$F$112:$TN$112))-COLUMN(宏观数据!$F$112)+1-60+35)=0,NA(),INDEX(宏观数据!$F$112:$TN$112,1,LOOKUP(2,1/(宏观数据!$F$112:$TN$112&lt;&gt;""),COLUMN(宏观数据!$F$112:$TN$112))-COLUMN(宏观数据!$F$112)+1-60+35)/100))</f>
        <v>2927.12</v>
      </c>
      <c r="AK13">
        <f>IF(ISERROR(INDEX(宏观数据!$F$112:$TN$112,1,LOOKUP(2,1/(宏观数据!$F$112:$TN$112&lt;&gt;""),COLUMN(宏观数据!$F$112:$TN$112))-COLUMN(宏观数据!$F$112)+1-60+36)),NA(),IF(INDEX(宏观数据!$F$112:$TN$112,1,LOOKUP(2,1/(宏观数据!$F$112:$TN$112&lt;&gt;""),COLUMN(宏观数据!$F$112:$TN$112))-COLUMN(宏观数据!$F$112)+1-60+36)=0,NA(),INDEX(宏观数据!$F$112:$TN$112,1,LOOKUP(2,1/(宏观数据!$F$112:$TN$112&lt;&gt;""),COLUMN(宏观数据!$F$112:$TN$112))-COLUMN(宏观数据!$F$112)+1-60+36)/100))</f>
        <v>2721.66</v>
      </c>
      <c r="AL13">
        <f>IF(ISERROR(INDEX(宏观数据!$F$112:$TN$112,1,LOOKUP(2,1/(宏观数据!$F$112:$TN$112&lt;&gt;""),COLUMN(宏观数据!$F$112:$TN$112))-COLUMN(宏观数据!$F$112)+1-60+37)),NA(),IF(INDEX(宏观数据!$F$112:$TN$112,1,LOOKUP(2,1/(宏观数据!$F$112:$TN$112&lt;&gt;""),COLUMN(宏观数据!$F$112:$TN$112))-COLUMN(宏观数据!$F$112)+1-60+37)=0,NA(),INDEX(宏观数据!$F$112:$TN$112,1,LOOKUP(2,1/(宏观数据!$F$112:$TN$112&lt;&gt;""),COLUMN(宏观数据!$F$112:$TN$112))-COLUMN(宏观数据!$F$112)+1-60+37)/100))</f>
        <v>2620.98</v>
      </c>
      <c r="AM13">
        <f>IF(ISERROR(INDEX(宏观数据!$F$112:$TN$112,1,LOOKUP(2,1/(宏观数据!$F$112:$TN$112&lt;&gt;""),COLUMN(宏观数据!$F$112:$TN$112))-COLUMN(宏观数据!$F$112)+1-60+38)),NA(),IF(INDEX(宏观数据!$F$112:$TN$112,1,LOOKUP(2,1/(宏观数据!$F$112:$TN$112&lt;&gt;""),COLUMN(宏观数据!$F$112:$TN$112))-COLUMN(宏观数据!$F$112)+1-60+38)=0,NA(),INDEX(宏观数据!$F$112:$TN$112,1,LOOKUP(2,1/(宏观数据!$F$112:$TN$112&lt;&gt;""),COLUMN(宏观数据!$F$112:$TN$112))-COLUMN(宏观数据!$F$112)+1-60+38)/100))</f>
        <v>2985.52</v>
      </c>
      <c r="AN13">
        <f>IF(ISERROR(INDEX(宏观数据!$F$112:$TN$112,1,LOOKUP(2,1/(宏观数据!$F$112:$TN$112&lt;&gt;""),COLUMN(宏观数据!$F$112:$TN$112))-COLUMN(宏观数据!$F$112)+1-60+39)),NA(),IF(INDEX(宏观数据!$F$112:$TN$112,1,LOOKUP(2,1/(宏观数据!$F$112:$TN$112&lt;&gt;""),COLUMN(宏观数据!$F$112:$TN$112))-COLUMN(宏观数据!$F$112)+1-60+39)=0,NA(),INDEX(宏观数据!$F$112:$TN$112,1,LOOKUP(2,1/(宏观数据!$F$112:$TN$112&lt;&gt;""),COLUMN(宏观数据!$F$112:$TN$112))-COLUMN(宏观数据!$F$112)+1-60+39)/100))</f>
        <v>2812.98</v>
      </c>
      <c r="AO13" t="e">
        <f>IF(ISERROR(INDEX(宏观数据!$F$112:$TN$112,1,LOOKUP(2,1/(宏观数据!$F$112:$TN$112&lt;&gt;""),COLUMN(宏观数据!$F$112:$TN$112))-COLUMN(宏观数据!$F$112)+1-60+40)),NA(),IF(INDEX(宏观数据!$F$112:$TN$112,1,LOOKUP(2,1/(宏观数据!$F$112:$TN$112&lt;&gt;""),COLUMN(宏观数据!$F$112:$TN$112))-COLUMN(宏观数据!$F$112)+1-60+40)=0,NA(),INDEX(宏观数据!$F$112:$TN$112,1,LOOKUP(2,1/(宏观数据!$F$112:$TN$112&lt;&gt;""),COLUMN(宏观数据!$F$112:$TN$112))-COLUMN(宏观数据!$F$112)+1-60+40)/100))</f>
        <v>#N/A</v>
      </c>
      <c r="AP13" t="e">
        <f>IF(ISERROR(INDEX(宏观数据!$F$112:$TN$112,1,LOOKUP(2,1/(宏观数据!$F$112:$TN$112&lt;&gt;""),COLUMN(宏观数据!$F$112:$TN$112))-COLUMN(宏观数据!$F$112)+1-60+41)),NA(),IF(INDEX(宏观数据!$F$112:$TN$112,1,LOOKUP(2,1/(宏观数据!$F$112:$TN$112&lt;&gt;""),COLUMN(宏观数据!$F$112:$TN$112))-COLUMN(宏观数据!$F$112)+1-60+41)=0,NA(),INDEX(宏观数据!$F$112:$TN$112,1,LOOKUP(2,1/(宏观数据!$F$112:$TN$112&lt;&gt;""),COLUMN(宏观数据!$F$112:$TN$112))-COLUMN(宏观数据!$F$112)+1-60+41)/100))</f>
        <v>#N/A</v>
      </c>
      <c r="AQ13" t="e">
        <f>IF(ISERROR(INDEX(宏观数据!$F$112:$TN$112,1,LOOKUP(2,1/(宏观数据!$F$112:$TN$112&lt;&gt;""),COLUMN(宏观数据!$F$112:$TN$112))-COLUMN(宏观数据!$F$112)+1-60+42)),NA(),IF(INDEX(宏观数据!$F$112:$TN$112,1,LOOKUP(2,1/(宏观数据!$F$112:$TN$112&lt;&gt;""),COLUMN(宏观数据!$F$112:$TN$112))-COLUMN(宏观数据!$F$112)+1-60+42)=0,NA(),INDEX(宏观数据!$F$112:$TN$112,1,LOOKUP(2,1/(宏观数据!$F$112:$TN$112&lt;&gt;""),COLUMN(宏观数据!$F$112:$TN$112))-COLUMN(宏观数据!$F$112)+1-60+42)/100))</f>
        <v>#N/A</v>
      </c>
      <c r="AR13">
        <f>IF(ISERROR(INDEX(宏观数据!$F$112:$TN$112,1,LOOKUP(2,1/(宏观数据!$F$112:$TN$112&lt;&gt;""),COLUMN(宏观数据!$F$112:$TN$112))-COLUMN(宏观数据!$F$112)+1-60+43)),NA(),IF(INDEX(宏观数据!$F$112:$TN$112,1,LOOKUP(2,1/(宏观数据!$F$112:$TN$112&lt;&gt;""),COLUMN(宏观数据!$F$112:$TN$112))-COLUMN(宏观数据!$F$112)+1-60+43)=0,NA(),INDEX(宏观数据!$F$112:$TN$112,1,LOOKUP(2,1/(宏观数据!$F$112:$TN$112&lt;&gt;""),COLUMN(宏观数据!$F$112:$TN$112))-COLUMN(宏观数据!$F$112)+1-60+43)/100))</f>
        <v>3594.76</v>
      </c>
      <c r="AS13">
        <f>IF(ISERROR(INDEX(宏观数据!$F$112:$TN$112,1,LOOKUP(2,1/(宏观数据!$F$112:$TN$112&lt;&gt;""),COLUMN(宏观数据!$F$112:$TN$112))-COLUMN(宏观数据!$F$112)+1-60+44)),NA(),IF(INDEX(宏观数据!$F$112:$TN$112,1,LOOKUP(2,1/(宏观数据!$F$112:$TN$112&lt;&gt;""),COLUMN(宏观数据!$F$112:$TN$112))-COLUMN(宏观数据!$F$112)+1-60+44)=0,NA(),INDEX(宏观数据!$F$112:$TN$112,1,LOOKUP(2,1/(宏观数据!$F$112:$TN$112&lt;&gt;""),COLUMN(宏观数据!$F$112:$TN$112))-COLUMN(宏观数据!$F$112)+1-60+44)/100))</f>
        <v>3207.58</v>
      </c>
      <c r="AT13">
        <f>IF(ISERROR(INDEX(宏观数据!$F$112:$TN$112,1,LOOKUP(2,1/(宏观数据!$F$112:$TN$112&lt;&gt;""),COLUMN(宏观数据!$F$112:$TN$112))-COLUMN(宏观数据!$F$112)+1-60+45)),NA(),IF(INDEX(宏观数据!$F$112:$TN$112,1,LOOKUP(2,1/(宏观数据!$F$112:$TN$112&lt;&gt;""),COLUMN(宏观数据!$F$112:$TN$112))-COLUMN(宏观数据!$F$112)+1-60+45)=0,NA(),INDEX(宏观数据!$F$112:$TN$112,1,LOOKUP(2,1/(宏观数据!$F$112:$TN$112&lt;&gt;""),COLUMN(宏观数据!$F$112:$TN$112))-COLUMN(宏观数据!$F$112)+1-60+45)/100))</f>
        <v>3563.45</v>
      </c>
      <c r="AU13">
        <f>IF(ISERROR(INDEX(宏观数据!$F$112:$TN$112,1,LOOKUP(2,1/(宏观数据!$F$112:$TN$112&lt;&gt;""),COLUMN(宏观数据!$F$112:$TN$112))-COLUMN(宏观数据!$F$112)+1-60+46)),NA(),IF(INDEX(宏观数据!$F$112:$TN$112,1,LOOKUP(2,1/(宏观数据!$F$112:$TN$112&lt;&gt;""),COLUMN(宏观数据!$F$112:$TN$112))-COLUMN(宏观数据!$F$112)+1-60+46)=0,NA(),INDEX(宏观数据!$F$112:$TN$112,1,LOOKUP(2,1/(宏观数据!$F$112:$TN$112&lt;&gt;""),COLUMN(宏观数据!$F$112:$TN$112))-COLUMN(宏观数据!$F$112)+1-60+46)/100))</f>
        <v>4620.7</v>
      </c>
      <c r="AV13" t="e">
        <f>IF(ISERROR(INDEX(宏观数据!$F$112:$TN$112,1,LOOKUP(2,1/(宏观数据!$F$112:$TN$112&lt;&gt;""),COLUMN(宏观数据!$F$112:$TN$112))-COLUMN(宏观数据!$F$112)+1-60+47)),NA(),IF(INDEX(宏观数据!$F$112:$TN$112,1,LOOKUP(2,1/(宏观数据!$F$112:$TN$112&lt;&gt;""),COLUMN(宏观数据!$F$112:$TN$112))-COLUMN(宏观数据!$F$112)+1-60+47)=0,NA(),INDEX(宏观数据!$F$112:$TN$112,1,LOOKUP(2,1/(宏观数据!$F$112:$TN$112&lt;&gt;""),COLUMN(宏观数据!$F$112:$TN$112))-COLUMN(宏观数据!$F$112)+1-60+47)/100))</f>
        <v>#N/A</v>
      </c>
      <c r="AW13" t="e">
        <f>IF(ISERROR(INDEX(宏观数据!$F$112:$TN$112,1,LOOKUP(2,1/(宏观数据!$F$112:$TN$112&lt;&gt;""),COLUMN(宏观数据!$F$112:$TN$112))-COLUMN(宏观数据!$F$112)+1-60+48)),NA(),IF(INDEX(宏观数据!$F$112:$TN$112,1,LOOKUP(2,1/(宏观数据!$F$112:$TN$112&lt;&gt;""),COLUMN(宏观数据!$F$112:$TN$112))-COLUMN(宏观数据!$F$112)+1-60+48)=0,NA(),INDEX(宏观数据!$F$112:$TN$112,1,LOOKUP(2,1/(宏观数据!$F$112:$TN$112&lt;&gt;""),COLUMN(宏观数据!$F$112:$TN$112))-COLUMN(宏观数据!$F$112)+1-60+48)/100))</f>
        <v>#N/A</v>
      </c>
      <c r="AX13">
        <f>IF(ISERROR(INDEX(宏观数据!$F$112:$TN$112,1,LOOKUP(2,1/(宏观数据!$F$112:$TN$112&lt;&gt;""),COLUMN(宏观数据!$F$112:$TN$112))-COLUMN(宏观数据!$F$112)+1-60+49)),NA(),IF(INDEX(宏观数据!$F$112:$TN$112,1,LOOKUP(2,1/(宏观数据!$F$112:$TN$112&lt;&gt;""),COLUMN(宏观数据!$F$112:$TN$112))-COLUMN(宏观数据!$F$112)+1-60+49)=0,NA(),INDEX(宏观数据!$F$112:$TN$112,1,LOOKUP(2,1/(宏观数据!$F$112:$TN$112&lt;&gt;""),COLUMN(宏观数据!$F$112:$TN$112))-COLUMN(宏观数据!$F$112)+1-60+49)/100))</f>
        <v>3309.37</v>
      </c>
      <c r="AY13">
        <f>IF(ISERROR(INDEX(宏观数据!$F$112:$TN$112,1,LOOKUP(2,1/(宏观数据!$F$112:$TN$112&lt;&gt;""),COLUMN(宏观数据!$F$112:$TN$112))-COLUMN(宏观数据!$F$112)+1-60+50)),NA(),IF(INDEX(宏观数据!$F$112:$TN$112,1,LOOKUP(2,1/(宏观数据!$F$112:$TN$112&lt;&gt;""),COLUMN(宏观数据!$F$112:$TN$112))-COLUMN(宏观数据!$F$112)+1-60+50)=0,NA(),INDEX(宏观数据!$F$112:$TN$112,1,LOOKUP(2,1/(宏观数据!$F$112:$TN$112&lt;&gt;""),COLUMN(宏观数据!$F$112:$TN$112))-COLUMN(宏观数据!$F$112)+1-60+50)/100))</f>
        <v>3737.8</v>
      </c>
      <c r="AZ13">
        <f>IF(ISERROR(INDEX(宏观数据!$F$112:$TN$112,1,LOOKUP(2,1/(宏观数据!$F$112:$TN$112&lt;&gt;""),COLUMN(宏观数据!$F$112:$TN$112))-COLUMN(宏观数据!$F$112)+1-60+51)),NA(),IF(INDEX(宏观数据!$F$112:$TN$112,1,LOOKUP(2,1/(宏观数据!$F$112:$TN$112&lt;&gt;""),COLUMN(宏观数据!$F$112:$TN$112))-COLUMN(宏观数据!$F$112)+1-60+51)=0,NA(),INDEX(宏观数据!$F$112:$TN$112,1,LOOKUP(2,1/(宏观数据!$F$112:$TN$112&lt;&gt;""),COLUMN(宏观数据!$F$112:$TN$112))-COLUMN(宏观数据!$F$112)+1-60+51)/100))</f>
        <v>3229.21</v>
      </c>
      <c r="BA13">
        <f>IF(ISERROR(INDEX(宏观数据!$F$112:$TN$112,1,LOOKUP(2,1/(宏观数据!$F$112:$TN$112&lt;&gt;""),COLUMN(宏观数据!$F$112:$TN$112))-COLUMN(宏观数据!$F$112)+1-60+52)),NA(),IF(INDEX(宏观数据!$F$112:$TN$112,1,LOOKUP(2,1/(宏观数据!$F$112:$TN$112&lt;&gt;""),COLUMN(宏观数据!$F$112:$TN$112))-COLUMN(宏观数据!$F$112)+1-60+52)=0,NA(),INDEX(宏观数据!$F$112:$TN$112,1,LOOKUP(2,1/(宏观数据!$F$112:$TN$112&lt;&gt;""),COLUMN(宏观数据!$F$112:$TN$112))-COLUMN(宏观数据!$F$112)+1-60+52)/100))</f>
        <v>2702.3</v>
      </c>
      <c r="BB13">
        <f>IF(ISERROR(INDEX(宏观数据!$F$112:$TN$112,1,LOOKUP(2,1/(宏观数据!$F$112:$TN$112&lt;&gt;""),COLUMN(宏观数据!$F$112:$TN$112))-COLUMN(宏观数据!$F$112)+1-60+53)),NA(),IF(INDEX(宏观数据!$F$112:$TN$112,1,LOOKUP(2,1/(宏观数据!$F$112:$TN$112&lt;&gt;""),COLUMN(宏观数据!$F$112:$TN$112))-COLUMN(宏观数据!$F$112)+1-60+53)=0,NA(),INDEX(宏观数据!$F$112:$TN$112,1,LOOKUP(2,1/(宏观数据!$F$112:$TN$112&lt;&gt;""),COLUMN(宏观数据!$F$112:$TN$112))-COLUMN(宏观数据!$F$112)+1-60+53)/100))</f>
        <v>3428.05</v>
      </c>
      <c r="BC13" t="e">
        <f>IF(ISERROR(INDEX(宏观数据!$F$112:$TN$112,1,LOOKUP(2,1/(宏观数据!$F$112:$TN$112&lt;&gt;""),COLUMN(宏观数据!$F$112:$TN$112))-COLUMN(宏观数据!$F$112)+1-60+54)),NA(),IF(INDEX(宏观数据!$F$112:$TN$112,1,LOOKUP(2,1/(宏观数据!$F$112:$TN$112&lt;&gt;""),COLUMN(宏观数据!$F$112:$TN$112))-COLUMN(宏观数据!$F$112)+1-60+54)=0,NA(),INDEX(宏观数据!$F$112:$TN$112,1,LOOKUP(2,1/(宏观数据!$F$112:$TN$112&lt;&gt;""),COLUMN(宏观数据!$F$112:$TN$112))-COLUMN(宏观数据!$F$112)+1-60+54)/100))</f>
        <v>#N/A</v>
      </c>
      <c r="BD13" t="e">
        <f>IF(ISERROR(INDEX(宏观数据!$F$112:$TN$112,1,LOOKUP(2,1/(宏观数据!$F$112:$TN$112&lt;&gt;""),COLUMN(宏观数据!$F$112:$TN$112))-COLUMN(宏观数据!$F$112)+1-60+55)),NA(),IF(INDEX(宏观数据!$F$112:$TN$112,1,LOOKUP(2,1/(宏观数据!$F$112:$TN$112&lt;&gt;""),COLUMN(宏观数据!$F$112:$TN$112))-COLUMN(宏观数据!$F$112)+1-60+55)=0,NA(),INDEX(宏观数据!$F$112:$TN$112,1,LOOKUP(2,1/(宏观数据!$F$112:$TN$112&lt;&gt;""),COLUMN(宏观数据!$F$112:$TN$112))-COLUMN(宏观数据!$F$112)+1-60+55)/100))</f>
        <v>#N/A</v>
      </c>
      <c r="BE13">
        <f>IF(ISERROR(INDEX(宏观数据!$F$112:$TN$112,1,LOOKUP(2,1/(宏观数据!$F$112:$TN$112&lt;&gt;""),COLUMN(宏观数据!$F$112:$TN$112))-COLUMN(宏观数据!$F$112)+1-60+56)),NA(),IF(INDEX(宏观数据!$F$112:$TN$112,1,LOOKUP(2,1/(宏观数据!$F$112:$TN$112&lt;&gt;""),COLUMN(宏观数据!$F$112:$TN$112))-COLUMN(宏观数据!$F$112)+1-60+56)=0,NA(),INDEX(宏观数据!$F$112:$TN$112,1,LOOKUP(2,1/(宏观数据!$F$112:$TN$112&lt;&gt;""),COLUMN(宏观数据!$F$112:$TN$112))-COLUMN(宏观数据!$F$112)+1-60+56)/100))</f>
        <v>3639.75</v>
      </c>
      <c r="BF13">
        <f>IF(ISERROR(INDEX(宏观数据!$F$112:$TN$112,1,LOOKUP(2,1/(宏观数据!$F$112:$TN$112&lt;&gt;""),COLUMN(宏观数据!$F$112:$TN$112))-COLUMN(宏观数据!$F$112)+1-60+57)),NA(),IF(INDEX(宏观数据!$F$112:$TN$112,1,LOOKUP(2,1/(宏观数据!$F$112:$TN$112&lt;&gt;""),COLUMN(宏观数据!$F$112:$TN$112))-COLUMN(宏观数据!$F$112)+1-60+57)=0,NA(),INDEX(宏观数据!$F$112:$TN$112,1,LOOKUP(2,1/(宏观数据!$F$112:$TN$112&lt;&gt;""),COLUMN(宏观数据!$F$112:$TN$112))-COLUMN(宏观数据!$F$112)+1-60+57)/100))</f>
        <v>3089.16</v>
      </c>
      <c r="BG13">
        <f>IF(ISERROR(INDEX(宏观数据!$F$112:$TN$112,1,LOOKUP(2,1/(宏观数据!$F$112:$TN$112&lt;&gt;""),COLUMN(宏观数据!$F$112:$TN$112))-COLUMN(宏观数据!$F$112)+1-60+58)),NA(),IF(INDEX(宏观数据!$F$112:$TN$112,1,LOOKUP(2,1/(宏观数据!$F$112:$TN$112&lt;&gt;""),COLUMN(宏观数据!$F$112:$TN$112))-COLUMN(宏观数据!$F$112)+1-60+58)=0,NA(),INDEX(宏观数据!$F$112:$TN$112,1,LOOKUP(2,1/(宏观数据!$F$112:$TN$112&lt;&gt;""),COLUMN(宏观数据!$F$112:$TN$112))-COLUMN(宏观数据!$F$112)+1-60+58)/100))</f>
        <v>3205.54</v>
      </c>
      <c r="BH13">
        <f>IF(ISERROR(INDEX(宏观数据!$F$112:$TN$112,1,LOOKUP(2,1/(宏观数据!$F$112:$TN$112&lt;&gt;""),COLUMN(宏观数据!$F$112:$TN$112))-COLUMN(宏观数据!$F$112)+1-60+59)),NA(),IF(INDEX(宏观数据!$F$112:$TN$112,1,LOOKUP(2,1/(宏观数据!$F$112:$TN$112&lt;&gt;""),COLUMN(宏观数据!$F$112:$TN$112))-COLUMN(宏观数据!$F$112)+1-60+59)=0,NA(),INDEX(宏观数据!$F$112:$TN$112,1,LOOKUP(2,1/(宏观数据!$F$112:$TN$112&lt;&gt;""),COLUMN(宏观数据!$F$112:$TN$112))-COLUMN(宏观数据!$F$112)+1-60+59)/100))</f>
        <v>2885.74</v>
      </c>
      <c r="BI13">
        <f>IF(ISERROR(INDEX(宏观数据!$F$112:$TN$112,1,LOOKUP(2,1/(宏观数据!$F$112:$TN$112&lt;&gt;""),COLUMN(宏观数据!$F$112:$TN$112))-COLUMN(宏观数据!$F$112)+1-60+60)),NA(),IF(INDEX(宏观数据!$F$112:$TN$112,1,LOOKUP(2,1/(宏观数据!$F$112:$TN$112&lt;&gt;""),COLUMN(宏观数据!$F$112:$TN$112))-COLUMN(宏观数据!$F$112)+1-60+60)=0,NA(),INDEX(宏观数据!$F$112:$TN$112,1,LOOKUP(2,1/(宏观数据!$F$112:$TN$112&lt;&gt;""),COLUMN(宏观数据!$F$112:$TN$112))-COLUMN(宏观数据!$F$112)+1-60+60)/100))</f>
        <v>3164.38</v>
      </c>
    </row>
    <row r="14" ht="16.5" customHeight="1" spans="1:61">
      <c r="A14" t="s">
        <v>619</v>
      </c>
      <c r="B14" s="2">
        <f>IF(ISERROR(INDEX(宏观数据!$F$43:$TN$43,1,LOOKUP(2,1/(宏观数据!$F$43:$TN$43&lt;&gt;""),COLUMN(宏观数据!$F$43:$TN$43))-COLUMN(宏观数据!$F$43)+1-60+1)),NA(),IF(INDEX(宏观数据!$F$43:$TN$43,1,LOOKUP(2,1/(宏观数据!$F$43:$TN$43&lt;&gt;""),COLUMN(宏观数据!$F$43:$TN$43))-COLUMN(宏观数据!$F$43)+1-60+1)=0,NA(),INDEX(宏观数据!$F$43:$TN$43,1,LOOKUP(2,1/(宏观数据!$F$43:$TN$43&lt;&gt;""),COLUMN(宏观数据!$F$43:$TN$43))-COLUMN(宏观数据!$F$43)+1-60+1)))</f>
        <v>1.2022</v>
      </c>
      <c r="C14" s="2">
        <f>IF(ISERROR(INDEX(宏观数据!$F$43:$TN$43,1,LOOKUP(2,1/(宏观数据!$F$43:$TN$43&lt;&gt;""),COLUMN(宏观数据!$F$43:$TN$43))-COLUMN(宏观数据!$F$43)+1-60+2)),NA(),IF(INDEX(宏观数据!$F$43:$TN$43,1,LOOKUP(2,1/(宏观数据!$F$43:$TN$43&lt;&gt;""),COLUMN(宏观数据!$F$43:$TN$43))-COLUMN(宏观数据!$F$43)+1-60+2)=0,NA(),INDEX(宏观数据!$F$43:$TN$43,1,LOOKUP(2,1/(宏观数据!$F$43:$TN$43&lt;&gt;""),COLUMN(宏观数据!$F$43:$TN$43))-COLUMN(宏观数据!$F$43)+1-60+2)))</f>
        <v>1.1858</v>
      </c>
      <c r="D14" s="2">
        <f>IF(ISERROR(INDEX(宏观数据!$F$43:$TN$43,1,LOOKUP(2,1/(宏观数据!$F$43:$TN$43&lt;&gt;""),COLUMN(宏观数据!$F$43:$TN$43))-COLUMN(宏观数据!$F$43)+1-60+3)),NA(),IF(INDEX(宏观数据!$F$43:$TN$43,1,LOOKUP(2,1/(宏观数据!$F$43:$TN$43&lt;&gt;""),COLUMN(宏观数据!$F$43:$TN$43))-COLUMN(宏观数据!$F$43)+1-60+3)=0,NA(),INDEX(宏观数据!$F$43:$TN$43,1,LOOKUP(2,1/(宏观数据!$F$43:$TN$43&lt;&gt;""),COLUMN(宏观数据!$F$43:$TN$43))-COLUMN(宏观数据!$F$43)+1-60+3)))</f>
        <v>1.1718</v>
      </c>
      <c r="E14" s="2">
        <f>IF(ISERROR(INDEX(宏观数据!$F$43:$TN$43,1,LOOKUP(2,1/(宏观数据!$F$43:$TN$43&lt;&gt;""),COLUMN(宏观数据!$F$43:$TN$43))-COLUMN(宏观数据!$F$43)+1-60+4)),NA(),IF(INDEX(宏观数据!$F$43:$TN$43,1,LOOKUP(2,1/(宏观数据!$F$43:$TN$43&lt;&gt;""),COLUMN(宏观数据!$F$43:$TN$43))-COLUMN(宏观数据!$F$43)+1-60+4)=0,NA(),INDEX(宏观数据!$F$43:$TN$43,1,LOOKUP(2,1/(宏观数据!$F$43:$TN$43&lt;&gt;""),COLUMN(宏观数据!$F$43:$TN$43))-COLUMN(宏观数据!$F$43)+1-60+4)))</f>
        <v>1.1814</v>
      </c>
      <c r="F14" s="2" t="e">
        <f>IF(ISERROR(INDEX(宏观数据!$F$43:$TN$43,1,LOOKUP(2,1/(宏观数据!$F$43:$TN$43&lt;&gt;""),COLUMN(宏观数据!$F$43:$TN$43))-COLUMN(宏观数据!$F$43)+1-60+5)),NA(),IF(INDEX(宏观数据!$F$43:$TN$43,1,LOOKUP(2,1/(宏观数据!$F$43:$TN$43&lt;&gt;""),COLUMN(宏观数据!$F$43:$TN$43))-COLUMN(宏观数据!$F$43)+1-60+5)=0,NA(),INDEX(宏观数据!$F$43:$TN$43,1,LOOKUP(2,1/(宏观数据!$F$43:$TN$43&lt;&gt;""),COLUMN(宏观数据!$F$43:$TN$43))-COLUMN(宏观数据!$F$43)+1-60+5)))</f>
        <v>#N/A</v>
      </c>
      <c r="G14" t="e">
        <f>IF(ISERROR(INDEX(宏观数据!$F$43:$TN$43,1,LOOKUP(2,1/(宏观数据!$F$43:$TN$43&lt;&gt;""),COLUMN(宏观数据!$F$43:$TN$43))-COLUMN(宏观数据!$F$43)+1-60+6)),NA(),IF(INDEX(宏观数据!$F$43:$TN$43,1,LOOKUP(2,1/(宏观数据!$F$43:$TN$43&lt;&gt;""),COLUMN(宏观数据!$F$43:$TN$43))-COLUMN(宏观数据!$F$43)+1-60+6)=0,NA(),INDEX(宏观数据!$F$43:$TN$43,1,LOOKUP(2,1/(宏观数据!$F$43:$TN$43&lt;&gt;""),COLUMN(宏观数据!$F$43:$TN$43))-COLUMN(宏观数据!$F$43)+1-60+6)))</f>
        <v>#N/A</v>
      </c>
      <c r="H14">
        <f>IF(ISERROR(INDEX(宏观数据!$F$43:$TN$43,1,LOOKUP(2,1/(宏观数据!$F$43:$TN$43&lt;&gt;""),COLUMN(宏观数据!$F$43:$TN$43))-COLUMN(宏观数据!$F$43)+1-60+7)),NA(),IF(INDEX(宏观数据!$F$43:$TN$43,1,LOOKUP(2,1/(宏观数据!$F$43:$TN$43&lt;&gt;""),COLUMN(宏观数据!$F$43:$TN$43))-COLUMN(宏观数据!$F$43)+1-60+7)=0,NA(),INDEX(宏观数据!$F$43:$TN$43,1,LOOKUP(2,1/(宏观数据!$F$43:$TN$43&lt;&gt;""),COLUMN(宏观数据!$F$43:$TN$43))-COLUMN(宏观数据!$F$43)+1-60+7)))</f>
        <v>1.1707</v>
      </c>
      <c r="I14" s="2">
        <f>IF(ISERROR(INDEX(宏观数据!$F$43:$TN$43,1,LOOKUP(2,1/(宏观数据!$F$43:$TN$43&lt;&gt;""),COLUMN(宏观数据!$F$43:$TN$43))-COLUMN(宏观数据!$F$43)+1-60+8)),NA(),IF(INDEX(宏观数据!$F$43:$TN$43,1,LOOKUP(2,1/(宏观数据!$F$43:$TN$43&lt;&gt;""),COLUMN(宏观数据!$F$43:$TN$43))-COLUMN(宏观数据!$F$43)+1-60+8)=0,NA(),INDEX(宏观数据!$F$43:$TN$43,1,LOOKUP(2,1/(宏观数据!$F$43:$TN$43&lt;&gt;""),COLUMN(宏观数据!$F$43:$TN$43))-COLUMN(宏观数据!$F$43)+1-60+8)))</f>
        <v>1.1574</v>
      </c>
      <c r="J14" s="2">
        <f>IF(ISERROR(INDEX(宏观数据!$F$43:$TN$43,1,LOOKUP(2,1/(宏观数据!$F$43:$TN$43&lt;&gt;""),COLUMN(宏观数据!$F$43:$TN$43))-COLUMN(宏观数据!$F$43)+1-60+9)),NA(),IF(INDEX(宏观数据!$F$43:$TN$43,1,LOOKUP(2,1/(宏观数据!$F$43:$TN$43&lt;&gt;""),COLUMN(宏观数据!$F$43:$TN$43))-COLUMN(宏观数据!$F$43)+1-60+9)=0,NA(),INDEX(宏观数据!$F$43:$TN$43,1,LOOKUP(2,1/(宏观数据!$F$43:$TN$43&lt;&gt;""),COLUMN(宏观数据!$F$43:$TN$43))-COLUMN(宏观数据!$F$43)+1-60+9)))</f>
        <v>1.1522</v>
      </c>
      <c r="K14" s="2">
        <f>IF(ISERROR(INDEX(宏观数据!$F$43:$TN$43,1,LOOKUP(2,1/(宏观数据!$F$43:$TN$43&lt;&gt;""),COLUMN(宏观数据!$F$43:$TN$43))-COLUMN(宏观数据!$F$43)+1-60+10)),NA(),IF(INDEX(宏观数据!$F$43:$TN$43,1,LOOKUP(2,1/(宏观数据!$F$43:$TN$43&lt;&gt;""),COLUMN(宏观数据!$F$43:$TN$43))-COLUMN(宏观数据!$F$43)+1-60+10)=0,NA(),INDEX(宏观数据!$F$43:$TN$43,1,LOOKUP(2,1/(宏观数据!$F$43:$TN$43&lt;&gt;""),COLUMN(宏观数据!$F$43:$TN$43))-COLUMN(宏观数据!$F$43)+1-60+10)))</f>
        <v>1.1555</v>
      </c>
      <c r="L14" s="2">
        <f>IF(ISERROR(INDEX(宏观数据!$F$43:$TN$43,1,LOOKUP(2,1/(宏观数据!$F$43:$TN$43&lt;&gt;""),COLUMN(宏观数据!$F$43:$TN$43))-COLUMN(宏观数据!$F$43)+1-60+11)),NA(),IF(INDEX(宏观数据!$F$43:$TN$43,1,LOOKUP(2,1/(宏观数据!$F$43:$TN$43&lt;&gt;""),COLUMN(宏观数据!$F$43:$TN$43))-COLUMN(宏观数据!$F$43)+1-60+11)=0,NA(),INDEX(宏观数据!$F$43:$TN$43,1,LOOKUP(2,1/(宏观数据!$F$43:$TN$43&lt;&gt;""),COLUMN(宏观数据!$F$43:$TN$43))-COLUMN(宏观数据!$F$43)+1-60+11)))</f>
        <v>1.1494</v>
      </c>
      <c r="M14" s="2" t="e">
        <f>IF(ISERROR(INDEX(宏观数据!$F$43:$TN$43,1,LOOKUP(2,1/(宏观数据!$F$43:$TN$43&lt;&gt;""),COLUMN(宏观数据!$F$43:$TN$43))-COLUMN(宏观数据!$F$43)+1-60+12)),NA(),IF(INDEX(宏观数据!$F$43:$TN$43,1,LOOKUP(2,1/(宏观数据!$F$43:$TN$43&lt;&gt;""),COLUMN(宏观数据!$F$43:$TN$43))-COLUMN(宏观数据!$F$43)+1-60+12)=0,NA(),INDEX(宏观数据!$F$43:$TN$43,1,LOOKUP(2,1/(宏观数据!$F$43:$TN$43&lt;&gt;""),COLUMN(宏观数据!$F$43:$TN$43))-COLUMN(宏观数据!$F$43)+1-60+12)))</f>
        <v>#N/A</v>
      </c>
      <c r="N14" t="e">
        <f>IF(ISERROR(INDEX(宏观数据!$F$43:$TN$43,1,LOOKUP(2,1/(宏观数据!$F$43:$TN$43&lt;&gt;""),COLUMN(宏观数据!$F$43:$TN$43))-COLUMN(宏观数据!$F$43)+1-60+13)),NA(),IF(INDEX(宏观数据!$F$43:$TN$43,1,LOOKUP(2,1/(宏观数据!$F$43:$TN$43&lt;&gt;""),COLUMN(宏观数据!$F$43:$TN$43))-COLUMN(宏观数据!$F$43)+1-60+13)=0,NA(),INDEX(宏观数据!$F$43:$TN$43,1,LOOKUP(2,1/(宏观数据!$F$43:$TN$43&lt;&gt;""),COLUMN(宏观数据!$F$43:$TN$43))-COLUMN(宏观数据!$F$43)+1-60+13)))</f>
        <v>#N/A</v>
      </c>
      <c r="O14">
        <f>IF(ISERROR(INDEX(宏观数据!$F$43:$TN$43,1,LOOKUP(2,1/(宏观数据!$F$43:$TN$43&lt;&gt;""),COLUMN(宏观数据!$F$43:$TN$43))-COLUMN(宏观数据!$F$43)+1-60+14)),NA(),IF(INDEX(宏观数据!$F$43:$TN$43,1,LOOKUP(2,1/(宏观数据!$F$43:$TN$43&lt;&gt;""),COLUMN(宏观数据!$F$43:$TN$43))-COLUMN(宏观数据!$F$43)+1-60+14)=0,NA(),INDEX(宏观数据!$F$43:$TN$43,1,LOOKUP(2,1/(宏观数据!$F$43:$TN$43&lt;&gt;""),COLUMN(宏观数据!$F$43:$TN$43))-COLUMN(宏观数据!$F$43)+1-60+14)))</f>
        <v>1.1543</v>
      </c>
      <c r="P14" s="2">
        <f>IF(ISERROR(INDEX(宏观数据!$F$43:$TN$43,1,LOOKUP(2,1/(宏观数据!$F$43:$TN$43&lt;&gt;""),COLUMN(宏观数据!$F$43:$TN$43))-COLUMN(宏观数据!$F$43)+1-60+15)),NA(),IF(INDEX(宏观数据!$F$43:$TN$43,1,LOOKUP(2,1/(宏观数据!$F$43:$TN$43&lt;&gt;""),COLUMN(宏观数据!$F$43:$TN$43))-COLUMN(宏观数据!$F$43)+1-60+15)=0,NA(),INDEX(宏观数据!$F$43:$TN$43,1,LOOKUP(2,1/(宏观数据!$F$43:$TN$43&lt;&gt;""),COLUMN(宏观数据!$F$43:$TN$43))-COLUMN(宏观数据!$F$43)+1-60+15)))</f>
        <v>1.1642</v>
      </c>
      <c r="Q14" s="2">
        <f>IF(ISERROR(INDEX(宏观数据!$F$43:$TN$43,1,LOOKUP(2,1/(宏观数据!$F$43:$TN$43&lt;&gt;""),COLUMN(宏观数据!$F$43:$TN$43))-COLUMN(宏观数据!$F$43)+1-60+16)),NA(),IF(INDEX(宏观数据!$F$43:$TN$43,1,LOOKUP(2,1/(宏观数据!$F$43:$TN$43&lt;&gt;""),COLUMN(宏观数据!$F$43:$TN$43))-COLUMN(宏观数据!$F$43)+1-60+16)=0,NA(),INDEX(宏观数据!$F$43:$TN$43,1,LOOKUP(2,1/(宏观数据!$F$43:$TN$43&lt;&gt;""),COLUMN(宏观数据!$F$43:$TN$43))-COLUMN(宏观数据!$F$43)+1-60+16)))</f>
        <v>1.1663</v>
      </c>
      <c r="R14" s="2">
        <f>IF(ISERROR(INDEX(宏观数据!$F$43:$TN$43,1,LOOKUP(2,1/(宏观数据!$F$43:$TN$43&lt;&gt;""),COLUMN(宏观数据!$F$43:$TN$43))-COLUMN(宏观数据!$F$43)+1-60+17)),NA(),IF(INDEX(宏观数据!$F$43:$TN$43,1,LOOKUP(2,1/(宏观数据!$F$43:$TN$43&lt;&gt;""),COLUMN(宏观数据!$F$43:$TN$43))-COLUMN(宏观数据!$F$43)+1-60+17)=0,NA(),INDEX(宏观数据!$F$43:$TN$43,1,LOOKUP(2,1/(宏观数据!$F$43:$TN$43&lt;&gt;""),COLUMN(宏观数据!$F$43:$TN$43))-COLUMN(宏观数据!$F$43)+1-60+17)))</f>
        <v>1.1573</v>
      </c>
      <c r="S14" s="2" t="e">
        <f>IF(ISERROR(INDEX(宏观数据!$F$43:$TN$43,1,LOOKUP(2,1/(宏观数据!$F$43:$TN$43&lt;&gt;""),COLUMN(宏观数据!$F$43:$TN$43))-COLUMN(宏观数据!$F$43)+1-60+18)),NA(),IF(INDEX(宏观数据!$F$43:$TN$43,1,LOOKUP(2,1/(宏观数据!$F$43:$TN$43&lt;&gt;""),COLUMN(宏观数据!$F$43:$TN$43))-COLUMN(宏观数据!$F$43)+1-60+18)=0,NA(),INDEX(宏观数据!$F$43:$TN$43,1,LOOKUP(2,1/(宏观数据!$F$43:$TN$43&lt;&gt;""),COLUMN(宏观数据!$F$43:$TN$43))-COLUMN(宏观数据!$F$43)+1-60+18)))</f>
        <v>#N/A</v>
      </c>
      <c r="T14" s="2" t="e">
        <f>IF(ISERROR(INDEX(宏观数据!$F$43:$TN$43,1,LOOKUP(2,1/(宏观数据!$F$43:$TN$43&lt;&gt;""),COLUMN(宏观数据!$F$43:$TN$43))-COLUMN(宏观数据!$F$43)+1-60+19)),NA(),IF(INDEX(宏观数据!$F$43:$TN$43,1,LOOKUP(2,1/(宏观数据!$F$43:$TN$43&lt;&gt;""),COLUMN(宏观数据!$F$43:$TN$43))-COLUMN(宏观数据!$F$43)+1-60+19)=0,NA(),INDEX(宏观数据!$F$43:$TN$43,1,LOOKUP(2,1/(宏观数据!$F$43:$TN$43&lt;&gt;""),COLUMN(宏观数据!$F$43:$TN$43))-COLUMN(宏观数据!$F$43)+1-60+19)))</f>
        <v>#N/A</v>
      </c>
      <c r="U14" t="e">
        <f>IF(ISERROR(INDEX(宏观数据!$F$43:$TN$43,1,LOOKUP(2,1/(宏观数据!$F$43:$TN$43&lt;&gt;""),COLUMN(宏观数据!$F$43:$TN$43))-COLUMN(宏观数据!$F$43)+1-60+20)),NA(),IF(INDEX(宏观数据!$F$43:$TN$43,1,LOOKUP(2,1/(宏观数据!$F$43:$TN$43&lt;&gt;""),COLUMN(宏观数据!$F$43:$TN$43))-COLUMN(宏观数据!$F$43)+1-60+20)=0,NA(),INDEX(宏观数据!$F$43:$TN$43,1,LOOKUP(2,1/(宏观数据!$F$43:$TN$43&lt;&gt;""),COLUMN(宏观数据!$F$43:$TN$43))-COLUMN(宏观数据!$F$43)+1-60+20)))</f>
        <v>#N/A</v>
      </c>
      <c r="V14" t="e">
        <f>IF(ISERROR(INDEX(宏观数据!$F$43:$TN$43,1,LOOKUP(2,1/(宏观数据!$F$43:$TN$43&lt;&gt;""),COLUMN(宏观数据!$F$43:$TN$43))-COLUMN(宏观数据!$F$43)+1-60+21)),NA(),IF(INDEX(宏观数据!$F$43:$TN$43,1,LOOKUP(2,1/(宏观数据!$F$43:$TN$43&lt;&gt;""),COLUMN(宏观数据!$F$43:$TN$43))-COLUMN(宏观数据!$F$43)+1-60+21)=0,NA(),INDEX(宏观数据!$F$43:$TN$43,1,LOOKUP(2,1/(宏观数据!$F$43:$TN$43&lt;&gt;""),COLUMN(宏观数据!$F$43:$TN$43))-COLUMN(宏观数据!$F$43)+1-60+21)))</f>
        <v>#N/A</v>
      </c>
      <c r="W14" t="e">
        <f>IF(ISERROR(INDEX(宏观数据!$F$43:$TN$43,1,LOOKUP(2,1/(宏观数据!$F$43:$TN$43&lt;&gt;""),COLUMN(宏观数据!$F$43:$TN$43))-COLUMN(宏观数据!$F$43)+1-60+22)),NA(),IF(INDEX(宏观数据!$F$43:$TN$43,1,LOOKUP(2,1/(宏观数据!$F$43:$TN$43&lt;&gt;""),COLUMN(宏观数据!$F$43:$TN$43))-COLUMN(宏观数据!$F$43)+1-60+22)=0,NA(),INDEX(宏观数据!$F$43:$TN$43,1,LOOKUP(2,1/(宏观数据!$F$43:$TN$43&lt;&gt;""),COLUMN(宏观数据!$F$43:$TN$43))-COLUMN(宏观数据!$F$43)+1-60+22)))</f>
        <v>#N/A</v>
      </c>
      <c r="X14" s="2">
        <f>IF(ISERROR(INDEX(宏观数据!$F$43:$TN$43,1,LOOKUP(2,1/(宏观数据!$F$43:$TN$43&lt;&gt;""),COLUMN(宏观数据!$F$43:$TN$43))-COLUMN(宏观数据!$F$43)+1-60+23)),NA(),IF(INDEX(宏观数据!$F$43:$TN$43,1,LOOKUP(2,1/(宏观数据!$F$43:$TN$43&lt;&gt;""),COLUMN(宏观数据!$F$43:$TN$43))-COLUMN(宏观数据!$F$43)+1-60+23)=0,NA(),INDEX(宏观数据!$F$43:$TN$43,1,LOOKUP(2,1/(宏观数据!$F$43:$TN$43&lt;&gt;""),COLUMN(宏观数据!$F$43:$TN$43))-COLUMN(宏观数据!$F$43)+1-60+23)))</f>
        <v>1.1673</v>
      </c>
      <c r="Y14" s="2">
        <f>IF(ISERROR(INDEX(宏观数据!$F$43:$TN$43,1,LOOKUP(2,1/(宏观数据!$F$43:$TN$43&lt;&gt;""),COLUMN(宏观数据!$F$43:$TN$43))-COLUMN(宏观数据!$F$43)+1-60+24)),NA(),IF(INDEX(宏观数据!$F$43:$TN$43,1,LOOKUP(2,1/(宏观数据!$F$43:$TN$43&lt;&gt;""),COLUMN(宏观数据!$F$43:$TN$43))-COLUMN(宏观数据!$F$43)+1-60+24)=0,NA(),INDEX(宏观数据!$F$43:$TN$43,1,LOOKUP(2,1/(宏观数据!$F$43:$TN$43&lt;&gt;""),COLUMN(宏观数据!$F$43:$TN$43))-COLUMN(宏观数据!$F$43)+1-60+24)))</f>
        <v>1.1783</v>
      </c>
      <c r="Z14" s="2">
        <f>IF(ISERROR(INDEX(宏观数据!$F$43:$TN$43,1,LOOKUP(2,1/(宏观数据!$F$43:$TN$43&lt;&gt;""),COLUMN(宏观数据!$F$43:$TN$43))-COLUMN(宏观数据!$F$43)+1-60+25)),NA(),IF(INDEX(宏观数据!$F$43:$TN$43,1,LOOKUP(2,1/(宏观数据!$F$43:$TN$43&lt;&gt;""),COLUMN(宏观数据!$F$43:$TN$43))-COLUMN(宏观数据!$F$43)+1-60+25)=0,NA(),INDEX(宏观数据!$F$43:$TN$43,1,LOOKUP(2,1/(宏观数据!$F$43:$TN$43&lt;&gt;""),COLUMN(宏观数据!$F$43:$TN$43))-COLUMN(宏观数据!$F$43)+1-60+25)))</f>
        <v>1.1801</v>
      </c>
      <c r="AA14" s="2">
        <f>IF(ISERROR(INDEX(宏观数据!$F$43:$TN$43,1,LOOKUP(2,1/(宏观数据!$F$43:$TN$43&lt;&gt;""),COLUMN(宏观数据!$F$43:$TN$43))-COLUMN(宏观数据!$F$43)+1-60+26)),NA(),IF(INDEX(宏观数据!$F$43:$TN$43,1,LOOKUP(2,1/(宏观数据!$F$43:$TN$43&lt;&gt;""),COLUMN(宏观数据!$F$43:$TN$43))-COLUMN(宏观数据!$F$43)+1-60+26)=0,NA(),INDEX(宏观数据!$F$43:$TN$43,1,LOOKUP(2,1/(宏观数据!$F$43:$TN$43&lt;&gt;""),COLUMN(宏观数据!$F$43:$TN$43))-COLUMN(宏观数据!$F$43)+1-60+26)))</f>
        <v>1.1898</v>
      </c>
      <c r="AB14" t="e">
        <f>IF(ISERROR(INDEX(宏观数据!$F$43:$TN$43,1,LOOKUP(2,1/(宏观数据!$F$43:$TN$43&lt;&gt;""),COLUMN(宏观数据!$F$43:$TN$43))-COLUMN(宏观数据!$F$43)+1-60+27)),NA(),IF(INDEX(宏观数据!$F$43:$TN$43,1,LOOKUP(2,1/(宏观数据!$F$43:$TN$43&lt;&gt;""),COLUMN(宏观数据!$F$43:$TN$43))-COLUMN(宏观数据!$F$43)+1-60+27)=0,NA(),INDEX(宏观数据!$F$43:$TN$43,1,LOOKUP(2,1/(宏观数据!$F$43:$TN$43&lt;&gt;""),COLUMN(宏观数据!$F$43:$TN$43))-COLUMN(宏观数据!$F$43)+1-60+27)))</f>
        <v>#N/A</v>
      </c>
      <c r="AC14">
        <f>IF(ISERROR(INDEX(宏观数据!$F$43:$TN$43,1,LOOKUP(2,1/(宏观数据!$F$43:$TN$43&lt;&gt;""),COLUMN(宏观数据!$F$43:$TN$43))-COLUMN(宏观数据!$F$43)+1-60+28)),NA(),IF(INDEX(宏观数据!$F$43:$TN$43,1,LOOKUP(2,1/(宏观数据!$F$43:$TN$43&lt;&gt;""),COLUMN(宏观数据!$F$43:$TN$43))-COLUMN(宏观数据!$F$43)+1-60+28)=0,NA(),INDEX(宏观数据!$F$43:$TN$43,1,LOOKUP(2,1/(宏观数据!$F$43:$TN$43&lt;&gt;""),COLUMN(宏观数据!$F$43:$TN$43))-COLUMN(宏观数据!$F$43)+1-60+28)))</f>
        <v>1.1866</v>
      </c>
      <c r="AD14" s="2">
        <f>IF(ISERROR(INDEX(宏观数据!$F$43:$TN$43,1,LOOKUP(2,1/(宏观数据!$F$43:$TN$43&lt;&gt;""),COLUMN(宏观数据!$F$43:$TN$43))-COLUMN(宏观数据!$F$43)+1-60+29)),NA(),IF(INDEX(宏观数据!$F$43:$TN$43,1,LOOKUP(2,1/(宏观数据!$F$43:$TN$43&lt;&gt;""),COLUMN(宏观数据!$F$43:$TN$43))-COLUMN(宏观数据!$F$43)+1-60+29)=0,NA(),INDEX(宏观数据!$F$43:$TN$43,1,LOOKUP(2,1/(宏观数据!$F$43:$TN$43&lt;&gt;""),COLUMN(宏观数据!$F$43:$TN$43))-COLUMN(宏观数据!$F$43)+1-60+29)))</f>
        <v>1.1874</v>
      </c>
      <c r="AE14" s="2">
        <f>IF(ISERROR(INDEX(宏观数据!$F$43:$TN$43,1,LOOKUP(2,1/(宏观数据!$F$43:$TN$43&lt;&gt;""),COLUMN(宏观数据!$F$43:$TN$43))-COLUMN(宏观数据!$F$43)+1-60+30)),NA(),IF(INDEX(宏观数据!$F$43:$TN$43,1,LOOKUP(2,1/(宏观数据!$F$43:$TN$43&lt;&gt;""),COLUMN(宏观数据!$F$43:$TN$43))-COLUMN(宏观数据!$F$43)+1-60+30)=0,NA(),INDEX(宏观数据!$F$43:$TN$43,1,LOOKUP(2,1/(宏观数据!$F$43:$TN$43&lt;&gt;""),COLUMN(宏观数据!$F$43:$TN$43))-COLUMN(宏观数据!$F$43)+1-60+30)))</f>
        <v>1.1918</v>
      </c>
      <c r="AF14" s="2">
        <f>IF(ISERROR(INDEX(宏观数据!$F$43:$TN$43,1,LOOKUP(2,1/(宏观数据!$F$43:$TN$43&lt;&gt;""),COLUMN(宏观数据!$F$43:$TN$43))-COLUMN(宏观数据!$F$43)+1-60+31)),NA(),IF(INDEX(宏观数据!$F$43:$TN$43,1,LOOKUP(2,1/(宏观数据!$F$43:$TN$43&lt;&gt;""),COLUMN(宏观数据!$F$43:$TN$43))-COLUMN(宏观数据!$F$43)+1-60+31)=0,NA(),INDEX(宏观数据!$F$43:$TN$43,1,LOOKUP(2,1/(宏观数据!$F$43:$TN$43&lt;&gt;""),COLUMN(宏观数据!$F$43:$TN$43))-COLUMN(宏观数据!$F$43)+1-60+31)))</f>
        <v>1.2004</v>
      </c>
      <c r="AG14" s="2">
        <f>IF(ISERROR(INDEX(宏观数据!$F$43:$TN$43,1,LOOKUP(2,1/(宏观数据!$F$43:$TN$43&lt;&gt;""),COLUMN(宏观数据!$F$43:$TN$43))-COLUMN(宏观数据!$F$43)+1-60+32)),NA(),IF(INDEX(宏观数据!$F$43:$TN$43,1,LOOKUP(2,1/(宏观数据!$F$43:$TN$43&lt;&gt;""),COLUMN(宏观数据!$F$43:$TN$43))-COLUMN(宏观数据!$F$43)+1-60+32)=0,NA(),INDEX(宏观数据!$F$43:$TN$43,1,LOOKUP(2,1/(宏观数据!$F$43:$TN$43&lt;&gt;""),COLUMN(宏观数据!$F$43:$TN$43))-COLUMN(宏观数据!$F$43)+1-60+32)))</f>
        <v>1.1993</v>
      </c>
      <c r="AH14" s="2" t="e">
        <f>IF(ISERROR(INDEX(宏观数据!$F$43:$TN$43,1,LOOKUP(2,1/(宏观数据!$F$43:$TN$43&lt;&gt;""),COLUMN(宏观数据!$F$43:$TN$43))-COLUMN(宏观数据!$F$43)+1-60+33)),NA(),IF(INDEX(宏观数据!$F$43:$TN$43,1,LOOKUP(2,1/(宏观数据!$F$43:$TN$43&lt;&gt;""),COLUMN(宏观数据!$F$43:$TN$43))-COLUMN(宏观数据!$F$43)+1-60+33)=0,NA(),INDEX(宏观数据!$F$43:$TN$43,1,LOOKUP(2,1/(宏观数据!$F$43:$TN$43&lt;&gt;""),COLUMN(宏观数据!$F$43:$TN$43))-COLUMN(宏观数据!$F$43)+1-60+33)))</f>
        <v>#N/A</v>
      </c>
      <c r="AI14" t="e">
        <f>IF(ISERROR(INDEX(宏观数据!$F$43:$TN$43,1,LOOKUP(2,1/(宏观数据!$F$43:$TN$43&lt;&gt;""),COLUMN(宏观数据!$F$43:$TN$43))-COLUMN(宏观数据!$F$43)+1-60+34)),NA(),IF(INDEX(宏观数据!$F$43:$TN$43,1,LOOKUP(2,1/(宏观数据!$F$43:$TN$43&lt;&gt;""),COLUMN(宏观数据!$F$43:$TN$43))-COLUMN(宏观数据!$F$43)+1-60+34)=0,NA(),INDEX(宏观数据!$F$43:$TN$43,1,LOOKUP(2,1/(宏观数据!$F$43:$TN$43&lt;&gt;""),COLUMN(宏观数据!$F$43:$TN$43))-COLUMN(宏观数据!$F$43)+1-60+34)))</f>
        <v>#N/A</v>
      </c>
      <c r="AJ14">
        <f>IF(ISERROR(INDEX(宏观数据!$F$43:$TN$43,1,LOOKUP(2,1/(宏观数据!$F$43:$TN$43&lt;&gt;""),COLUMN(宏观数据!$F$43:$TN$43))-COLUMN(宏观数据!$F$43)+1-60+35)),NA(),IF(INDEX(宏观数据!$F$43:$TN$43,1,LOOKUP(2,1/(宏观数据!$F$43:$TN$43&lt;&gt;""),COLUMN(宏观数据!$F$43:$TN$43))-COLUMN(宏观数据!$F$43)+1-60+35)=0,NA(),INDEX(宏观数据!$F$43:$TN$43,1,LOOKUP(2,1/(宏观数据!$F$43:$TN$43&lt;&gt;""),COLUMN(宏观数据!$F$43:$TN$43))-COLUMN(宏观数据!$F$43)+1-60+35)))</f>
        <v>1.199</v>
      </c>
      <c r="AK14" s="2">
        <f>IF(ISERROR(INDEX(宏观数据!$F$43:$TN$43,1,LOOKUP(2,1/(宏观数据!$F$43:$TN$43&lt;&gt;""),COLUMN(宏观数据!$F$43:$TN$43))-COLUMN(宏观数据!$F$43)+1-60+36)),NA(),IF(INDEX(宏观数据!$F$43:$TN$43,1,LOOKUP(2,1/(宏观数据!$F$43:$TN$43&lt;&gt;""),COLUMN(宏观数据!$F$43:$TN$43))-COLUMN(宏观数据!$F$43)+1-60+36)=0,NA(),INDEX(宏观数据!$F$43:$TN$43,1,LOOKUP(2,1/(宏观数据!$F$43:$TN$43&lt;&gt;""),COLUMN(宏观数据!$F$43:$TN$43))-COLUMN(宏观数据!$F$43)+1-60+36)))</f>
        <v>1.1857</v>
      </c>
      <c r="AL14" s="2">
        <f>IF(ISERROR(INDEX(宏观数据!$F$43:$TN$43,1,LOOKUP(2,1/(宏观数据!$F$43:$TN$43&lt;&gt;""),COLUMN(宏观数据!$F$43:$TN$43))-COLUMN(宏观数据!$F$43)+1-60+37)),NA(),IF(INDEX(宏观数据!$F$43:$TN$43,1,LOOKUP(2,1/(宏观数据!$F$43:$TN$43&lt;&gt;""),COLUMN(宏观数据!$F$43:$TN$43))-COLUMN(宏观数据!$F$43)+1-60+37)=0,NA(),INDEX(宏观数据!$F$43:$TN$43,1,LOOKUP(2,1/(宏观数据!$F$43:$TN$43&lt;&gt;""),COLUMN(宏观数据!$F$43:$TN$43))-COLUMN(宏观数据!$F$43)+1-60+37)))</f>
        <v>1.1698</v>
      </c>
      <c r="AM14" s="2">
        <f>IF(ISERROR(INDEX(宏观数据!$F$43:$TN$43,1,LOOKUP(2,1/(宏观数据!$F$43:$TN$43&lt;&gt;""),COLUMN(宏观数据!$F$43:$TN$43))-COLUMN(宏观数据!$F$43)+1-60+38)),NA(),IF(INDEX(宏观数据!$F$43:$TN$43,1,LOOKUP(2,1/(宏观数据!$F$43:$TN$43&lt;&gt;""),COLUMN(宏观数据!$F$43:$TN$43))-COLUMN(宏观数据!$F$43)+1-60+38)=0,NA(),INDEX(宏观数据!$F$43:$TN$43,1,LOOKUP(2,1/(宏观数据!$F$43:$TN$43&lt;&gt;""),COLUMN(宏观数据!$F$43:$TN$43))-COLUMN(宏观数据!$F$43)+1-60+38)))</f>
        <v>1.1666</v>
      </c>
      <c r="AN14" s="2">
        <f>IF(ISERROR(INDEX(宏观数据!$F$43:$TN$43,1,LOOKUP(2,1/(宏观数据!$F$43:$TN$43&lt;&gt;""),COLUMN(宏观数据!$F$43:$TN$43))-COLUMN(宏观数据!$F$43)+1-60+39)),NA(),IF(INDEX(宏观数据!$F$43:$TN$43,1,LOOKUP(2,1/(宏观数据!$F$43:$TN$43&lt;&gt;""),COLUMN(宏观数据!$F$43:$TN$43))-COLUMN(宏观数据!$F$43)+1-60+39)=0,NA(),INDEX(宏观数据!$F$43:$TN$43,1,LOOKUP(2,1/(宏观数据!$F$43:$TN$43&lt;&gt;""),COLUMN(宏观数据!$F$43:$TN$43))-COLUMN(宏观数据!$F$43)+1-60+39)))</f>
        <v>1.1706</v>
      </c>
      <c r="AO14" s="2" t="e">
        <f>IF(ISERROR(INDEX(宏观数据!$F$43:$TN$43,1,LOOKUP(2,1/(宏观数据!$F$43:$TN$43&lt;&gt;""),COLUMN(宏观数据!$F$43:$TN$43))-COLUMN(宏观数据!$F$43)+1-60+40)),NA(),IF(INDEX(宏观数据!$F$43:$TN$43,1,LOOKUP(2,1/(宏观数据!$F$43:$TN$43&lt;&gt;""),COLUMN(宏观数据!$F$43:$TN$43))-COLUMN(宏观数据!$F$43)+1-60+40)=0,NA(),INDEX(宏观数据!$F$43:$TN$43,1,LOOKUP(2,1/(宏观数据!$F$43:$TN$43&lt;&gt;""),COLUMN(宏观数据!$F$43:$TN$43))-COLUMN(宏观数据!$F$43)+1-60+40)))</f>
        <v>#N/A</v>
      </c>
      <c r="AP14" t="e">
        <f>IF(ISERROR(INDEX(宏观数据!$F$43:$TN$43,1,LOOKUP(2,1/(宏观数据!$F$43:$TN$43&lt;&gt;""),COLUMN(宏观数据!$F$43:$TN$43))-COLUMN(宏观数据!$F$43)+1-60+41)),NA(),IF(INDEX(宏观数据!$F$43:$TN$43,1,LOOKUP(2,1/(宏观数据!$F$43:$TN$43&lt;&gt;""),COLUMN(宏观数据!$F$43:$TN$43))-COLUMN(宏观数据!$F$43)+1-60+41)=0,NA(),INDEX(宏观数据!$F$43:$TN$43,1,LOOKUP(2,1/(宏观数据!$F$43:$TN$43&lt;&gt;""),COLUMN(宏观数据!$F$43:$TN$43))-COLUMN(宏观数据!$F$43)+1-60+41)))</f>
        <v>#N/A</v>
      </c>
      <c r="AQ14">
        <f>IF(ISERROR(INDEX(宏观数据!$F$43:$TN$43,1,LOOKUP(2,1/(宏观数据!$F$43:$TN$43&lt;&gt;""),COLUMN(宏观数据!$F$43:$TN$43))-COLUMN(宏观数据!$F$43)+1-60+42)),NA(),IF(INDEX(宏观数据!$F$43:$TN$43,1,LOOKUP(2,1/(宏观数据!$F$43:$TN$43&lt;&gt;""),COLUMN(宏观数据!$F$43:$TN$43))-COLUMN(宏观数据!$F$43)+1-60+42)=0,NA(),INDEX(宏观数据!$F$43:$TN$43,1,LOOKUP(2,1/(宏观数据!$F$43:$TN$43&lt;&gt;""),COLUMN(宏观数据!$F$43:$TN$43))-COLUMN(宏观数据!$F$43)+1-60+42)))</f>
        <v>1.1726</v>
      </c>
      <c r="AR14" s="2">
        <f>IF(ISERROR(INDEX(宏观数据!$F$43:$TN$43,1,LOOKUP(2,1/(宏观数据!$F$43:$TN$43&lt;&gt;""),COLUMN(宏观数据!$F$43:$TN$43))-COLUMN(宏观数据!$F$43)+1-60+43)),NA(),IF(INDEX(宏观数据!$F$43:$TN$43,1,LOOKUP(2,1/(宏观数据!$F$43:$TN$43&lt;&gt;""),COLUMN(宏观数据!$F$43:$TN$43))-COLUMN(宏观数据!$F$43)+1-60+43)=0,NA(),INDEX(宏观数据!$F$43:$TN$43,1,LOOKUP(2,1/(宏观数据!$F$43:$TN$43&lt;&gt;""),COLUMN(宏观数据!$F$43:$TN$43))-COLUMN(宏观数据!$F$43)+1-60+43)))</f>
        <v>1.1709</v>
      </c>
      <c r="AS14" s="2">
        <f>IF(ISERROR(INDEX(宏观数据!$F$43:$TN$43,1,LOOKUP(2,1/(宏观数据!$F$43:$TN$43&lt;&gt;""),COLUMN(宏观数据!$F$43:$TN$43))-COLUMN(宏观数据!$F$43)+1-60+44)),NA(),IF(INDEX(宏观数据!$F$43:$TN$43,1,LOOKUP(2,1/(宏观数据!$F$43:$TN$43&lt;&gt;""),COLUMN(宏观数据!$F$43:$TN$43))-COLUMN(宏观数据!$F$43)+1-60+44)=0,NA(),INDEX(宏观数据!$F$43:$TN$43,1,LOOKUP(2,1/(宏观数据!$F$43:$TN$43&lt;&gt;""),COLUMN(宏观数据!$F$43:$TN$43))-COLUMN(宏观数据!$F$43)+1-60+44)))</f>
        <v>1.1658</v>
      </c>
      <c r="AT14" s="2">
        <f>IF(ISERROR(INDEX(宏观数据!$F$43:$TN$43,1,LOOKUP(2,1/(宏观数据!$F$43:$TN$43&lt;&gt;""),COLUMN(宏观数据!$F$43:$TN$43))-COLUMN(宏观数据!$F$43)+1-60+45)),NA(),IF(INDEX(宏观数据!$F$43:$TN$43,1,LOOKUP(2,1/(宏观数据!$F$43:$TN$43&lt;&gt;""),COLUMN(宏观数据!$F$43:$TN$43))-COLUMN(宏观数据!$F$43)+1-60+45)=0,NA(),INDEX(宏观数据!$F$43:$TN$43,1,LOOKUP(2,1/(宏观数据!$F$43:$TN$43&lt;&gt;""),COLUMN(宏观数据!$F$43:$TN$43))-COLUMN(宏观数据!$F$43)+1-60+45)))</f>
        <v>1.1497</v>
      </c>
      <c r="AU14" s="2">
        <f>IF(ISERROR(INDEX(宏观数据!$F$43:$TN$43,1,LOOKUP(2,1/(宏观数据!$F$43:$TN$43&lt;&gt;""),COLUMN(宏观数据!$F$43:$TN$43))-COLUMN(宏观数据!$F$43)+1-60+46)),NA(),IF(INDEX(宏观数据!$F$43:$TN$43,1,LOOKUP(2,1/(宏观数据!$F$43:$TN$43&lt;&gt;""),COLUMN(宏观数据!$F$43:$TN$43))-COLUMN(宏观数据!$F$43)+1-60+46)=0,NA(),INDEX(宏观数据!$F$43:$TN$43,1,LOOKUP(2,1/(宏观数据!$F$43:$TN$43&lt;&gt;""),COLUMN(宏观数据!$F$43:$TN$43))-COLUMN(宏观数据!$F$43)+1-60+46)))</f>
        <v>1.1501</v>
      </c>
      <c r="AV14" t="e">
        <f>IF(ISERROR(INDEX(宏观数据!$F$43:$TN$43,1,LOOKUP(2,1/(宏观数据!$F$43:$TN$43&lt;&gt;""),COLUMN(宏观数据!$F$43:$TN$43))-COLUMN(宏观数据!$F$43)+1-60+47)),NA(),IF(INDEX(宏观数据!$F$43:$TN$43,1,LOOKUP(2,1/(宏观数据!$F$43:$TN$43&lt;&gt;""),COLUMN(宏观数据!$F$43:$TN$43))-COLUMN(宏观数据!$F$43)+1-60+47)=0,NA(),INDEX(宏观数据!$F$43:$TN$43,1,LOOKUP(2,1/(宏观数据!$F$43:$TN$43&lt;&gt;""),COLUMN(宏观数据!$F$43:$TN$43))-COLUMN(宏观数据!$F$43)+1-60+47)))</f>
        <v>#N/A</v>
      </c>
      <c r="AW14" t="e">
        <f>IF(ISERROR(INDEX(宏观数据!$F$43:$TN$43,1,LOOKUP(2,1/(宏观数据!$F$43:$TN$43&lt;&gt;""),COLUMN(宏观数据!$F$43:$TN$43))-COLUMN(宏观数据!$F$43)+1-60+48)),NA(),IF(INDEX(宏观数据!$F$43:$TN$43,1,LOOKUP(2,1/(宏观数据!$F$43:$TN$43&lt;&gt;""),COLUMN(宏观数据!$F$43:$TN$43))-COLUMN(宏观数据!$F$43)+1-60+48)=0,NA(),INDEX(宏观数据!$F$43:$TN$43,1,LOOKUP(2,1/(宏观数据!$F$43:$TN$43&lt;&gt;""),COLUMN(宏观数据!$F$43:$TN$43))-COLUMN(宏观数据!$F$43)+1-60+48)))</f>
        <v>#N/A</v>
      </c>
      <c r="AX14">
        <f>IF(ISERROR(INDEX(宏观数据!$F$43:$TN$43,1,LOOKUP(2,1/(宏观数据!$F$43:$TN$43&lt;&gt;""),COLUMN(宏观数据!$F$43:$TN$43))-COLUMN(宏观数据!$F$43)+1-60+49)),NA(),IF(INDEX(宏观数据!$F$43:$TN$43,1,LOOKUP(2,1/(宏观数据!$F$43:$TN$43&lt;&gt;""),COLUMN(宏观数据!$F$43:$TN$43))-COLUMN(宏观数据!$F$43)+1-60+49)=0,NA(),INDEX(宏观数据!$F$43:$TN$43,1,LOOKUP(2,1/(宏观数据!$F$43:$TN$43&lt;&gt;""),COLUMN(宏观数据!$F$43:$TN$43))-COLUMN(宏观数据!$F$43)+1-60+49)))</f>
        <v>1.1387</v>
      </c>
      <c r="AY14">
        <f>IF(ISERROR(INDEX(宏观数据!$F$43:$TN$43,1,LOOKUP(2,1/(宏观数据!$F$43:$TN$43&lt;&gt;""),COLUMN(宏观数据!$F$43:$TN$43))-COLUMN(宏观数据!$F$43)+1-60+50)),NA(),IF(INDEX(宏观数据!$F$43:$TN$43,1,LOOKUP(2,1/(宏观数据!$F$43:$TN$43&lt;&gt;""),COLUMN(宏观数据!$F$43:$TN$43))-COLUMN(宏观数据!$F$43)+1-60+50)=0,NA(),INDEX(宏观数据!$F$43:$TN$43,1,LOOKUP(2,1/(宏观数据!$F$43:$TN$43&lt;&gt;""),COLUMN(宏观数据!$F$43:$TN$43))-COLUMN(宏观数据!$F$43)+1-60+50)))</f>
        <v>1.1364</v>
      </c>
      <c r="AZ14">
        <f>IF(ISERROR(INDEX(宏观数据!$F$43:$TN$43,1,LOOKUP(2,1/(宏观数据!$F$43:$TN$43&lt;&gt;""),COLUMN(宏观数据!$F$43:$TN$43))-COLUMN(宏观数据!$F$43)+1-60+51)),NA(),IF(INDEX(宏观数据!$F$43:$TN$43,1,LOOKUP(2,1/(宏观数据!$F$43:$TN$43&lt;&gt;""),COLUMN(宏观数据!$F$43:$TN$43))-COLUMN(宏观数据!$F$43)+1-60+51)=0,NA(),INDEX(宏观数据!$F$43:$TN$43,1,LOOKUP(2,1/(宏观数据!$F$43:$TN$43&lt;&gt;""),COLUMN(宏观数据!$F$43:$TN$43))-COLUMN(宏观数据!$F$43)+1-60+51)))</f>
        <v>1.1293</v>
      </c>
      <c r="BA14" s="2">
        <f>IF(ISERROR(INDEX(宏观数据!$F$43:$TN$43,1,LOOKUP(2,1/(宏观数据!$F$43:$TN$43&lt;&gt;""),COLUMN(宏观数据!$F$43:$TN$43))-COLUMN(宏观数据!$F$43)+1-60+52)),NA(),IF(INDEX(宏观数据!$F$43:$TN$43,1,LOOKUP(2,1/(宏观数据!$F$43:$TN$43&lt;&gt;""),COLUMN(宏观数据!$F$43:$TN$43))-COLUMN(宏观数据!$F$43)+1-60+52)=0,NA(),INDEX(宏观数据!$F$43:$TN$43,1,LOOKUP(2,1/(宏观数据!$F$43:$TN$43&lt;&gt;""),COLUMN(宏观数据!$F$43:$TN$43))-COLUMN(宏观数据!$F$43)+1-60+52)))</f>
        <v>1.1307</v>
      </c>
      <c r="BB14" s="2">
        <f>IF(ISERROR(INDEX(宏观数据!$F$43:$TN$43,1,LOOKUP(2,1/(宏观数据!$F$43:$TN$43&lt;&gt;""),COLUMN(宏观数据!$F$43:$TN$43))-COLUMN(宏观数据!$F$43)+1-60+53)),NA(),IF(INDEX(宏观数据!$F$43:$TN$43,1,LOOKUP(2,1/(宏观数据!$F$43:$TN$43&lt;&gt;""),COLUMN(宏观数据!$F$43:$TN$43))-COLUMN(宏观数据!$F$43)+1-60+53)=0,NA(),INDEX(宏观数据!$F$43:$TN$43,1,LOOKUP(2,1/(宏观数据!$F$43:$TN$43&lt;&gt;""),COLUMN(宏观数据!$F$43:$TN$43))-COLUMN(宏观数据!$F$43)+1-60+53)))</f>
        <v>1.1356</v>
      </c>
      <c r="BC14" s="2" t="e">
        <f>IF(ISERROR(INDEX(宏观数据!$F$43:$TN$43,1,LOOKUP(2,1/(宏观数据!$F$43:$TN$43&lt;&gt;""),COLUMN(宏观数据!$F$43:$TN$43))-COLUMN(宏观数据!$F$43)+1-60+54)),NA(),IF(INDEX(宏观数据!$F$43:$TN$43,1,LOOKUP(2,1/(宏观数据!$F$43:$TN$43&lt;&gt;""),COLUMN(宏观数据!$F$43:$TN$43))-COLUMN(宏观数据!$F$43)+1-60+54)=0,NA(),INDEX(宏观数据!$F$43:$TN$43,1,LOOKUP(2,1/(宏观数据!$F$43:$TN$43&lt;&gt;""),COLUMN(宏观数据!$F$43:$TN$43))-COLUMN(宏观数据!$F$43)+1-60+54)))</f>
        <v>#N/A</v>
      </c>
      <c r="BD14" s="2" t="e">
        <f>IF(ISERROR(INDEX(宏观数据!$F$43:$TN$43,1,LOOKUP(2,1/(宏观数据!$F$43:$TN$43&lt;&gt;""),COLUMN(宏观数据!$F$43:$TN$43))-COLUMN(宏观数据!$F$43)+1-60+55)),NA(),IF(INDEX(宏观数据!$F$43:$TN$43,1,LOOKUP(2,1/(宏观数据!$F$43:$TN$43&lt;&gt;""),COLUMN(宏观数据!$F$43:$TN$43))-COLUMN(宏观数据!$F$43)+1-60+55)=0,NA(),INDEX(宏观数据!$F$43:$TN$43,1,LOOKUP(2,1/(宏观数据!$F$43:$TN$43&lt;&gt;""),COLUMN(宏观数据!$F$43:$TN$43))-COLUMN(宏观数据!$F$43)+1-60+55)))</f>
        <v>#N/A</v>
      </c>
      <c r="BE14">
        <f>IF(ISERROR(INDEX(宏观数据!$F$43:$TN$43,1,LOOKUP(2,1/(宏观数据!$F$43:$TN$43&lt;&gt;""),COLUMN(宏观数据!$F$43:$TN$43))-COLUMN(宏观数据!$F$43)+1-60+56)),NA(),IF(INDEX(宏观数据!$F$43:$TN$43,1,LOOKUP(2,1/(宏观数据!$F$43:$TN$43&lt;&gt;""),COLUMN(宏观数据!$F$43:$TN$43))-COLUMN(宏观数据!$F$43)+1-60+56)=0,NA(),INDEX(宏观数据!$F$43:$TN$43,1,LOOKUP(2,1/(宏观数据!$F$43:$TN$43&lt;&gt;""),COLUMN(宏观数据!$F$43:$TN$43))-COLUMN(宏观数据!$F$43)+1-60+56)))</f>
        <v>1.1421</v>
      </c>
      <c r="BF14" s="2">
        <f>IF(ISERROR(INDEX(宏观数据!$F$43:$TN$43,1,LOOKUP(2,1/(宏观数据!$F$43:$TN$43&lt;&gt;""),COLUMN(宏观数据!$F$43:$TN$43))-COLUMN(宏观数据!$F$43)+1-60+57)),NA(),IF(INDEX(宏观数据!$F$43:$TN$43,1,LOOKUP(2,1/(宏观数据!$F$43:$TN$43&lt;&gt;""),COLUMN(宏观数据!$F$43:$TN$43))-COLUMN(宏观数据!$F$43)+1-60+57)=0,NA(),INDEX(宏观数据!$F$43:$TN$43,1,LOOKUP(2,1/(宏观数据!$F$43:$TN$43&lt;&gt;""),COLUMN(宏观数据!$F$43:$TN$43))-COLUMN(宏观数据!$F$43)+1-60+57)))</f>
        <v>1.1365</v>
      </c>
      <c r="BG14" s="2">
        <f>IF(ISERROR(INDEX(宏观数据!$F$43:$TN$43,1,LOOKUP(2,1/(宏观数据!$F$43:$TN$43&lt;&gt;""),COLUMN(宏观数据!$F$43:$TN$43))-COLUMN(宏观数据!$F$43)+1-60+58)),NA(),IF(INDEX(宏观数据!$F$43:$TN$43,1,LOOKUP(2,1/(宏观数据!$F$43:$TN$43&lt;&gt;""),COLUMN(宏观数据!$F$43:$TN$43))-COLUMN(宏观数据!$F$43)+1-60+58)=0,NA(),INDEX(宏观数据!$F$43:$TN$43,1,LOOKUP(2,1/(宏观数据!$F$43:$TN$43&lt;&gt;""),COLUMN(宏观数据!$F$43:$TN$43))-COLUMN(宏观数据!$F$43)+1-60+58)))</f>
        <v>1.1483</v>
      </c>
      <c r="BH14" s="2">
        <f>IF(ISERROR(INDEX(宏观数据!$F$43:$TN$43,1,LOOKUP(2,1/(宏观数据!$F$43:$TN$43&lt;&gt;""),COLUMN(宏观数据!$F$43:$TN$43))-COLUMN(宏观数据!$F$43)+1-60+59)),NA(),IF(INDEX(宏观数据!$F$43:$TN$43,1,LOOKUP(2,1/(宏观数据!$F$43:$TN$43&lt;&gt;""),COLUMN(宏观数据!$F$43:$TN$43))-COLUMN(宏观数据!$F$43)+1-60+59)=0,NA(),INDEX(宏观数据!$F$43:$TN$43,1,LOOKUP(2,1/(宏观数据!$F$43:$TN$43&lt;&gt;""),COLUMN(宏观数据!$F$43:$TN$43))-COLUMN(宏观数据!$F$43)+1-60+59)))</f>
        <v>1.1481</v>
      </c>
      <c r="BI14" s="2">
        <f>IF(ISERROR(INDEX(宏观数据!$F$43:$TN$43,1,LOOKUP(2,1/(宏观数据!$F$43:$TN$43&lt;&gt;""),COLUMN(宏观数据!$F$43:$TN$43))-COLUMN(宏观数据!$F$43)+1-60+60)),NA(),IF(INDEX(宏观数据!$F$43:$TN$43,1,LOOKUP(2,1/(宏观数据!$F$43:$TN$43&lt;&gt;""),COLUMN(宏观数据!$F$43:$TN$43))-COLUMN(宏观数据!$F$43)+1-60+60)=0,NA(),INDEX(宏观数据!$F$43:$TN$43,1,LOOKUP(2,1/(宏观数据!$F$43:$TN$43&lt;&gt;""),COLUMN(宏观数据!$F$43:$TN$43))-COLUMN(宏观数据!$F$43)+1-60+60)))</f>
        <v>1.158</v>
      </c>
    </row>
    <row r="15" ht="16.5" customHeight="1" spans="1:61">
      <c r="A15" t="s">
        <v>620</v>
      </c>
      <c r="B15">
        <f>IF(ISERROR(INDEX(宏观数据!$F$52:$TN$52,1,LOOKUP(2,1/(宏观数据!$F$52:$TN$52&lt;&gt;""),COLUMN(宏观数据!$F$52:$TN$52))-COLUMN(宏观数据!$F$52)+1-60+1)),NA(),IF(INDEX(宏观数据!$F$52:$TN$52,1,LOOKUP(2,1/(宏观数据!$F$52:$TN$52&lt;&gt;""),COLUMN(宏观数据!$F$52:$TN$52))-COLUMN(宏观数据!$F$52)+1-60+1)=0,NA(),INDEX(宏观数据!$F$52:$TN$52,1,LOOKUP(2,1/(宏观数据!$F$52:$TN$52&lt;&gt;""),COLUMN(宏观数据!$F$52:$TN$52))-COLUMN(宏观数据!$F$52)+1-60+1)))</f>
        <v>1.7829</v>
      </c>
      <c r="C15" s="2">
        <f>IF(ISERROR(INDEX(宏观数据!$F$52:$TN$52,1,LOOKUP(2,1/(宏观数据!$F$52:$TN$52&lt;&gt;""),COLUMN(宏观数据!$F$52:$TN$52))-COLUMN(宏观数据!$F$52)+1-60+2)),NA(),IF(INDEX(宏观数据!$F$52:$TN$52,1,LOOKUP(2,1/(宏观数据!$F$52:$TN$52&lt;&gt;""),COLUMN(宏观数据!$F$52:$TN$52))-COLUMN(宏观数据!$F$52)+1-60+2)=0,NA(),INDEX(宏观数据!$F$52:$TN$52,1,LOOKUP(2,1/(宏观数据!$F$52:$TN$52&lt;&gt;""),COLUMN(宏观数据!$F$52:$TN$52))-COLUMN(宏观数据!$F$52)+1-60+2)))</f>
        <v>1.7809</v>
      </c>
      <c r="D15" s="2">
        <f>IF(ISERROR(INDEX(宏观数据!$F$52:$TN$52,1,LOOKUP(2,1/(宏观数据!$F$52:$TN$52&lt;&gt;""),COLUMN(宏观数据!$F$52:$TN$52))-COLUMN(宏观数据!$F$52)+1-60+3)),NA(),IF(INDEX(宏观数据!$F$52:$TN$52,1,LOOKUP(2,1/(宏观数据!$F$52:$TN$52&lt;&gt;""),COLUMN(宏观数据!$F$52:$TN$52))-COLUMN(宏观数据!$F$52)+1-60+3)=0,NA(),INDEX(宏观数据!$F$52:$TN$52,1,LOOKUP(2,1/(宏观数据!$F$52:$TN$52&lt;&gt;""),COLUMN(宏观数据!$F$52:$TN$52))-COLUMN(宏观数据!$F$52)+1-60+3)))</f>
        <v>1.7812</v>
      </c>
      <c r="E15" s="2">
        <f>IF(ISERROR(INDEX(宏观数据!$F$52:$TN$52,1,LOOKUP(2,1/(宏观数据!$F$52:$TN$52&lt;&gt;""),COLUMN(宏观数据!$F$52:$TN$52))-COLUMN(宏观数据!$F$52)+1-60+4)),NA(),IF(INDEX(宏观数据!$F$52:$TN$52,1,LOOKUP(2,1/(宏观数据!$F$52:$TN$52&lt;&gt;""),COLUMN(宏观数据!$F$52:$TN$52))-COLUMN(宏观数据!$F$52)+1-60+4)=0,NA(),INDEX(宏观数据!$F$52:$TN$52,1,LOOKUP(2,1/(宏观数据!$F$52:$TN$52&lt;&gt;""),COLUMN(宏观数据!$F$52:$TN$52))-COLUMN(宏观数据!$F$52)+1-60+4)))</f>
        <v>1.7623</v>
      </c>
      <c r="F15" s="2" t="e">
        <f>IF(ISERROR(INDEX(宏观数据!$F$52:$TN$52,1,LOOKUP(2,1/(宏观数据!$F$52:$TN$52&lt;&gt;""),COLUMN(宏观数据!$F$52:$TN$52))-COLUMN(宏观数据!$F$52)+1-60+5)),NA(),IF(INDEX(宏观数据!$F$52:$TN$52,1,LOOKUP(2,1/(宏观数据!$F$52:$TN$52&lt;&gt;""),COLUMN(宏观数据!$F$52:$TN$52))-COLUMN(宏观数据!$F$52)+1-60+5)=0,NA(),INDEX(宏观数据!$F$52:$TN$52,1,LOOKUP(2,1/(宏观数据!$F$52:$TN$52&lt;&gt;""),COLUMN(宏观数据!$F$52:$TN$52))-COLUMN(宏观数据!$F$52)+1-60+5)))</f>
        <v>#N/A</v>
      </c>
      <c r="G15" s="2" t="e">
        <f>IF(ISERROR(INDEX(宏观数据!$F$52:$TN$52,1,LOOKUP(2,1/(宏观数据!$F$52:$TN$52&lt;&gt;""),COLUMN(宏观数据!$F$52:$TN$52))-COLUMN(宏观数据!$F$52)+1-60+6)),NA(),IF(INDEX(宏观数据!$F$52:$TN$52,1,LOOKUP(2,1/(宏观数据!$F$52:$TN$52&lt;&gt;""),COLUMN(宏观数据!$F$52:$TN$52))-COLUMN(宏观数据!$F$52)+1-60+6)=0,NA(),INDEX(宏观数据!$F$52:$TN$52,1,LOOKUP(2,1/(宏观数据!$F$52:$TN$52&lt;&gt;""),COLUMN(宏观数据!$F$52:$TN$52))-COLUMN(宏观数据!$F$52)+1-60+6)))</f>
        <v>#N/A</v>
      </c>
      <c r="H15">
        <f>IF(ISERROR(INDEX(宏观数据!$F$52:$TN$52,1,LOOKUP(2,1/(宏观数据!$F$52:$TN$52&lt;&gt;""),COLUMN(宏观数据!$F$52:$TN$52))-COLUMN(宏观数据!$F$52)+1-60+7)),NA(),IF(INDEX(宏观数据!$F$52:$TN$52,1,LOOKUP(2,1/(宏观数据!$F$52:$TN$52&lt;&gt;""),COLUMN(宏观数据!$F$52:$TN$52))-COLUMN(宏观数据!$F$52)+1-60+7)=0,NA(),INDEX(宏观数据!$F$52:$TN$52,1,LOOKUP(2,1/(宏观数据!$F$52:$TN$52&lt;&gt;""),COLUMN(宏观数据!$F$52:$TN$52))-COLUMN(宏观数据!$F$52)+1-60+7)))</f>
        <v>1.7627</v>
      </c>
      <c r="I15">
        <f>IF(ISERROR(INDEX(宏观数据!$F$52:$TN$52,1,LOOKUP(2,1/(宏观数据!$F$52:$TN$52&lt;&gt;""),COLUMN(宏观数据!$F$52:$TN$52))-COLUMN(宏观数据!$F$52)+1-60+8)),NA(),IF(INDEX(宏观数据!$F$52:$TN$52,1,LOOKUP(2,1/(宏观数据!$F$52:$TN$52&lt;&gt;""),COLUMN(宏观数据!$F$52:$TN$52))-COLUMN(宏观数据!$F$52)+1-60+8)=0,NA(),INDEX(宏观数据!$F$52:$TN$52,1,LOOKUP(2,1/(宏观数据!$F$52:$TN$52&lt;&gt;""),COLUMN(宏观数据!$F$52:$TN$52))-COLUMN(宏观数据!$F$52)+1-60+8)))</f>
        <v>1.751</v>
      </c>
      <c r="J15" s="2">
        <f>IF(ISERROR(INDEX(宏观数据!$F$52:$TN$52,1,LOOKUP(2,1/(宏观数据!$F$52:$TN$52&lt;&gt;""),COLUMN(宏观数据!$F$52:$TN$52))-COLUMN(宏观数据!$F$52)+1-60+9)),NA(),IF(INDEX(宏观数据!$F$52:$TN$52,1,LOOKUP(2,1/(宏观数据!$F$52:$TN$52&lt;&gt;""),COLUMN(宏观数据!$F$52:$TN$52))-COLUMN(宏观数据!$F$52)+1-60+9)=0,NA(),INDEX(宏观数据!$F$52:$TN$52,1,LOOKUP(2,1/(宏观数据!$F$52:$TN$52&lt;&gt;""),COLUMN(宏观数据!$F$52:$TN$52))-COLUMN(宏观数据!$F$52)+1-60+9)))</f>
        <v>1.7389</v>
      </c>
      <c r="K15" s="2">
        <f>IF(ISERROR(INDEX(宏观数据!$F$52:$TN$52,1,LOOKUP(2,1/(宏观数据!$F$52:$TN$52&lt;&gt;""),COLUMN(宏观数据!$F$52:$TN$52))-COLUMN(宏观数据!$F$52)+1-60+10)),NA(),IF(INDEX(宏观数据!$F$52:$TN$52,1,LOOKUP(2,1/(宏观数据!$F$52:$TN$52&lt;&gt;""),COLUMN(宏观数据!$F$52:$TN$52))-COLUMN(宏观数据!$F$52)+1-60+10)=0,NA(),INDEX(宏观数据!$F$52:$TN$52,1,LOOKUP(2,1/(宏观数据!$F$52:$TN$52&lt;&gt;""),COLUMN(宏观数据!$F$52:$TN$52))-COLUMN(宏观数据!$F$52)+1-60+10)))</f>
        <v>1.7548</v>
      </c>
      <c r="L15" s="2">
        <f>IF(ISERROR(INDEX(宏观数据!$F$52:$TN$52,1,LOOKUP(2,1/(宏观数据!$F$52:$TN$52&lt;&gt;""),COLUMN(宏观数据!$F$52:$TN$52))-COLUMN(宏观数据!$F$52)+1-60+11)),NA(),IF(INDEX(宏观数据!$F$52:$TN$52,1,LOOKUP(2,1/(宏观数据!$F$52:$TN$52&lt;&gt;""),COLUMN(宏观数据!$F$52:$TN$52))-COLUMN(宏观数据!$F$52)+1-60+11)=0,NA(),INDEX(宏观数据!$F$52:$TN$52,1,LOOKUP(2,1/(宏观数据!$F$52:$TN$52&lt;&gt;""),COLUMN(宏观数据!$F$52:$TN$52))-COLUMN(宏观数据!$F$52)+1-60+11)))</f>
        <v>1.7601</v>
      </c>
      <c r="M15" s="2" t="e">
        <f>IF(ISERROR(INDEX(宏观数据!$F$52:$TN$52,1,LOOKUP(2,1/(宏观数据!$F$52:$TN$52&lt;&gt;""),COLUMN(宏观数据!$F$52:$TN$52))-COLUMN(宏观数据!$F$52)+1-60+12)),NA(),IF(INDEX(宏观数据!$F$52:$TN$52,1,LOOKUP(2,1/(宏观数据!$F$52:$TN$52&lt;&gt;""),COLUMN(宏观数据!$F$52:$TN$52))-COLUMN(宏观数据!$F$52)+1-60+12)=0,NA(),INDEX(宏观数据!$F$52:$TN$52,1,LOOKUP(2,1/(宏观数据!$F$52:$TN$52&lt;&gt;""),COLUMN(宏观数据!$F$52:$TN$52))-COLUMN(宏观数据!$F$52)+1-60+12)))</f>
        <v>#N/A</v>
      </c>
      <c r="N15" s="2" t="e">
        <f>IF(ISERROR(INDEX(宏观数据!$F$52:$TN$52,1,LOOKUP(2,1/(宏观数据!$F$52:$TN$52&lt;&gt;""),COLUMN(宏观数据!$F$52:$TN$52))-COLUMN(宏观数据!$F$52)+1-60+13)),NA(),IF(INDEX(宏观数据!$F$52:$TN$52,1,LOOKUP(2,1/(宏观数据!$F$52:$TN$52&lt;&gt;""),COLUMN(宏观数据!$F$52:$TN$52))-COLUMN(宏观数据!$F$52)+1-60+13)=0,NA(),INDEX(宏观数据!$F$52:$TN$52,1,LOOKUP(2,1/(宏观数据!$F$52:$TN$52&lt;&gt;""),COLUMN(宏观数据!$F$52:$TN$52))-COLUMN(宏观数据!$F$52)+1-60+13)))</f>
        <v>#N/A</v>
      </c>
      <c r="O15">
        <f>IF(ISERROR(INDEX(宏观数据!$F$52:$TN$52,1,LOOKUP(2,1/(宏观数据!$F$52:$TN$52&lt;&gt;""),COLUMN(宏观数据!$F$52:$TN$52))-COLUMN(宏观数据!$F$52)+1-60+14)),NA(),IF(INDEX(宏观数据!$F$52:$TN$52,1,LOOKUP(2,1/(宏观数据!$F$52:$TN$52&lt;&gt;""),COLUMN(宏观数据!$F$52:$TN$52))-COLUMN(宏观数据!$F$52)+1-60+14)=0,NA(),INDEX(宏观数据!$F$52:$TN$52,1,LOOKUP(2,1/(宏观数据!$F$52:$TN$52&lt;&gt;""),COLUMN(宏观数据!$F$52:$TN$52))-COLUMN(宏观数据!$F$52)+1-60+14)))</f>
        <v>1.7697</v>
      </c>
      <c r="P15">
        <f>IF(ISERROR(INDEX(宏观数据!$F$52:$TN$52,1,LOOKUP(2,1/(宏观数据!$F$52:$TN$52&lt;&gt;""),COLUMN(宏观数据!$F$52:$TN$52))-COLUMN(宏观数据!$F$52)+1-60+15)),NA(),IF(INDEX(宏观数据!$F$52:$TN$52,1,LOOKUP(2,1/(宏观数据!$F$52:$TN$52&lt;&gt;""),COLUMN(宏观数据!$F$52:$TN$52))-COLUMN(宏观数据!$F$52)+1-60+15)=0,NA(),INDEX(宏观数据!$F$52:$TN$52,1,LOOKUP(2,1/(宏观数据!$F$52:$TN$52&lt;&gt;""),COLUMN(宏观数据!$F$52:$TN$52))-COLUMN(宏观数据!$F$52)+1-60+15)))</f>
        <v>1.7654</v>
      </c>
      <c r="Q15" s="2">
        <f>IF(ISERROR(INDEX(宏观数据!$F$52:$TN$52,1,LOOKUP(2,1/(宏观数据!$F$52:$TN$52&lt;&gt;""),COLUMN(宏观数据!$F$52:$TN$52))-COLUMN(宏观数据!$F$52)+1-60+16)),NA(),IF(INDEX(宏观数据!$F$52:$TN$52,1,LOOKUP(2,1/(宏观数据!$F$52:$TN$52&lt;&gt;""),COLUMN(宏观数据!$F$52:$TN$52))-COLUMN(宏观数据!$F$52)+1-60+16)=0,NA(),INDEX(宏观数据!$F$52:$TN$52,1,LOOKUP(2,1/(宏观数据!$F$52:$TN$52&lt;&gt;""),COLUMN(宏观数据!$F$52:$TN$52))-COLUMN(宏观数据!$F$52)+1-60+16)))</f>
        <v>1.7444</v>
      </c>
      <c r="R15" s="2">
        <f>IF(ISERROR(INDEX(宏观数据!$F$52:$TN$52,1,LOOKUP(2,1/(宏观数据!$F$52:$TN$52&lt;&gt;""),COLUMN(宏观数据!$F$52:$TN$52))-COLUMN(宏观数据!$F$52)+1-60+17)),NA(),IF(INDEX(宏观数据!$F$52:$TN$52,1,LOOKUP(2,1/(宏观数据!$F$52:$TN$52&lt;&gt;""),COLUMN(宏观数据!$F$52:$TN$52))-COLUMN(宏观数据!$F$52)+1-60+17)=0,NA(),INDEX(宏观数据!$F$52:$TN$52,1,LOOKUP(2,1/(宏观数据!$F$52:$TN$52&lt;&gt;""),COLUMN(宏观数据!$F$52:$TN$52))-COLUMN(宏观数据!$F$52)+1-60+17)))</f>
        <v>1.7473</v>
      </c>
      <c r="S15" s="2" t="e">
        <f>IF(ISERROR(INDEX(宏观数据!$F$52:$TN$52,1,LOOKUP(2,1/(宏观数据!$F$52:$TN$52&lt;&gt;""),COLUMN(宏观数据!$F$52:$TN$52))-COLUMN(宏观数据!$F$52)+1-60+18)),NA(),IF(INDEX(宏观数据!$F$52:$TN$52,1,LOOKUP(2,1/(宏观数据!$F$52:$TN$52&lt;&gt;""),COLUMN(宏观数据!$F$52:$TN$52))-COLUMN(宏观数据!$F$52)+1-60+18)=0,NA(),INDEX(宏观数据!$F$52:$TN$52,1,LOOKUP(2,1/(宏观数据!$F$52:$TN$52&lt;&gt;""),COLUMN(宏观数据!$F$52:$TN$52))-COLUMN(宏观数据!$F$52)+1-60+18)))</f>
        <v>#N/A</v>
      </c>
      <c r="T15" s="2" t="e">
        <f>IF(ISERROR(INDEX(宏观数据!$F$52:$TN$52,1,LOOKUP(2,1/(宏观数据!$F$52:$TN$52&lt;&gt;""),COLUMN(宏观数据!$F$52:$TN$52))-COLUMN(宏观数据!$F$52)+1-60+19)),NA(),IF(INDEX(宏观数据!$F$52:$TN$52,1,LOOKUP(2,1/(宏观数据!$F$52:$TN$52&lt;&gt;""),COLUMN(宏观数据!$F$52:$TN$52))-COLUMN(宏观数据!$F$52)+1-60+19)=0,NA(),INDEX(宏观数据!$F$52:$TN$52,1,LOOKUP(2,1/(宏观数据!$F$52:$TN$52&lt;&gt;""),COLUMN(宏观数据!$F$52:$TN$52))-COLUMN(宏观数据!$F$52)+1-60+19)))</f>
        <v>#N/A</v>
      </c>
      <c r="U15" s="2" t="e">
        <f>IF(ISERROR(INDEX(宏观数据!$F$52:$TN$52,1,LOOKUP(2,1/(宏观数据!$F$52:$TN$52&lt;&gt;""),COLUMN(宏观数据!$F$52:$TN$52))-COLUMN(宏观数据!$F$52)+1-60+20)),NA(),IF(INDEX(宏观数据!$F$52:$TN$52,1,LOOKUP(2,1/(宏观数据!$F$52:$TN$52&lt;&gt;""),COLUMN(宏观数据!$F$52:$TN$52))-COLUMN(宏观数据!$F$52)+1-60+20)=0,NA(),INDEX(宏观数据!$F$52:$TN$52,1,LOOKUP(2,1/(宏观数据!$F$52:$TN$52&lt;&gt;""),COLUMN(宏观数据!$F$52:$TN$52))-COLUMN(宏观数据!$F$52)+1-60+20)))</f>
        <v>#N/A</v>
      </c>
      <c r="V15" t="e">
        <f>IF(ISERROR(INDEX(宏观数据!$F$52:$TN$52,1,LOOKUP(2,1/(宏观数据!$F$52:$TN$52&lt;&gt;""),COLUMN(宏观数据!$F$52:$TN$52))-COLUMN(宏观数据!$F$52)+1-60+21)),NA(),IF(INDEX(宏观数据!$F$52:$TN$52,1,LOOKUP(2,1/(宏观数据!$F$52:$TN$52&lt;&gt;""),COLUMN(宏观数据!$F$52:$TN$52))-COLUMN(宏观数据!$F$52)+1-60+21)=0,NA(),INDEX(宏观数据!$F$52:$TN$52,1,LOOKUP(2,1/(宏观数据!$F$52:$TN$52&lt;&gt;""),COLUMN(宏观数据!$F$52:$TN$52))-COLUMN(宏观数据!$F$52)+1-60+21)))</f>
        <v>#N/A</v>
      </c>
      <c r="W15" t="e">
        <f>IF(ISERROR(INDEX(宏观数据!$F$52:$TN$52,1,LOOKUP(2,1/(宏观数据!$F$52:$TN$52&lt;&gt;""),COLUMN(宏观数据!$F$52:$TN$52))-COLUMN(宏观数据!$F$52)+1-60+22)),NA(),IF(INDEX(宏观数据!$F$52:$TN$52,1,LOOKUP(2,1/(宏观数据!$F$52:$TN$52&lt;&gt;""),COLUMN(宏观数据!$F$52:$TN$52))-COLUMN(宏观数据!$F$52)+1-60+22)=0,NA(),INDEX(宏观数据!$F$52:$TN$52,1,LOOKUP(2,1/(宏观数据!$F$52:$TN$52&lt;&gt;""),COLUMN(宏观数据!$F$52:$TN$52))-COLUMN(宏观数据!$F$52)+1-60+22)))</f>
        <v>#N/A</v>
      </c>
      <c r="X15">
        <f>IF(ISERROR(INDEX(宏观数据!$F$52:$TN$52,1,LOOKUP(2,1/(宏观数据!$F$52:$TN$52&lt;&gt;""),COLUMN(宏观数据!$F$52:$TN$52))-COLUMN(宏观数据!$F$52)+1-60+23)),NA(),IF(INDEX(宏观数据!$F$52:$TN$52,1,LOOKUP(2,1/(宏观数据!$F$52:$TN$52&lt;&gt;""),COLUMN(宏观数据!$F$52:$TN$52))-COLUMN(宏观数据!$F$52)+1-60+23)=0,NA(),INDEX(宏观数据!$F$52:$TN$52,1,LOOKUP(2,1/(宏观数据!$F$52:$TN$52&lt;&gt;""),COLUMN(宏观数据!$F$52:$TN$52))-COLUMN(宏观数据!$F$52)+1-60+23)))</f>
        <v>1.7654</v>
      </c>
      <c r="Y15" s="2">
        <f>IF(ISERROR(INDEX(宏观数据!$F$52:$TN$52,1,LOOKUP(2,1/(宏观数据!$F$52:$TN$52&lt;&gt;""),COLUMN(宏观数据!$F$52:$TN$52))-COLUMN(宏观数据!$F$52)+1-60+24)),NA(),IF(INDEX(宏观数据!$F$52:$TN$52,1,LOOKUP(2,1/(宏观数据!$F$52:$TN$52&lt;&gt;""),COLUMN(宏观数据!$F$52:$TN$52))-COLUMN(宏观数据!$F$52)+1-60+24)=0,NA(),INDEX(宏观数据!$F$52:$TN$52,1,LOOKUP(2,1/(宏观数据!$F$52:$TN$52&lt;&gt;""),COLUMN(宏观数据!$F$52:$TN$52))-COLUMN(宏观数据!$F$52)+1-60+24)))</f>
        <v>1.7631</v>
      </c>
      <c r="Z15" s="2">
        <f>IF(ISERROR(INDEX(宏观数据!$F$52:$TN$52,1,LOOKUP(2,1/(宏观数据!$F$52:$TN$52&lt;&gt;""),COLUMN(宏观数据!$F$52:$TN$52))-COLUMN(宏观数据!$F$52)+1-60+25)),NA(),IF(INDEX(宏观数据!$F$52:$TN$52,1,LOOKUP(2,1/(宏观数据!$F$52:$TN$52&lt;&gt;""),COLUMN(宏观数据!$F$52:$TN$52))-COLUMN(宏观数据!$F$52)+1-60+25)=0,NA(),INDEX(宏观数据!$F$52:$TN$52,1,LOOKUP(2,1/(宏观数据!$F$52:$TN$52&lt;&gt;""),COLUMN(宏观数据!$F$52:$TN$52))-COLUMN(宏观数据!$F$52)+1-60+25)))</f>
        <v>1.7648</v>
      </c>
      <c r="AA15" s="2">
        <f>IF(ISERROR(INDEX(宏观数据!$F$52:$TN$52,1,LOOKUP(2,1/(宏观数据!$F$52:$TN$52&lt;&gt;""),COLUMN(宏观数据!$F$52:$TN$52))-COLUMN(宏观数据!$F$52)+1-60+26)),NA(),IF(INDEX(宏观数据!$F$52:$TN$52,1,LOOKUP(2,1/(宏观数据!$F$52:$TN$52&lt;&gt;""),COLUMN(宏观数据!$F$52:$TN$52))-COLUMN(宏观数据!$F$52)+1-60+26)=0,NA(),INDEX(宏观数据!$F$52:$TN$52,1,LOOKUP(2,1/(宏观数据!$F$52:$TN$52&lt;&gt;""),COLUMN(宏观数据!$F$52:$TN$52))-COLUMN(宏观数据!$F$52)+1-60+26)))</f>
        <v>1.767</v>
      </c>
      <c r="AB15" s="2" t="e">
        <f>IF(ISERROR(INDEX(宏观数据!$F$52:$TN$52,1,LOOKUP(2,1/(宏观数据!$F$52:$TN$52&lt;&gt;""),COLUMN(宏观数据!$F$52:$TN$52))-COLUMN(宏观数据!$F$52)+1-60+27)),NA(),IF(INDEX(宏观数据!$F$52:$TN$52,1,LOOKUP(2,1/(宏观数据!$F$52:$TN$52&lt;&gt;""),COLUMN(宏观数据!$F$52:$TN$52))-COLUMN(宏观数据!$F$52)+1-60+27)=0,NA(),INDEX(宏观数据!$F$52:$TN$52,1,LOOKUP(2,1/(宏观数据!$F$52:$TN$52&lt;&gt;""),COLUMN(宏观数据!$F$52:$TN$52))-COLUMN(宏观数据!$F$52)+1-60+27)))</f>
        <v>#N/A</v>
      </c>
      <c r="AC15">
        <f>IF(ISERROR(INDEX(宏观数据!$F$52:$TN$52,1,LOOKUP(2,1/(宏观数据!$F$52:$TN$52&lt;&gt;""),COLUMN(宏观数据!$F$52:$TN$52))-COLUMN(宏观数据!$F$52)+1-60+28)),NA(),IF(INDEX(宏观数据!$F$52:$TN$52,1,LOOKUP(2,1/(宏观数据!$F$52:$TN$52&lt;&gt;""),COLUMN(宏观数据!$F$52:$TN$52))-COLUMN(宏观数据!$F$52)+1-60+28)=0,NA(),INDEX(宏观数据!$F$52:$TN$52,1,LOOKUP(2,1/(宏观数据!$F$52:$TN$52&lt;&gt;""),COLUMN(宏观数据!$F$52:$TN$52))-COLUMN(宏观数据!$F$52)+1-60+28)))</f>
        <v>1.7622</v>
      </c>
      <c r="AD15">
        <f>IF(ISERROR(INDEX(宏观数据!$F$52:$TN$52,1,LOOKUP(2,1/(宏观数据!$F$52:$TN$52&lt;&gt;""),COLUMN(宏观数据!$F$52:$TN$52))-COLUMN(宏观数据!$F$52)+1-60+29)),NA(),IF(INDEX(宏观数据!$F$52:$TN$52,1,LOOKUP(2,1/(宏观数据!$F$52:$TN$52&lt;&gt;""),COLUMN(宏观数据!$F$52:$TN$52))-COLUMN(宏观数据!$F$52)+1-60+29)=0,NA(),INDEX(宏观数据!$F$52:$TN$52,1,LOOKUP(2,1/(宏观数据!$F$52:$TN$52&lt;&gt;""),COLUMN(宏观数据!$F$52:$TN$52))-COLUMN(宏观数据!$F$52)+1-60+29)))</f>
        <v>1.7592</v>
      </c>
      <c r="AE15" s="2">
        <f>IF(ISERROR(INDEX(宏观数据!$F$52:$TN$52,1,LOOKUP(2,1/(宏观数据!$F$52:$TN$52&lt;&gt;""),COLUMN(宏观数据!$F$52:$TN$52))-COLUMN(宏观数据!$F$52)+1-60+30)),NA(),IF(INDEX(宏观数据!$F$52:$TN$52,1,LOOKUP(2,1/(宏观数据!$F$52:$TN$52&lt;&gt;""),COLUMN(宏观数据!$F$52:$TN$52))-COLUMN(宏观数据!$F$52)+1-60+30)=0,NA(),INDEX(宏观数据!$F$52:$TN$52,1,LOOKUP(2,1/(宏观数据!$F$52:$TN$52&lt;&gt;""),COLUMN(宏观数据!$F$52:$TN$52))-COLUMN(宏观数据!$F$52)+1-60+30)))</f>
        <v>1.7514</v>
      </c>
      <c r="AF15" s="2">
        <f>IF(ISERROR(INDEX(宏观数据!$F$52:$TN$52,1,LOOKUP(2,1/(宏观数据!$F$52:$TN$52&lt;&gt;""),COLUMN(宏观数据!$F$52:$TN$52))-COLUMN(宏观数据!$F$52)+1-60+31)),NA(),IF(INDEX(宏观数据!$F$52:$TN$52,1,LOOKUP(2,1/(宏观数据!$F$52:$TN$52&lt;&gt;""),COLUMN(宏观数据!$F$52:$TN$52))-COLUMN(宏观数据!$F$52)+1-60+31)=0,NA(),INDEX(宏观数据!$F$52:$TN$52,1,LOOKUP(2,1/(宏观数据!$F$52:$TN$52&lt;&gt;""),COLUMN(宏观数据!$F$52:$TN$52))-COLUMN(宏观数据!$F$52)+1-60+31)))</f>
        <v>1.7588</v>
      </c>
      <c r="AG15" s="2">
        <f>IF(ISERROR(INDEX(宏观数据!$F$52:$TN$52,1,LOOKUP(2,1/(宏观数据!$F$52:$TN$52&lt;&gt;""),COLUMN(宏观数据!$F$52:$TN$52))-COLUMN(宏观数据!$F$52)+1-60+32)),NA(),IF(INDEX(宏观数据!$F$52:$TN$52,1,LOOKUP(2,1/(宏观数据!$F$52:$TN$52&lt;&gt;""),COLUMN(宏观数据!$F$52:$TN$52))-COLUMN(宏观数据!$F$52)+1-60+32)=0,NA(),INDEX(宏观数据!$F$52:$TN$52,1,LOOKUP(2,1/(宏观数据!$F$52:$TN$52&lt;&gt;""),COLUMN(宏观数据!$F$52:$TN$52))-COLUMN(宏观数据!$F$52)+1-60+32)))</f>
        <v>1.7658</v>
      </c>
      <c r="AH15" s="2" t="e">
        <f>IF(ISERROR(INDEX(宏观数据!$F$52:$TN$52,1,LOOKUP(2,1/(宏观数据!$F$52:$TN$52&lt;&gt;""),COLUMN(宏观数据!$F$52:$TN$52))-COLUMN(宏观数据!$F$52)+1-60+33)),NA(),IF(INDEX(宏观数据!$F$52:$TN$52,1,LOOKUP(2,1/(宏观数据!$F$52:$TN$52&lt;&gt;""),COLUMN(宏观数据!$F$52:$TN$52))-COLUMN(宏观数据!$F$52)+1-60+33)=0,NA(),INDEX(宏观数据!$F$52:$TN$52,1,LOOKUP(2,1/(宏观数据!$F$52:$TN$52&lt;&gt;""),COLUMN(宏观数据!$F$52:$TN$52))-COLUMN(宏观数据!$F$52)+1-60+33)))</f>
        <v>#N/A</v>
      </c>
      <c r="AI15" s="2" t="e">
        <f>IF(ISERROR(INDEX(宏观数据!$F$52:$TN$52,1,LOOKUP(2,1/(宏观数据!$F$52:$TN$52&lt;&gt;""),COLUMN(宏观数据!$F$52:$TN$52))-COLUMN(宏观数据!$F$52)+1-60+34)),NA(),IF(INDEX(宏观数据!$F$52:$TN$52,1,LOOKUP(2,1/(宏观数据!$F$52:$TN$52&lt;&gt;""),COLUMN(宏观数据!$F$52:$TN$52))-COLUMN(宏观数据!$F$52)+1-60+34)=0,NA(),INDEX(宏观数据!$F$52:$TN$52,1,LOOKUP(2,1/(宏观数据!$F$52:$TN$52&lt;&gt;""),COLUMN(宏观数据!$F$52:$TN$52))-COLUMN(宏观数据!$F$52)+1-60+34)))</f>
        <v>#N/A</v>
      </c>
      <c r="AJ15">
        <f>IF(ISERROR(INDEX(宏观数据!$F$52:$TN$52,1,LOOKUP(2,1/(宏观数据!$F$52:$TN$52&lt;&gt;""),COLUMN(宏观数据!$F$52:$TN$52))-COLUMN(宏观数据!$F$52)+1-60+35)),NA(),IF(INDEX(宏观数据!$F$52:$TN$52,1,LOOKUP(2,1/(宏观数据!$F$52:$TN$52&lt;&gt;""),COLUMN(宏观数据!$F$52:$TN$52))-COLUMN(宏观数据!$F$52)+1-60+35)=0,NA(),INDEX(宏观数据!$F$52:$TN$52,1,LOOKUP(2,1/(宏观数据!$F$52:$TN$52&lt;&gt;""),COLUMN(宏观数据!$F$52:$TN$52))-COLUMN(宏观数据!$F$52)+1-60+35)))</f>
        <v>1.7585</v>
      </c>
      <c r="AK15">
        <f>IF(ISERROR(INDEX(宏观数据!$F$52:$TN$52,1,LOOKUP(2,1/(宏观数据!$F$52:$TN$52&lt;&gt;""),COLUMN(宏观数据!$F$52:$TN$52))-COLUMN(宏观数据!$F$52)+1-60+36)),NA(),IF(INDEX(宏观数据!$F$52:$TN$52,1,LOOKUP(2,1/(宏观数据!$F$52:$TN$52&lt;&gt;""),COLUMN(宏观数据!$F$52:$TN$52))-COLUMN(宏观数据!$F$52)+1-60+36)=0,NA(),INDEX(宏观数据!$F$52:$TN$52,1,LOOKUP(2,1/(宏观数据!$F$52:$TN$52&lt;&gt;""),COLUMN(宏观数据!$F$52:$TN$52))-COLUMN(宏观数据!$F$52)+1-60+36)))</f>
        <v>1.7345</v>
      </c>
      <c r="AL15" s="2">
        <f>IF(ISERROR(INDEX(宏观数据!$F$52:$TN$52,1,LOOKUP(2,1/(宏观数据!$F$52:$TN$52&lt;&gt;""),COLUMN(宏观数据!$F$52:$TN$52))-COLUMN(宏观数据!$F$52)+1-60+37)),NA(),IF(INDEX(宏观数据!$F$52:$TN$52,1,LOOKUP(2,1/(宏观数据!$F$52:$TN$52&lt;&gt;""),COLUMN(宏观数据!$F$52:$TN$52))-COLUMN(宏观数据!$F$52)+1-60+37)=0,NA(),INDEX(宏观数据!$F$52:$TN$52,1,LOOKUP(2,1/(宏观数据!$F$52:$TN$52&lt;&gt;""),COLUMN(宏观数据!$F$52:$TN$52))-COLUMN(宏观数据!$F$52)+1-60+37)))</f>
        <v>1.7382</v>
      </c>
      <c r="AM15" s="2">
        <f>IF(ISERROR(INDEX(宏观数据!$F$52:$TN$52,1,LOOKUP(2,1/(宏观数据!$F$52:$TN$52&lt;&gt;""),COLUMN(宏观数据!$F$52:$TN$52))-COLUMN(宏观数据!$F$52)+1-60+38)),NA(),IF(INDEX(宏观数据!$F$52:$TN$52,1,LOOKUP(2,1/(宏观数据!$F$52:$TN$52&lt;&gt;""),COLUMN(宏观数据!$F$52:$TN$52))-COLUMN(宏观数据!$F$52)+1-60+38)=0,NA(),INDEX(宏观数据!$F$52:$TN$52,1,LOOKUP(2,1/(宏观数据!$F$52:$TN$52&lt;&gt;""),COLUMN(宏观数据!$F$52:$TN$52))-COLUMN(宏观数据!$F$52)+1-60+38)))</f>
        <v>1.7448</v>
      </c>
      <c r="AN15" s="2">
        <f>IF(ISERROR(INDEX(宏观数据!$F$52:$TN$52,1,LOOKUP(2,1/(宏观数据!$F$52:$TN$52&lt;&gt;""),COLUMN(宏观数据!$F$52:$TN$52))-COLUMN(宏观数据!$F$52)+1-60+39)),NA(),IF(INDEX(宏观数据!$F$52:$TN$52,1,LOOKUP(2,1/(宏观数据!$F$52:$TN$52&lt;&gt;""),COLUMN(宏观数据!$F$52:$TN$52))-COLUMN(宏观数据!$F$52)+1-60+39)=0,NA(),INDEX(宏观数据!$F$52:$TN$52,1,LOOKUP(2,1/(宏观数据!$F$52:$TN$52&lt;&gt;""),COLUMN(宏观数据!$F$52:$TN$52))-COLUMN(宏观数据!$F$52)+1-60+39)))</f>
        <v>1.7519</v>
      </c>
      <c r="AO15" s="2" t="e">
        <f>IF(ISERROR(INDEX(宏观数据!$F$52:$TN$52,1,LOOKUP(2,1/(宏观数据!$F$52:$TN$52&lt;&gt;""),COLUMN(宏观数据!$F$52:$TN$52))-COLUMN(宏观数据!$F$52)+1-60+40)),NA(),IF(INDEX(宏观数据!$F$52:$TN$52,1,LOOKUP(2,1/(宏观数据!$F$52:$TN$52&lt;&gt;""),COLUMN(宏观数据!$F$52:$TN$52))-COLUMN(宏观数据!$F$52)+1-60+40)=0,NA(),INDEX(宏观数据!$F$52:$TN$52,1,LOOKUP(2,1/(宏观数据!$F$52:$TN$52&lt;&gt;""),COLUMN(宏观数据!$F$52:$TN$52))-COLUMN(宏观数据!$F$52)+1-60+40)))</f>
        <v>#N/A</v>
      </c>
      <c r="AP15" s="2" t="e">
        <f>IF(ISERROR(INDEX(宏观数据!$F$52:$TN$52,1,LOOKUP(2,1/(宏观数据!$F$52:$TN$52&lt;&gt;""),COLUMN(宏观数据!$F$52:$TN$52))-COLUMN(宏观数据!$F$52)+1-60+41)),NA(),IF(INDEX(宏观数据!$F$52:$TN$52,1,LOOKUP(2,1/(宏观数据!$F$52:$TN$52&lt;&gt;""),COLUMN(宏观数据!$F$52:$TN$52))-COLUMN(宏观数据!$F$52)+1-60+41)=0,NA(),INDEX(宏观数据!$F$52:$TN$52,1,LOOKUP(2,1/(宏观数据!$F$52:$TN$52&lt;&gt;""),COLUMN(宏观数据!$F$52:$TN$52))-COLUMN(宏观数据!$F$52)+1-60+41)))</f>
        <v>#N/A</v>
      </c>
      <c r="AQ15">
        <f>IF(ISERROR(INDEX(宏观数据!$F$52:$TN$52,1,LOOKUP(2,1/(宏观数据!$F$52:$TN$52&lt;&gt;""),COLUMN(宏观数据!$F$52:$TN$52))-COLUMN(宏观数据!$F$52)+1-60+42)),NA(),IF(INDEX(宏观数据!$F$52:$TN$52,1,LOOKUP(2,1/(宏观数据!$F$52:$TN$52&lt;&gt;""),COLUMN(宏观数据!$F$52:$TN$52))-COLUMN(宏观数据!$F$52)+1-60+42)=0,NA(),INDEX(宏观数据!$F$52:$TN$52,1,LOOKUP(2,1/(宏观数据!$F$52:$TN$52&lt;&gt;""),COLUMN(宏观数据!$F$52:$TN$52))-COLUMN(宏观数据!$F$52)+1-60+42)))</f>
        <v>1.7484</v>
      </c>
      <c r="AR15">
        <f>IF(ISERROR(INDEX(宏观数据!$F$52:$TN$52,1,LOOKUP(2,1/(宏观数据!$F$52:$TN$52&lt;&gt;""),COLUMN(宏观数据!$F$52:$TN$52))-COLUMN(宏观数据!$F$52)+1-60+43)),NA(),IF(INDEX(宏观数据!$F$52:$TN$52,1,LOOKUP(2,1/(宏观数据!$F$52:$TN$52&lt;&gt;""),COLUMN(宏观数据!$F$52:$TN$52))-COLUMN(宏观数据!$F$52)+1-60+43)=0,NA(),INDEX(宏观数据!$F$52:$TN$52,1,LOOKUP(2,1/(宏观数据!$F$52:$TN$52&lt;&gt;""),COLUMN(宏观数据!$F$52:$TN$52))-COLUMN(宏观数据!$F$52)+1-60+43)))</f>
        <v>1.7405</v>
      </c>
      <c r="AS15" s="2">
        <f>IF(ISERROR(INDEX(宏观数据!$F$52:$TN$52,1,LOOKUP(2,1/(宏观数据!$F$52:$TN$52&lt;&gt;""),COLUMN(宏观数据!$F$52:$TN$52))-COLUMN(宏观数据!$F$52)+1-60+44)),NA(),IF(INDEX(宏观数据!$F$52:$TN$52,1,LOOKUP(2,1/(宏观数据!$F$52:$TN$52&lt;&gt;""),COLUMN(宏观数据!$F$52:$TN$52))-COLUMN(宏观数据!$F$52)+1-60+44)=0,NA(),INDEX(宏观数据!$F$52:$TN$52,1,LOOKUP(2,1/(宏观数据!$F$52:$TN$52&lt;&gt;""),COLUMN(宏观数据!$F$52:$TN$52))-COLUMN(宏观数据!$F$52)+1-60+44)))</f>
        <v>1.7216</v>
      </c>
      <c r="AT15" s="2">
        <f>IF(ISERROR(INDEX(宏观数据!$F$52:$TN$52,1,LOOKUP(2,1/(宏观数据!$F$52:$TN$52&lt;&gt;""),COLUMN(宏观数据!$F$52:$TN$52))-COLUMN(宏观数据!$F$52)+1-60+45)),NA(),IF(INDEX(宏观数据!$F$52:$TN$52,1,LOOKUP(2,1/(宏观数据!$F$52:$TN$52&lt;&gt;""),COLUMN(宏观数据!$F$52:$TN$52))-COLUMN(宏观数据!$F$52)+1-60+45)=0,NA(),INDEX(宏观数据!$F$52:$TN$52,1,LOOKUP(2,1/(宏观数据!$F$52:$TN$52&lt;&gt;""),COLUMN(宏观数据!$F$52:$TN$52))-COLUMN(宏观数据!$F$52)+1-60+45)))</f>
        <v>1.7193</v>
      </c>
      <c r="AU15" s="2">
        <f>IF(ISERROR(INDEX(宏观数据!$F$52:$TN$52,1,LOOKUP(2,1/(宏观数据!$F$52:$TN$52&lt;&gt;""),COLUMN(宏观数据!$F$52:$TN$52))-COLUMN(宏观数据!$F$52)+1-60+46)),NA(),IF(INDEX(宏观数据!$F$52:$TN$52,1,LOOKUP(2,1/(宏观数据!$F$52:$TN$52&lt;&gt;""),COLUMN(宏观数据!$F$52:$TN$52))-COLUMN(宏观数据!$F$52)+1-60+46)=0,NA(),INDEX(宏观数据!$F$52:$TN$52,1,LOOKUP(2,1/(宏观数据!$F$52:$TN$52&lt;&gt;""),COLUMN(宏观数据!$F$52:$TN$52))-COLUMN(宏观数据!$F$52)+1-60+46)))</f>
        <v>1.709</v>
      </c>
      <c r="AV15" s="2" t="e">
        <f>IF(ISERROR(INDEX(宏观数据!$F$52:$TN$52,1,LOOKUP(2,1/(宏观数据!$F$52:$TN$52&lt;&gt;""),COLUMN(宏观数据!$F$52:$TN$52))-COLUMN(宏观数据!$F$52)+1-60+47)),NA(),IF(INDEX(宏观数据!$F$52:$TN$52,1,LOOKUP(2,1/(宏观数据!$F$52:$TN$52&lt;&gt;""),COLUMN(宏观数据!$F$52:$TN$52))-COLUMN(宏观数据!$F$52)+1-60+47)=0,NA(),INDEX(宏观数据!$F$52:$TN$52,1,LOOKUP(2,1/(宏观数据!$F$52:$TN$52&lt;&gt;""),COLUMN(宏观数据!$F$52:$TN$52))-COLUMN(宏观数据!$F$52)+1-60+47)))</f>
        <v>#N/A</v>
      </c>
      <c r="AW15" t="e">
        <f>IF(ISERROR(INDEX(宏观数据!$F$52:$TN$52,1,LOOKUP(2,1/(宏观数据!$F$52:$TN$52&lt;&gt;""),COLUMN(宏观数据!$F$52:$TN$52))-COLUMN(宏观数据!$F$52)+1-60+48)),NA(),IF(INDEX(宏观数据!$F$52:$TN$52,1,LOOKUP(2,1/(宏观数据!$F$52:$TN$52&lt;&gt;""),COLUMN(宏观数据!$F$52:$TN$52))-COLUMN(宏观数据!$F$52)+1-60+48)=0,NA(),INDEX(宏观数据!$F$52:$TN$52,1,LOOKUP(2,1/(宏观数据!$F$52:$TN$52&lt;&gt;""),COLUMN(宏观数据!$F$52:$TN$52))-COLUMN(宏观数据!$F$52)+1-60+48)))</f>
        <v>#N/A</v>
      </c>
      <c r="AX15">
        <f>IF(ISERROR(INDEX(宏观数据!$F$52:$TN$52,1,LOOKUP(2,1/(宏观数据!$F$52:$TN$52&lt;&gt;""),COLUMN(宏观数据!$F$52:$TN$52))-COLUMN(宏观数据!$F$52)+1-60+49)),NA(),IF(INDEX(宏观数据!$F$52:$TN$52,1,LOOKUP(2,1/(宏观数据!$F$52:$TN$52&lt;&gt;""),COLUMN(宏观数据!$F$52:$TN$52))-COLUMN(宏观数据!$F$52)+1-60+49)=0,NA(),INDEX(宏观数据!$F$52:$TN$52,1,LOOKUP(2,1/(宏观数据!$F$52:$TN$52&lt;&gt;""),COLUMN(宏观数据!$F$52:$TN$52))-COLUMN(宏观数据!$F$52)+1-60+49)))</f>
        <v>1.7009</v>
      </c>
      <c r="AY15">
        <f>IF(ISERROR(INDEX(宏观数据!$F$52:$TN$52,1,LOOKUP(2,1/(宏观数据!$F$52:$TN$52&lt;&gt;""),COLUMN(宏观数据!$F$52:$TN$52))-COLUMN(宏观数据!$F$52)+1-60+50)),NA(),IF(INDEX(宏观数据!$F$52:$TN$52,1,LOOKUP(2,1/(宏观数据!$F$52:$TN$52&lt;&gt;""),COLUMN(宏观数据!$F$52:$TN$52))-COLUMN(宏观数据!$F$52)+1-60+50)=0,NA(),INDEX(宏观数据!$F$52:$TN$52,1,LOOKUP(2,1/(宏观数据!$F$52:$TN$52&lt;&gt;""),COLUMN(宏观数据!$F$52:$TN$52))-COLUMN(宏观数据!$F$52)+1-60+50)))</f>
        <v>1.7036</v>
      </c>
      <c r="AZ15">
        <f>IF(ISERROR(INDEX(宏观数据!$F$52:$TN$52,1,LOOKUP(2,1/(宏观数据!$F$52:$TN$52&lt;&gt;""),COLUMN(宏观数据!$F$52:$TN$52))-COLUMN(宏观数据!$F$52)+1-60+51)),NA(),IF(INDEX(宏观数据!$F$52:$TN$52,1,LOOKUP(2,1/(宏观数据!$F$52:$TN$52&lt;&gt;""),COLUMN(宏观数据!$F$52:$TN$52))-COLUMN(宏观数据!$F$52)+1-60+51)=0,NA(),INDEX(宏观数据!$F$52:$TN$52,1,LOOKUP(2,1/(宏观数据!$F$52:$TN$52&lt;&gt;""),COLUMN(宏观数据!$F$52:$TN$52))-COLUMN(宏观数据!$F$52)+1-60+51)))</f>
        <v>1.7128</v>
      </c>
      <c r="BA15">
        <f>IF(ISERROR(INDEX(宏观数据!$F$52:$TN$52,1,LOOKUP(2,1/(宏观数据!$F$52:$TN$52&lt;&gt;""),COLUMN(宏观数据!$F$52:$TN$52))-COLUMN(宏观数据!$F$52)+1-60+52)),NA(),IF(INDEX(宏观数据!$F$52:$TN$52,1,LOOKUP(2,1/(宏观数据!$F$52:$TN$52&lt;&gt;""),COLUMN(宏观数据!$F$52:$TN$52))-COLUMN(宏观数据!$F$52)+1-60+52)=0,NA(),INDEX(宏观数据!$F$52:$TN$52,1,LOOKUP(2,1/(宏观数据!$F$52:$TN$52&lt;&gt;""),COLUMN(宏观数据!$F$52:$TN$52))-COLUMN(宏观数据!$F$52)+1-60+52)))</f>
        <v>1.7081</v>
      </c>
      <c r="BB15" s="2">
        <f>IF(ISERROR(INDEX(宏观数据!$F$52:$TN$52,1,LOOKUP(2,1/(宏观数据!$F$52:$TN$52&lt;&gt;""),COLUMN(宏观数据!$F$52:$TN$52))-COLUMN(宏观数据!$F$52)+1-60+53)),NA(),IF(INDEX(宏观数据!$F$52:$TN$52,1,LOOKUP(2,1/(宏观数据!$F$52:$TN$52&lt;&gt;""),COLUMN(宏观数据!$F$52:$TN$52))-COLUMN(宏观数据!$F$52)+1-60+53)=0,NA(),INDEX(宏观数据!$F$52:$TN$52,1,LOOKUP(2,1/(宏观数据!$F$52:$TN$52&lt;&gt;""),COLUMN(宏观数据!$F$52:$TN$52))-COLUMN(宏观数据!$F$52)+1-60+53)))</f>
        <v>1.7207</v>
      </c>
      <c r="BC15" s="2" t="e">
        <f>IF(ISERROR(INDEX(宏观数据!$F$52:$TN$52,1,LOOKUP(2,1/(宏观数据!$F$52:$TN$52&lt;&gt;""),COLUMN(宏观数据!$F$52:$TN$52))-COLUMN(宏观数据!$F$52)+1-60+54)),NA(),IF(INDEX(宏观数据!$F$52:$TN$52,1,LOOKUP(2,1/(宏观数据!$F$52:$TN$52&lt;&gt;""),COLUMN(宏观数据!$F$52:$TN$52))-COLUMN(宏观数据!$F$52)+1-60+54)=0,NA(),INDEX(宏观数据!$F$52:$TN$52,1,LOOKUP(2,1/(宏观数据!$F$52:$TN$52&lt;&gt;""),COLUMN(宏观数据!$F$52:$TN$52))-COLUMN(宏观数据!$F$52)+1-60+54)))</f>
        <v>#N/A</v>
      </c>
      <c r="BD15" s="2" t="e">
        <f>IF(ISERROR(INDEX(宏观数据!$F$52:$TN$52,1,LOOKUP(2,1/(宏观数据!$F$52:$TN$52&lt;&gt;""),COLUMN(宏观数据!$F$52:$TN$52))-COLUMN(宏观数据!$F$52)+1-60+55)),NA(),IF(INDEX(宏观数据!$F$52:$TN$52,1,LOOKUP(2,1/(宏观数据!$F$52:$TN$52&lt;&gt;""),COLUMN(宏观数据!$F$52:$TN$52))-COLUMN(宏观数据!$F$52)+1-60+55)=0,NA(),INDEX(宏观数据!$F$52:$TN$52,1,LOOKUP(2,1/(宏观数据!$F$52:$TN$52&lt;&gt;""),COLUMN(宏观数据!$F$52:$TN$52))-COLUMN(宏观数据!$F$52)+1-60+55)))</f>
        <v>#N/A</v>
      </c>
      <c r="BE15" s="2">
        <f>IF(ISERROR(INDEX(宏观数据!$F$52:$TN$52,1,LOOKUP(2,1/(宏观数据!$F$52:$TN$52&lt;&gt;""),COLUMN(宏观数据!$F$52:$TN$52))-COLUMN(宏观数据!$F$52)+1-60+56)),NA(),IF(INDEX(宏观数据!$F$52:$TN$52,1,LOOKUP(2,1/(宏观数据!$F$52:$TN$52&lt;&gt;""),COLUMN(宏观数据!$F$52:$TN$52))-COLUMN(宏观数据!$F$52)+1-60+56)=0,NA(),INDEX(宏观数据!$F$52:$TN$52,1,LOOKUP(2,1/(宏观数据!$F$52:$TN$52&lt;&gt;""),COLUMN(宏观数据!$F$52:$TN$52))-COLUMN(宏观数据!$F$52)+1-60+56)))</f>
        <v>1.7275</v>
      </c>
      <c r="BF15">
        <f>IF(ISERROR(INDEX(宏观数据!$F$52:$TN$52,1,LOOKUP(2,1/(宏观数据!$F$52:$TN$52&lt;&gt;""),COLUMN(宏观数据!$F$52:$TN$52))-COLUMN(宏观数据!$F$52)+1-60+57)),NA(),IF(INDEX(宏观数据!$F$52:$TN$52,1,LOOKUP(2,1/(宏观数据!$F$52:$TN$52&lt;&gt;""),COLUMN(宏观数据!$F$52:$TN$52))-COLUMN(宏观数据!$F$52)+1-60+57)=0,NA(),INDEX(宏观数据!$F$52:$TN$52,1,LOOKUP(2,1/(宏观数据!$F$52:$TN$52&lt;&gt;""),COLUMN(宏观数据!$F$52:$TN$52))-COLUMN(宏观数据!$F$52)+1-60+57)))</f>
        <v>1.7376</v>
      </c>
      <c r="BG15" s="2">
        <f>IF(ISERROR(INDEX(宏观数据!$F$52:$TN$52,1,LOOKUP(2,1/(宏观数据!$F$52:$TN$52&lt;&gt;""),COLUMN(宏观数据!$F$52:$TN$52))-COLUMN(宏观数据!$F$52)+1-60+58)),NA(),IF(INDEX(宏观数据!$F$52:$TN$52,1,LOOKUP(2,1/(宏观数据!$F$52:$TN$52&lt;&gt;""),COLUMN(宏观数据!$F$52:$TN$52))-COLUMN(宏观数据!$F$52)+1-60+58)=0,NA(),INDEX(宏观数据!$F$52:$TN$52,1,LOOKUP(2,1/(宏观数据!$F$52:$TN$52&lt;&gt;""),COLUMN(宏观数据!$F$52:$TN$52))-COLUMN(宏观数据!$F$52)+1-60+58)))</f>
        <v>1.7476</v>
      </c>
      <c r="BH15" s="2">
        <f>IF(ISERROR(INDEX(宏观数据!$F$52:$TN$52,1,LOOKUP(2,1/(宏观数据!$F$52:$TN$52&lt;&gt;""),COLUMN(宏观数据!$F$52:$TN$52))-COLUMN(宏观数据!$F$52)+1-60+59)),NA(),IF(INDEX(宏观数据!$F$52:$TN$52,1,LOOKUP(2,1/(宏观数据!$F$52:$TN$52&lt;&gt;""),COLUMN(宏观数据!$F$52:$TN$52))-COLUMN(宏观数据!$F$52)+1-60+59)=0,NA(),INDEX(宏观数据!$F$52:$TN$52,1,LOOKUP(2,1/(宏观数据!$F$52:$TN$52&lt;&gt;""),COLUMN(宏观数据!$F$52:$TN$52))-COLUMN(宏观数据!$F$52)+1-60+59)))</f>
        <v>1.7475</v>
      </c>
      <c r="BI15" s="2">
        <f>IF(ISERROR(INDEX(宏观数据!$F$52:$TN$52,1,LOOKUP(2,1/(宏观数据!$F$52:$TN$52&lt;&gt;""),COLUMN(宏观数据!$F$52:$TN$52))-COLUMN(宏观数据!$F$52)+1-60+60)),NA(),IF(INDEX(宏观数据!$F$52:$TN$52,1,LOOKUP(2,1/(宏观数据!$F$52:$TN$52&lt;&gt;""),COLUMN(宏观数据!$F$52:$TN$52))-COLUMN(宏观数据!$F$52)+1-60+60)=0,NA(),INDEX(宏观数据!$F$52:$TN$52,1,LOOKUP(2,1/(宏观数据!$F$52:$TN$52&lt;&gt;""),COLUMN(宏观数据!$F$52:$TN$52))-COLUMN(宏观数据!$F$52)+1-60+60)))</f>
        <v>1.7427</v>
      </c>
    </row>
    <row r="16" ht="15" customHeight="1" spans="1:61">
      <c r="A16" s="1" t="s">
        <v>621</v>
      </c>
      <c r="B16">
        <f t="shared" ref="B16:BI16" si="0">IF(OR(ISNA(B15),ISNA(B14)),NA(),(B15-B14)*100)</f>
        <v>58.07</v>
      </c>
      <c r="C16">
        <f t="shared" si="0"/>
        <v>59.51</v>
      </c>
      <c r="D16">
        <f t="shared" si="0"/>
        <v>60.94</v>
      </c>
      <c r="E16">
        <f t="shared" si="0"/>
        <v>58.09</v>
      </c>
      <c r="F16" t="e">
        <f t="shared" si="0"/>
        <v>#N/A</v>
      </c>
      <c r="G16" t="e">
        <f t="shared" si="0"/>
        <v>#N/A</v>
      </c>
      <c r="H16">
        <f t="shared" si="0"/>
        <v>59.2</v>
      </c>
      <c r="I16">
        <f t="shared" si="0"/>
        <v>59.36</v>
      </c>
      <c r="J16">
        <f t="shared" si="0"/>
        <v>58.67</v>
      </c>
      <c r="K16">
        <f t="shared" si="0"/>
        <v>59.93</v>
      </c>
      <c r="L16">
        <f t="shared" si="0"/>
        <v>61.07</v>
      </c>
      <c r="M16" t="e">
        <f t="shared" si="0"/>
        <v>#N/A</v>
      </c>
      <c r="N16" t="e">
        <f t="shared" si="0"/>
        <v>#N/A</v>
      </c>
      <c r="O16">
        <f t="shared" si="0"/>
        <v>61.54</v>
      </c>
      <c r="P16">
        <f t="shared" si="0"/>
        <v>60.12</v>
      </c>
      <c r="Q16">
        <f t="shared" si="0"/>
        <v>57.81</v>
      </c>
      <c r="R16">
        <f t="shared" si="0"/>
        <v>59</v>
      </c>
      <c r="S16" t="e">
        <f t="shared" si="0"/>
        <v>#N/A</v>
      </c>
      <c r="T16" t="e">
        <f t="shared" si="0"/>
        <v>#N/A</v>
      </c>
      <c r="U16" t="e">
        <f t="shared" si="0"/>
        <v>#N/A</v>
      </c>
      <c r="V16" t="e">
        <f t="shared" si="0"/>
        <v>#N/A</v>
      </c>
      <c r="W16" t="e">
        <f t="shared" si="0"/>
        <v>#N/A</v>
      </c>
      <c r="X16">
        <f t="shared" si="0"/>
        <v>59.81</v>
      </c>
      <c r="Y16">
        <f t="shared" si="0"/>
        <v>58.48</v>
      </c>
      <c r="Z16">
        <f t="shared" si="0"/>
        <v>58.47</v>
      </c>
      <c r="AA16">
        <f t="shared" si="0"/>
        <v>57.72</v>
      </c>
      <c r="AB16" t="e">
        <f t="shared" si="0"/>
        <v>#N/A</v>
      </c>
      <c r="AC16">
        <f t="shared" si="0"/>
        <v>57.56</v>
      </c>
      <c r="AD16">
        <f t="shared" si="0"/>
        <v>57.18</v>
      </c>
      <c r="AE16">
        <f t="shared" si="0"/>
        <v>55.96</v>
      </c>
      <c r="AF16">
        <f t="shared" si="0"/>
        <v>55.84</v>
      </c>
      <c r="AG16">
        <f t="shared" si="0"/>
        <v>56.65</v>
      </c>
      <c r="AH16" t="e">
        <f t="shared" si="0"/>
        <v>#N/A</v>
      </c>
      <c r="AI16" t="e">
        <f t="shared" si="0"/>
        <v>#N/A</v>
      </c>
      <c r="AJ16">
        <f t="shared" si="0"/>
        <v>55.95</v>
      </c>
      <c r="AK16">
        <f t="shared" si="0"/>
        <v>54.88</v>
      </c>
      <c r="AL16">
        <f t="shared" si="0"/>
        <v>56.84</v>
      </c>
      <c r="AM16">
        <f t="shared" si="0"/>
        <v>57.82</v>
      </c>
      <c r="AN16">
        <f t="shared" si="0"/>
        <v>58.13</v>
      </c>
      <c r="AO16" t="e">
        <f t="shared" si="0"/>
        <v>#N/A</v>
      </c>
      <c r="AP16" t="e">
        <f t="shared" si="0"/>
        <v>#N/A</v>
      </c>
      <c r="AQ16">
        <f t="shared" si="0"/>
        <v>57.58</v>
      </c>
      <c r="AR16">
        <f t="shared" si="0"/>
        <v>56.96</v>
      </c>
      <c r="AS16">
        <f t="shared" si="0"/>
        <v>55.58</v>
      </c>
      <c r="AT16">
        <f t="shared" si="0"/>
        <v>56.96</v>
      </c>
      <c r="AU16">
        <f t="shared" si="0"/>
        <v>55.89</v>
      </c>
      <c r="AV16" t="e">
        <f t="shared" si="0"/>
        <v>#N/A</v>
      </c>
      <c r="AW16" t="e">
        <f t="shared" si="0"/>
        <v>#N/A</v>
      </c>
      <c r="AX16">
        <f t="shared" si="0"/>
        <v>56.22</v>
      </c>
      <c r="AY16">
        <f t="shared" si="0"/>
        <v>56.72</v>
      </c>
      <c r="AZ16">
        <f t="shared" si="0"/>
        <v>58.35</v>
      </c>
      <c r="BA16">
        <f t="shared" si="0"/>
        <v>57.74</v>
      </c>
      <c r="BB16">
        <f t="shared" si="0"/>
        <v>58.51</v>
      </c>
      <c r="BC16" t="e">
        <f t="shared" si="0"/>
        <v>#N/A</v>
      </c>
      <c r="BD16" t="e">
        <f t="shared" si="0"/>
        <v>#N/A</v>
      </c>
      <c r="BE16">
        <f t="shared" si="0"/>
        <v>58.54</v>
      </c>
      <c r="BF16">
        <f t="shared" si="0"/>
        <v>60.11</v>
      </c>
      <c r="BG16">
        <f t="shared" si="0"/>
        <v>59.93</v>
      </c>
      <c r="BH16">
        <f t="shared" si="0"/>
        <v>59.94</v>
      </c>
      <c r="BI16">
        <f t="shared" si="0"/>
        <v>58.47</v>
      </c>
    </row>
    <row r="17" ht="16.5" customHeight="1" spans="1:61">
      <c r="A17" s="1" t="s">
        <v>622</v>
      </c>
      <c r="B17">
        <f>IF(ISERROR(INDEX(宏观数据!$F$55:$TN$55,1,LOOKUP(2,1/(宏观数据!$F$55:$TN$55&lt;&gt;""),COLUMN(宏观数据!$F$55:$TN$55))-COLUMN(宏观数据!$F$55)+1-60+1)),NA(),IF(INDEX(宏观数据!$F$55:$TN$55,1,LOOKUP(2,1/(宏观数据!$F$55:$TN$55&lt;&gt;""),COLUMN(宏观数据!$F$55:$TN$55))-COLUMN(宏观数据!$F$55)+1-60+1)=0,NA(),INDEX(宏观数据!$F$55:$TN$55,1,LOOKUP(2,1/(宏观数据!$F$55:$TN$55&lt;&gt;""),COLUMN(宏观数据!$F$55:$TN$55))-COLUMN(宏观数据!$F$55)+1-60+1)))</f>
        <v>2.1739</v>
      </c>
      <c r="C17" s="2">
        <f>IF(ISERROR(INDEX(宏观数据!$F$55:$TN$55,1,LOOKUP(2,1/(宏观数据!$F$55:$TN$55&lt;&gt;""),COLUMN(宏观数据!$F$55:$TN$55))-COLUMN(宏观数据!$F$55)+1-60+2)),NA(),IF(INDEX(宏观数据!$F$55:$TN$55,1,LOOKUP(2,1/(宏观数据!$F$55:$TN$55&lt;&gt;""),COLUMN(宏观数据!$F$55:$TN$55))-COLUMN(宏观数据!$F$55)+1-60+2)=0,NA(),INDEX(宏观数据!$F$55:$TN$55,1,LOOKUP(2,1/(宏观数据!$F$55:$TN$55&lt;&gt;""),COLUMN(宏观数据!$F$55:$TN$55))-COLUMN(宏观数据!$F$55)+1-60+2)))</f>
        <v>2.1775</v>
      </c>
      <c r="D17" s="2">
        <f>IF(ISERROR(INDEX(宏观数据!$F$55:$TN$55,1,LOOKUP(2,1/(宏观数据!$F$55:$TN$55&lt;&gt;""),COLUMN(宏观数据!$F$55:$TN$55))-COLUMN(宏观数据!$F$55)+1-60+3)),NA(),IF(INDEX(宏观数据!$F$55:$TN$55,1,LOOKUP(2,1/(宏观数据!$F$55:$TN$55&lt;&gt;""),COLUMN(宏观数据!$F$55:$TN$55))-COLUMN(宏观数据!$F$55)+1-60+3)=0,NA(),INDEX(宏观数据!$F$55:$TN$55,1,LOOKUP(2,1/(宏观数据!$F$55:$TN$55&lt;&gt;""),COLUMN(宏观数据!$F$55:$TN$55))-COLUMN(宏观数据!$F$55)+1-60+3)))</f>
        <v>2.1746</v>
      </c>
      <c r="E17" s="2">
        <f>IF(ISERROR(INDEX(宏观数据!$F$55:$TN$55,1,LOOKUP(2,1/(宏观数据!$F$55:$TN$55&lt;&gt;""),COLUMN(宏观数据!$F$55:$TN$55))-COLUMN(宏观数据!$F$55)+1-60+4)),NA(),IF(INDEX(宏观数据!$F$55:$TN$55,1,LOOKUP(2,1/(宏观数据!$F$55:$TN$55&lt;&gt;""),COLUMN(宏观数据!$F$55:$TN$55))-COLUMN(宏观数据!$F$55)+1-60+4)=0,NA(),INDEX(宏观数据!$F$55:$TN$55,1,LOOKUP(2,1/(宏观数据!$F$55:$TN$55&lt;&gt;""),COLUMN(宏观数据!$F$55:$TN$55))-COLUMN(宏观数据!$F$55)+1-60+4)))</f>
        <v>2.1693</v>
      </c>
      <c r="F17" s="2" t="e">
        <f>IF(ISERROR(INDEX(宏观数据!$F$55:$TN$55,1,LOOKUP(2,1/(宏观数据!$F$55:$TN$55&lt;&gt;""),COLUMN(宏观数据!$F$55:$TN$55))-COLUMN(宏观数据!$F$55)+1-60+5)),NA(),IF(INDEX(宏观数据!$F$55:$TN$55,1,LOOKUP(2,1/(宏观数据!$F$55:$TN$55&lt;&gt;""),COLUMN(宏观数据!$F$55:$TN$55))-COLUMN(宏观数据!$F$55)+1-60+5)=0,NA(),INDEX(宏观数据!$F$55:$TN$55,1,LOOKUP(2,1/(宏观数据!$F$55:$TN$55&lt;&gt;""),COLUMN(宏观数据!$F$55:$TN$55))-COLUMN(宏观数据!$F$55)+1-60+5)))</f>
        <v>#N/A</v>
      </c>
      <c r="G17" s="2" t="e">
        <f>IF(ISERROR(INDEX(宏观数据!$F$55:$TN$55,1,LOOKUP(2,1/(宏观数据!$F$55:$TN$55&lt;&gt;""),COLUMN(宏观数据!$F$55:$TN$55))-COLUMN(宏观数据!$F$55)+1-60+6)),NA(),IF(INDEX(宏观数据!$F$55:$TN$55,1,LOOKUP(2,1/(宏观数据!$F$55:$TN$55&lt;&gt;""),COLUMN(宏观数据!$F$55:$TN$55))-COLUMN(宏观数据!$F$55)+1-60+6)=0,NA(),INDEX(宏观数据!$F$55:$TN$55,1,LOOKUP(2,1/(宏观数据!$F$55:$TN$55&lt;&gt;""),COLUMN(宏观数据!$F$55:$TN$55))-COLUMN(宏观数据!$F$55)+1-60+6)))</f>
        <v>#N/A</v>
      </c>
      <c r="H17">
        <f>IF(ISERROR(INDEX(宏观数据!$F$55:$TN$55,1,LOOKUP(2,1/(宏观数据!$F$55:$TN$55&lt;&gt;""),COLUMN(宏观数据!$F$55:$TN$55))-COLUMN(宏观数据!$F$55)+1-60+7)),NA(),IF(INDEX(宏观数据!$F$55:$TN$55,1,LOOKUP(2,1/(宏观数据!$F$55:$TN$55&lt;&gt;""),COLUMN(宏观数据!$F$55:$TN$55))-COLUMN(宏观数据!$F$55)+1-60+7)=0,NA(),INDEX(宏观数据!$F$55:$TN$55,1,LOOKUP(2,1/(宏观数据!$F$55:$TN$55&lt;&gt;""),COLUMN(宏观数据!$F$55:$TN$55))-COLUMN(宏观数据!$F$55)+1-60+7)))</f>
        <v>2.1677</v>
      </c>
      <c r="I17">
        <f>IF(ISERROR(INDEX(宏观数据!$F$55:$TN$55,1,LOOKUP(2,1/(宏观数据!$F$55:$TN$55&lt;&gt;""),COLUMN(宏观数据!$F$55:$TN$55))-COLUMN(宏观数据!$F$55)+1-60+8)),NA(),IF(INDEX(宏观数据!$F$55:$TN$55,1,LOOKUP(2,1/(宏观数据!$F$55:$TN$55&lt;&gt;""),COLUMN(宏观数据!$F$55:$TN$55))-COLUMN(宏观数据!$F$55)+1-60+8)=0,NA(),INDEX(宏观数据!$F$55:$TN$55,1,LOOKUP(2,1/(宏观数据!$F$55:$TN$55&lt;&gt;""),COLUMN(宏观数据!$F$55:$TN$55))-COLUMN(宏观数据!$F$55)+1-60+8)))</f>
        <v>2.1605</v>
      </c>
      <c r="J17" s="2">
        <f>IF(ISERROR(INDEX(宏观数据!$F$55:$TN$55,1,LOOKUP(2,1/(宏观数据!$F$55:$TN$55&lt;&gt;""),COLUMN(宏观数据!$F$55:$TN$55))-COLUMN(宏观数据!$F$55)+1-60+9)),NA(),IF(INDEX(宏观数据!$F$55:$TN$55,1,LOOKUP(2,1/(宏观数据!$F$55:$TN$55&lt;&gt;""),COLUMN(宏观数据!$F$55:$TN$55))-COLUMN(宏观数据!$F$55)+1-60+9)=0,NA(),INDEX(宏观数据!$F$55:$TN$55,1,LOOKUP(2,1/(宏观数据!$F$55:$TN$55&lt;&gt;""),COLUMN(宏观数据!$F$55:$TN$55))-COLUMN(宏观数据!$F$55)+1-60+9)))</f>
        <v>2.1505</v>
      </c>
      <c r="K17" s="2">
        <f>IF(ISERROR(INDEX(宏观数据!$F$55:$TN$55,1,LOOKUP(2,1/(宏观数据!$F$55:$TN$55&lt;&gt;""),COLUMN(宏观数据!$F$55:$TN$55))-COLUMN(宏观数据!$F$55)+1-60+10)),NA(),IF(INDEX(宏观数据!$F$55:$TN$55,1,LOOKUP(2,1/(宏观数据!$F$55:$TN$55&lt;&gt;""),COLUMN(宏观数据!$F$55:$TN$55))-COLUMN(宏观数据!$F$55)+1-60+10)=0,NA(),INDEX(宏观数据!$F$55:$TN$55,1,LOOKUP(2,1/(宏观数据!$F$55:$TN$55&lt;&gt;""),COLUMN(宏观数据!$F$55:$TN$55))-COLUMN(宏观数据!$F$55)+1-60+10)))</f>
        <v>2.1544</v>
      </c>
      <c r="L17" s="2">
        <f>IF(ISERROR(INDEX(宏观数据!$F$55:$TN$55,1,LOOKUP(2,1/(宏观数据!$F$55:$TN$55&lt;&gt;""),COLUMN(宏观数据!$F$55:$TN$55))-COLUMN(宏观数据!$F$55)+1-60+11)),NA(),IF(INDEX(宏观数据!$F$55:$TN$55,1,LOOKUP(2,1/(宏观数据!$F$55:$TN$55&lt;&gt;""),COLUMN(宏观数据!$F$55:$TN$55))-COLUMN(宏观数据!$F$55)+1-60+11)=0,NA(),INDEX(宏观数据!$F$55:$TN$55,1,LOOKUP(2,1/(宏观数据!$F$55:$TN$55&lt;&gt;""),COLUMN(宏观数据!$F$55:$TN$55))-COLUMN(宏观数据!$F$55)+1-60+11)))</f>
        <v>2.1754</v>
      </c>
      <c r="M17" s="2" t="e">
        <f>IF(ISERROR(INDEX(宏观数据!$F$55:$TN$55,1,LOOKUP(2,1/(宏观数据!$F$55:$TN$55&lt;&gt;""),COLUMN(宏观数据!$F$55:$TN$55))-COLUMN(宏观数据!$F$55)+1-60+12)),NA(),IF(INDEX(宏观数据!$F$55:$TN$55,1,LOOKUP(2,1/(宏观数据!$F$55:$TN$55&lt;&gt;""),COLUMN(宏观数据!$F$55:$TN$55))-COLUMN(宏观数据!$F$55)+1-60+12)=0,NA(),INDEX(宏观数据!$F$55:$TN$55,1,LOOKUP(2,1/(宏观数据!$F$55:$TN$55&lt;&gt;""),COLUMN(宏观数据!$F$55:$TN$55))-COLUMN(宏观数据!$F$55)+1-60+12)))</f>
        <v>#N/A</v>
      </c>
      <c r="N17" s="2" t="e">
        <f>IF(ISERROR(INDEX(宏观数据!$F$55:$TN$55,1,LOOKUP(2,1/(宏观数据!$F$55:$TN$55&lt;&gt;""),COLUMN(宏观数据!$F$55:$TN$55))-COLUMN(宏观数据!$F$55)+1-60+13)),NA(),IF(INDEX(宏观数据!$F$55:$TN$55,1,LOOKUP(2,1/(宏观数据!$F$55:$TN$55&lt;&gt;""),COLUMN(宏观数据!$F$55:$TN$55))-COLUMN(宏观数据!$F$55)+1-60+13)=0,NA(),INDEX(宏观数据!$F$55:$TN$55,1,LOOKUP(2,1/(宏观数据!$F$55:$TN$55&lt;&gt;""),COLUMN(宏观数据!$F$55:$TN$55))-COLUMN(宏观数据!$F$55)+1-60+13)))</f>
        <v>#N/A</v>
      </c>
      <c r="O17">
        <f>IF(ISERROR(INDEX(宏观数据!$F$55:$TN$55,1,LOOKUP(2,1/(宏观数据!$F$55:$TN$55&lt;&gt;""),COLUMN(宏观数据!$F$55:$TN$55))-COLUMN(宏观数据!$F$55)+1-60+14)),NA(),IF(INDEX(宏观数据!$F$55:$TN$55,1,LOOKUP(2,1/(宏观数据!$F$55:$TN$55&lt;&gt;""),COLUMN(宏观数据!$F$55:$TN$55))-COLUMN(宏观数据!$F$55)+1-60+14)=0,NA(),INDEX(宏观数据!$F$55:$TN$55,1,LOOKUP(2,1/(宏观数据!$F$55:$TN$55&lt;&gt;""),COLUMN(宏观数据!$F$55:$TN$55))-COLUMN(宏观数据!$F$55)+1-60+14)))</f>
        <v>2.1893</v>
      </c>
      <c r="P17">
        <f>IF(ISERROR(INDEX(宏观数据!$F$55:$TN$55,1,LOOKUP(2,1/(宏观数据!$F$55:$TN$55&lt;&gt;""),COLUMN(宏观数据!$F$55:$TN$55))-COLUMN(宏观数据!$F$55)+1-60+15)),NA(),IF(INDEX(宏观数据!$F$55:$TN$55,1,LOOKUP(2,1/(宏观数据!$F$55:$TN$55&lt;&gt;""),COLUMN(宏观数据!$F$55:$TN$55))-COLUMN(宏观数据!$F$55)+1-60+15)=0,NA(),INDEX(宏观数据!$F$55:$TN$55,1,LOOKUP(2,1/(宏观数据!$F$55:$TN$55&lt;&gt;""),COLUMN(宏观数据!$F$55:$TN$55))-COLUMN(宏观数据!$F$55)+1-60+15)))</f>
        <v>2.1917</v>
      </c>
      <c r="Q17" s="2">
        <f>IF(ISERROR(INDEX(宏观数据!$F$55:$TN$55,1,LOOKUP(2,1/(宏观数据!$F$55:$TN$55&lt;&gt;""),COLUMN(宏观数据!$F$55:$TN$55))-COLUMN(宏观数据!$F$55)+1-60+16)),NA(),IF(INDEX(宏观数据!$F$55:$TN$55,1,LOOKUP(2,1/(宏观数据!$F$55:$TN$55&lt;&gt;""),COLUMN(宏观数据!$F$55:$TN$55))-COLUMN(宏观数据!$F$55)+1-60+16)=0,NA(),INDEX(宏观数据!$F$55:$TN$55,1,LOOKUP(2,1/(宏观数据!$F$55:$TN$55&lt;&gt;""),COLUMN(宏观数据!$F$55:$TN$55))-COLUMN(宏观数据!$F$55)+1-60+16)))</f>
        <v>2.1805</v>
      </c>
      <c r="R17" s="2">
        <f>IF(ISERROR(INDEX(宏观数据!$F$55:$TN$55,1,LOOKUP(2,1/(宏观数据!$F$55:$TN$55&lt;&gt;""),COLUMN(宏观数据!$F$55:$TN$55))-COLUMN(宏观数据!$F$55)+1-60+17)),NA(),IF(INDEX(宏观数据!$F$55:$TN$55,1,LOOKUP(2,1/(宏观数据!$F$55:$TN$55&lt;&gt;""),COLUMN(宏观数据!$F$55:$TN$55))-COLUMN(宏观数据!$F$55)+1-60+17)=0,NA(),INDEX(宏观数据!$F$55:$TN$55,1,LOOKUP(2,1/(宏观数据!$F$55:$TN$55&lt;&gt;""),COLUMN(宏观数据!$F$55:$TN$55))-COLUMN(宏观数据!$F$55)+1-60+17)))</f>
        <v>2.1805</v>
      </c>
      <c r="S17" s="2" t="e">
        <f>IF(ISERROR(INDEX(宏观数据!$F$55:$TN$55,1,LOOKUP(2,1/(宏观数据!$F$55:$TN$55&lt;&gt;""),COLUMN(宏观数据!$F$55:$TN$55))-COLUMN(宏观数据!$F$55)+1-60+18)),NA(),IF(INDEX(宏观数据!$F$55:$TN$55,1,LOOKUP(2,1/(宏观数据!$F$55:$TN$55&lt;&gt;""),COLUMN(宏观数据!$F$55:$TN$55))-COLUMN(宏观数据!$F$55)+1-60+18)=0,NA(),INDEX(宏观数据!$F$55:$TN$55,1,LOOKUP(2,1/(宏观数据!$F$55:$TN$55&lt;&gt;""),COLUMN(宏观数据!$F$55:$TN$55))-COLUMN(宏观数据!$F$55)+1-60+18)))</f>
        <v>#N/A</v>
      </c>
      <c r="T17" s="2" t="e">
        <f>IF(ISERROR(INDEX(宏观数据!$F$55:$TN$55,1,LOOKUP(2,1/(宏观数据!$F$55:$TN$55&lt;&gt;""),COLUMN(宏观数据!$F$55:$TN$55))-COLUMN(宏观数据!$F$55)+1-60+19)),NA(),IF(INDEX(宏观数据!$F$55:$TN$55,1,LOOKUP(2,1/(宏观数据!$F$55:$TN$55&lt;&gt;""),COLUMN(宏观数据!$F$55:$TN$55))-COLUMN(宏观数据!$F$55)+1-60+19)=0,NA(),INDEX(宏观数据!$F$55:$TN$55,1,LOOKUP(2,1/(宏观数据!$F$55:$TN$55&lt;&gt;""),COLUMN(宏观数据!$F$55:$TN$55))-COLUMN(宏观数据!$F$55)+1-60+19)))</f>
        <v>#N/A</v>
      </c>
      <c r="U17" s="2" t="e">
        <f>IF(ISERROR(INDEX(宏观数据!$F$55:$TN$55,1,LOOKUP(2,1/(宏观数据!$F$55:$TN$55&lt;&gt;""),COLUMN(宏观数据!$F$55:$TN$55))-COLUMN(宏观数据!$F$55)+1-60+20)),NA(),IF(INDEX(宏观数据!$F$55:$TN$55,1,LOOKUP(2,1/(宏观数据!$F$55:$TN$55&lt;&gt;""),COLUMN(宏观数据!$F$55:$TN$55))-COLUMN(宏观数据!$F$55)+1-60+20)=0,NA(),INDEX(宏观数据!$F$55:$TN$55,1,LOOKUP(2,1/(宏观数据!$F$55:$TN$55&lt;&gt;""),COLUMN(宏观数据!$F$55:$TN$55))-COLUMN(宏观数据!$F$55)+1-60+20)))</f>
        <v>#N/A</v>
      </c>
      <c r="V17" t="e">
        <f>IF(ISERROR(INDEX(宏观数据!$F$55:$TN$55,1,LOOKUP(2,1/(宏观数据!$F$55:$TN$55&lt;&gt;""),COLUMN(宏观数据!$F$55:$TN$55))-COLUMN(宏观数据!$F$55)+1-60+21)),NA(),IF(INDEX(宏观数据!$F$55:$TN$55,1,LOOKUP(2,1/(宏观数据!$F$55:$TN$55&lt;&gt;""),COLUMN(宏观数据!$F$55:$TN$55))-COLUMN(宏观数据!$F$55)+1-60+21)=0,NA(),INDEX(宏观数据!$F$55:$TN$55,1,LOOKUP(2,1/(宏观数据!$F$55:$TN$55&lt;&gt;""),COLUMN(宏观数据!$F$55:$TN$55))-COLUMN(宏观数据!$F$55)+1-60+21)))</f>
        <v>#N/A</v>
      </c>
      <c r="W17" t="e">
        <f>IF(ISERROR(INDEX(宏观数据!$F$55:$TN$55,1,LOOKUP(2,1/(宏观数据!$F$55:$TN$55&lt;&gt;""),COLUMN(宏观数据!$F$55:$TN$55))-COLUMN(宏观数据!$F$55)+1-60+22)),NA(),IF(INDEX(宏观数据!$F$55:$TN$55,1,LOOKUP(2,1/(宏观数据!$F$55:$TN$55&lt;&gt;""),COLUMN(宏观数据!$F$55:$TN$55))-COLUMN(宏观数据!$F$55)+1-60+22)=0,NA(),INDEX(宏观数据!$F$55:$TN$55,1,LOOKUP(2,1/(宏观数据!$F$55:$TN$55&lt;&gt;""),COLUMN(宏观数据!$F$55:$TN$55))-COLUMN(宏观数据!$F$55)+1-60+22)))</f>
        <v>#N/A</v>
      </c>
      <c r="X17">
        <f>IF(ISERROR(INDEX(宏观数据!$F$55:$TN$55,1,LOOKUP(2,1/(宏观数据!$F$55:$TN$55&lt;&gt;""),COLUMN(宏观数据!$F$55:$TN$55))-COLUMN(宏观数据!$F$55)+1-60+23)),NA(),IF(INDEX(宏观数据!$F$55:$TN$55,1,LOOKUP(2,1/(宏观数据!$F$55:$TN$55&lt;&gt;""),COLUMN(宏观数据!$F$55:$TN$55))-COLUMN(宏观数据!$F$55)+1-60+23)=0,NA(),INDEX(宏观数据!$F$55:$TN$55,1,LOOKUP(2,1/(宏观数据!$F$55:$TN$55&lt;&gt;""),COLUMN(宏观数据!$F$55:$TN$55))-COLUMN(宏观数据!$F$55)+1-60+23)))</f>
        <v>2.1997</v>
      </c>
      <c r="Y17" s="2">
        <f>IF(ISERROR(INDEX(宏观数据!$F$55:$TN$55,1,LOOKUP(2,1/(宏观数据!$F$55:$TN$55&lt;&gt;""),COLUMN(宏观数据!$F$55:$TN$55))-COLUMN(宏观数据!$F$55)+1-60+24)),NA(),IF(INDEX(宏观数据!$F$55:$TN$55,1,LOOKUP(2,1/(宏观数据!$F$55:$TN$55&lt;&gt;""),COLUMN(宏观数据!$F$55:$TN$55))-COLUMN(宏观数据!$F$55)+1-60+24)=0,NA(),INDEX(宏观数据!$F$55:$TN$55,1,LOOKUP(2,1/(宏观数据!$F$55:$TN$55&lt;&gt;""),COLUMN(宏观数据!$F$55:$TN$55))-COLUMN(宏观数据!$F$55)+1-60+24)))</f>
        <v>2.1852</v>
      </c>
      <c r="Z17" s="2">
        <f>IF(ISERROR(INDEX(宏观数据!$F$55:$TN$55,1,LOOKUP(2,1/(宏观数据!$F$55:$TN$55&lt;&gt;""),COLUMN(宏观数据!$F$55:$TN$55))-COLUMN(宏观数据!$F$55)+1-60+25)),NA(),IF(INDEX(宏观数据!$F$55:$TN$55,1,LOOKUP(2,1/(宏观数据!$F$55:$TN$55&lt;&gt;""),COLUMN(宏观数据!$F$55:$TN$55))-COLUMN(宏观数据!$F$55)+1-60+25)=0,NA(),INDEX(宏观数据!$F$55:$TN$55,1,LOOKUP(2,1/(宏观数据!$F$55:$TN$55&lt;&gt;""),COLUMN(宏观数据!$F$55:$TN$55))-COLUMN(宏观数据!$F$55)+1-60+25)))</f>
        <v>2.1805</v>
      </c>
      <c r="AA17" s="2">
        <f>IF(ISERROR(INDEX(宏观数据!$F$55:$TN$55,1,LOOKUP(2,1/(宏观数据!$F$55:$TN$55&lt;&gt;""),COLUMN(宏观数据!$F$55:$TN$55))-COLUMN(宏观数据!$F$55)+1-60+26)),NA(),IF(INDEX(宏观数据!$F$55:$TN$55,1,LOOKUP(2,1/(宏观数据!$F$55:$TN$55&lt;&gt;""),COLUMN(宏观数据!$F$55:$TN$55))-COLUMN(宏观数据!$F$55)+1-60+26)=0,NA(),INDEX(宏观数据!$F$55:$TN$55,1,LOOKUP(2,1/(宏观数据!$F$55:$TN$55&lt;&gt;""),COLUMN(宏观数据!$F$55:$TN$55))-COLUMN(宏观数据!$F$55)+1-60+26)))</f>
        <v>2.1758</v>
      </c>
      <c r="AB17" s="2" t="e">
        <f>IF(ISERROR(INDEX(宏观数据!$F$55:$TN$55,1,LOOKUP(2,1/(宏观数据!$F$55:$TN$55&lt;&gt;""),COLUMN(宏观数据!$F$55:$TN$55))-COLUMN(宏观数据!$F$55)+1-60+27)),NA(),IF(INDEX(宏观数据!$F$55:$TN$55,1,LOOKUP(2,1/(宏观数据!$F$55:$TN$55&lt;&gt;""),COLUMN(宏观数据!$F$55:$TN$55))-COLUMN(宏观数据!$F$55)+1-60+27)=0,NA(),INDEX(宏观数据!$F$55:$TN$55,1,LOOKUP(2,1/(宏观数据!$F$55:$TN$55&lt;&gt;""),COLUMN(宏观数据!$F$55:$TN$55))-COLUMN(宏观数据!$F$55)+1-60+27)))</f>
        <v>#N/A</v>
      </c>
      <c r="AC17">
        <f>IF(ISERROR(INDEX(宏观数据!$F$55:$TN$55,1,LOOKUP(2,1/(宏观数据!$F$55:$TN$55&lt;&gt;""),COLUMN(宏观数据!$F$55:$TN$55))-COLUMN(宏观数据!$F$55)+1-60+28)),NA(),IF(INDEX(宏观数据!$F$55:$TN$55,1,LOOKUP(2,1/(宏观数据!$F$55:$TN$55&lt;&gt;""),COLUMN(宏观数据!$F$55:$TN$55))-COLUMN(宏观数据!$F$55)+1-60+28)=0,NA(),INDEX(宏观数据!$F$55:$TN$55,1,LOOKUP(2,1/(宏观数据!$F$55:$TN$55&lt;&gt;""),COLUMN(宏观数据!$F$55:$TN$55))-COLUMN(宏观数据!$F$55)+1-60+28)))</f>
        <v>2.1757</v>
      </c>
      <c r="AD17">
        <f>IF(ISERROR(INDEX(宏观数据!$F$55:$TN$55,1,LOOKUP(2,1/(宏观数据!$F$55:$TN$55&lt;&gt;""),COLUMN(宏观数据!$F$55:$TN$55))-COLUMN(宏观数据!$F$55)+1-60+29)),NA(),IF(INDEX(宏观数据!$F$55:$TN$55,1,LOOKUP(2,1/(宏观数据!$F$55:$TN$55&lt;&gt;""),COLUMN(宏观数据!$F$55:$TN$55))-COLUMN(宏观数据!$F$55)+1-60+29)=0,NA(),INDEX(宏观数据!$F$55:$TN$55,1,LOOKUP(2,1/(宏观数据!$F$55:$TN$55&lt;&gt;""),COLUMN(宏观数据!$F$55:$TN$55))-COLUMN(宏观数据!$F$55)+1-60+29)))</f>
        <v>2.1731</v>
      </c>
      <c r="AE17" s="2">
        <f>IF(ISERROR(INDEX(宏观数据!$F$55:$TN$55,1,LOOKUP(2,1/(宏观数据!$F$55:$TN$55&lt;&gt;""),COLUMN(宏观数据!$F$55:$TN$55))-COLUMN(宏观数据!$F$55)+1-60+30)),NA(),IF(INDEX(宏观数据!$F$55:$TN$55,1,LOOKUP(2,1/(宏观数据!$F$55:$TN$55&lt;&gt;""),COLUMN(宏观数据!$F$55:$TN$55))-COLUMN(宏观数据!$F$55)+1-60+30)=0,NA(),INDEX(宏观数据!$F$55:$TN$55,1,LOOKUP(2,1/(宏观数据!$F$55:$TN$55&lt;&gt;""),COLUMN(宏观数据!$F$55:$TN$55))-COLUMN(宏观数据!$F$55)+1-60+30)))</f>
        <v>2.1626</v>
      </c>
      <c r="AF17" s="2">
        <f>IF(ISERROR(INDEX(宏观数据!$F$55:$TN$55,1,LOOKUP(2,1/(宏观数据!$F$55:$TN$55&lt;&gt;""),COLUMN(宏观数据!$F$55:$TN$55))-COLUMN(宏观数据!$F$55)+1-60+31)),NA(),IF(INDEX(宏观数据!$F$55:$TN$55,1,LOOKUP(2,1/(宏观数据!$F$55:$TN$55&lt;&gt;""),COLUMN(宏观数据!$F$55:$TN$55))-COLUMN(宏观数据!$F$55)+1-60+31)=0,NA(),INDEX(宏观数据!$F$55:$TN$55,1,LOOKUP(2,1/(宏观数据!$F$55:$TN$55&lt;&gt;""),COLUMN(宏观数据!$F$55:$TN$55))-COLUMN(宏观数据!$F$55)+1-60+31)))</f>
        <v>2.1629</v>
      </c>
      <c r="AG17" s="2">
        <f>IF(ISERROR(INDEX(宏观数据!$F$55:$TN$55,1,LOOKUP(2,1/(宏观数据!$F$55:$TN$55&lt;&gt;""),COLUMN(宏观数据!$F$55:$TN$55))-COLUMN(宏观数据!$F$55)+1-60+32)),NA(),IF(INDEX(宏观数据!$F$55:$TN$55,1,LOOKUP(2,1/(宏观数据!$F$55:$TN$55&lt;&gt;""),COLUMN(宏观数据!$F$55:$TN$55))-COLUMN(宏观数据!$F$55)+1-60+32)=0,NA(),INDEX(宏观数据!$F$55:$TN$55,1,LOOKUP(2,1/(宏观数据!$F$55:$TN$55&lt;&gt;""),COLUMN(宏观数据!$F$55:$TN$55))-COLUMN(宏观数据!$F$55)+1-60+32)))</f>
        <v>2.1735</v>
      </c>
      <c r="AH17" s="2" t="e">
        <f>IF(ISERROR(INDEX(宏观数据!$F$55:$TN$55,1,LOOKUP(2,1/(宏观数据!$F$55:$TN$55&lt;&gt;""),COLUMN(宏观数据!$F$55:$TN$55))-COLUMN(宏观数据!$F$55)+1-60+33)),NA(),IF(INDEX(宏观数据!$F$55:$TN$55,1,LOOKUP(2,1/(宏观数据!$F$55:$TN$55&lt;&gt;""),COLUMN(宏观数据!$F$55:$TN$55))-COLUMN(宏观数据!$F$55)+1-60+33)=0,NA(),INDEX(宏观数据!$F$55:$TN$55,1,LOOKUP(2,1/(宏观数据!$F$55:$TN$55&lt;&gt;""),COLUMN(宏观数据!$F$55:$TN$55))-COLUMN(宏观数据!$F$55)+1-60+33)))</f>
        <v>#N/A</v>
      </c>
      <c r="AI17" s="2" t="e">
        <f>IF(ISERROR(INDEX(宏观数据!$F$55:$TN$55,1,LOOKUP(2,1/(宏观数据!$F$55:$TN$55&lt;&gt;""),COLUMN(宏观数据!$F$55:$TN$55))-COLUMN(宏观数据!$F$55)+1-60+34)),NA(),IF(INDEX(宏观数据!$F$55:$TN$55,1,LOOKUP(2,1/(宏观数据!$F$55:$TN$55&lt;&gt;""),COLUMN(宏观数据!$F$55:$TN$55))-COLUMN(宏观数据!$F$55)+1-60+34)=0,NA(),INDEX(宏观数据!$F$55:$TN$55,1,LOOKUP(2,1/(宏观数据!$F$55:$TN$55&lt;&gt;""),COLUMN(宏观数据!$F$55:$TN$55))-COLUMN(宏观数据!$F$55)+1-60+34)))</f>
        <v>#N/A</v>
      </c>
      <c r="AJ17">
        <f>IF(ISERROR(INDEX(宏观数据!$F$55:$TN$55,1,LOOKUP(2,1/(宏观数据!$F$55:$TN$55&lt;&gt;""),COLUMN(宏观数据!$F$55:$TN$55))-COLUMN(宏观数据!$F$55)+1-60+35)),NA(),IF(INDEX(宏观数据!$F$55:$TN$55,1,LOOKUP(2,1/(宏观数据!$F$55:$TN$55&lt;&gt;""),COLUMN(宏观数据!$F$55:$TN$55))-COLUMN(宏观数据!$F$55)+1-60+35)=0,NA(),INDEX(宏观数据!$F$55:$TN$55,1,LOOKUP(2,1/(宏观数据!$F$55:$TN$55&lt;&gt;""),COLUMN(宏观数据!$F$55:$TN$55))-COLUMN(宏观数据!$F$55)+1-60+35)))</f>
        <v>2.1815</v>
      </c>
      <c r="AK17">
        <f>IF(ISERROR(INDEX(宏观数据!$F$55:$TN$55,1,LOOKUP(2,1/(宏观数据!$F$55:$TN$55&lt;&gt;""),COLUMN(宏观数据!$F$55:$TN$55))-COLUMN(宏观数据!$F$55)+1-60+36)),NA(),IF(INDEX(宏观数据!$F$55:$TN$55,1,LOOKUP(2,1/(宏观数据!$F$55:$TN$55&lt;&gt;""),COLUMN(宏观数据!$F$55:$TN$55))-COLUMN(宏观数据!$F$55)+1-60+36)=0,NA(),INDEX(宏观数据!$F$55:$TN$55,1,LOOKUP(2,1/(宏观数据!$F$55:$TN$55&lt;&gt;""),COLUMN(宏观数据!$F$55:$TN$55))-COLUMN(宏观数据!$F$55)+1-60+36)))</f>
        <v>2.1524</v>
      </c>
      <c r="AL17" s="2">
        <f>IF(ISERROR(INDEX(宏观数据!$F$55:$TN$55,1,LOOKUP(2,1/(宏观数据!$F$55:$TN$55&lt;&gt;""),COLUMN(宏观数据!$F$55:$TN$55))-COLUMN(宏观数据!$F$55)+1-60+37)),NA(),IF(INDEX(宏观数据!$F$55:$TN$55,1,LOOKUP(2,1/(宏观数据!$F$55:$TN$55&lt;&gt;""),COLUMN(宏观数据!$F$55:$TN$55))-COLUMN(宏观数据!$F$55)+1-60+37)=0,NA(),INDEX(宏观数据!$F$55:$TN$55,1,LOOKUP(2,1/(宏观数据!$F$55:$TN$55&lt;&gt;""),COLUMN(宏观数据!$F$55:$TN$55))-COLUMN(宏观数据!$F$55)+1-60+37)))</f>
        <v>2.1443</v>
      </c>
      <c r="AM17" s="2">
        <f>IF(ISERROR(INDEX(宏观数据!$F$55:$TN$55,1,LOOKUP(2,1/(宏观数据!$F$55:$TN$55&lt;&gt;""),COLUMN(宏观数据!$F$55:$TN$55))-COLUMN(宏观数据!$F$55)+1-60+38)),NA(),IF(INDEX(宏观数据!$F$55:$TN$55,1,LOOKUP(2,1/(宏观数据!$F$55:$TN$55&lt;&gt;""),COLUMN(宏观数据!$F$55:$TN$55))-COLUMN(宏观数据!$F$55)+1-60+38)=0,NA(),INDEX(宏观数据!$F$55:$TN$55,1,LOOKUP(2,1/(宏观数据!$F$55:$TN$55&lt;&gt;""),COLUMN(宏观数据!$F$55:$TN$55))-COLUMN(宏观数据!$F$55)+1-60+38)))</f>
        <v>2.1535</v>
      </c>
      <c r="AN17" s="2">
        <f>IF(ISERROR(INDEX(宏观数据!$F$55:$TN$55,1,LOOKUP(2,1/(宏观数据!$F$55:$TN$55&lt;&gt;""),COLUMN(宏观数据!$F$55:$TN$55))-COLUMN(宏观数据!$F$55)+1-60+39)),NA(),IF(INDEX(宏观数据!$F$55:$TN$55,1,LOOKUP(2,1/(宏观数据!$F$55:$TN$55&lt;&gt;""),COLUMN(宏观数据!$F$55:$TN$55))-COLUMN(宏观数据!$F$55)+1-60+39)=0,NA(),INDEX(宏观数据!$F$55:$TN$55,1,LOOKUP(2,1/(宏观数据!$F$55:$TN$55&lt;&gt;""),COLUMN(宏观数据!$F$55:$TN$55))-COLUMN(宏观数据!$F$55)+1-60+39)))</f>
        <v>2.1553</v>
      </c>
      <c r="AO17" s="2" t="e">
        <f>IF(ISERROR(INDEX(宏观数据!$F$55:$TN$55,1,LOOKUP(2,1/(宏观数据!$F$55:$TN$55&lt;&gt;""),COLUMN(宏观数据!$F$55:$TN$55))-COLUMN(宏观数据!$F$55)+1-60+40)),NA(),IF(INDEX(宏观数据!$F$55:$TN$55,1,LOOKUP(2,1/(宏观数据!$F$55:$TN$55&lt;&gt;""),COLUMN(宏观数据!$F$55:$TN$55))-COLUMN(宏观数据!$F$55)+1-60+40)=0,NA(),INDEX(宏观数据!$F$55:$TN$55,1,LOOKUP(2,1/(宏观数据!$F$55:$TN$55&lt;&gt;""),COLUMN(宏观数据!$F$55:$TN$55))-COLUMN(宏观数据!$F$55)+1-60+40)))</f>
        <v>#N/A</v>
      </c>
      <c r="AP17" s="2" t="e">
        <f>IF(ISERROR(INDEX(宏观数据!$F$55:$TN$55,1,LOOKUP(2,1/(宏观数据!$F$55:$TN$55&lt;&gt;""),COLUMN(宏观数据!$F$55:$TN$55))-COLUMN(宏观数据!$F$55)+1-60+41)),NA(),IF(INDEX(宏观数据!$F$55:$TN$55,1,LOOKUP(2,1/(宏观数据!$F$55:$TN$55&lt;&gt;""),COLUMN(宏观数据!$F$55:$TN$55))-COLUMN(宏观数据!$F$55)+1-60+41)=0,NA(),INDEX(宏观数据!$F$55:$TN$55,1,LOOKUP(2,1/(宏观数据!$F$55:$TN$55&lt;&gt;""),COLUMN(宏观数据!$F$55:$TN$55))-COLUMN(宏观数据!$F$55)+1-60+41)))</f>
        <v>#N/A</v>
      </c>
      <c r="AQ17">
        <f>IF(ISERROR(INDEX(宏观数据!$F$55:$TN$55,1,LOOKUP(2,1/(宏观数据!$F$55:$TN$55&lt;&gt;""),COLUMN(宏观数据!$F$55:$TN$55))-COLUMN(宏观数据!$F$55)+1-60+42)),NA(),IF(INDEX(宏观数据!$F$55:$TN$55,1,LOOKUP(2,1/(宏观数据!$F$55:$TN$55&lt;&gt;""),COLUMN(宏观数据!$F$55:$TN$55))-COLUMN(宏观数据!$F$55)+1-60+42)=0,NA(),INDEX(宏观数据!$F$55:$TN$55,1,LOOKUP(2,1/(宏观数据!$F$55:$TN$55&lt;&gt;""),COLUMN(宏观数据!$F$55:$TN$55))-COLUMN(宏观数据!$F$55)+1-60+42)))</f>
        <v>2.1532</v>
      </c>
      <c r="AR17">
        <f>IF(ISERROR(INDEX(宏观数据!$F$55:$TN$55,1,LOOKUP(2,1/(宏观数据!$F$55:$TN$55&lt;&gt;""),COLUMN(宏观数据!$F$55:$TN$55))-COLUMN(宏观数据!$F$55)+1-60+43)),NA(),IF(INDEX(宏观数据!$F$55:$TN$55,1,LOOKUP(2,1/(宏观数据!$F$55:$TN$55&lt;&gt;""),COLUMN(宏观数据!$F$55:$TN$55))-COLUMN(宏观数据!$F$55)+1-60+43)=0,NA(),INDEX(宏观数据!$F$55:$TN$55,1,LOOKUP(2,1/(宏观数据!$F$55:$TN$55&lt;&gt;""),COLUMN(宏观数据!$F$55:$TN$55))-COLUMN(宏观数据!$F$55)+1-60+43)))</f>
        <v>2.1336</v>
      </c>
      <c r="AS17" s="2">
        <f>IF(ISERROR(INDEX(宏观数据!$F$55:$TN$55,1,LOOKUP(2,1/(宏观数据!$F$55:$TN$55&lt;&gt;""),COLUMN(宏观数据!$F$55:$TN$55))-COLUMN(宏观数据!$F$55)+1-60+44)),NA(),IF(INDEX(宏观数据!$F$55:$TN$55,1,LOOKUP(2,1/(宏观数据!$F$55:$TN$55&lt;&gt;""),COLUMN(宏观数据!$F$55:$TN$55))-COLUMN(宏观数据!$F$55)+1-60+44)=0,NA(),INDEX(宏观数据!$F$55:$TN$55,1,LOOKUP(2,1/(宏观数据!$F$55:$TN$55&lt;&gt;""),COLUMN(宏观数据!$F$55:$TN$55))-COLUMN(宏观数据!$F$55)+1-60+44)))</f>
        <v>2.127</v>
      </c>
      <c r="AT17" s="2">
        <f>IF(ISERROR(INDEX(宏观数据!$F$55:$TN$55,1,LOOKUP(2,1/(宏观数据!$F$55:$TN$55&lt;&gt;""),COLUMN(宏观数据!$F$55:$TN$55))-COLUMN(宏观数据!$F$55)+1-60+45)),NA(),IF(INDEX(宏观数据!$F$55:$TN$55,1,LOOKUP(2,1/(宏观数据!$F$55:$TN$55&lt;&gt;""),COLUMN(宏观数据!$F$55:$TN$55))-COLUMN(宏观数据!$F$55)+1-60+45)=0,NA(),INDEX(宏观数据!$F$55:$TN$55,1,LOOKUP(2,1/(宏观数据!$F$55:$TN$55&lt;&gt;""),COLUMN(宏观数据!$F$55:$TN$55))-COLUMN(宏观数据!$F$55)+1-60+45)))</f>
        <v>2.1157</v>
      </c>
      <c r="AU17" s="2">
        <f>IF(ISERROR(INDEX(宏观数据!$F$55:$TN$55,1,LOOKUP(2,1/(宏观数据!$F$55:$TN$55&lt;&gt;""),COLUMN(宏观数据!$F$55:$TN$55))-COLUMN(宏观数据!$F$55)+1-60+46)),NA(),IF(INDEX(宏观数据!$F$55:$TN$55,1,LOOKUP(2,1/(宏观数据!$F$55:$TN$55&lt;&gt;""),COLUMN(宏观数据!$F$55:$TN$55))-COLUMN(宏观数据!$F$55)+1-60+46)=0,NA(),INDEX(宏观数据!$F$55:$TN$55,1,LOOKUP(2,1/(宏观数据!$F$55:$TN$55&lt;&gt;""),COLUMN(宏观数据!$F$55:$TN$55))-COLUMN(宏观数据!$F$55)+1-60+46)))</f>
        <v>2.0995</v>
      </c>
      <c r="AV17" s="2" t="e">
        <f>IF(ISERROR(INDEX(宏观数据!$F$55:$TN$55,1,LOOKUP(2,1/(宏观数据!$F$55:$TN$55&lt;&gt;""),COLUMN(宏观数据!$F$55:$TN$55))-COLUMN(宏观数据!$F$55)+1-60+47)),NA(),IF(INDEX(宏观数据!$F$55:$TN$55,1,LOOKUP(2,1/(宏观数据!$F$55:$TN$55&lt;&gt;""),COLUMN(宏观数据!$F$55:$TN$55))-COLUMN(宏观数据!$F$55)+1-60+47)=0,NA(),INDEX(宏观数据!$F$55:$TN$55,1,LOOKUP(2,1/(宏观数据!$F$55:$TN$55&lt;&gt;""),COLUMN(宏观数据!$F$55:$TN$55))-COLUMN(宏观数据!$F$55)+1-60+47)))</f>
        <v>#N/A</v>
      </c>
      <c r="AW17" t="e">
        <f>IF(ISERROR(INDEX(宏观数据!$F$55:$TN$55,1,LOOKUP(2,1/(宏观数据!$F$55:$TN$55&lt;&gt;""),COLUMN(宏观数据!$F$55:$TN$55))-COLUMN(宏观数据!$F$55)+1-60+48)),NA(),IF(INDEX(宏观数据!$F$55:$TN$55,1,LOOKUP(2,1/(宏观数据!$F$55:$TN$55&lt;&gt;""),COLUMN(宏观数据!$F$55:$TN$55))-COLUMN(宏观数据!$F$55)+1-60+48)=0,NA(),INDEX(宏观数据!$F$55:$TN$55,1,LOOKUP(2,1/(宏观数据!$F$55:$TN$55&lt;&gt;""),COLUMN(宏观数据!$F$55:$TN$55))-COLUMN(宏观数据!$F$55)+1-60+48)))</f>
        <v>#N/A</v>
      </c>
      <c r="AX17">
        <f>IF(ISERROR(INDEX(宏观数据!$F$55:$TN$55,1,LOOKUP(2,1/(宏观数据!$F$55:$TN$55&lt;&gt;""),COLUMN(宏观数据!$F$55:$TN$55))-COLUMN(宏观数据!$F$55)+1-60+49)),NA(),IF(INDEX(宏观数据!$F$55:$TN$55,1,LOOKUP(2,1/(宏观数据!$F$55:$TN$55&lt;&gt;""),COLUMN(宏观数据!$F$55:$TN$55))-COLUMN(宏观数据!$F$55)+1-60+49)=0,NA(),INDEX(宏观数据!$F$55:$TN$55,1,LOOKUP(2,1/(宏观数据!$F$55:$TN$55&lt;&gt;""),COLUMN(宏观数据!$F$55:$TN$55))-COLUMN(宏观数据!$F$55)+1-60+49)))</f>
        <v>2.0936</v>
      </c>
      <c r="AY17">
        <f>IF(ISERROR(INDEX(宏观数据!$F$55:$TN$55,1,LOOKUP(2,1/(宏观数据!$F$55:$TN$55&lt;&gt;""),COLUMN(宏观数据!$F$55:$TN$55))-COLUMN(宏观数据!$F$55)+1-60+50)),NA(),IF(INDEX(宏观数据!$F$55:$TN$55,1,LOOKUP(2,1/(宏观数据!$F$55:$TN$55&lt;&gt;""),COLUMN(宏观数据!$F$55:$TN$55))-COLUMN(宏观数据!$F$55)+1-60+50)=0,NA(),INDEX(宏观数据!$F$55:$TN$55,1,LOOKUP(2,1/(宏观数据!$F$55:$TN$55&lt;&gt;""),COLUMN(宏观数据!$F$55:$TN$55))-COLUMN(宏观数据!$F$55)+1-60+50)))</f>
        <v>2.0901</v>
      </c>
      <c r="AZ17">
        <f>IF(ISERROR(INDEX(宏观数据!$F$55:$TN$55,1,LOOKUP(2,1/(宏观数据!$F$55:$TN$55&lt;&gt;""),COLUMN(宏观数据!$F$55:$TN$55))-COLUMN(宏观数据!$F$55)+1-60+51)),NA(),IF(INDEX(宏观数据!$F$55:$TN$55,1,LOOKUP(2,1/(宏观数据!$F$55:$TN$55&lt;&gt;""),COLUMN(宏观数据!$F$55:$TN$55))-COLUMN(宏观数据!$F$55)+1-60+51)=0,NA(),INDEX(宏观数据!$F$55:$TN$55,1,LOOKUP(2,1/(宏观数据!$F$55:$TN$55&lt;&gt;""),COLUMN(宏观数据!$F$55:$TN$55))-COLUMN(宏观数据!$F$55)+1-60+51)))</f>
        <v>2.0895</v>
      </c>
      <c r="BA17">
        <f>IF(ISERROR(INDEX(宏观数据!$F$55:$TN$55,1,LOOKUP(2,1/(宏观数据!$F$55:$TN$55&lt;&gt;""),COLUMN(宏观数据!$F$55:$TN$55))-COLUMN(宏观数据!$F$55)+1-60+52)),NA(),IF(INDEX(宏观数据!$F$55:$TN$55,1,LOOKUP(2,1/(宏观数据!$F$55:$TN$55&lt;&gt;""),COLUMN(宏观数据!$F$55:$TN$55))-COLUMN(宏观数据!$F$55)+1-60+52)=0,NA(),INDEX(宏观数据!$F$55:$TN$55,1,LOOKUP(2,1/(宏观数据!$F$55:$TN$55&lt;&gt;""),COLUMN(宏观数据!$F$55:$TN$55))-COLUMN(宏观数据!$F$55)+1-60+52)))</f>
        <v>2.0854</v>
      </c>
      <c r="BB17" s="2">
        <f>IF(ISERROR(INDEX(宏观数据!$F$55:$TN$55,1,LOOKUP(2,1/(宏观数据!$F$55:$TN$55&lt;&gt;""),COLUMN(宏观数据!$F$55:$TN$55))-COLUMN(宏观数据!$F$55)+1-60+53)),NA(),IF(INDEX(宏观数据!$F$55:$TN$55,1,LOOKUP(2,1/(宏观数据!$F$55:$TN$55&lt;&gt;""),COLUMN(宏观数据!$F$55:$TN$55))-COLUMN(宏观数据!$F$55)+1-60+53)=0,NA(),INDEX(宏观数据!$F$55:$TN$55,1,LOOKUP(2,1/(宏观数据!$F$55:$TN$55&lt;&gt;""),COLUMN(宏观数据!$F$55:$TN$55))-COLUMN(宏观数据!$F$55)+1-60+53)))</f>
        <v>2.0699</v>
      </c>
      <c r="BC17" s="2" t="e">
        <f>IF(ISERROR(INDEX(宏观数据!$F$55:$TN$55,1,LOOKUP(2,1/(宏观数据!$F$55:$TN$55&lt;&gt;""),COLUMN(宏观数据!$F$55:$TN$55))-COLUMN(宏观数据!$F$55)+1-60+54)),NA(),IF(INDEX(宏观数据!$F$55:$TN$55,1,LOOKUP(2,1/(宏观数据!$F$55:$TN$55&lt;&gt;""),COLUMN(宏观数据!$F$55:$TN$55))-COLUMN(宏观数据!$F$55)+1-60+54)=0,NA(),INDEX(宏观数据!$F$55:$TN$55,1,LOOKUP(2,1/(宏观数据!$F$55:$TN$55&lt;&gt;""),COLUMN(宏观数据!$F$55:$TN$55))-COLUMN(宏观数据!$F$55)+1-60+54)))</f>
        <v>#N/A</v>
      </c>
      <c r="BD17" s="2" t="e">
        <f>IF(ISERROR(INDEX(宏观数据!$F$55:$TN$55,1,LOOKUP(2,1/(宏观数据!$F$55:$TN$55&lt;&gt;""),COLUMN(宏观数据!$F$55:$TN$55))-COLUMN(宏观数据!$F$55)+1-60+55)),NA(),IF(INDEX(宏观数据!$F$55:$TN$55,1,LOOKUP(2,1/(宏观数据!$F$55:$TN$55&lt;&gt;""),COLUMN(宏观数据!$F$55:$TN$55))-COLUMN(宏观数据!$F$55)+1-60+55)=0,NA(),INDEX(宏观数据!$F$55:$TN$55,1,LOOKUP(2,1/(宏观数据!$F$55:$TN$55&lt;&gt;""),COLUMN(宏观数据!$F$55:$TN$55))-COLUMN(宏观数据!$F$55)+1-60+55)))</f>
        <v>#N/A</v>
      </c>
      <c r="BE17" s="2">
        <f>IF(ISERROR(INDEX(宏观数据!$F$55:$TN$55,1,LOOKUP(2,1/(宏观数据!$F$55:$TN$55&lt;&gt;""),COLUMN(宏观数据!$F$55:$TN$55))-COLUMN(宏观数据!$F$55)+1-60+56)),NA(),IF(INDEX(宏观数据!$F$55:$TN$55,1,LOOKUP(2,1/(宏观数据!$F$55:$TN$55&lt;&gt;""),COLUMN(宏观数据!$F$55:$TN$55))-COLUMN(宏观数据!$F$55)+1-60+56)=0,NA(),INDEX(宏观数据!$F$55:$TN$55,1,LOOKUP(2,1/(宏观数据!$F$55:$TN$55&lt;&gt;""),COLUMN(宏观数据!$F$55:$TN$55))-COLUMN(宏观数据!$F$55)+1-60+56)))</f>
        <v>2.0808</v>
      </c>
      <c r="BF17">
        <f>IF(ISERROR(INDEX(宏观数据!$F$55:$TN$55,1,LOOKUP(2,1/(宏观数据!$F$55:$TN$55&lt;&gt;""),COLUMN(宏观数据!$F$55:$TN$55))-COLUMN(宏观数据!$F$55)+1-60+57)),NA(),IF(INDEX(宏观数据!$F$55:$TN$55,1,LOOKUP(2,1/(宏观数据!$F$55:$TN$55&lt;&gt;""),COLUMN(宏观数据!$F$55:$TN$55))-COLUMN(宏观数据!$F$55)+1-60+57)=0,NA(),INDEX(宏观数据!$F$55:$TN$55,1,LOOKUP(2,1/(宏观数据!$F$55:$TN$55&lt;&gt;""),COLUMN(宏观数据!$F$55:$TN$55))-COLUMN(宏观数据!$F$55)+1-60+57)))</f>
        <v>2.0985</v>
      </c>
      <c r="BG17" s="2">
        <f>IF(ISERROR(INDEX(宏观数据!$F$55:$TN$55,1,LOOKUP(2,1/(宏观数据!$F$55:$TN$55&lt;&gt;""),COLUMN(宏观数据!$F$55:$TN$55))-COLUMN(宏观数据!$F$55)+1-60+58)),NA(),IF(INDEX(宏观数据!$F$55:$TN$55,1,LOOKUP(2,1/(宏观数据!$F$55:$TN$55&lt;&gt;""),COLUMN(宏观数据!$F$55:$TN$55))-COLUMN(宏观数据!$F$55)+1-60+58)=0,NA(),INDEX(宏观数据!$F$55:$TN$55,1,LOOKUP(2,1/(宏观数据!$F$55:$TN$55&lt;&gt;""),COLUMN(宏观数据!$F$55:$TN$55))-COLUMN(宏观数据!$F$55)+1-60+58)))</f>
        <v>2.1179</v>
      </c>
      <c r="BH17" s="2">
        <f>IF(ISERROR(INDEX(宏观数据!$F$55:$TN$55,1,LOOKUP(2,1/(宏观数据!$F$55:$TN$55&lt;&gt;""),COLUMN(宏观数据!$F$55:$TN$55))-COLUMN(宏观数据!$F$55)+1-60+59)),NA(),IF(INDEX(宏观数据!$F$55:$TN$55,1,LOOKUP(2,1/(宏观数据!$F$55:$TN$55&lt;&gt;""),COLUMN(宏观数据!$F$55:$TN$55))-COLUMN(宏观数据!$F$55)+1-60+59)=0,NA(),INDEX(宏观数据!$F$55:$TN$55,1,LOOKUP(2,1/(宏观数据!$F$55:$TN$55&lt;&gt;""),COLUMN(宏观数据!$F$55:$TN$55))-COLUMN(宏观数据!$F$55)+1-60+59)))</f>
        <v>2.1475</v>
      </c>
      <c r="BI17" s="2">
        <f>IF(ISERROR(INDEX(宏观数据!$F$55:$TN$55,1,LOOKUP(2,1/(宏观数据!$F$55:$TN$55&lt;&gt;""),COLUMN(宏观数据!$F$55:$TN$55))-COLUMN(宏观数据!$F$55)+1-60+60)),NA(),IF(INDEX(宏观数据!$F$55:$TN$55,1,LOOKUP(2,1/(宏观数据!$F$55:$TN$55&lt;&gt;""),COLUMN(宏观数据!$F$55:$TN$55))-COLUMN(宏观数据!$F$55)+1-60+60)=0,NA(),INDEX(宏观数据!$F$55:$TN$55,1,LOOKUP(2,1/(宏观数据!$F$55:$TN$55&lt;&gt;""),COLUMN(宏观数据!$F$55:$TN$55))-COLUMN(宏观数据!$F$55)+1-60+60)))</f>
        <v>2.1433</v>
      </c>
    </row>
    <row r="18" ht="16.5" customHeight="1" spans="1:61">
      <c r="A18" s="1" t="s">
        <v>623</v>
      </c>
      <c r="B18">
        <f>IF(ISERROR(INDEX(宏观数据!$F$54:$TN$54,1,LOOKUP(2,1/(宏观数据!$F$54:$TN$54&lt;&gt;""),COLUMN(宏观数据!$F$54:$TN$54))-COLUMN(宏观数据!$F$54)+1-60+1)),NA(),IF(INDEX(宏观数据!$F$54:$TN$54,1,LOOKUP(2,1/(宏观数据!$F$54:$TN$54&lt;&gt;""),COLUMN(宏观数据!$F$54:$TN$54))-COLUMN(宏观数据!$F$54)+1-60+1)=0,NA(),INDEX(宏观数据!$F$54:$TN$54,1,LOOKUP(2,1/(宏观数据!$F$54:$TN$54&lt;&gt;""),COLUMN(宏观数据!$F$54:$TN$54))-COLUMN(宏观数据!$F$54)+1-60+1)))</f>
        <v>1.8745</v>
      </c>
      <c r="C18" s="2">
        <f>IF(ISERROR(INDEX(宏观数据!$F$54:$TN$54,1,LOOKUP(2,1/(宏观数据!$F$54:$TN$54&lt;&gt;""),COLUMN(宏观数据!$F$54:$TN$54))-COLUMN(宏观数据!$F$54)+1-60+2)),NA(),IF(INDEX(宏观数据!$F$54:$TN$54,1,LOOKUP(2,1/(宏观数据!$F$54:$TN$54&lt;&gt;""),COLUMN(宏观数据!$F$54:$TN$54))-COLUMN(宏观数据!$F$54)+1-60+2)=0,NA(),INDEX(宏观数据!$F$54:$TN$54,1,LOOKUP(2,1/(宏观数据!$F$54:$TN$54&lt;&gt;""),COLUMN(宏观数据!$F$54:$TN$54))-COLUMN(宏观数据!$F$54)+1-60+2)))</f>
        <v>1.869</v>
      </c>
      <c r="D18" s="2">
        <f>IF(ISERROR(INDEX(宏观数据!$F$54:$TN$54,1,LOOKUP(2,1/(宏观数据!$F$54:$TN$54&lt;&gt;""),COLUMN(宏观数据!$F$54:$TN$54))-COLUMN(宏观数据!$F$54)+1-60+3)),NA(),IF(INDEX(宏观数据!$F$54:$TN$54,1,LOOKUP(2,1/(宏观数据!$F$54:$TN$54&lt;&gt;""),COLUMN(宏观数据!$F$54:$TN$54))-COLUMN(宏观数据!$F$54)+1-60+3)=0,NA(),INDEX(宏观数据!$F$54:$TN$54,1,LOOKUP(2,1/(宏观数据!$F$54:$TN$54&lt;&gt;""),COLUMN(宏观数据!$F$54:$TN$54))-COLUMN(宏观数据!$F$54)+1-60+3)))</f>
        <v>1.8681</v>
      </c>
      <c r="E18" s="2">
        <f>IF(ISERROR(INDEX(宏观数据!$F$54:$TN$54,1,LOOKUP(2,1/(宏观数据!$F$54:$TN$54&lt;&gt;""),COLUMN(宏观数据!$F$54:$TN$54))-COLUMN(宏观数据!$F$54)+1-60+4)),NA(),IF(INDEX(宏观数据!$F$54:$TN$54,1,LOOKUP(2,1/(宏观数据!$F$54:$TN$54&lt;&gt;""),COLUMN(宏观数据!$F$54:$TN$54))-COLUMN(宏观数据!$F$54)+1-60+4)=0,NA(),INDEX(宏观数据!$F$54:$TN$54,1,LOOKUP(2,1/(宏观数据!$F$54:$TN$54&lt;&gt;""),COLUMN(宏观数据!$F$54:$TN$54))-COLUMN(宏观数据!$F$54)+1-60+4)))</f>
        <v>1.8408</v>
      </c>
      <c r="F18" s="2" t="e">
        <f>IF(ISERROR(INDEX(宏观数据!$F$54:$TN$54,1,LOOKUP(2,1/(宏观数据!$F$54:$TN$54&lt;&gt;""),COLUMN(宏观数据!$F$54:$TN$54))-COLUMN(宏观数据!$F$54)+1-60+5)),NA(),IF(INDEX(宏观数据!$F$54:$TN$54,1,LOOKUP(2,1/(宏观数据!$F$54:$TN$54&lt;&gt;""),COLUMN(宏观数据!$F$54:$TN$54))-COLUMN(宏观数据!$F$54)+1-60+5)=0,NA(),INDEX(宏观数据!$F$54:$TN$54,1,LOOKUP(2,1/(宏观数据!$F$54:$TN$54&lt;&gt;""),COLUMN(宏观数据!$F$54:$TN$54))-COLUMN(宏观数据!$F$54)+1-60+5)))</f>
        <v>#N/A</v>
      </c>
      <c r="G18" s="2" t="e">
        <f>IF(ISERROR(INDEX(宏观数据!$F$54:$TN$54,1,LOOKUP(2,1/(宏观数据!$F$54:$TN$54&lt;&gt;""),COLUMN(宏观数据!$F$54:$TN$54))-COLUMN(宏观数据!$F$54)+1-60+6)),NA(),IF(INDEX(宏观数据!$F$54:$TN$54,1,LOOKUP(2,1/(宏观数据!$F$54:$TN$54&lt;&gt;""),COLUMN(宏观数据!$F$54:$TN$54))-COLUMN(宏观数据!$F$54)+1-60+6)=0,NA(),INDEX(宏观数据!$F$54:$TN$54,1,LOOKUP(2,1/(宏观数据!$F$54:$TN$54&lt;&gt;""),COLUMN(宏观数据!$F$54:$TN$54))-COLUMN(宏观数据!$F$54)+1-60+6)))</f>
        <v>#N/A</v>
      </c>
      <c r="H18">
        <f>IF(ISERROR(INDEX(宏观数据!$F$54:$TN$54,1,LOOKUP(2,1/(宏观数据!$F$54:$TN$54&lt;&gt;""),COLUMN(宏观数据!$F$54:$TN$54))-COLUMN(宏观数据!$F$54)+1-60+7)),NA(),IF(INDEX(宏观数据!$F$54:$TN$54,1,LOOKUP(2,1/(宏观数据!$F$54:$TN$54&lt;&gt;""),COLUMN(宏观数据!$F$54:$TN$54))-COLUMN(宏观数据!$F$54)+1-60+7)=0,NA(),INDEX(宏观数据!$F$54:$TN$54,1,LOOKUP(2,1/(宏观数据!$F$54:$TN$54&lt;&gt;""),COLUMN(宏观数据!$F$54:$TN$54))-COLUMN(宏观数据!$F$54)+1-60+7)))</f>
        <v>1.8374</v>
      </c>
      <c r="I18">
        <f>IF(ISERROR(INDEX(宏观数据!$F$54:$TN$54,1,LOOKUP(2,1/(宏观数据!$F$54:$TN$54&lt;&gt;""),COLUMN(宏观数据!$F$54:$TN$54))-COLUMN(宏观数据!$F$54)+1-60+8)),NA(),IF(INDEX(宏观数据!$F$54:$TN$54,1,LOOKUP(2,1/(宏观数据!$F$54:$TN$54&lt;&gt;""),COLUMN(宏观数据!$F$54:$TN$54))-COLUMN(宏观数据!$F$54)+1-60+8)=0,NA(),INDEX(宏观数据!$F$54:$TN$54,1,LOOKUP(2,1/(宏观数据!$F$54:$TN$54&lt;&gt;""),COLUMN(宏观数据!$F$54:$TN$54))-COLUMN(宏观数据!$F$54)+1-60+8)))</f>
        <v>1.8348</v>
      </c>
      <c r="J18" s="2">
        <f>IF(ISERROR(INDEX(宏观数据!$F$54:$TN$54,1,LOOKUP(2,1/(宏观数据!$F$54:$TN$54&lt;&gt;""),COLUMN(宏观数据!$F$54:$TN$54))-COLUMN(宏观数据!$F$54)+1-60+9)),NA(),IF(INDEX(宏观数据!$F$54:$TN$54,1,LOOKUP(2,1/(宏观数据!$F$54:$TN$54&lt;&gt;""),COLUMN(宏观数据!$F$54:$TN$54))-COLUMN(宏观数据!$F$54)+1-60+9)=0,NA(),INDEX(宏观数据!$F$54:$TN$54,1,LOOKUP(2,1/(宏观数据!$F$54:$TN$54&lt;&gt;""),COLUMN(宏观数据!$F$54:$TN$54))-COLUMN(宏观数据!$F$54)+1-60+9)))</f>
        <v>1.8304</v>
      </c>
      <c r="K18" s="2">
        <f>IF(ISERROR(INDEX(宏观数据!$F$54:$TN$54,1,LOOKUP(2,1/(宏观数据!$F$54:$TN$54&lt;&gt;""),COLUMN(宏观数据!$F$54:$TN$54))-COLUMN(宏观数据!$F$54)+1-60+10)),NA(),IF(INDEX(宏观数据!$F$54:$TN$54,1,LOOKUP(2,1/(宏观数据!$F$54:$TN$54&lt;&gt;""),COLUMN(宏观数据!$F$54:$TN$54))-COLUMN(宏观数据!$F$54)+1-60+10)=0,NA(),INDEX(宏观数据!$F$54:$TN$54,1,LOOKUP(2,1/(宏观数据!$F$54:$TN$54&lt;&gt;""),COLUMN(宏观数据!$F$54:$TN$54))-COLUMN(宏观数据!$F$54)+1-60+10)))</f>
        <v>1.8464</v>
      </c>
      <c r="L18" s="2">
        <f>IF(ISERROR(INDEX(宏观数据!$F$54:$TN$54,1,LOOKUP(2,1/(宏观数据!$F$54:$TN$54&lt;&gt;""),COLUMN(宏观数据!$F$54:$TN$54))-COLUMN(宏观数据!$F$54)+1-60+11)),NA(),IF(INDEX(宏观数据!$F$54:$TN$54,1,LOOKUP(2,1/(宏观数据!$F$54:$TN$54&lt;&gt;""),COLUMN(宏观数据!$F$54:$TN$54))-COLUMN(宏观数据!$F$54)+1-60+11)=0,NA(),INDEX(宏观数据!$F$54:$TN$54,1,LOOKUP(2,1/(宏观数据!$F$54:$TN$54&lt;&gt;""),COLUMN(宏观数据!$F$54:$TN$54))-COLUMN(宏观数据!$F$54)+1-60+11)))</f>
        <v>1.8639</v>
      </c>
      <c r="M18" s="2" t="e">
        <f>IF(ISERROR(INDEX(宏观数据!$F$54:$TN$54,1,LOOKUP(2,1/(宏观数据!$F$54:$TN$54&lt;&gt;""),COLUMN(宏观数据!$F$54:$TN$54))-COLUMN(宏观数据!$F$54)+1-60+12)),NA(),IF(INDEX(宏观数据!$F$54:$TN$54,1,LOOKUP(2,1/(宏观数据!$F$54:$TN$54&lt;&gt;""),COLUMN(宏观数据!$F$54:$TN$54))-COLUMN(宏观数据!$F$54)+1-60+12)=0,NA(),INDEX(宏观数据!$F$54:$TN$54,1,LOOKUP(2,1/(宏观数据!$F$54:$TN$54&lt;&gt;""),COLUMN(宏观数据!$F$54:$TN$54))-COLUMN(宏观数据!$F$54)+1-60+12)))</f>
        <v>#N/A</v>
      </c>
      <c r="N18" s="2" t="e">
        <f>IF(ISERROR(INDEX(宏观数据!$F$54:$TN$54,1,LOOKUP(2,1/(宏观数据!$F$54:$TN$54&lt;&gt;""),COLUMN(宏观数据!$F$54:$TN$54))-COLUMN(宏观数据!$F$54)+1-60+13)),NA(),IF(INDEX(宏观数据!$F$54:$TN$54,1,LOOKUP(2,1/(宏观数据!$F$54:$TN$54&lt;&gt;""),COLUMN(宏观数据!$F$54:$TN$54))-COLUMN(宏观数据!$F$54)+1-60+13)=0,NA(),INDEX(宏观数据!$F$54:$TN$54,1,LOOKUP(2,1/(宏观数据!$F$54:$TN$54&lt;&gt;""),COLUMN(宏观数据!$F$54:$TN$54))-COLUMN(宏观数据!$F$54)+1-60+13)))</f>
        <v>#N/A</v>
      </c>
      <c r="O18">
        <f>IF(ISERROR(INDEX(宏观数据!$F$54:$TN$54,1,LOOKUP(2,1/(宏观数据!$F$54:$TN$54&lt;&gt;""),COLUMN(宏观数据!$F$54:$TN$54))-COLUMN(宏观数据!$F$54)+1-60+14)),NA(),IF(INDEX(宏观数据!$F$54:$TN$54,1,LOOKUP(2,1/(宏观数据!$F$54:$TN$54&lt;&gt;""),COLUMN(宏观数据!$F$54:$TN$54))-COLUMN(宏观数据!$F$54)+1-60+14)=0,NA(),INDEX(宏观数据!$F$54:$TN$54,1,LOOKUP(2,1/(宏观数据!$F$54:$TN$54&lt;&gt;""),COLUMN(宏观数据!$F$54:$TN$54))-COLUMN(宏观数据!$F$54)+1-60+14)))</f>
        <v>1.8744</v>
      </c>
      <c r="P18">
        <f>IF(ISERROR(INDEX(宏观数据!$F$54:$TN$54,1,LOOKUP(2,1/(宏观数据!$F$54:$TN$54&lt;&gt;""),COLUMN(宏观数据!$F$54:$TN$54))-COLUMN(宏观数据!$F$54)+1-60+15)),NA(),IF(INDEX(宏观数据!$F$54:$TN$54,1,LOOKUP(2,1/(宏观数据!$F$54:$TN$54&lt;&gt;""),COLUMN(宏观数据!$F$54:$TN$54))-COLUMN(宏观数据!$F$54)+1-60+15)=0,NA(),INDEX(宏观数据!$F$54:$TN$54,1,LOOKUP(2,1/(宏观数据!$F$54:$TN$54&lt;&gt;""),COLUMN(宏观数据!$F$54:$TN$54))-COLUMN(宏观数据!$F$54)+1-60+15)))</f>
        <v>1.8505</v>
      </c>
      <c r="Q18" s="2">
        <f>IF(ISERROR(INDEX(宏观数据!$F$54:$TN$54,1,LOOKUP(2,1/(宏观数据!$F$54:$TN$54&lt;&gt;""),COLUMN(宏观数据!$F$54:$TN$54))-COLUMN(宏观数据!$F$54)+1-60+16)),NA(),IF(INDEX(宏观数据!$F$54:$TN$54,1,LOOKUP(2,1/(宏观数据!$F$54:$TN$54&lt;&gt;""),COLUMN(宏观数据!$F$54:$TN$54))-COLUMN(宏观数据!$F$54)+1-60+16)=0,NA(),INDEX(宏观数据!$F$54:$TN$54,1,LOOKUP(2,1/(宏观数据!$F$54:$TN$54&lt;&gt;""),COLUMN(宏观数据!$F$54:$TN$54))-COLUMN(宏观数据!$F$54)+1-60+16)))</f>
        <v>1.8306</v>
      </c>
      <c r="R18" s="2">
        <f>IF(ISERROR(INDEX(宏观数据!$F$54:$TN$54,1,LOOKUP(2,1/(宏观数据!$F$54:$TN$54&lt;&gt;""),COLUMN(宏观数据!$F$54:$TN$54))-COLUMN(宏观数据!$F$54)+1-60+17)),NA(),IF(INDEX(宏观数据!$F$54:$TN$54,1,LOOKUP(2,1/(宏观数据!$F$54:$TN$54&lt;&gt;""),COLUMN(宏观数据!$F$54:$TN$54))-COLUMN(宏观数据!$F$54)+1-60+17)=0,NA(),INDEX(宏观数据!$F$54:$TN$54,1,LOOKUP(2,1/(宏观数据!$F$54:$TN$54&lt;&gt;""),COLUMN(宏观数据!$F$54:$TN$54))-COLUMN(宏观数据!$F$54)+1-60+17)))</f>
        <v>1.838</v>
      </c>
      <c r="S18" s="2" t="e">
        <f>IF(ISERROR(INDEX(宏观数据!$F$54:$TN$54,1,LOOKUP(2,1/(宏观数据!$F$54:$TN$54&lt;&gt;""),COLUMN(宏观数据!$F$54:$TN$54))-COLUMN(宏观数据!$F$54)+1-60+18)),NA(),IF(INDEX(宏观数据!$F$54:$TN$54,1,LOOKUP(2,1/(宏观数据!$F$54:$TN$54&lt;&gt;""),COLUMN(宏观数据!$F$54:$TN$54))-COLUMN(宏观数据!$F$54)+1-60+18)=0,NA(),INDEX(宏观数据!$F$54:$TN$54,1,LOOKUP(2,1/(宏观数据!$F$54:$TN$54&lt;&gt;""),COLUMN(宏观数据!$F$54:$TN$54))-COLUMN(宏观数据!$F$54)+1-60+18)))</f>
        <v>#N/A</v>
      </c>
      <c r="T18" s="2" t="e">
        <f>IF(ISERROR(INDEX(宏观数据!$F$54:$TN$54,1,LOOKUP(2,1/(宏观数据!$F$54:$TN$54&lt;&gt;""),COLUMN(宏观数据!$F$54:$TN$54))-COLUMN(宏观数据!$F$54)+1-60+19)),NA(),IF(INDEX(宏观数据!$F$54:$TN$54,1,LOOKUP(2,1/(宏观数据!$F$54:$TN$54&lt;&gt;""),COLUMN(宏观数据!$F$54:$TN$54))-COLUMN(宏观数据!$F$54)+1-60+19)=0,NA(),INDEX(宏观数据!$F$54:$TN$54,1,LOOKUP(2,1/(宏观数据!$F$54:$TN$54&lt;&gt;""),COLUMN(宏观数据!$F$54:$TN$54))-COLUMN(宏观数据!$F$54)+1-60+19)))</f>
        <v>#N/A</v>
      </c>
      <c r="U18" s="2" t="e">
        <f>IF(ISERROR(INDEX(宏观数据!$F$54:$TN$54,1,LOOKUP(2,1/(宏观数据!$F$54:$TN$54&lt;&gt;""),COLUMN(宏观数据!$F$54:$TN$54))-COLUMN(宏观数据!$F$54)+1-60+20)),NA(),IF(INDEX(宏观数据!$F$54:$TN$54,1,LOOKUP(2,1/(宏观数据!$F$54:$TN$54&lt;&gt;""),COLUMN(宏观数据!$F$54:$TN$54))-COLUMN(宏观数据!$F$54)+1-60+20)=0,NA(),INDEX(宏观数据!$F$54:$TN$54,1,LOOKUP(2,1/(宏观数据!$F$54:$TN$54&lt;&gt;""),COLUMN(宏观数据!$F$54:$TN$54))-COLUMN(宏观数据!$F$54)+1-60+20)))</f>
        <v>#N/A</v>
      </c>
      <c r="V18" t="e">
        <f>IF(ISERROR(INDEX(宏观数据!$F$54:$TN$54,1,LOOKUP(2,1/(宏观数据!$F$54:$TN$54&lt;&gt;""),COLUMN(宏观数据!$F$54:$TN$54))-COLUMN(宏观数据!$F$54)+1-60+21)),NA(),IF(INDEX(宏观数据!$F$54:$TN$54,1,LOOKUP(2,1/(宏观数据!$F$54:$TN$54&lt;&gt;""),COLUMN(宏观数据!$F$54:$TN$54))-COLUMN(宏观数据!$F$54)+1-60+21)=0,NA(),INDEX(宏观数据!$F$54:$TN$54,1,LOOKUP(2,1/(宏观数据!$F$54:$TN$54&lt;&gt;""),COLUMN(宏观数据!$F$54:$TN$54))-COLUMN(宏观数据!$F$54)+1-60+21)))</f>
        <v>#N/A</v>
      </c>
      <c r="W18" t="e">
        <f>IF(ISERROR(INDEX(宏观数据!$F$54:$TN$54,1,LOOKUP(2,1/(宏观数据!$F$54:$TN$54&lt;&gt;""),COLUMN(宏观数据!$F$54:$TN$54))-COLUMN(宏观数据!$F$54)+1-60+22)),NA(),IF(INDEX(宏观数据!$F$54:$TN$54,1,LOOKUP(2,1/(宏观数据!$F$54:$TN$54&lt;&gt;""),COLUMN(宏观数据!$F$54:$TN$54))-COLUMN(宏观数据!$F$54)+1-60+22)=0,NA(),INDEX(宏观数据!$F$54:$TN$54,1,LOOKUP(2,1/(宏观数据!$F$54:$TN$54&lt;&gt;""),COLUMN(宏观数据!$F$54:$TN$54))-COLUMN(宏观数据!$F$54)+1-60+22)))</f>
        <v>#N/A</v>
      </c>
      <c r="X18">
        <f>IF(ISERROR(INDEX(宏观数据!$F$54:$TN$54,1,LOOKUP(2,1/(宏观数据!$F$54:$TN$54&lt;&gt;""),COLUMN(宏观数据!$F$54:$TN$54))-COLUMN(宏观数据!$F$54)+1-60+23)),NA(),IF(INDEX(宏观数据!$F$54:$TN$54,1,LOOKUP(2,1/(宏观数据!$F$54:$TN$54&lt;&gt;""),COLUMN(宏观数据!$F$54:$TN$54))-COLUMN(宏观数据!$F$54)+1-60+23)=0,NA(),INDEX(宏观数据!$F$54:$TN$54,1,LOOKUP(2,1/(宏观数据!$F$54:$TN$54&lt;&gt;""),COLUMN(宏观数据!$F$54:$TN$54))-COLUMN(宏观数据!$F$54)+1-60+23)))</f>
        <v>1.8523</v>
      </c>
      <c r="Y18" s="2">
        <f>IF(ISERROR(INDEX(宏观数据!$F$54:$TN$54,1,LOOKUP(2,1/(宏观数据!$F$54:$TN$54&lt;&gt;""),COLUMN(宏观数据!$F$54:$TN$54))-COLUMN(宏观数据!$F$54)+1-60+24)),NA(),IF(INDEX(宏观数据!$F$54:$TN$54,1,LOOKUP(2,1/(宏观数据!$F$54:$TN$54&lt;&gt;""),COLUMN(宏观数据!$F$54:$TN$54))-COLUMN(宏观数据!$F$54)+1-60+24)=0,NA(),INDEX(宏观数据!$F$54:$TN$54,1,LOOKUP(2,1/(宏观数据!$F$54:$TN$54&lt;&gt;""),COLUMN(宏观数据!$F$54:$TN$54))-COLUMN(宏观数据!$F$54)+1-60+24)))</f>
        <v>1.8407</v>
      </c>
      <c r="Z18" s="2">
        <f>IF(ISERROR(INDEX(宏观数据!$F$54:$TN$54,1,LOOKUP(2,1/(宏观数据!$F$54:$TN$54&lt;&gt;""),COLUMN(宏观数据!$F$54:$TN$54))-COLUMN(宏观数据!$F$54)+1-60+25)),NA(),IF(INDEX(宏观数据!$F$54:$TN$54,1,LOOKUP(2,1/(宏观数据!$F$54:$TN$54&lt;&gt;""),COLUMN(宏观数据!$F$54:$TN$54))-COLUMN(宏观数据!$F$54)+1-60+25)=0,NA(),INDEX(宏观数据!$F$54:$TN$54,1,LOOKUP(2,1/(宏观数据!$F$54:$TN$54&lt;&gt;""),COLUMN(宏观数据!$F$54:$TN$54))-COLUMN(宏观数据!$F$54)+1-60+25)))</f>
        <v>1.8332</v>
      </c>
      <c r="AA18" s="2">
        <f>IF(ISERROR(INDEX(宏观数据!$F$54:$TN$54,1,LOOKUP(2,1/(宏观数据!$F$54:$TN$54&lt;&gt;""),COLUMN(宏观数据!$F$54:$TN$54))-COLUMN(宏观数据!$F$54)+1-60+26)),NA(),IF(INDEX(宏观数据!$F$54:$TN$54,1,LOOKUP(2,1/(宏观数据!$F$54:$TN$54&lt;&gt;""),COLUMN(宏观数据!$F$54:$TN$54))-COLUMN(宏观数据!$F$54)+1-60+26)=0,NA(),INDEX(宏观数据!$F$54:$TN$54,1,LOOKUP(2,1/(宏观数据!$F$54:$TN$54&lt;&gt;""),COLUMN(宏观数据!$F$54:$TN$54))-COLUMN(宏观数据!$F$54)+1-60+26)))</f>
        <v>1.8327</v>
      </c>
      <c r="AB18" s="2" t="e">
        <f>IF(ISERROR(INDEX(宏观数据!$F$54:$TN$54,1,LOOKUP(2,1/(宏观数据!$F$54:$TN$54&lt;&gt;""),COLUMN(宏观数据!$F$54:$TN$54))-COLUMN(宏观数据!$F$54)+1-60+27)),NA(),IF(INDEX(宏观数据!$F$54:$TN$54,1,LOOKUP(2,1/(宏观数据!$F$54:$TN$54&lt;&gt;""),COLUMN(宏观数据!$F$54:$TN$54))-COLUMN(宏观数据!$F$54)+1-60+27)=0,NA(),INDEX(宏观数据!$F$54:$TN$54,1,LOOKUP(2,1/(宏观数据!$F$54:$TN$54&lt;&gt;""),COLUMN(宏观数据!$F$54:$TN$54))-COLUMN(宏观数据!$F$54)+1-60+27)))</f>
        <v>#N/A</v>
      </c>
      <c r="AC18">
        <f>IF(ISERROR(INDEX(宏观数据!$F$54:$TN$54,1,LOOKUP(2,1/(宏观数据!$F$54:$TN$54&lt;&gt;""),COLUMN(宏观数据!$F$54:$TN$54))-COLUMN(宏观数据!$F$54)+1-60+28)),NA(),IF(INDEX(宏观数据!$F$54:$TN$54,1,LOOKUP(2,1/(宏观数据!$F$54:$TN$54&lt;&gt;""),COLUMN(宏观数据!$F$54:$TN$54))-COLUMN(宏观数据!$F$54)+1-60+28)=0,NA(),INDEX(宏观数据!$F$54:$TN$54,1,LOOKUP(2,1/(宏观数据!$F$54:$TN$54&lt;&gt;""),COLUMN(宏观数据!$F$54:$TN$54))-COLUMN(宏观数据!$F$54)+1-60+28)))</f>
        <v>1.8298</v>
      </c>
      <c r="AD18">
        <f>IF(ISERROR(INDEX(宏观数据!$F$54:$TN$54,1,LOOKUP(2,1/(宏观数据!$F$54:$TN$54&lt;&gt;""),COLUMN(宏观数据!$F$54:$TN$54))-COLUMN(宏观数据!$F$54)+1-60+29)),NA(),IF(INDEX(宏观数据!$F$54:$TN$54,1,LOOKUP(2,1/(宏观数据!$F$54:$TN$54&lt;&gt;""),COLUMN(宏观数据!$F$54:$TN$54))-COLUMN(宏观数据!$F$54)+1-60+29)=0,NA(),INDEX(宏观数据!$F$54:$TN$54,1,LOOKUP(2,1/(宏观数据!$F$54:$TN$54&lt;&gt;""),COLUMN(宏观数据!$F$54:$TN$54))-COLUMN(宏观数据!$F$54)+1-60+29)))</f>
        <v>1.8238</v>
      </c>
      <c r="AE18" s="2">
        <f>IF(ISERROR(INDEX(宏观数据!$F$54:$TN$54,1,LOOKUP(2,1/(宏观数据!$F$54:$TN$54&lt;&gt;""),COLUMN(宏观数据!$F$54:$TN$54))-COLUMN(宏观数据!$F$54)+1-60+30)),NA(),IF(INDEX(宏观数据!$F$54:$TN$54,1,LOOKUP(2,1/(宏观数据!$F$54:$TN$54&lt;&gt;""),COLUMN(宏观数据!$F$54:$TN$54))-COLUMN(宏观数据!$F$54)+1-60+30)=0,NA(),INDEX(宏观数据!$F$54:$TN$54,1,LOOKUP(2,1/(宏观数据!$F$54:$TN$54&lt;&gt;""),COLUMN(宏观数据!$F$54:$TN$54))-COLUMN(宏观数据!$F$54)+1-60+30)))</f>
        <v>1.8153</v>
      </c>
      <c r="AF18" s="2">
        <f>IF(ISERROR(INDEX(宏观数据!$F$54:$TN$54,1,LOOKUP(2,1/(宏观数据!$F$54:$TN$54&lt;&gt;""),COLUMN(宏观数据!$F$54:$TN$54))-COLUMN(宏观数据!$F$54)+1-60+31)),NA(),IF(INDEX(宏观数据!$F$54:$TN$54,1,LOOKUP(2,1/(宏观数据!$F$54:$TN$54&lt;&gt;""),COLUMN(宏观数据!$F$54:$TN$54))-COLUMN(宏观数据!$F$54)+1-60+31)=0,NA(),INDEX(宏观数据!$F$54:$TN$54,1,LOOKUP(2,1/(宏观数据!$F$54:$TN$54&lt;&gt;""),COLUMN(宏观数据!$F$54:$TN$54))-COLUMN(宏观数据!$F$54)+1-60+31)))</f>
        <v>1.8232</v>
      </c>
      <c r="AG18" s="2">
        <f>IF(ISERROR(INDEX(宏观数据!$F$54:$TN$54,1,LOOKUP(2,1/(宏观数据!$F$54:$TN$54&lt;&gt;""),COLUMN(宏观数据!$F$54:$TN$54))-COLUMN(宏观数据!$F$54)+1-60+32)),NA(),IF(INDEX(宏观数据!$F$54:$TN$54,1,LOOKUP(2,1/(宏观数据!$F$54:$TN$54&lt;&gt;""),COLUMN(宏观数据!$F$54:$TN$54))-COLUMN(宏观数据!$F$54)+1-60+32)=0,NA(),INDEX(宏观数据!$F$54:$TN$54,1,LOOKUP(2,1/(宏观数据!$F$54:$TN$54&lt;&gt;""),COLUMN(宏观数据!$F$54:$TN$54))-COLUMN(宏观数据!$F$54)+1-60+32)))</f>
        <v>1.8274</v>
      </c>
      <c r="AH18" s="2" t="e">
        <f>IF(ISERROR(INDEX(宏观数据!$F$54:$TN$54,1,LOOKUP(2,1/(宏观数据!$F$54:$TN$54&lt;&gt;""),COLUMN(宏观数据!$F$54:$TN$54))-COLUMN(宏观数据!$F$54)+1-60+33)),NA(),IF(INDEX(宏观数据!$F$54:$TN$54,1,LOOKUP(2,1/(宏观数据!$F$54:$TN$54&lt;&gt;""),COLUMN(宏观数据!$F$54:$TN$54))-COLUMN(宏观数据!$F$54)+1-60+33)=0,NA(),INDEX(宏观数据!$F$54:$TN$54,1,LOOKUP(2,1/(宏观数据!$F$54:$TN$54&lt;&gt;""),COLUMN(宏观数据!$F$54:$TN$54))-COLUMN(宏观数据!$F$54)+1-60+33)))</f>
        <v>#N/A</v>
      </c>
      <c r="AI18" s="2" t="e">
        <f>IF(ISERROR(INDEX(宏观数据!$F$54:$TN$54,1,LOOKUP(2,1/(宏观数据!$F$54:$TN$54&lt;&gt;""),COLUMN(宏观数据!$F$54:$TN$54))-COLUMN(宏观数据!$F$54)+1-60+34)),NA(),IF(INDEX(宏观数据!$F$54:$TN$54,1,LOOKUP(2,1/(宏观数据!$F$54:$TN$54&lt;&gt;""),COLUMN(宏观数据!$F$54:$TN$54))-COLUMN(宏观数据!$F$54)+1-60+34)=0,NA(),INDEX(宏观数据!$F$54:$TN$54,1,LOOKUP(2,1/(宏观数据!$F$54:$TN$54&lt;&gt;""),COLUMN(宏观数据!$F$54:$TN$54))-COLUMN(宏观数据!$F$54)+1-60+34)))</f>
        <v>#N/A</v>
      </c>
      <c r="AJ18">
        <f>IF(ISERROR(INDEX(宏观数据!$F$54:$TN$54,1,LOOKUP(2,1/(宏观数据!$F$54:$TN$54&lt;&gt;""),COLUMN(宏观数据!$F$54:$TN$54))-COLUMN(宏观数据!$F$54)+1-60+35)),NA(),IF(INDEX(宏观数据!$F$54:$TN$54,1,LOOKUP(2,1/(宏观数据!$F$54:$TN$54&lt;&gt;""),COLUMN(宏观数据!$F$54:$TN$54))-COLUMN(宏观数据!$F$54)+1-60+35)=0,NA(),INDEX(宏观数据!$F$54:$TN$54,1,LOOKUP(2,1/(宏观数据!$F$54:$TN$54&lt;&gt;""),COLUMN(宏观数据!$F$54:$TN$54))-COLUMN(宏观数据!$F$54)+1-60+35)))</f>
        <v>1.8209</v>
      </c>
      <c r="AK18">
        <f>IF(ISERROR(INDEX(宏观数据!$F$54:$TN$54,1,LOOKUP(2,1/(宏观数据!$F$54:$TN$54&lt;&gt;""),COLUMN(宏观数据!$F$54:$TN$54))-COLUMN(宏观数据!$F$54)+1-60+36)),NA(),IF(INDEX(宏观数据!$F$54:$TN$54,1,LOOKUP(2,1/(宏观数据!$F$54:$TN$54&lt;&gt;""),COLUMN(宏观数据!$F$54:$TN$54))-COLUMN(宏观数据!$F$54)+1-60+36)=0,NA(),INDEX(宏观数据!$F$54:$TN$54,1,LOOKUP(2,1/(宏观数据!$F$54:$TN$54&lt;&gt;""),COLUMN(宏观数据!$F$54:$TN$54))-COLUMN(宏观数据!$F$54)+1-60+36)))</f>
        <v>1.8059</v>
      </c>
      <c r="AL18" s="2">
        <f>IF(ISERROR(INDEX(宏观数据!$F$54:$TN$54,1,LOOKUP(2,1/(宏观数据!$F$54:$TN$54&lt;&gt;""),COLUMN(宏观数据!$F$54:$TN$54))-COLUMN(宏观数据!$F$54)+1-60+37)),NA(),IF(INDEX(宏观数据!$F$54:$TN$54,1,LOOKUP(2,1/(宏观数据!$F$54:$TN$54&lt;&gt;""),COLUMN(宏观数据!$F$54:$TN$54))-COLUMN(宏观数据!$F$54)+1-60+37)=0,NA(),INDEX(宏观数据!$F$54:$TN$54,1,LOOKUP(2,1/(宏观数据!$F$54:$TN$54&lt;&gt;""),COLUMN(宏观数据!$F$54:$TN$54))-COLUMN(宏观数据!$F$54)+1-60+37)))</f>
        <v>1.8116</v>
      </c>
      <c r="AM18" s="2">
        <f>IF(ISERROR(INDEX(宏观数据!$F$54:$TN$54,1,LOOKUP(2,1/(宏观数据!$F$54:$TN$54&lt;&gt;""),COLUMN(宏观数据!$F$54:$TN$54))-COLUMN(宏观数据!$F$54)+1-60+38)),NA(),IF(INDEX(宏观数据!$F$54:$TN$54,1,LOOKUP(2,1/(宏观数据!$F$54:$TN$54&lt;&gt;""),COLUMN(宏观数据!$F$54:$TN$54))-COLUMN(宏观数据!$F$54)+1-60+38)=0,NA(),INDEX(宏观数据!$F$54:$TN$54,1,LOOKUP(2,1/(宏观数据!$F$54:$TN$54&lt;&gt;""),COLUMN(宏观数据!$F$54:$TN$54))-COLUMN(宏观数据!$F$54)+1-60+38)))</f>
        <v>1.8158</v>
      </c>
      <c r="AN18" s="2">
        <f>IF(ISERROR(INDEX(宏观数据!$F$54:$TN$54,1,LOOKUP(2,1/(宏观数据!$F$54:$TN$54&lt;&gt;""),COLUMN(宏观数据!$F$54:$TN$54))-COLUMN(宏观数据!$F$54)+1-60+39)),NA(),IF(INDEX(宏观数据!$F$54:$TN$54,1,LOOKUP(2,1/(宏观数据!$F$54:$TN$54&lt;&gt;""),COLUMN(宏观数据!$F$54:$TN$54))-COLUMN(宏观数据!$F$54)+1-60+39)=0,NA(),INDEX(宏观数据!$F$54:$TN$54,1,LOOKUP(2,1/(宏观数据!$F$54:$TN$54&lt;&gt;""),COLUMN(宏观数据!$F$54:$TN$54))-COLUMN(宏观数据!$F$54)+1-60+39)))</f>
        <v>1.8233</v>
      </c>
      <c r="AO18" s="2" t="e">
        <f>IF(ISERROR(INDEX(宏观数据!$F$54:$TN$54,1,LOOKUP(2,1/(宏观数据!$F$54:$TN$54&lt;&gt;""),COLUMN(宏观数据!$F$54:$TN$54))-COLUMN(宏观数据!$F$54)+1-60+40)),NA(),IF(INDEX(宏观数据!$F$54:$TN$54,1,LOOKUP(2,1/(宏观数据!$F$54:$TN$54&lt;&gt;""),COLUMN(宏观数据!$F$54:$TN$54))-COLUMN(宏观数据!$F$54)+1-60+40)=0,NA(),INDEX(宏观数据!$F$54:$TN$54,1,LOOKUP(2,1/(宏观数据!$F$54:$TN$54&lt;&gt;""),COLUMN(宏观数据!$F$54:$TN$54))-COLUMN(宏观数据!$F$54)+1-60+40)))</f>
        <v>#N/A</v>
      </c>
      <c r="AP18" s="2" t="e">
        <f>IF(ISERROR(INDEX(宏观数据!$F$54:$TN$54,1,LOOKUP(2,1/(宏观数据!$F$54:$TN$54&lt;&gt;""),COLUMN(宏观数据!$F$54:$TN$54))-COLUMN(宏观数据!$F$54)+1-60+41)),NA(),IF(INDEX(宏观数据!$F$54:$TN$54,1,LOOKUP(2,1/(宏观数据!$F$54:$TN$54&lt;&gt;""),COLUMN(宏观数据!$F$54:$TN$54))-COLUMN(宏观数据!$F$54)+1-60+41)=0,NA(),INDEX(宏观数据!$F$54:$TN$54,1,LOOKUP(2,1/(宏观数据!$F$54:$TN$54&lt;&gt;""),COLUMN(宏观数据!$F$54:$TN$54))-COLUMN(宏观数据!$F$54)+1-60+41)))</f>
        <v>#N/A</v>
      </c>
      <c r="AQ18">
        <f>IF(ISERROR(INDEX(宏观数据!$F$54:$TN$54,1,LOOKUP(2,1/(宏观数据!$F$54:$TN$54&lt;&gt;""),COLUMN(宏观数据!$F$54:$TN$54))-COLUMN(宏观数据!$F$54)+1-60+42)),NA(),IF(INDEX(宏观数据!$F$54:$TN$54,1,LOOKUP(2,1/(宏观数据!$F$54:$TN$54&lt;&gt;""),COLUMN(宏观数据!$F$54:$TN$54))-COLUMN(宏观数据!$F$54)+1-60+42)=0,NA(),INDEX(宏观数据!$F$54:$TN$54,1,LOOKUP(2,1/(宏观数据!$F$54:$TN$54&lt;&gt;""),COLUMN(宏观数据!$F$54:$TN$54))-COLUMN(宏观数据!$F$54)+1-60+42)))</f>
        <v>1.8165</v>
      </c>
      <c r="AR18">
        <f>IF(ISERROR(INDEX(宏观数据!$F$54:$TN$54,1,LOOKUP(2,1/(宏观数据!$F$54:$TN$54&lt;&gt;""),COLUMN(宏观数据!$F$54:$TN$54))-COLUMN(宏观数据!$F$54)+1-60+43)),NA(),IF(INDEX(宏观数据!$F$54:$TN$54,1,LOOKUP(2,1/(宏观数据!$F$54:$TN$54&lt;&gt;""),COLUMN(宏观数据!$F$54:$TN$54))-COLUMN(宏观数据!$F$54)+1-60+43)=0,NA(),INDEX(宏观数据!$F$54:$TN$54,1,LOOKUP(2,1/(宏观数据!$F$54:$TN$54&lt;&gt;""),COLUMN(宏观数据!$F$54:$TN$54))-COLUMN(宏观数据!$F$54)+1-60+43)))</f>
        <v>1.811</v>
      </c>
      <c r="AS18" s="2">
        <f>IF(ISERROR(INDEX(宏观数据!$F$54:$TN$54,1,LOOKUP(2,1/(宏观数据!$F$54:$TN$54&lt;&gt;""),COLUMN(宏观数据!$F$54:$TN$54))-COLUMN(宏观数据!$F$54)+1-60+44)),NA(),IF(INDEX(宏观数据!$F$54:$TN$54,1,LOOKUP(2,1/(宏观数据!$F$54:$TN$54&lt;&gt;""),COLUMN(宏观数据!$F$54:$TN$54))-COLUMN(宏观数据!$F$54)+1-60+44)=0,NA(),INDEX(宏观数据!$F$54:$TN$54,1,LOOKUP(2,1/(宏观数据!$F$54:$TN$54&lt;&gt;""),COLUMN(宏观数据!$F$54:$TN$54))-COLUMN(宏观数据!$F$54)+1-60+44)))</f>
        <v>1.7776</v>
      </c>
      <c r="AT18" s="2">
        <f>IF(ISERROR(INDEX(宏观数据!$F$54:$TN$54,1,LOOKUP(2,1/(宏观数据!$F$54:$TN$54&lt;&gt;""),COLUMN(宏观数据!$F$54:$TN$54))-COLUMN(宏观数据!$F$54)+1-60+45)),NA(),IF(INDEX(宏观数据!$F$54:$TN$54,1,LOOKUP(2,1/(宏观数据!$F$54:$TN$54&lt;&gt;""),COLUMN(宏观数据!$F$54:$TN$54))-COLUMN(宏观数据!$F$54)+1-60+45)=0,NA(),INDEX(宏观数据!$F$54:$TN$54,1,LOOKUP(2,1/(宏观数据!$F$54:$TN$54&lt;&gt;""),COLUMN(宏观数据!$F$54:$TN$54))-COLUMN(宏观数据!$F$54)+1-60+45)))</f>
        <v>1.7693</v>
      </c>
      <c r="AU18" s="2">
        <f>IF(ISERROR(INDEX(宏观数据!$F$54:$TN$54,1,LOOKUP(2,1/(宏观数据!$F$54:$TN$54&lt;&gt;""),COLUMN(宏观数据!$F$54:$TN$54))-COLUMN(宏观数据!$F$54)+1-60+46)),NA(),IF(INDEX(宏观数据!$F$54:$TN$54,1,LOOKUP(2,1/(宏观数据!$F$54:$TN$54&lt;&gt;""),COLUMN(宏观数据!$F$54:$TN$54))-COLUMN(宏观数据!$F$54)+1-60+46)=0,NA(),INDEX(宏观数据!$F$54:$TN$54,1,LOOKUP(2,1/(宏观数据!$F$54:$TN$54&lt;&gt;""),COLUMN(宏观数据!$F$54:$TN$54))-COLUMN(宏观数据!$F$54)+1-60+46)))</f>
        <v>1.7669</v>
      </c>
      <c r="AV18" s="2" t="e">
        <f>IF(ISERROR(INDEX(宏观数据!$F$54:$TN$54,1,LOOKUP(2,1/(宏观数据!$F$54:$TN$54&lt;&gt;""),COLUMN(宏观数据!$F$54:$TN$54))-COLUMN(宏观数据!$F$54)+1-60+47)),NA(),IF(INDEX(宏观数据!$F$54:$TN$54,1,LOOKUP(2,1/(宏观数据!$F$54:$TN$54&lt;&gt;""),COLUMN(宏观数据!$F$54:$TN$54))-COLUMN(宏观数据!$F$54)+1-60+47)=0,NA(),INDEX(宏观数据!$F$54:$TN$54,1,LOOKUP(2,1/(宏观数据!$F$54:$TN$54&lt;&gt;""),COLUMN(宏观数据!$F$54:$TN$54))-COLUMN(宏观数据!$F$54)+1-60+47)))</f>
        <v>#N/A</v>
      </c>
      <c r="AW18" t="e">
        <f>IF(ISERROR(INDEX(宏观数据!$F$54:$TN$54,1,LOOKUP(2,1/(宏观数据!$F$54:$TN$54&lt;&gt;""),COLUMN(宏观数据!$F$54:$TN$54))-COLUMN(宏观数据!$F$54)+1-60+48)),NA(),IF(INDEX(宏观数据!$F$54:$TN$54,1,LOOKUP(2,1/(宏观数据!$F$54:$TN$54&lt;&gt;""),COLUMN(宏观数据!$F$54:$TN$54))-COLUMN(宏观数据!$F$54)+1-60+48)=0,NA(),INDEX(宏观数据!$F$54:$TN$54,1,LOOKUP(2,1/(宏观数据!$F$54:$TN$54&lt;&gt;""),COLUMN(宏观数据!$F$54:$TN$54))-COLUMN(宏观数据!$F$54)+1-60+48)))</f>
        <v>#N/A</v>
      </c>
      <c r="AX18">
        <f>IF(ISERROR(INDEX(宏观数据!$F$54:$TN$54,1,LOOKUP(2,1/(宏观数据!$F$54:$TN$54&lt;&gt;""),COLUMN(宏观数据!$F$54:$TN$54))-COLUMN(宏观数据!$F$54)+1-60+49)),NA(),IF(INDEX(宏观数据!$F$54:$TN$54,1,LOOKUP(2,1/(宏观数据!$F$54:$TN$54&lt;&gt;""),COLUMN(宏观数据!$F$54:$TN$54))-COLUMN(宏观数据!$F$54)+1-60+49)=0,NA(),INDEX(宏观数据!$F$54:$TN$54,1,LOOKUP(2,1/(宏观数据!$F$54:$TN$54&lt;&gt;""),COLUMN(宏观数据!$F$54:$TN$54))-COLUMN(宏观数据!$F$54)+1-60+49)))</f>
        <v>1.7592</v>
      </c>
      <c r="AY18">
        <f>IF(ISERROR(INDEX(宏观数据!$F$54:$TN$54,1,LOOKUP(2,1/(宏观数据!$F$54:$TN$54&lt;&gt;""),COLUMN(宏观数据!$F$54:$TN$54))-COLUMN(宏观数据!$F$54)+1-60+50)),NA(),IF(INDEX(宏观数据!$F$54:$TN$54,1,LOOKUP(2,1/(宏观数据!$F$54:$TN$54&lt;&gt;""),COLUMN(宏观数据!$F$54:$TN$54))-COLUMN(宏观数据!$F$54)+1-60+50)=0,NA(),INDEX(宏观数据!$F$54:$TN$54,1,LOOKUP(2,1/(宏观数据!$F$54:$TN$54&lt;&gt;""),COLUMN(宏观数据!$F$54:$TN$54))-COLUMN(宏观数据!$F$54)+1-60+50)))</f>
        <v>1.7603</v>
      </c>
      <c r="AZ18">
        <f>IF(ISERROR(INDEX(宏观数据!$F$54:$TN$54,1,LOOKUP(2,1/(宏观数据!$F$54:$TN$54&lt;&gt;""),COLUMN(宏观数据!$F$54:$TN$54))-COLUMN(宏观数据!$F$54)+1-60+51)),NA(),IF(INDEX(宏观数据!$F$54:$TN$54,1,LOOKUP(2,1/(宏观数据!$F$54:$TN$54&lt;&gt;""),COLUMN(宏观数据!$F$54:$TN$54))-COLUMN(宏观数据!$F$54)+1-60+51)=0,NA(),INDEX(宏观数据!$F$54:$TN$54,1,LOOKUP(2,1/(宏观数据!$F$54:$TN$54&lt;&gt;""),COLUMN(宏观数据!$F$54:$TN$54))-COLUMN(宏观数据!$F$54)+1-60+51)))</f>
        <v>1.7678</v>
      </c>
      <c r="BA18">
        <f>IF(ISERROR(INDEX(宏观数据!$F$54:$TN$54,1,LOOKUP(2,1/(宏观数据!$F$54:$TN$54&lt;&gt;""),COLUMN(宏观数据!$F$54:$TN$54))-COLUMN(宏观数据!$F$54)+1-60+52)),NA(),IF(INDEX(宏观数据!$F$54:$TN$54,1,LOOKUP(2,1/(宏观数据!$F$54:$TN$54&lt;&gt;""),COLUMN(宏观数据!$F$54:$TN$54))-COLUMN(宏观数据!$F$54)+1-60+52)=0,NA(),INDEX(宏观数据!$F$54:$TN$54,1,LOOKUP(2,1/(宏观数据!$F$54:$TN$54&lt;&gt;""),COLUMN(宏观数据!$F$54:$TN$54))-COLUMN(宏观数据!$F$54)+1-60+52)))</f>
        <v>1.7613</v>
      </c>
      <c r="BB18" s="2">
        <f>IF(ISERROR(INDEX(宏观数据!$F$54:$TN$54,1,LOOKUP(2,1/(宏观数据!$F$54:$TN$54&lt;&gt;""),COLUMN(宏观数据!$F$54:$TN$54))-COLUMN(宏观数据!$F$54)+1-60+53)),NA(),IF(INDEX(宏观数据!$F$54:$TN$54,1,LOOKUP(2,1/(宏观数据!$F$54:$TN$54&lt;&gt;""),COLUMN(宏观数据!$F$54:$TN$54))-COLUMN(宏观数据!$F$54)+1-60+53)=0,NA(),INDEX(宏观数据!$F$54:$TN$54,1,LOOKUP(2,1/(宏观数据!$F$54:$TN$54&lt;&gt;""),COLUMN(宏观数据!$F$54:$TN$54))-COLUMN(宏观数据!$F$54)+1-60+53)))</f>
        <v>1.771</v>
      </c>
      <c r="BC18" s="2" t="e">
        <f>IF(ISERROR(INDEX(宏观数据!$F$54:$TN$54,1,LOOKUP(2,1/(宏观数据!$F$54:$TN$54&lt;&gt;""),COLUMN(宏观数据!$F$54:$TN$54))-COLUMN(宏观数据!$F$54)+1-60+54)),NA(),IF(INDEX(宏观数据!$F$54:$TN$54,1,LOOKUP(2,1/(宏观数据!$F$54:$TN$54&lt;&gt;""),COLUMN(宏观数据!$F$54:$TN$54))-COLUMN(宏观数据!$F$54)+1-60+54)=0,NA(),INDEX(宏观数据!$F$54:$TN$54,1,LOOKUP(2,1/(宏观数据!$F$54:$TN$54&lt;&gt;""),COLUMN(宏观数据!$F$54:$TN$54))-COLUMN(宏观数据!$F$54)+1-60+54)))</f>
        <v>#N/A</v>
      </c>
      <c r="BD18" s="2" t="e">
        <f>IF(ISERROR(INDEX(宏观数据!$F$54:$TN$54,1,LOOKUP(2,1/(宏观数据!$F$54:$TN$54&lt;&gt;""),COLUMN(宏观数据!$F$54:$TN$54))-COLUMN(宏观数据!$F$54)+1-60+55)),NA(),IF(INDEX(宏观数据!$F$54:$TN$54,1,LOOKUP(2,1/(宏观数据!$F$54:$TN$54&lt;&gt;""),COLUMN(宏观数据!$F$54:$TN$54))-COLUMN(宏观数据!$F$54)+1-60+55)=0,NA(),INDEX(宏观数据!$F$54:$TN$54,1,LOOKUP(2,1/(宏观数据!$F$54:$TN$54&lt;&gt;""),COLUMN(宏观数据!$F$54:$TN$54))-COLUMN(宏观数据!$F$54)+1-60+55)))</f>
        <v>#N/A</v>
      </c>
      <c r="BE18" s="2">
        <f>IF(ISERROR(INDEX(宏观数据!$F$54:$TN$54,1,LOOKUP(2,1/(宏观数据!$F$54:$TN$54&lt;&gt;""),COLUMN(宏观数据!$F$54:$TN$54))-COLUMN(宏观数据!$F$54)+1-60+56)),NA(),IF(INDEX(宏观数据!$F$54:$TN$54,1,LOOKUP(2,1/(宏观数据!$F$54:$TN$54&lt;&gt;""),COLUMN(宏观数据!$F$54:$TN$54))-COLUMN(宏观数据!$F$54)+1-60+56)=0,NA(),INDEX(宏观数据!$F$54:$TN$54,1,LOOKUP(2,1/(宏观数据!$F$54:$TN$54&lt;&gt;""),COLUMN(宏观数据!$F$54:$TN$54))-COLUMN(宏观数据!$F$54)+1-60+56)))</f>
        <v>1.781</v>
      </c>
      <c r="BF18">
        <f>IF(ISERROR(INDEX(宏观数据!$F$54:$TN$54,1,LOOKUP(2,1/(宏观数据!$F$54:$TN$54&lt;&gt;""),COLUMN(宏观数据!$F$54:$TN$54))-COLUMN(宏观数据!$F$54)+1-60+57)),NA(),IF(INDEX(宏观数据!$F$54:$TN$54,1,LOOKUP(2,1/(宏观数据!$F$54:$TN$54&lt;&gt;""),COLUMN(宏观数据!$F$54:$TN$54))-COLUMN(宏观数据!$F$54)+1-60+57)=0,NA(),INDEX(宏观数据!$F$54:$TN$54,1,LOOKUP(2,1/(宏观数据!$F$54:$TN$54&lt;&gt;""),COLUMN(宏观数据!$F$54:$TN$54))-COLUMN(宏观数据!$F$54)+1-60+57)))</f>
        <v>1.791</v>
      </c>
      <c r="BG18" s="2">
        <f>IF(ISERROR(INDEX(宏观数据!$F$54:$TN$54,1,LOOKUP(2,1/(宏观数据!$F$54:$TN$54&lt;&gt;""),COLUMN(宏观数据!$F$54:$TN$54))-COLUMN(宏观数据!$F$54)+1-60+58)),NA(),IF(INDEX(宏观数据!$F$54:$TN$54,1,LOOKUP(2,1/(宏观数据!$F$54:$TN$54&lt;&gt;""),COLUMN(宏观数据!$F$54:$TN$54))-COLUMN(宏观数据!$F$54)+1-60+58)=0,NA(),INDEX(宏观数据!$F$54:$TN$54,1,LOOKUP(2,1/(宏观数据!$F$54:$TN$54&lt;&gt;""),COLUMN(宏观数据!$F$54:$TN$54))-COLUMN(宏观数据!$F$54)+1-60+58)))</f>
        <v>1.807</v>
      </c>
      <c r="BH18" s="2">
        <f>IF(ISERROR(INDEX(宏观数据!$F$54:$TN$54,1,LOOKUP(2,1/(宏观数据!$F$54:$TN$54&lt;&gt;""),COLUMN(宏观数据!$F$54:$TN$54))-COLUMN(宏观数据!$F$54)+1-60+59)),NA(),IF(INDEX(宏观数据!$F$54:$TN$54,1,LOOKUP(2,1/(宏观数据!$F$54:$TN$54&lt;&gt;""),COLUMN(宏观数据!$F$54:$TN$54))-COLUMN(宏观数据!$F$54)+1-60+59)=0,NA(),INDEX(宏观数据!$F$54:$TN$54,1,LOOKUP(2,1/(宏观数据!$F$54:$TN$54&lt;&gt;""),COLUMN(宏观数据!$F$54:$TN$54))-COLUMN(宏观数据!$F$54)+1-60+59)))</f>
        <v>1.816</v>
      </c>
      <c r="BI18" s="2">
        <f>IF(ISERROR(INDEX(宏观数据!$F$54:$TN$54,1,LOOKUP(2,1/(宏观数据!$F$54:$TN$54&lt;&gt;""),COLUMN(宏观数据!$F$54:$TN$54))-COLUMN(宏观数据!$F$54)+1-60+60)),NA(),IF(INDEX(宏观数据!$F$54:$TN$54,1,LOOKUP(2,1/(宏观数据!$F$54:$TN$54&lt;&gt;""),COLUMN(宏观数据!$F$54:$TN$54))-COLUMN(宏观数据!$F$54)+1-60+60)=0,NA(),INDEX(宏观数据!$F$54:$TN$54,1,LOOKUP(2,1/(宏观数据!$F$54:$TN$54&lt;&gt;""),COLUMN(宏观数据!$F$54:$TN$54))-COLUMN(宏观数据!$F$54)+1-60+60)))</f>
        <v>1.802</v>
      </c>
    </row>
    <row r="19" ht="15" customHeight="1" spans="1:61">
      <c r="A19" s="1" t="s">
        <v>624</v>
      </c>
      <c r="B19">
        <f t="shared" ref="B19:BI19" si="1">IF(OR(ISNA(B17),ISNA(B18)),NA(),(B17-B18)*100)</f>
        <v>29.94</v>
      </c>
      <c r="C19">
        <f t="shared" si="1"/>
        <v>30.85</v>
      </c>
      <c r="D19">
        <f t="shared" si="1"/>
        <v>30.65</v>
      </c>
      <c r="E19">
        <f t="shared" si="1"/>
        <v>32.85</v>
      </c>
      <c r="F19" t="e">
        <f t="shared" si="1"/>
        <v>#N/A</v>
      </c>
      <c r="G19" t="e">
        <f t="shared" si="1"/>
        <v>#N/A</v>
      </c>
      <c r="H19">
        <f t="shared" si="1"/>
        <v>33.03</v>
      </c>
      <c r="I19">
        <f t="shared" si="1"/>
        <v>32.57</v>
      </c>
      <c r="J19">
        <f t="shared" si="1"/>
        <v>32.01</v>
      </c>
      <c r="K19">
        <f t="shared" si="1"/>
        <v>30.8</v>
      </c>
      <c r="L19">
        <f t="shared" si="1"/>
        <v>31.15</v>
      </c>
      <c r="M19" t="e">
        <f t="shared" si="1"/>
        <v>#N/A</v>
      </c>
      <c r="N19" t="e">
        <f t="shared" si="1"/>
        <v>#N/A</v>
      </c>
      <c r="O19">
        <f t="shared" si="1"/>
        <v>31.49</v>
      </c>
      <c r="P19">
        <f t="shared" si="1"/>
        <v>34.12</v>
      </c>
      <c r="Q19">
        <f t="shared" si="1"/>
        <v>34.99</v>
      </c>
      <c r="R19">
        <f t="shared" si="1"/>
        <v>34.25</v>
      </c>
      <c r="S19" t="e">
        <f t="shared" si="1"/>
        <v>#N/A</v>
      </c>
      <c r="T19" t="e">
        <f t="shared" si="1"/>
        <v>#N/A</v>
      </c>
      <c r="U19" t="e">
        <f t="shared" si="1"/>
        <v>#N/A</v>
      </c>
      <c r="V19" t="e">
        <f t="shared" si="1"/>
        <v>#N/A</v>
      </c>
      <c r="W19" t="e">
        <f t="shared" si="1"/>
        <v>#N/A</v>
      </c>
      <c r="X19">
        <f t="shared" si="1"/>
        <v>34.74</v>
      </c>
      <c r="Y19">
        <f t="shared" si="1"/>
        <v>34.45</v>
      </c>
      <c r="Z19">
        <f t="shared" si="1"/>
        <v>34.73</v>
      </c>
      <c r="AA19">
        <f t="shared" si="1"/>
        <v>34.31</v>
      </c>
      <c r="AB19" t="e">
        <f t="shared" si="1"/>
        <v>#N/A</v>
      </c>
      <c r="AC19">
        <f t="shared" si="1"/>
        <v>34.59</v>
      </c>
      <c r="AD19">
        <f t="shared" si="1"/>
        <v>34.93</v>
      </c>
      <c r="AE19">
        <f t="shared" si="1"/>
        <v>34.73</v>
      </c>
      <c r="AF19">
        <f t="shared" si="1"/>
        <v>33.97</v>
      </c>
      <c r="AG19">
        <f t="shared" si="1"/>
        <v>34.61</v>
      </c>
      <c r="AH19" t="e">
        <f t="shared" si="1"/>
        <v>#N/A</v>
      </c>
      <c r="AI19" t="e">
        <f t="shared" si="1"/>
        <v>#N/A</v>
      </c>
      <c r="AJ19">
        <f t="shared" si="1"/>
        <v>36.06</v>
      </c>
      <c r="AK19">
        <f t="shared" si="1"/>
        <v>34.65</v>
      </c>
      <c r="AL19">
        <f t="shared" si="1"/>
        <v>33.27</v>
      </c>
      <c r="AM19">
        <f t="shared" si="1"/>
        <v>33.77</v>
      </c>
      <c r="AN19">
        <f t="shared" si="1"/>
        <v>33.2</v>
      </c>
      <c r="AO19" t="e">
        <f t="shared" si="1"/>
        <v>#N/A</v>
      </c>
      <c r="AP19" t="e">
        <f t="shared" si="1"/>
        <v>#N/A</v>
      </c>
      <c r="AQ19">
        <f t="shared" si="1"/>
        <v>33.67</v>
      </c>
      <c r="AR19">
        <f t="shared" si="1"/>
        <v>32.26</v>
      </c>
      <c r="AS19">
        <f t="shared" si="1"/>
        <v>34.94</v>
      </c>
      <c r="AT19">
        <f t="shared" si="1"/>
        <v>34.64</v>
      </c>
      <c r="AU19">
        <f t="shared" si="1"/>
        <v>33.26</v>
      </c>
      <c r="AV19" t="e">
        <f t="shared" si="1"/>
        <v>#N/A</v>
      </c>
      <c r="AW19" t="e">
        <f t="shared" si="1"/>
        <v>#N/A</v>
      </c>
      <c r="AX19">
        <f t="shared" si="1"/>
        <v>33.44</v>
      </c>
      <c r="AY19">
        <f t="shared" si="1"/>
        <v>32.98</v>
      </c>
      <c r="AZ19">
        <f t="shared" si="1"/>
        <v>32.17</v>
      </c>
      <c r="BA19">
        <f t="shared" si="1"/>
        <v>32.41</v>
      </c>
      <c r="BB19">
        <f t="shared" si="1"/>
        <v>29.89</v>
      </c>
      <c r="BC19" t="e">
        <f t="shared" si="1"/>
        <v>#N/A</v>
      </c>
      <c r="BD19" t="e">
        <f t="shared" si="1"/>
        <v>#N/A</v>
      </c>
      <c r="BE19">
        <f t="shared" si="1"/>
        <v>29.98</v>
      </c>
      <c r="BF19">
        <f t="shared" si="1"/>
        <v>30.75</v>
      </c>
      <c r="BG19">
        <f t="shared" si="1"/>
        <v>31.09</v>
      </c>
      <c r="BH19">
        <f t="shared" si="1"/>
        <v>33.15</v>
      </c>
      <c r="BI19">
        <f t="shared" si="1"/>
        <v>34.13</v>
      </c>
    </row>
    <row r="20" ht="16.5" customHeight="1" spans="1:61">
      <c r="A20" t="s">
        <v>102</v>
      </c>
      <c r="B20" s="2">
        <f ca="1">IF(ISERROR(INDEX(宏观数据!$F$85:$TN$85,1,MATCH(TODAY(),宏观数据!$F$1:$TN$1,1)-60+1)),NA(),IF(INDEX(宏观数据!$F$85:$TN$85,1,MATCH(TODAY(),宏观数据!$F$1:$TN$1,1)-60+1)=0,NA(),INDEX(宏观数据!$F$85:$TN$85,1,MATCH(TODAY(),宏观数据!$F$1:$TN$1,1)-60+1)))</f>
        <v>1.4</v>
      </c>
      <c r="C20" s="2">
        <f ca="1">IF(ISERROR(INDEX(宏观数据!$F$85:$TN$85,1,MATCH(TODAY(),宏观数据!$F$1:$TN$1,1)-60+2)),NA(),IF(INDEX(宏观数据!$F$85:$TN$85,1,MATCH(TODAY(),宏观数据!$F$1:$TN$1,1)-60+2)=0,NA(),INDEX(宏观数据!$F$85:$TN$85,1,MATCH(TODAY(),宏观数据!$F$1:$TN$1,1)-60+2)))</f>
        <v>1.4</v>
      </c>
      <c r="D20" s="2">
        <f ca="1">IF(ISERROR(INDEX(宏观数据!$F$85:$TN$85,1,MATCH(TODAY(),宏观数据!$F$1:$TN$1,1)-60+3)),NA(),IF(INDEX(宏观数据!$F$85:$TN$85,1,MATCH(TODAY(),宏观数据!$F$1:$TN$1,1)-60+3)=0,NA(),INDEX(宏观数据!$F$85:$TN$85,1,MATCH(TODAY(),宏观数据!$F$1:$TN$1,1)-60+3)))</f>
        <v>1.4</v>
      </c>
      <c r="E20" s="2">
        <f ca="1">IF(ISERROR(INDEX(宏观数据!$F$85:$TN$85,1,MATCH(TODAY(),宏观数据!$F$1:$TN$1,1)-60+4)),NA(),IF(INDEX(宏观数据!$F$85:$TN$85,1,MATCH(TODAY(),宏观数据!$F$1:$TN$1,1)-60+4)=0,NA(),INDEX(宏观数据!$F$85:$TN$85,1,MATCH(TODAY(),宏观数据!$F$1:$TN$1,1)-60+4)))</f>
        <v>1.4</v>
      </c>
      <c r="F20" s="2" t="e">
        <f ca="1">IF(ISERROR(INDEX(宏观数据!$F$85:$TN$85,1,MATCH(TODAY(),宏观数据!$F$1:$TN$1,1)-60+5)),NA(),IF(INDEX(宏观数据!$F$85:$TN$85,1,MATCH(TODAY(),宏观数据!$F$1:$TN$1,1)-60+5)=0,NA(),INDEX(宏观数据!$F$85:$TN$85,1,MATCH(TODAY(),宏观数据!$F$1:$TN$1,1)-60+5)))</f>
        <v>#N/A</v>
      </c>
      <c r="G20" t="e">
        <f ca="1">IF(ISERROR(INDEX(宏观数据!$F$85:$TN$85,1,MATCH(TODAY(),宏观数据!$F$1:$TN$1,1)-60+6)),NA(),IF(INDEX(宏观数据!$F$85:$TN$85,1,MATCH(TODAY(),宏观数据!$F$1:$TN$1,1)-60+6)=0,NA(),INDEX(宏观数据!$F$85:$TN$85,1,MATCH(TODAY(),宏观数据!$F$1:$TN$1,1)-60+6)))</f>
        <v>#N/A</v>
      </c>
      <c r="H20">
        <f ca="1">IF(ISERROR(INDEX(宏观数据!$F$85:$TN$85,1,MATCH(TODAY(),宏观数据!$F$1:$TN$1,1)-60+7)),NA(),IF(INDEX(宏观数据!$F$85:$TN$85,1,MATCH(TODAY(),宏观数据!$F$1:$TN$1,1)-60+7)=0,NA(),INDEX(宏观数据!$F$85:$TN$85,1,MATCH(TODAY(),宏观数据!$F$1:$TN$1,1)-60+7)))</f>
        <v>1.4</v>
      </c>
      <c r="I20" s="2">
        <f ca="1">IF(ISERROR(INDEX(宏观数据!$F$85:$TN$85,1,MATCH(TODAY(),宏观数据!$F$1:$TN$1,1)-60+8)),NA(),IF(INDEX(宏观数据!$F$85:$TN$85,1,MATCH(TODAY(),宏观数据!$F$1:$TN$1,1)-60+8)=0,NA(),INDEX(宏观数据!$F$85:$TN$85,1,MATCH(TODAY(),宏观数据!$F$1:$TN$1,1)-60+8)))</f>
        <v>1.4</v>
      </c>
      <c r="J20" s="2">
        <f ca="1">IF(ISERROR(INDEX(宏观数据!$F$85:$TN$85,1,MATCH(TODAY(),宏观数据!$F$1:$TN$1,1)-60+9)),NA(),IF(INDEX(宏观数据!$F$85:$TN$85,1,MATCH(TODAY(),宏观数据!$F$1:$TN$1,1)-60+9)=0,NA(),INDEX(宏观数据!$F$85:$TN$85,1,MATCH(TODAY(),宏观数据!$F$1:$TN$1,1)-60+9)))</f>
        <v>1.4</v>
      </c>
      <c r="K20" s="2">
        <f ca="1">IF(ISERROR(INDEX(宏观数据!$F$85:$TN$85,1,MATCH(TODAY(),宏观数据!$F$1:$TN$1,1)-60+10)),NA(),IF(INDEX(宏观数据!$F$85:$TN$85,1,MATCH(TODAY(),宏观数据!$F$1:$TN$1,1)-60+10)=0,NA(),INDEX(宏观数据!$F$85:$TN$85,1,MATCH(TODAY(),宏观数据!$F$1:$TN$1,1)-60+10)))</f>
        <v>1.4</v>
      </c>
      <c r="L20" s="2">
        <f ca="1">IF(ISERROR(INDEX(宏观数据!$F$85:$TN$85,1,MATCH(TODAY(),宏观数据!$F$1:$TN$1,1)-60+11)),NA(),IF(INDEX(宏观数据!$F$85:$TN$85,1,MATCH(TODAY(),宏观数据!$F$1:$TN$1,1)-60+11)=0,NA(),INDEX(宏观数据!$F$85:$TN$85,1,MATCH(TODAY(),宏观数据!$F$1:$TN$1,1)-60+11)))</f>
        <v>1.4</v>
      </c>
      <c r="M20" s="2" t="e">
        <f ca="1">IF(ISERROR(INDEX(宏观数据!$F$85:$TN$85,1,MATCH(TODAY(),宏观数据!$F$1:$TN$1,1)-60+12)),NA(),IF(INDEX(宏观数据!$F$85:$TN$85,1,MATCH(TODAY(),宏观数据!$F$1:$TN$1,1)-60+12)=0,NA(),INDEX(宏观数据!$F$85:$TN$85,1,MATCH(TODAY(),宏观数据!$F$1:$TN$1,1)-60+12)))</f>
        <v>#N/A</v>
      </c>
      <c r="N20" t="e">
        <f ca="1">IF(ISERROR(INDEX(宏观数据!$F$85:$TN$85,1,MATCH(TODAY(),宏观数据!$F$1:$TN$1,1)-60+13)),NA(),IF(INDEX(宏观数据!$F$85:$TN$85,1,MATCH(TODAY(),宏观数据!$F$1:$TN$1,1)-60+13)=0,NA(),INDEX(宏观数据!$F$85:$TN$85,1,MATCH(TODAY(),宏观数据!$F$1:$TN$1,1)-60+13)))</f>
        <v>#N/A</v>
      </c>
      <c r="O20">
        <f ca="1">IF(ISERROR(INDEX(宏观数据!$F$85:$TN$85,1,MATCH(TODAY(),宏观数据!$F$1:$TN$1,1)-60+14)),NA(),IF(INDEX(宏观数据!$F$85:$TN$85,1,MATCH(TODAY(),宏观数据!$F$1:$TN$1,1)-60+14)=0,NA(),INDEX(宏观数据!$F$85:$TN$85,1,MATCH(TODAY(),宏观数据!$F$1:$TN$1,1)-60+14)))</f>
        <v>1.4</v>
      </c>
      <c r="P20" s="2">
        <f ca="1">IF(ISERROR(INDEX(宏观数据!$F$85:$TN$85,1,MATCH(TODAY(),宏观数据!$F$1:$TN$1,1)-60+15)),NA(),IF(INDEX(宏观数据!$F$85:$TN$85,1,MATCH(TODAY(),宏观数据!$F$1:$TN$1,1)-60+15)=0,NA(),INDEX(宏观数据!$F$85:$TN$85,1,MATCH(TODAY(),宏观数据!$F$1:$TN$1,1)-60+15)))</f>
        <v>1.4</v>
      </c>
      <c r="Q20" s="2">
        <f ca="1">IF(ISERROR(INDEX(宏观数据!$F$85:$TN$85,1,MATCH(TODAY(),宏观数据!$F$1:$TN$1,1)-60+16)),NA(),IF(INDEX(宏观数据!$F$85:$TN$85,1,MATCH(TODAY(),宏观数据!$F$1:$TN$1,1)-60+16)=0,NA(),INDEX(宏观数据!$F$85:$TN$85,1,MATCH(TODAY(),宏观数据!$F$1:$TN$1,1)-60+16)))</f>
        <v>1.4</v>
      </c>
      <c r="R20" s="2">
        <f ca="1">IF(ISERROR(INDEX(宏观数据!$F$85:$TN$85,1,MATCH(TODAY(),宏观数据!$F$1:$TN$1,1)-60+17)),NA(),IF(INDEX(宏观数据!$F$85:$TN$85,1,MATCH(TODAY(),宏观数据!$F$1:$TN$1,1)-60+17)=0,NA(),INDEX(宏观数据!$F$85:$TN$85,1,MATCH(TODAY(),宏观数据!$F$1:$TN$1,1)-60+17)))</f>
        <v>1.4</v>
      </c>
      <c r="S20" s="2" t="e">
        <f ca="1">IF(ISERROR(INDEX(宏观数据!$F$85:$TN$85,1,MATCH(TODAY(),宏观数据!$F$1:$TN$1,1)-60+18)),NA(),IF(INDEX(宏观数据!$F$85:$TN$85,1,MATCH(TODAY(),宏观数据!$F$1:$TN$1,1)-60+18)=0,NA(),INDEX(宏观数据!$F$85:$TN$85,1,MATCH(TODAY(),宏观数据!$F$1:$TN$1,1)-60+18)))</f>
        <v>#N/A</v>
      </c>
      <c r="T20" s="2" t="e">
        <f ca="1">IF(ISERROR(INDEX(宏观数据!$F$85:$TN$85,1,MATCH(TODAY(),宏观数据!$F$1:$TN$1,1)-60+19)),NA(),IF(INDEX(宏观数据!$F$85:$TN$85,1,MATCH(TODAY(),宏观数据!$F$1:$TN$1,1)-60+19)=0,NA(),INDEX(宏观数据!$F$85:$TN$85,1,MATCH(TODAY(),宏观数据!$F$1:$TN$1,1)-60+19)))</f>
        <v>#N/A</v>
      </c>
      <c r="U20" t="e">
        <f ca="1">IF(ISERROR(INDEX(宏观数据!$F$85:$TN$85,1,MATCH(TODAY(),宏观数据!$F$1:$TN$1,1)-60+20)),NA(),IF(INDEX(宏观数据!$F$85:$TN$85,1,MATCH(TODAY(),宏观数据!$F$1:$TN$1,1)-60+20)=0,NA(),INDEX(宏观数据!$F$85:$TN$85,1,MATCH(TODAY(),宏观数据!$F$1:$TN$1,1)-60+20)))</f>
        <v>#N/A</v>
      </c>
      <c r="V20" t="e">
        <f ca="1">IF(ISERROR(INDEX(宏观数据!$F$85:$TN$85,1,MATCH(TODAY(),宏观数据!$F$1:$TN$1,1)-60+21)),NA(),IF(INDEX(宏观数据!$F$85:$TN$85,1,MATCH(TODAY(),宏观数据!$F$1:$TN$1,1)-60+21)=0,NA(),INDEX(宏观数据!$F$85:$TN$85,1,MATCH(TODAY(),宏观数据!$F$1:$TN$1,1)-60+21)))</f>
        <v>#N/A</v>
      </c>
      <c r="W20" t="e">
        <f ca="1">IF(ISERROR(INDEX(宏观数据!$F$85:$TN$85,1,MATCH(TODAY(),宏观数据!$F$1:$TN$1,1)-60+22)),NA(),IF(INDEX(宏观数据!$F$85:$TN$85,1,MATCH(TODAY(),宏观数据!$F$1:$TN$1,1)-60+22)=0,NA(),INDEX(宏观数据!$F$85:$TN$85,1,MATCH(TODAY(),宏观数据!$F$1:$TN$1,1)-60+22)))</f>
        <v>#N/A</v>
      </c>
      <c r="X20" s="2">
        <f ca="1">IF(ISERROR(INDEX(宏观数据!$F$85:$TN$85,1,MATCH(TODAY(),宏观数据!$F$1:$TN$1,1)-60+23)),NA(),IF(INDEX(宏观数据!$F$85:$TN$85,1,MATCH(TODAY(),宏观数据!$F$1:$TN$1,1)-60+23)=0,NA(),INDEX(宏观数据!$F$85:$TN$85,1,MATCH(TODAY(),宏观数据!$F$1:$TN$1,1)-60+23)))</f>
        <v>1.4</v>
      </c>
      <c r="Y20" s="2">
        <f ca="1">IF(ISERROR(INDEX(宏观数据!$F$85:$TN$85,1,MATCH(TODAY(),宏观数据!$F$1:$TN$1,1)-60+24)),NA(),IF(INDEX(宏观数据!$F$85:$TN$85,1,MATCH(TODAY(),宏观数据!$F$1:$TN$1,1)-60+24)=0,NA(),INDEX(宏观数据!$F$85:$TN$85,1,MATCH(TODAY(),宏观数据!$F$1:$TN$1,1)-60+24)))</f>
        <v>1.4</v>
      </c>
      <c r="Z20" s="2">
        <f ca="1">IF(ISERROR(INDEX(宏观数据!$F$85:$TN$85,1,MATCH(TODAY(),宏观数据!$F$1:$TN$1,1)-60+25)),NA(),IF(INDEX(宏观数据!$F$85:$TN$85,1,MATCH(TODAY(),宏观数据!$F$1:$TN$1,1)-60+25)=0,NA(),INDEX(宏观数据!$F$85:$TN$85,1,MATCH(TODAY(),宏观数据!$F$1:$TN$1,1)-60+25)))</f>
        <v>1.4</v>
      </c>
      <c r="AA20" s="2">
        <f ca="1">IF(ISERROR(INDEX(宏观数据!$F$85:$TN$85,1,MATCH(TODAY(),宏观数据!$F$1:$TN$1,1)-60+26)),NA(),IF(INDEX(宏观数据!$F$85:$TN$85,1,MATCH(TODAY(),宏观数据!$F$1:$TN$1,1)-60+26)=0,NA(),INDEX(宏观数据!$F$85:$TN$85,1,MATCH(TODAY(),宏观数据!$F$1:$TN$1,1)-60+26)))</f>
        <v>1.4</v>
      </c>
      <c r="AB20" t="e">
        <f ca="1">IF(ISERROR(INDEX(宏观数据!$F$85:$TN$85,1,MATCH(TODAY(),宏观数据!$F$1:$TN$1,1)-60+27)),NA(),IF(INDEX(宏观数据!$F$85:$TN$85,1,MATCH(TODAY(),宏观数据!$F$1:$TN$1,1)-60+27)=0,NA(),INDEX(宏观数据!$F$85:$TN$85,1,MATCH(TODAY(),宏观数据!$F$1:$TN$1,1)-60+27)))</f>
        <v>#N/A</v>
      </c>
      <c r="AC20">
        <f ca="1">IF(ISERROR(INDEX(宏观数据!$F$85:$TN$85,1,MATCH(TODAY(),宏观数据!$F$1:$TN$1,1)-60+28)),NA(),IF(INDEX(宏观数据!$F$85:$TN$85,1,MATCH(TODAY(),宏观数据!$F$1:$TN$1,1)-60+28)=0,NA(),INDEX(宏观数据!$F$85:$TN$85,1,MATCH(TODAY(),宏观数据!$F$1:$TN$1,1)-60+28)))</f>
        <v>1.4</v>
      </c>
      <c r="AD20" s="2">
        <f ca="1">IF(ISERROR(INDEX(宏观数据!$F$85:$TN$85,1,MATCH(TODAY(),宏观数据!$F$1:$TN$1,1)-60+29)),NA(),IF(INDEX(宏观数据!$F$85:$TN$85,1,MATCH(TODAY(),宏观数据!$F$1:$TN$1,1)-60+29)=0,NA(),INDEX(宏观数据!$F$85:$TN$85,1,MATCH(TODAY(),宏观数据!$F$1:$TN$1,1)-60+29)))</f>
        <v>1.4</v>
      </c>
      <c r="AE20" s="2">
        <f ca="1">IF(ISERROR(INDEX(宏观数据!$F$85:$TN$85,1,MATCH(TODAY(),宏观数据!$F$1:$TN$1,1)-60+30)),NA(),IF(INDEX(宏观数据!$F$85:$TN$85,1,MATCH(TODAY(),宏观数据!$F$1:$TN$1,1)-60+30)=0,NA(),INDEX(宏观数据!$F$85:$TN$85,1,MATCH(TODAY(),宏观数据!$F$1:$TN$1,1)-60+30)))</f>
        <v>1.4</v>
      </c>
      <c r="AF20" s="2">
        <f ca="1">IF(ISERROR(INDEX(宏观数据!$F$85:$TN$85,1,MATCH(TODAY(),宏观数据!$F$1:$TN$1,1)-60+31)),NA(),IF(INDEX(宏观数据!$F$85:$TN$85,1,MATCH(TODAY(),宏观数据!$F$1:$TN$1,1)-60+31)=0,NA(),INDEX(宏观数据!$F$85:$TN$85,1,MATCH(TODAY(),宏观数据!$F$1:$TN$1,1)-60+31)))</f>
        <v>1.4</v>
      </c>
      <c r="AG20" s="2">
        <f ca="1">IF(ISERROR(INDEX(宏观数据!$F$85:$TN$85,1,MATCH(TODAY(),宏观数据!$F$1:$TN$1,1)-60+32)),NA(),IF(INDEX(宏观数据!$F$85:$TN$85,1,MATCH(TODAY(),宏观数据!$F$1:$TN$1,1)-60+32)=0,NA(),INDEX(宏观数据!$F$85:$TN$85,1,MATCH(TODAY(),宏观数据!$F$1:$TN$1,1)-60+32)))</f>
        <v>1.4</v>
      </c>
      <c r="AH20" s="2" t="e">
        <f ca="1">IF(ISERROR(INDEX(宏观数据!$F$85:$TN$85,1,MATCH(TODAY(),宏观数据!$F$1:$TN$1,1)-60+33)),NA(),IF(INDEX(宏观数据!$F$85:$TN$85,1,MATCH(TODAY(),宏观数据!$F$1:$TN$1,1)-60+33)=0,NA(),INDEX(宏观数据!$F$85:$TN$85,1,MATCH(TODAY(),宏观数据!$F$1:$TN$1,1)-60+33)))</f>
        <v>#N/A</v>
      </c>
      <c r="AI20" t="e">
        <f ca="1">IF(ISERROR(INDEX(宏观数据!$F$85:$TN$85,1,MATCH(TODAY(),宏观数据!$F$1:$TN$1,1)-60+34)),NA(),IF(INDEX(宏观数据!$F$85:$TN$85,1,MATCH(TODAY(),宏观数据!$F$1:$TN$1,1)-60+34)=0,NA(),INDEX(宏观数据!$F$85:$TN$85,1,MATCH(TODAY(),宏观数据!$F$1:$TN$1,1)-60+34)))</f>
        <v>#N/A</v>
      </c>
      <c r="AJ20">
        <f ca="1">IF(ISERROR(INDEX(宏观数据!$F$85:$TN$85,1,MATCH(TODAY(),宏观数据!$F$1:$TN$1,1)-60+35)),NA(),IF(INDEX(宏观数据!$F$85:$TN$85,1,MATCH(TODAY(),宏观数据!$F$1:$TN$1,1)-60+35)=0,NA(),INDEX(宏观数据!$F$85:$TN$85,1,MATCH(TODAY(),宏观数据!$F$1:$TN$1,1)-60+35)))</f>
        <v>1.4</v>
      </c>
      <c r="AK20" s="2">
        <f ca="1">IF(ISERROR(INDEX(宏观数据!$F$85:$TN$85,1,MATCH(TODAY(),宏观数据!$F$1:$TN$1,1)-60+36)),NA(),IF(INDEX(宏观数据!$F$85:$TN$85,1,MATCH(TODAY(),宏观数据!$F$1:$TN$1,1)-60+36)=0,NA(),INDEX(宏观数据!$F$85:$TN$85,1,MATCH(TODAY(),宏观数据!$F$1:$TN$1,1)-60+36)))</f>
        <v>1.4</v>
      </c>
      <c r="AL20" s="2">
        <f ca="1">IF(ISERROR(INDEX(宏观数据!$F$85:$TN$85,1,MATCH(TODAY(),宏观数据!$F$1:$TN$1,1)-60+37)),NA(),IF(INDEX(宏观数据!$F$85:$TN$85,1,MATCH(TODAY(),宏观数据!$F$1:$TN$1,1)-60+37)=0,NA(),INDEX(宏观数据!$F$85:$TN$85,1,MATCH(TODAY(),宏观数据!$F$1:$TN$1,1)-60+37)))</f>
        <v>1.4</v>
      </c>
      <c r="AM20" s="2">
        <f ca="1">IF(ISERROR(INDEX(宏观数据!$F$85:$TN$85,1,MATCH(TODAY(),宏观数据!$F$1:$TN$1,1)-60+38)),NA(),IF(INDEX(宏观数据!$F$85:$TN$85,1,MATCH(TODAY(),宏观数据!$F$1:$TN$1,1)-60+38)=0,NA(),INDEX(宏观数据!$F$85:$TN$85,1,MATCH(TODAY(),宏观数据!$F$1:$TN$1,1)-60+38)))</f>
        <v>1.4</v>
      </c>
      <c r="AN20" s="2">
        <f ca="1">IF(ISERROR(INDEX(宏观数据!$F$85:$TN$85,1,MATCH(TODAY(),宏观数据!$F$1:$TN$1,1)-60+39)),NA(),IF(INDEX(宏观数据!$F$85:$TN$85,1,MATCH(TODAY(),宏观数据!$F$1:$TN$1,1)-60+39)=0,NA(),INDEX(宏观数据!$F$85:$TN$85,1,MATCH(TODAY(),宏观数据!$F$1:$TN$1,1)-60+39)))</f>
        <v>1.4</v>
      </c>
      <c r="AO20" s="2" t="e">
        <f ca="1">IF(ISERROR(INDEX(宏观数据!$F$85:$TN$85,1,MATCH(TODAY(),宏观数据!$F$1:$TN$1,1)-60+40)),NA(),IF(INDEX(宏观数据!$F$85:$TN$85,1,MATCH(TODAY(),宏观数据!$F$1:$TN$1,1)-60+40)=0,NA(),INDEX(宏观数据!$F$85:$TN$85,1,MATCH(TODAY(),宏观数据!$F$1:$TN$1,1)-60+40)))</f>
        <v>#N/A</v>
      </c>
      <c r="AP20" t="e">
        <f ca="1">IF(ISERROR(INDEX(宏观数据!$F$85:$TN$85,1,MATCH(TODAY(),宏观数据!$F$1:$TN$1,1)-60+41)),NA(),IF(INDEX(宏观数据!$F$85:$TN$85,1,MATCH(TODAY(),宏观数据!$F$1:$TN$1,1)-60+41)=0,NA(),INDEX(宏观数据!$F$85:$TN$85,1,MATCH(TODAY(),宏观数据!$F$1:$TN$1,1)-60+41)))</f>
        <v>#N/A</v>
      </c>
      <c r="AQ20">
        <f ca="1">IF(ISERROR(INDEX(宏观数据!$F$85:$TN$85,1,MATCH(TODAY(),宏观数据!$F$1:$TN$1,1)-60+42)),NA(),IF(INDEX(宏观数据!$F$85:$TN$85,1,MATCH(TODAY(),宏观数据!$F$1:$TN$1,1)-60+42)=0,NA(),INDEX(宏观数据!$F$85:$TN$85,1,MATCH(TODAY(),宏观数据!$F$1:$TN$1,1)-60+42)))</f>
        <v>1.4</v>
      </c>
      <c r="AR20" s="2">
        <f ca="1">IF(ISERROR(INDEX(宏观数据!$F$85:$TN$85,1,MATCH(TODAY(),宏观数据!$F$1:$TN$1,1)-60+43)),NA(),IF(INDEX(宏观数据!$F$85:$TN$85,1,MATCH(TODAY(),宏观数据!$F$1:$TN$1,1)-60+43)=0,NA(),INDEX(宏观数据!$F$85:$TN$85,1,MATCH(TODAY(),宏观数据!$F$1:$TN$1,1)-60+43)))</f>
        <v>1.4</v>
      </c>
      <c r="AS20" s="2">
        <f ca="1">IF(ISERROR(INDEX(宏观数据!$F$85:$TN$85,1,MATCH(TODAY(),宏观数据!$F$1:$TN$1,1)-60+44)),NA(),IF(INDEX(宏观数据!$F$85:$TN$85,1,MATCH(TODAY(),宏观数据!$F$1:$TN$1,1)-60+44)=0,NA(),INDEX(宏观数据!$F$85:$TN$85,1,MATCH(TODAY(),宏观数据!$F$1:$TN$1,1)-60+44)))</f>
        <v>1.4</v>
      </c>
      <c r="AT20" s="2">
        <f ca="1">IF(ISERROR(INDEX(宏观数据!$F$85:$TN$85,1,MATCH(TODAY(),宏观数据!$F$1:$TN$1,1)-60+45)),NA(),IF(INDEX(宏观数据!$F$85:$TN$85,1,MATCH(TODAY(),宏观数据!$F$1:$TN$1,1)-60+45)=0,NA(),INDEX(宏观数据!$F$85:$TN$85,1,MATCH(TODAY(),宏观数据!$F$1:$TN$1,1)-60+45)))</f>
        <v>1.4</v>
      </c>
      <c r="AU20" s="2">
        <f ca="1">IF(ISERROR(INDEX(宏观数据!$F$85:$TN$85,1,MATCH(TODAY(),宏观数据!$F$1:$TN$1,1)-60+46)),NA(),IF(INDEX(宏观数据!$F$85:$TN$85,1,MATCH(TODAY(),宏观数据!$F$1:$TN$1,1)-60+46)=0,NA(),INDEX(宏观数据!$F$85:$TN$85,1,MATCH(TODAY(),宏观数据!$F$1:$TN$1,1)-60+46)))</f>
        <v>1.4</v>
      </c>
      <c r="AV20" t="e">
        <f ca="1">IF(ISERROR(INDEX(宏观数据!$F$85:$TN$85,1,MATCH(TODAY(),宏观数据!$F$1:$TN$1,1)-60+47)),NA(),IF(INDEX(宏观数据!$F$85:$TN$85,1,MATCH(TODAY(),宏观数据!$F$1:$TN$1,1)-60+47)=0,NA(),INDEX(宏观数据!$F$85:$TN$85,1,MATCH(TODAY(),宏观数据!$F$1:$TN$1,1)-60+47)))</f>
        <v>#N/A</v>
      </c>
      <c r="AW20" t="e">
        <f ca="1">IF(ISERROR(INDEX(宏观数据!$F$85:$TN$85,1,MATCH(TODAY(),宏观数据!$F$1:$TN$1,1)-60+48)),NA(),IF(INDEX(宏观数据!$F$85:$TN$85,1,MATCH(TODAY(),宏观数据!$F$1:$TN$1,1)-60+48)=0,NA(),INDEX(宏观数据!$F$85:$TN$85,1,MATCH(TODAY(),宏观数据!$F$1:$TN$1,1)-60+48)))</f>
        <v>#N/A</v>
      </c>
      <c r="AX20">
        <f ca="1">IF(ISERROR(INDEX(宏观数据!$F$85:$TN$85,1,MATCH(TODAY(),宏观数据!$F$1:$TN$1,1)-60+49)),NA(),IF(INDEX(宏观数据!$F$85:$TN$85,1,MATCH(TODAY(),宏观数据!$F$1:$TN$1,1)-60+49)=0,NA(),INDEX(宏观数据!$F$85:$TN$85,1,MATCH(TODAY(),宏观数据!$F$1:$TN$1,1)-60+49)))</f>
        <v>1.4</v>
      </c>
      <c r="AY20">
        <f ca="1">IF(ISERROR(INDEX(宏观数据!$F$85:$TN$85,1,MATCH(TODAY(),宏观数据!$F$1:$TN$1,1)-60+50)),NA(),IF(INDEX(宏观数据!$F$85:$TN$85,1,MATCH(TODAY(),宏观数据!$F$1:$TN$1,1)-60+50)=0,NA(),INDEX(宏观数据!$F$85:$TN$85,1,MATCH(TODAY(),宏观数据!$F$1:$TN$1,1)-60+50)))</f>
        <v>1.4</v>
      </c>
      <c r="AZ20" t="e">
        <f ca="1">IF(ISERROR(INDEX(宏观数据!$F$85:$TN$85,1,MATCH(TODAY(),宏观数据!$F$1:$TN$1,1)-60+51)),NA(),IF(INDEX(宏观数据!$F$85:$TN$85,1,MATCH(TODAY(),宏观数据!$F$1:$TN$1,1)-60+51)=0,NA(),INDEX(宏观数据!$F$85:$TN$85,1,MATCH(TODAY(),宏观数据!$F$1:$TN$1,1)-60+51)))</f>
        <v>#N/A</v>
      </c>
      <c r="BA20" s="2" t="e">
        <f ca="1">IF(ISERROR(INDEX(宏观数据!$F$85:$TN$85,1,MATCH(TODAY(),宏观数据!$F$1:$TN$1,1)-60+52)),NA(),IF(INDEX(宏观数据!$F$85:$TN$85,1,MATCH(TODAY(),宏观数据!$F$1:$TN$1,1)-60+52)=0,NA(),INDEX(宏观数据!$F$85:$TN$85,1,MATCH(TODAY(),宏观数据!$F$1:$TN$1,1)-60+52)))</f>
        <v>#N/A</v>
      </c>
      <c r="BB20" s="2">
        <f ca="1">IF(ISERROR(INDEX(宏观数据!$F$85:$TN$85,1,MATCH(TODAY(),宏观数据!$F$1:$TN$1,1)-60+53)),NA(),IF(INDEX(宏观数据!$F$85:$TN$85,1,MATCH(TODAY(),宏观数据!$F$1:$TN$1,1)-60+53)=0,NA(),INDEX(宏观数据!$F$85:$TN$85,1,MATCH(TODAY(),宏观数据!$F$1:$TN$1,1)-60+53)))</f>
        <v>1.4</v>
      </c>
      <c r="BC20" s="2" t="e">
        <f ca="1">IF(ISERROR(INDEX(宏观数据!$F$85:$TN$85,1,MATCH(TODAY(),宏观数据!$F$1:$TN$1,1)-60+54)),NA(),IF(INDEX(宏观数据!$F$85:$TN$85,1,MATCH(TODAY(),宏观数据!$F$1:$TN$1,1)-60+54)=0,NA(),INDEX(宏观数据!$F$85:$TN$85,1,MATCH(TODAY(),宏观数据!$F$1:$TN$1,1)-60+54)))</f>
        <v>#N/A</v>
      </c>
      <c r="BD20" s="2" t="e">
        <f ca="1">IF(ISERROR(INDEX(宏观数据!$F$85:$TN$85,1,MATCH(TODAY(),宏观数据!$F$1:$TN$1,1)-60+55)),NA(),IF(INDEX(宏观数据!$F$85:$TN$85,1,MATCH(TODAY(),宏观数据!$F$1:$TN$1,1)-60+55)=0,NA(),INDEX(宏观数据!$F$85:$TN$85,1,MATCH(TODAY(),宏观数据!$F$1:$TN$1,1)-60+55)))</f>
        <v>#N/A</v>
      </c>
      <c r="BE20">
        <f ca="1">IF(ISERROR(INDEX(宏观数据!$F$85:$TN$85,1,MATCH(TODAY(),宏观数据!$F$1:$TN$1,1)-60+56)),NA(),IF(INDEX(宏观数据!$F$85:$TN$85,1,MATCH(TODAY(),宏观数据!$F$1:$TN$1,1)-60+56)=0,NA(),INDEX(宏观数据!$F$85:$TN$85,1,MATCH(TODAY(),宏观数据!$F$1:$TN$1,1)-60+56)))</f>
        <v>1.4</v>
      </c>
      <c r="BF20" s="2">
        <f ca="1">IF(ISERROR(INDEX(宏观数据!$F$85:$TN$85,1,MATCH(TODAY(),宏观数据!$F$1:$TN$1,1)-60+57)),NA(),IF(INDEX(宏观数据!$F$85:$TN$85,1,MATCH(TODAY(),宏观数据!$F$1:$TN$1,1)-60+57)=0,NA(),INDEX(宏观数据!$F$85:$TN$85,1,MATCH(TODAY(),宏观数据!$F$1:$TN$1,1)-60+57)))</f>
        <v>1.4</v>
      </c>
      <c r="BG20" s="2">
        <f ca="1">IF(ISERROR(INDEX(宏观数据!$F$85:$TN$85,1,MATCH(TODAY(),宏观数据!$F$1:$TN$1,1)-60+58)),NA(),IF(INDEX(宏观数据!$F$85:$TN$85,1,MATCH(TODAY(),宏观数据!$F$1:$TN$1,1)-60+58)=0,NA(),INDEX(宏观数据!$F$85:$TN$85,1,MATCH(TODAY(),宏观数据!$F$1:$TN$1,1)-60+58)))</f>
        <v>1.4</v>
      </c>
      <c r="BH20" s="2">
        <f ca="1">IF(ISERROR(INDEX(宏观数据!$F$85:$TN$85,1,MATCH(TODAY(),宏观数据!$F$1:$TN$1,1)-60+59)),NA(),IF(INDEX(宏观数据!$F$85:$TN$85,1,MATCH(TODAY(),宏观数据!$F$1:$TN$1,1)-60+59)=0,NA(),INDEX(宏观数据!$F$85:$TN$85,1,MATCH(TODAY(),宏观数据!$F$1:$TN$1,1)-60+59)))</f>
        <v>1.4</v>
      </c>
      <c r="BI20" s="2">
        <f ca="1">IF(ISERROR(INDEX(宏观数据!$F$85:$TN$85,1,MATCH(TODAY(),宏观数据!$F$1:$TN$1,1)-60+60)),NA(),IF(INDEX(宏观数据!$F$85:$TN$85,1,MATCH(TODAY(),宏观数据!$F$1:$TN$1,1)-60+60)=0,NA(),INDEX(宏观数据!$F$85:$TN$85,1,MATCH(TODAY(),宏观数据!$F$1:$TN$1,1)-60+60)))</f>
        <v>1.4</v>
      </c>
    </row>
    <row r="21" ht="16.5" customHeight="1" spans="1:61">
      <c r="A21" t="s">
        <v>625</v>
      </c>
      <c r="B21" s="2">
        <f ca="1">IF(ISERROR(INDEX(宏观数据!$F$79:$TN$79,1,MATCH(TODAY(),宏观数据!$F$1:$TN$1,1)-60+1)),NA(),IF(AND(INDEX(宏观数据!$F$79:$TN$79,1,MATCH(TODAY(),宏观数据!$F$1:$TN$1,1)-60+1)=0,INDEX(宏观数据!$F$82:$TN$82,1,MATCH(TODAY(),宏观数据!$F$1:$TN$1,1)-60+1)=0),NA(),INDEX(宏观数据!$F$79:$TN$79,1,MATCH(TODAY(),宏观数据!$F$1:$TN$1,1)-60+1)))</f>
        <v>5</v>
      </c>
      <c r="C21" s="2">
        <f ca="1">IF(ISERROR(INDEX(宏观数据!$F$79:$TN$79,1,MATCH(TODAY(),宏观数据!$F$1:$TN$1,1)-60+2)),NA(),IF(AND(INDEX(宏观数据!$F$79:$TN$79,1,MATCH(TODAY(),宏观数据!$F$1:$TN$1,1)-60+2)=0,INDEX(宏观数据!$F$82:$TN$82,1,MATCH(TODAY(),宏观数据!$F$1:$TN$1,1)-60+2)=0),NA(),INDEX(宏观数据!$F$79:$TN$79,1,MATCH(TODAY(),宏观数据!$F$1:$TN$1,1)-60+2)))</f>
        <v>0</v>
      </c>
      <c r="D21" s="2">
        <f ca="1">IF(ISERROR(INDEX(宏观数据!$F$79:$TN$79,1,MATCH(TODAY(),宏观数据!$F$1:$TN$1,1)-60+3)),NA(),IF(AND(INDEX(宏观数据!$F$79:$TN$79,1,MATCH(TODAY(),宏观数据!$F$1:$TN$1,1)-60+3)=0,INDEX(宏观数据!$F$82:$TN$82,1,MATCH(TODAY(),宏观数据!$F$1:$TN$1,1)-60+3)=0),NA(),INDEX(宏观数据!$F$79:$TN$79,1,MATCH(TODAY(),宏观数据!$F$1:$TN$1,1)-60+3)))</f>
        <v>0</v>
      </c>
      <c r="E21" s="2">
        <f ca="1">IF(ISERROR(INDEX(宏观数据!$F$79:$TN$79,1,MATCH(TODAY(),宏观数据!$F$1:$TN$1,1)-60+4)),NA(),IF(AND(INDEX(宏观数据!$F$79:$TN$79,1,MATCH(TODAY(),宏观数据!$F$1:$TN$1,1)-60+4)=0,INDEX(宏观数据!$F$82:$TN$82,1,MATCH(TODAY(),宏观数据!$F$1:$TN$1,1)-60+4)=0),NA(),INDEX(宏观数据!$F$79:$TN$79,1,MATCH(TODAY(),宏观数据!$F$1:$TN$1,1)-60+4)))</f>
        <v>-15</v>
      </c>
      <c r="F21" s="2" t="e">
        <f ca="1">IF(ISERROR(INDEX(宏观数据!$F$79:$TN$79,1,MATCH(TODAY(),宏观数据!$F$1:$TN$1,1)-60+5)),NA(),IF(AND(INDEX(宏观数据!$F$79:$TN$79,1,MATCH(TODAY(),宏观数据!$F$1:$TN$1,1)-60+5)=0,INDEX(宏观数据!$F$82:$TN$82,1,MATCH(TODAY(),宏观数据!$F$1:$TN$1,1)-60+5)=0),NA(),INDEX(宏观数据!$F$79:$TN$79,1,MATCH(TODAY(),宏观数据!$F$1:$TN$1,1)-60+5)))</f>
        <v>#N/A</v>
      </c>
      <c r="G21" t="e">
        <f ca="1">IF(ISERROR(INDEX(宏观数据!$F$79:$TN$79,1,MATCH(TODAY(),宏观数据!$F$1:$TN$1,1)-60+6)),NA(),IF(AND(INDEX(宏观数据!$F$79:$TN$79,1,MATCH(TODAY(),宏观数据!$F$1:$TN$1,1)-60+6)=0,INDEX(宏观数据!$F$82:$TN$82,1,MATCH(TODAY(),宏观数据!$F$1:$TN$1,1)-60+6)=0),NA(),INDEX(宏观数据!$F$79:$TN$79,1,MATCH(TODAY(),宏观数据!$F$1:$TN$1,1)-60+6)))</f>
        <v>#N/A</v>
      </c>
      <c r="H21">
        <f ca="1">IF(ISERROR(INDEX(宏观数据!$F$79:$TN$79,1,MATCH(TODAY(),宏观数据!$F$1:$TN$1,1)-60+7)),NA(),IF(AND(INDEX(宏观数据!$F$79:$TN$79,1,MATCH(TODAY(),宏观数据!$F$1:$TN$1,1)-60+7)=0,INDEX(宏观数据!$F$82:$TN$82,1,MATCH(TODAY(),宏观数据!$F$1:$TN$1,1)-60+7)=0),NA(),INDEX(宏观数据!$F$79:$TN$79,1,MATCH(TODAY(),宏观数据!$F$1:$TN$1,1)-60+7)))</f>
        <v>0</v>
      </c>
      <c r="I21" s="2">
        <f ca="1">IF(ISERROR(INDEX(宏观数据!$F$79:$TN$79,1,MATCH(TODAY(),宏观数据!$F$1:$TN$1,1)-60+8)),NA(),IF(AND(INDEX(宏观数据!$F$79:$TN$79,1,MATCH(TODAY(),宏观数据!$F$1:$TN$1,1)-60+8)=0,INDEX(宏观数据!$F$82:$TN$82,1,MATCH(TODAY(),宏观数据!$F$1:$TN$1,1)-60+8)=0),NA(),INDEX(宏观数据!$F$79:$TN$79,1,MATCH(TODAY(),宏观数据!$F$1:$TN$1,1)-60+8)))</f>
        <v>40</v>
      </c>
      <c r="J21" s="2">
        <f ca="1">IF(ISERROR(INDEX(宏观数据!$F$79:$TN$79,1,MATCH(TODAY(),宏观数据!$F$1:$TN$1,1)-60+9)),NA(),IF(AND(INDEX(宏观数据!$F$79:$TN$79,1,MATCH(TODAY(),宏观数据!$F$1:$TN$1,1)-60+9)=0,INDEX(宏观数据!$F$82:$TN$82,1,MATCH(TODAY(),宏观数据!$F$1:$TN$1,1)-60+9)=0),NA(),INDEX(宏观数据!$F$79:$TN$79,1,MATCH(TODAY(),宏观数据!$F$1:$TN$1,1)-60+9)))</f>
        <v>55</v>
      </c>
      <c r="K21" s="2">
        <f ca="1">IF(ISERROR(INDEX(宏观数据!$F$79:$TN$79,1,MATCH(TODAY(),宏观数据!$F$1:$TN$1,1)-60+10)),NA(),IF(AND(INDEX(宏观数据!$F$79:$TN$79,1,MATCH(TODAY(),宏观数据!$F$1:$TN$1,1)-60+10)=0,INDEX(宏观数据!$F$82:$TN$82,1,MATCH(TODAY(),宏观数据!$F$1:$TN$1,1)-60+10)=0),NA(),INDEX(宏观数据!$F$79:$TN$79,1,MATCH(TODAY(),宏观数据!$F$1:$TN$1,1)-60+10)))</f>
        <v>0</v>
      </c>
      <c r="L21" s="2">
        <f ca="1">IF(ISERROR(INDEX(宏观数据!$F$79:$TN$79,1,MATCH(TODAY(),宏观数据!$F$1:$TN$1,1)-60+11)),NA(),IF(AND(INDEX(宏观数据!$F$79:$TN$79,1,MATCH(TODAY(),宏观数据!$F$1:$TN$1,1)-60+11)=0,INDEX(宏观数据!$F$82:$TN$82,1,MATCH(TODAY(),宏观数据!$F$1:$TN$1,1)-60+11)=0),NA(),INDEX(宏观数据!$F$79:$TN$79,1,MATCH(TODAY(),宏观数据!$F$1:$TN$1,1)-60+11)))</f>
        <v>45</v>
      </c>
      <c r="M21" s="2" t="e">
        <f ca="1">IF(ISERROR(INDEX(宏观数据!$F$79:$TN$79,1,MATCH(TODAY(),宏观数据!$F$1:$TN$1,1)-60+12)),NA(),IF(AND(INDEX(宏观数据!$F$79:$TN$79,1,MATCH(TODAY(),宏观数据!$F$1:$TN$1,1)-60+12)=0,INDEX(宏观数据!$F$82:$TN$82,1,MATCH(TODAY(),宏观数据!$F$1:$TN$1,1)-60+12)=0),NA(),INDEX(宏观数据!$F$79:$TN$79,1,MATCH(TODAY(),宏观数据!$F$1:$TN$1,1)-60+12)))</f>
        <v>#N/A</v>
      </c>
      <c r="N21" t="e">
        <f ca="1">IF(ISERROR(INDEX(宏观数据!$F$79:$TN$79,1,MATCH(TODAY(),宏观数据!$F$1:$TN$1,1)-60+13)),NA(),IF(AND(INDEX(宏观数据!$F$79:$TN$79,1,MATCH(TODAY(),宏观数据!$F$1:$TN$1,1)-60+13)=0,INDEX(宏观数据!$F$82:$TN$82,1,MATCH(TODAY(),宏观数据!$F$1:$TN$1,1)-60+13)=0),NA(),INDEX(宏观数据!$F$79:$TN$79,1,MATCH(TODAY(),宏观数据!$F$1:$TN$1,1)-60+13)))</f>
        <v>#N/A</v>
      </c>
      <c r="O21">
        <f ca="1">IF(ISERROR(INDEX(宏观数据!$F$79:$TN$79,1,MATCH(TODAY(),宏观数据!$F$1:$TN$1,1)-60+14)),NA(),IF(AND(INDEX(宏观数据!$F$79:$TN$79,1,MATCH(TODAY(),宏观数据!$F$1:$TN$1,1)-60+14)=0,INDEX(宏观数据!$F$82:$TN$82,1,MATCH(TODAY(),宏观数据!$F$1:$TN$1,1)-60+14)=0),NA(),INDEX(宏观数据!$F$79:$TN$79,1,MATCH(TODAY(),宏观数据!$F$1:$TN$1,1)-60+14)))</f>
        <v>2180</v>
      </c>
      <c r="P21" s="2">
        <f ca="1">IF(ISERROR(INDEX(宏观数据!$F$79:$TN$79,1,MATCH(TODAY(),宏观数据!$F$1:$TN$1,1)-60+15)),NA(),IF(AND(INDEX(宏观数据!$F$79:$TN$79,1,MATCH(TODAY(),宏观数据!$F$1:$TN$1,1)-60+15)=0,INDEX(宏观数据!$F$82:$TN$82,1,MATCH(TODAY(),宏观数据!$F$1:$TN$1,1)-60+15)=0),NA(),INDEX(宏观数据!$F$79:$TN$79,1,MATCH(TODAY(),宏观数据!$F$1:$TN$1,1)-60+15)))</f>
        <v>385</v>
      </c>
      <c r="Q21" s="2">
        <f ca="1">IF(ISERROR(INDEX(宏观数据!$F$79:$TN$79,1,MATCH(TODAY(),宏观数据!$F$1:$TN$1,1)-60+16)),NA(),IF(AND(INDEX(宏观数据!$F$79:$TN$79,1,MATCH(TODAY(),宏观数据!$F$1:$TN$1,1)-60+16)=0,INDEX(宏观数据!$F$82:$TN$82,1,MATCH(TODAY(),宏观数据!$F$1:$TN$1,1)-60+16)=0),NA(),INDEX(宏观数据!$F$79:$TN$79,1,MATCH(TODAY(),宏观数据!$F$1:$TN$1,1)-60+16)))</f>
        <v>199</v>
      </c>
      <c r="R21" s="2">
        <f ca="1">IF(ISERROR(INDEX(宏观数据!$F$79:$TN$79,1,MATCH(TODAY(),宏观数据!$F$1:$TN$1,1)-60+17)),NA(),IF(AND(INDEX(宏观数据!$F$79:$TN$79,1,MATCH(TODAY(),宏观数据!$F$1:$TN$1,1)-60+17)=0,INDEX(宏观数据!$F$82:$TN$82,1,MATCH(TODAY(),宏观数据!$F$1:$TN$1,1)-60+17)=0),NA(),INDEX(宏观数据!$F$79:$TN$79,1,MATCH(TODAY(),宏观数据!$F$1:$TN$1,1)-60+17)))</f>
        <v>1257</v>
      </c>
      <c r="S21" s="2" t="e">
        <f ca="1">IF(ISERROR(INDEX(宏观数据!$F$79:$TN$79,1,MATCH(TODAY(),宏观数据!$F$1:$TN$1,1)-60+18)),NA(),IF(AND(INDEX(宏观数据!$F$79:$TN$79,1,MATCH(TODAY(),宏观数据!$F$1:$TN$1,1)-60+18)=0,INDEX(宏观数据!$F$82:$TN$82,1,MATCH(TODAY(),宏观数据!$F$1:$TN$1,1)-60+18)=0),NA(),INDEX(宏观数据!$F$79:$TN$79,1,MATCH(TODAY(),宏观数据!$F$1:$TN$1,1)-60+18)))</f>
        <v>#N/A</v>
      </c>
      <c r="T21" s="2" t="e">
        <f ca="1">IF(ISERROR(INDEX(宏观数据!$F$79:$TN$79,1,MATCH(TODAY(),宏观数据!$F$1:$TN$1,1)-60+19)),NA(),IF(AND(INDEX(宏观数据!$F$79:$TN$79,1,MATCH(TODAY(),宏观数据!$F$1:$TN$1,1)-60+19)=0,INDEX(宏观数据!$F$82:$TN$82,1,MATCH(TODAY(),宏观数据!$F$1:$TN$1,1)-60+19)=0),NA(),INDEX(宏观数据!$F$79:$TN$79,1,MATCH(TODAY(),宏观数据!$F$1:$TN$1,1)-60+19)))</f>
        <v>#N/A</v>
      </c>
      <c r="U21" t="e">
        <f ca="1">IF(ISERROR(INDEX(宏观数据!$F$79:$TN$79,1,MATCH(TODAY(),宏观数据!$F$1:$TN$1,1)-60+20)),NA(),IF(AND(INDEX(宏观数据!$F$79:$TN$79,1,MATCH(TODAY(),宏观数据!$F$1:$TN$1,1)-60+20)=0,INDEX(宏观数据!$F$82:$TN$82,1,MATCH(TODAY(),宏观数据!$F$1:$TN$1,1)-60+20)=0),NA(),INDEX(宏观数据!$F$79:$TN$79,1,MATCH(TODAY(),宏观数据!$F$1:$TN$1,1)-60+20)))</f>
        <v>#N/A</v>
      </c>
      <c r="V21" t="e">
        <f ca="1">IF(ISERROR(INDEX(宏观数据!$F$79:$TN$79,1,MATCH(TODAY(),宏观数据!$F$1:$TN$1,1)-60+21)),NA(),IF(AND(INDEX(宏观数据!$F$79:$TN$79,1,MATCH(TODAY(),宏观数据!$F$1:$TN$1,1)-60+21)=0,INDEX(宏观数据!$F$82:$TN$82,1,MATCH(TODAY(),宏观数据!$F$1:$TN$1,1)-60+21)=0),NA(),INDEX(宏观数据!$F$79:$TN$79,1,MATCH(TODAY(),宏观数据!$F$1:$TN$1,1)-60+21)))</f>
        <v>#N/A</v>
      </c>
      <c r="W21" t="e">
        <f ca="1">IF(ISERROR(INDEX(宏观数据!$F$79:$TN$79,1,MATCH(TODAY(),宏观数据!$F$1:$TN$1,1)-60+22)),NA(),IF(AND(INDEX(宏观数据!$F$79:$TN$79,1,MATCH(TODAY(),宏观数据!$F$1:$TN$1,1)-60+22)=0,INDEX(宏观数据!$F$82:$TN$82,1,MATCH(TODAY(),宏观数据!$F$1:$TN$1,1)-60+22)=0),NA(),INDEX(宏观数据!$F$79:$TN$79,1,MATCH(TODAY(),宏观数据!$F$1:$TN$1,1)-60+22)))</f>
        <v>#N/A</v>
      </c>
      <c r="X21" s="2">
        <f ca="1">IF(ISERROR(INDEX(宏观数据!$F$79:$TN$79,1,MATCH(TODAY(),宏观数据!$F$1:$TN$1,1)-60+23)),NA(),IF(AND(INDEX(宏观数据!$F$79:$TN$79,1,MATCH(TODAY(),宏观数据!$F$1:$TN$1,1)-60+23)=0,INDEX(宏观数据!$F$82:$TN$82,1,MATCH(TODAY(),宏观数据!$F$1:$TN$1,1)-60+23)=0),NA(),INDEX(宏观数据!$F$79:$TN$79,1,MATCH(TODAY(),宏观数据!$F$1:$TN$1,1)-60+23)))</f>
        <v>-2669</v>
      </c>
      <c r="Y21" s="2">
        <f ca="1">IF(ISERROR(INDEX(宏观数据!$F$79:$TN$79,1,MATCH(TODAY(),宏观数据!$F$1:$TN$1,1)-60+24)),NA(),IF(AND(INDEX(宏观数据!$F$79:$TN$79,1,MATCH(TODAY(),宏观数据!$F$1:$TN$1,1)-60+24)=0,INDEX(宏观数据!$F$82:$TN$82,1,MATCH(TODAY(),宏观数据!$F$1:$TN$1,1)-60+24)=0),NA(),INDEX(宏观数据!$F$79:$TN$79,1,MATCH(TODAY(),宏观数据!$F$1:$TN$1,1)-60+24)))</f>
        <v>-992</v>
      </c>
      <c r="Z21" s="2">
        <f ca="1">IF(ISERROR(INDEX(宏观数据!$F$79:$TN$79,1,MATCH(TODAY(),宏观数据!$F$1:$TN$1,1)-60+25)),NA(),IF(AND(INDEX(宏观数据!$F$79:$TN$79,1,MATCH(TODAY(),宏观数据!$F$1:$TN$1,1)-60+25)=0,INDEX(宏观数据!$F$82:$TN$82,1,MATCH(TODAY(),宏观数据!$F$1:$TN$1,1)-60+25)=0),NA(),INDEX(宏观数据!$F$79:$TN$79,1,MATCH(TODAY(),宏观数据!$F$1:$TN$1,1)-60+25)))</f>
        <v>5</v>
      </c>
      <c r="AA21" s="2">
        <f ca="1">IF(ISERROR(INDEX(宏观数据!$F$79:$TN$79,1,MATCH(TODAY(),宏观数据!$F$1:$TN$1,1)-60+26)),NA(),IF(AND(INDEX(宏观数据!$F$79:$TN$79,1,MATCH(TODAY(),宏观数据!$F$1:$TN$1,1)-60+26)=0,INDEX(宏观数据!$F$82:$TN$82,1,MATCH(TODAY(),宏观数据!$F$1:$TN$1,1)-60+26)=0),NA(),INDEX(宏观数据!$F$79:$TN$79,1,MATCH(TODAY(),宏观数据!$F$1:$TN$1,1)-60+26)))</f>
        <v>5</v>
      </c>
      <c r="AB21" t="e">
        <f ca="1">IF(ISERROR(INDEX(宏观数据!$F$79:$TN$79,1,MATCH(TODAY(),宏观数据!$F$1:$TN$1,1)-60+27)),NA(),IF(AND(INDEX(宏观数据!$F$79:$TN$79,1,MATCH(TODAY(),宏观数据!$F$1:$TN$1,1)-60+27)=0,INDEX(宏观数据!$F$82:$TN$82,1,MATCH(TODAY(),宏观数据!$F$1:$TN$1,1)-60+27)=0),NA(),INDEX(宏观数据!$F$79:$TN$79,1,MATCH(TODAY(),宏观数据!$F$1:$TN$1,1)-60+27)))</f>
        <v>#N/A</v>
      </c>
      <c r="AC21">
        <f ca="1">IF(ISERROR(INDEX(宏观数据!$F$79:$TN$79,1,MATCH(TODAY(),宏观数据!$F$1:$TN$1,1)-60+28)),NA(),IF(AND(INDEX(宏观数据!$F$79:$TN$79,1,MATCH(TODAY(),宏观数据!$F$1:$TN$1,1)-60+28)=0,INDEX(宏观数据!$F$82:$TN$82,1,MATCH(TODAY(),宏观数据!$F$1:$TN$1,1)-60+28)=0),NA(),INDEX(宏观数据!$F$79:$TN$79,1,MATCH(TODAY(),宏观数据!$F$1:$TN$1,1)-60+28)))</f>
        <v>5</v>
      </c>
      <c r="AD21" s="2">
        <f ca="1">IF(ISERROR(INDEX(宏观数据!$F$79:$TN$79,1,MATCH(TODAY(),宏观数据!$F$1:$TN$1,1)-60+29)),NA(),IF(AND(INDEX(宏观数据!$F$79:$TN$79,1,MATCH(TODAY(),宏观数据!$F$1:$TN$1,1)-60+29)=0,INDEX(宏观数据!$F$82:$TN$82,1,MATCH(TODAY(),宏观数据!$F$1:$TN$1,1)-60+29)=0),NA(),INDEX(宏观数据!$F$79:$TN$79,1,MATCH(TODAY(),宏观数据!$F$1:$TN$1,1)-60+29)))</f>
        <v>5</v>
      </c>
      <c r="AE21" s="2">
        <f ca="1">IF(ISERROR(INDEX(宏观数据!$F$79:$TN$79,1,MATCH(TODAY(),宏观数据!$F$1:$TN$1,1)-60+30)),NA(),IF(AND(INDEX(宏观数据!$F$79:$TN$79,1,MATCH(TODAY(),宏观数据!$F$1:$TN$1,1)-60+30)=0,INDEX(宏观数据!$F$82:$TN$82,1,MATCH(TODAY(),宏观数据!$F$1:$TN$1,1)-60+30)=0),NA(),INDEX(宏观数据!$F$79:$TN$79,1,MATCH(TODAY(),宏观数据!$F$1:$TN$1,1)-60+30)))</f>
        <v>-255</v>
      </c>
      <c r="AF21" s="2">
        <f ca="1">IF(ISERROR(INDEX(宏观数据!$F$79:$TN$79,1,MATCH(TODAY(),宏观数据!$F$1:$TN$1,1)-60+31)),NA(),IF(AND(INDEX(宏观数据!$F$79:$TN$79,1,MATCH(TODAY(),宏观数据!$F$1:$TN$1,1)-60+31)=0,INDEX(宏观数据!$F$82:$TN$82,1,MATCH(TODAY(),宏观数据!$F$1:$TN$1,1)-60+31)=0),NA(),INDEX(宏观数据!$F$79:$TN$79,1,MATCH(TODAY(),宏观数据!$F$1:$TN$1,1)-60+31)))</f>
        <v>-265</v>
      </c>
      <c r="AG21" s="2">
        <f ca="1">IF(ISERROR(INDEX(宏观数据!$F$79:$TN$79,1,MATCH(TODAY(),宏观数据!$F$1:$TN$1,1)-60+32)),NA(),IF(AND(INDEX(宏观数据!$F$79:$TN$79,1,MATCH(TODAY(),宏观数据!$F$1:$TN$1,1)-60+32)=0,INDEX(宏观数据!$F$82:$TN$82,1,MATCH(TODAY(),宏观数据!$F$1:$TN$1,1)-60+32)=0),NA(),INDEX(宏观数据!$F$79:$TN$79,1,MATCH(TODAY(),宏观数据!$F$1:$TN$1,1)-60+32)))</f>
        <v>0</v>
      </c>
      <c r="AH21" s="2" t="e">
        <f ca="1">IF(ISERROR(INDEX(宏观数据!$F$79:$TN$79,1,MATCH(TODAY(),宏观数据!$F$1:$TN$1,1)-60+33)),NA(),IF(AND(INDEX(宏观数据!$F$79:$TN$79,1,MATCH(TODAY(),宏观数据!$F$1:$TN$1,1)-60+33)=0,INDEX(宏观数据!$F$82:$TN$82,1,MATCH(TODAY(),宏观数据!$F$1:$TN$1,1)-60+33)=0),NA(),INDEX(宏观数据!$F$79:$TN$79,1,MATCH(TODAY(),宏观数据!$F$1:$TN$1,1)-60+33)))</f>
        <v>#N/A</v>
      </c>
      <c r="AI21" t="e">
        <f ca="1">IF(ISERROR(INDEX(宏观数据!$F$79:$TN$79,1,MATCH(TODAY(),宏观数据!$F$1:$TN$1,1)-60+34)),NA(),IF(AND(INDEX(宏观数据!$F$79:$TN$79,1,MATCH(TODAY(),宏观数据!$F$1:$TN$1,1)-60+34)=0,INDEX(宏观数据!$F$82:$TN$82,1,MATCH(TODAY(),宏观数据!$F$1:$TN$1,1)-60+34)=0),NA(),INDEX(宏观数据!$F$79:$TN$79,1,MATCH(TODAY(),宏观数据!$F$1:$TN$1,1)-60+34)))</f>
        <v>#N/A</v>
      </c>
      <c r="AJ21">
        <f ca="1">IF(ISERROR(INDEX(宏观数据!$F$79:$TN$79,1,MATCH(TODAY(),宏观数据!$F$1:$TN$1,1)-60+35)),NA(),IF(AND(INDEX(宏观数据!$F$79:$TN$79,1,MATCH(TODAY(),宏观数据!$F$1:$TN$1,1)-60+35)=0,INDEX(宏观数据!$F$82:$TN$82,1,MATCH(TODAY(),宏观数据!$F$1:$TN$1,1)-60+35)=0),NA(),INDEX(宏观数据!$F$79:$TN$79,1,MATCH(TODAY(),宏观数据!$F$1:$TN$1,1)-60+35)))</f>
        <v>0</v>
      </c>
      <c r="AK21" s="2">
        <f ca="1">IF(ISERROR(INDEX(宏观数据!$F$79:$TN$79,1,MATCH(TODAY(),宏观数据!$F$1:$TN$1,1)-60+36)),NA(),IF(AND(INDEX(宏观数据!$F$79:$TN$79,1,MATCH(TODAY(),宏观数据!$F$1:$TN$1,1)-60+36)=0,INDEX(宏观数据!$F$82:$TN$82,1,MATCH(TODAY(),宏观数据!$F$1:$TN$1,1)-60+36)=0),NA(),INDEX(宏观数据!$F$79:$TN$79,1,MATCH(TODAY(),宏观数据!$F$1:$TN$1,1)-60+36)))</f>
        <v>0</v>
      </c>
      <c r="AL21" s="2">
        <f ca="1">IF(ISERROR(INDEX(宏观数据!$F$79:$TN$79,1,MATCH(TODAY(),宏观数据!$F$1:$TN$1,1)-60+37)),NA(),IF(AND(INDEX(宏观数据!$F$79:$TN$79,1,MATCH(TODAY(),宏观数据!$F$1:$TN$1,1)-60+37)=0,INDEX(宏观数据!$F$82:$TN$82,1,MATCH(TODAY(),宏观数据!$F$1:$TN$1,1)-60+37)=0),NA(),INDEX(宏观数据!$F$79:$TN$79,1,MATCH(TODAY(),宏观数据!$F$1:$TN$1,1)-60+37)))</f>
        <v>495</v>
      </c>
      <c r="AM21" s="2">
        <f ca="1">IF(ISERROR(INDEX(宏观数据!$F$79:$TN$79,1,MATCH(TODAY(),宏观数据!$F$1:$TN$1,1)-60+38)),NA(),IF(AND(INDEX(宏观数据!$F$79:$TN$79,1,MATCH(TODAY(),宏观数据!$F$1:$TN$1,1)-60+38)=0,INDEX(宏观数据!$F$82:$TN$82,1,MATCH(TODAY(),宏观数据!$F$1:$TN$1,1)-60+38)=0),NA(),INDEX(宏观数据!$F$79:$TN$79,1,MATCH(TODAY(),宏观数据!$F$1:$TN$1,1)-60+38)))</f>
        <v>995</v>
      </c>
      <c r="AN21" s="2">
        <f ca="1">IF(ISERROR(INDEX(宏观数据!$F$79:$TN$79,1,MATCH(TODAY(),宏观数据!$F$1:$TN$1,1)-60+39)),NA(),IF(AND(INDEX(宏观数据!$F$79:$TN$79,1,MATCH(TODAY(),宏观数据!$F$1:$TN$1,1)-60+39)=0,INDEX(宏观数据!$F$82:$TN$82,1,MATCH(TODAY(),宏观数据!$F$1:$TN$1,1)-60+39)=0),NA(),INDEX(宏观数据!$F$79:$TN$79,1,MATCH(TODAY(),宏观数据!$F$1:$TN$1,1)-60+39)))</f>
        <v>1525</v>
      </c>
      <c r="AO21" s="2" t="e">
        <f ca="1">IF(ISERROR(INDEX(宏观数据!$F$79:$TN$79,1,MATCH(TODAY(),宏观数据!$F$1:$TN$1,1)-60+40)),NA(),IF(AND(INDEX(宏观数据!$F$79:$TN$79,1,MATCH(TODAY(),宏观数据!$F$1:$TN$1,1)-60+40)=0,INDEX(宏观数据!$F$82:$TN$82,1,MATCH(TODAY(),宏观数据!$F$1:$TN$1,1)-60+40)=0),NA(),INDEX(宏观数据!$F$79:$TN$79,1,MATCH(TODAY(),宏观数据!$F$1:$TN$1,1)-60+40)))</f>
        <v>#N/A</v>
      </c>
      <c r="AP21" t="e">
        <f ca="1">IF(ISERROR(INDEX(宏观数据!$F$79:$TN$79,1,MATCH(TODAY(),宏观数据!$F$1:$TN$1,1)-60+41)),NA(),IF(AND(INDEX(宏观数据!$F$79:$TN$79,1,MATCH(TODAY(),宏观数据!$F$1:$TN$1,1)-60+41)=0,INDEX(宏观数据!$F$82:$TN$82,1,MATCH(TODAY(),宏观数据!$F$1:$TN$1,1)-60+41)=0),NA(),INDEX(宏观数据!$F$79:$TN$79,1,MATCH(TODAY(),宏观数据!$F$1:$TN$1,1)-60+41)))</f>
        <v>#N/A</v>
      </c>
      <c r="AQ21">
        <f ca="1">IF(ISERROR(INDEX(宏观数据!$F$79:$TN$79,1,MATCH(TODAY(),宏观数据!$F$1:$TN$1,1)-60+42)),NA(),IF(AND(INDEX(宏观数据!$F$79:$TN$79,1,MATCH(TODAY(),宏观数据!$F$1:$TN$1,1)-60+42)=0,INDEX(宏观数据!$F$82:$TN$82,1,MATCH(TODAY(),宏观数据!$F$1:$TN$1,1)-60+42)=0),NA(),INDEX(宏观数据!$F$79:$TN$79,1,MATCH(TODAY(),宏观数据!$F$1:$TN$1,1)-60+42)))</f>
        <v>2570</v>
      </c>
      <c r="AR21" s="2">
        <f ca="1">IF(ISERROR(INDEX(宏观数据!$F$79:$TN$79,1,MATCH(TODAY(),宏观数据!$F$1:$TN$1,1)-60+43)),NA(),IF(AND(INDEX(宏观数据!$F$79:$TN$79,1,MATCH(TODAY(),宏观数据!$F$1:$TN$1,1)-60+43)=0,INDEX(宏观数据!$F$82:$TN$82,1,MATCH(TODAY(),宏观数据!$F$1:$TN$1,1)-60+43)=0),NA(),INDEX(宏观数据!$F$79:$TN$79,1,MATCH(TODAY(),宏观数据!$F$1:$TN$1,1)-60+43)))</f>
        <v>2485</v>
      </c>
      <c r="AS21" s="2">
        <f ca="1">IF(ISERROR(INDEX(宏观数据!$F$79:$TN$79,1,MATCH(TODAY(),宏观数据!$F$1:$TN$1,1)-60+44)),NA(),IF(AND(INDEX(宏观数据!$F$79:$TN$79,1,MATCH(TODAY(),宏观数据!$F$1:$TN$1,1)-60+44)=0,INDEX(宏观数据!$F$82:$TN$82,1,MATCH(TODAY(),宏观数据!$F$1:$TN$1,1)-60+44)=0),NA(),INDEX(宏观数据!$F$79:$TN$79,1,MATCH(TODAY(),宏观数据!$F$1:$TN$1,1)-60+44)))</f>
        <v>1276</v>
      </c>
      <c r="AT21" s="2">
        <f ca="1">IF(ISERROR(INDEX(宏观数据!$F$79:$TN$79,1,MATCH(TODAY(),宏观数据!$F$1:$TN$1,1)-60+45)),NA(),IF(AND(INDEX(宏观数据!$F$79:$TN$79,1,MATCH(TODAY(),宏观数据!$F$1:$TN$1,1)-60+45)=0,INDEX(宏观数据!$F$82:$TN$82,1,MATCH(TODAY(),宏观数据!$F$1:$TN$1,1)-60+45)=0),NA(),INDEX(宏观数据!$F$79:$TN$79,1,MATCH(TODAY(),宏观数据!$F$1:$TN$1,1)-60+45)))</f>
        <v>13</v>
      </c>
      <c r="AU21" s="2">
        <f ca="1">IF(ISERROR(INDEX(宏观数据!$F$79:$TN$79,1,MATCH(TODAY(),宏观数据!$F$1:$TN$1,1)-60+46)),NA(),IF(AND(INDEX(宏观数据!$F$79:$TN$79,1,MATCH(TODAY(),宏观数据!$F$1:$TN$1,1)-60+46)=0,INDEX(宏观数据!$F$82:$TN$82,1,MATCH(TODAY(),宏观数据!$F$1:$TN$1,1)-60+46)=0),NA(),INDEX(宏观数据!$F$79:$TN$79,1,MATCH(TODAY(),宏观数据!$F$1:$TN$1,1)-60+46)))</f>
        <v>-300</v>
      </c>
      <c r="AV21" t="e">
        <f ca="1">IF(ISERROR(INDEX(宏观数据!$F$79:$TN$79,1,MATCH(TODAY(),宏观数据!$F$1:$TN$1,1)-60+47)),NA(),IF(AND(INDEX(宏观数据!$F$79:$TN$79,1,MATCH(TODAY(),宏观数据!$F$1:$TN$1,1)-60+47)=0,INDEX(宏观数据!$F$82:$TN$82,1,MATCH(TODAY(),宏观数据!$F$1:$TN$1,1)-60+47)=0),NA(),INDEX(宏观数据!$F$79:$TN$79,1,MATCH(TODAY(),宏观数据!$F$1:$TN$1,1)-60+47)))</f>
        <v>#N/A</v>
      </c>
      <c r="AW21" t="e">
        <f ca="1">IF(ISERROR(INDEX(宏观数据!$F$79:$TN$79,1,MATCH(TODAY(),宏观数据!$F$1:$TN$1,1)-60+48)),NA(),IF(AND(INDEX(宏观数据!$F$79:$TN$79,1,MATCH(TODAY(),宏观数据!$F$1:$TN$1,1)-60+48)=0,INDEX(宏观数据!$F$82:$TN$82,1,MATCH(TODAY(),宏观数据!$F$1:$TN$1,1)-60+48)=0),NA(),INDEX(宏观数据!$F$79:$TN$79,1,MATCH(TODAY(),宏观数据!$F$1:$TN$1,1)-60+48)))</f>
        <v>#N/A</v>
      </c>
      <c r="AX21">
        <f ca="1">IF(ISERROR(INDEX(宏观数据!$F$79:$TN$79,1,MATCH(TODAY(),宏观数据!$F$1:$TN$1,1)-60+49)),NA(),IF(AND(INDEX(宏观数据!$F$79:$TN$79,1,MATCH(TODAY(),宏观数据!$F$1:$TN$1,1)-60+49)=0,INDEX(宏观数据!$F$82:$TN$82,1,MATCH(TODAY(),宏观数据!$F$1:$TN$1,1)-60+49)=0),NA(),INDEX(宏观数据!$F$79:$TN$79,1,MATCH(TODAY(),宏观数据!$F$1:$TN$1,1)-60+49)))</f>
        <v>-2470</v>
      </c>
      <c r="AY21">
        <f ca="1">IF(ISERROR(INDEX(宏观数据!$F$79:$TN$79,1,MATCH(TODAY(),宏观数据!$F$1:$TN$1,1)-60+50)),NA(),IF(AND(INDEX(宏观数据!$F$79:$TN$79,1,MATCH(TODAY(),宏观数据!$F$1:$TN$1,1)-60+50)=0,INDEX(宏观数据!$F$82:$TN$82,1,MATCH(TODAY(),宏观数据!$F$1:$TN$1,1)-60+50)=0),NA(),INDEX(宏观数据!$F$79:$TN$79,1,MATCH(TODAY(),宏观数据!$F$1:$TN$1,1)-60+50)))</f>
        <v>-2488</v>
      </c>
      <c r="AZ21">
        <f ca="1">IF(ISERROR(INDEX(宏观数据!$F$79:$TN$79,1,MATCH(TODAY(),宏观数据!$F$1:$TN$1,1)-60+51)),NA(),IF(AND(INDEX(宏观数据!$F$79:$TN$79,1,MATCH(TODAY(),宏观数据!$F$1:$TN$1,1)-60+51)=0,INDEX(宏观数据!$F$82:$TN$82,1,MATCH(TODAY(),宏观数据!$F$1:$TN$1,1)-60+51)=0),NA(),INDEX(宏观数据!$F$79:$TN$79,1,MATCH(TODAY(),宏观数据!$F$1:$TN$1,1)-60+51)))</f>
        <v>-1776</v>
      </c>
      <c r="BA21" s="2">
        <f ca="1">IF(ISERROR(INDEX(宏观数据!$F$79:$TN$79,1,MATCH(TODAY(),宏观数据!$F$1:$TN$1,1)-60+52)),NA(),IF(AND(INDEX(宏观数据!$F$79:$TN$79,1,MATCH(TODAY(),宏观数据!$F$1:$TN$1,1)-60+52)=0,INDEX(宏观数据!$F$82:$TN$82,1,MATCH(TODAY(),宏观数据!$F$1:$TN$1,1)-60+52)=0),NA(),INDEX(宏观数据!$F$79:$TN$79,1,MATCH(TODAY(),宏观数据!$F$1:$TN$1,1)-60+52)))</f>
        <v>-1013</v>
      </c>
      <c r="BB21" s="2">
        <f ca="1">IF(ISERROR(INDEX(宏观数据!$F$79:$TN$79,1,MATCH(TODAY(),宏观数据!$F$1:$TN$1,1)-60+53)),NA(),IF(AND(INDEX(宏观数据!$F$79:$TN$79,1,MATCH(TODAY(),宏观数据!$F$1:$TN$1,1)-60+53)=0,INDEX(宏观数据!$F$82:$TN$82,1,MATCH(TODAY(),宏观数据!$F$1:$TN$1,1)-60+53)=0),NA(),INDEX(宏观数据!$F$79:$TN$79,1,MATCH(TODAY(),宏观数据!$F$1:$TN$1,1)-60+53)))</f>
        <v>920</v>
      </c>
      <c r="BC21" s="2" t="e">
        <f ca="1">IF(ISERROR(INDEX(宏观数据!$F$79:$TN$79,1,MATCH(TODAY(),宏观数据!$F$1:$TN$1,1)-60+54)),NA(),IF(AND(INDEX(宏观数据!$F$79:$TN$79,1,MATCH(TODAY(),宏观数据!$F$1:$TN$1,1)-60+54)=0,INDEX(宏观数据!$F$82:$TN$82,1,MATCH(TODAY(),宏观数据!$F$1:$TN$1,1)-60+54)=0),NA(),INDEX(宏观数据!$F$79:$TN$79,1,MATCH(TODAY(),宏观数据!$F$1:$TN$1,1)-60+54)))</f>
        <v>#N/A</v>
      </c>
      <c r="BD21" s="2" t="e">
        <f ca="1">IF(ISERROR(INDEX(宏观数据!$F$79:$TN$79,1,MATCH(TODAY(),宏观数据!$F$1:$TN$1,1)-60+55)),NA(),IF(AND(INDEX(宏观数据!$F$79:$TN$79,1,MATCH(TODAY(),宏观数据!$F$1:$TN$1,1)-60+55)=0,INDEX(宏观数据!$F$82:$TN$82,1,MATCH(TODAY(),宏观数据!$F$1:$TN$1,1)-60+55)=0),NA(),INDEX(宏观数据!$F$79:$TN$79,1,MATCH(TODAY(),宏观数据!$F$1:$TN$1,1)-60+55)))</f>
        <v>#N/A</v>
      </c>
      <c r="BE21">
        <f ca="1">IF(ISERROR(INDEX(宏观数据!$F$79:$TN$79,1,MATCH(TODAY(),宏观数据!$F$1:$TN$1,1)-60+56)),NA(),IF(AND(INDEX(宏观数据!$F$79:$TN$79,1,MATCH(TODAY(),宏观数据!$F$1:$TN$1,1)-60+56)=0,INDEX(宏观数据!$F$82:$TN$82,1,MATCH(TODAY(),宏观数据!$F$1:$TN$1,1)-60+56)=0),NA(),INDEX(宏观数据!$F$79:$TN$79,1,MATCH(TODAY(),宏观数据!$F$1:$TN$1,1)-60+56)))</f>
        <v>2075</v>
      </c>
      <c r="BF21" s="2">
        <f ca="1">IF(ISERROR(INDEX(宏观数据!$F$79:$TN$79,1,MATCH(TODAY(),宏观数据!$F$1:$TN$1,1)-60+57)),NA(),IF(AND(INDEX(宏观数据!$F$79:$TN$79,1,MATCH(TODAY(),宏观数据!$F$1:$TN$1,1)-60+57)=0,INDEX(宏观数据!$F$82:$TN$82,1,MATCH(TODAY(),宏观数据!$F$1:$TN$1,1)-60+57)=0),NA(),INDEX(宏观数据!$F$79:$TN$79,1,MATCH(TODAY(),宏观数据!$F$1:$TN$1,1)-60+57)))</f>
        <v>1528</v>
      </c>
      <c r="BG21" s="2">
        <f ca="1">IF(ISERROR(INDEX(宏观数据!$F$79:$TN$79,1,MATCH(TODAY(),宏观数据!$F$1:$TN$1,1)-60+58)),NA(),IF(AND(INDEX(宏观数据!$F$79:$TN$79,1,MATCH(TODAY(),宏观数据!$F$1:$TN$1,1)-60+58)=0,INDEX(宏观数据!$F$82:$TN$82,1,MATCH(TODAY(),宏观数据!$F$1:$TN$1,1)-60+58)=0),NA(),INDEX(宏观数据!$F$79:$TN$79,1,MATCH(TODAY(),宏观数据!$F$1:$TN$1,1)-60+58)))</f>
        <v>1590</v>
      </c>
      <c r="BH21" s="2">
        <f ca="1">IF(ISERROR(INDEX(宏观数据!$F$79:$TN$79,1,MATCH(TODAY(),宏观数据!$F$1:$TN$1,1)-60+59)),NA(),IF(AND(INDEX(宏观数据!$F$79:$TN$79,1,MATCH(TODAY(),宏观数据!$F$1:$TN$1,1)-60+59)=0,INDEX(宏观数据!$F$82:$TN$82,1,MATCH(TODAY(),宏观数据!$F$1:$TN$1,1)-60+59)=0),NA(),INDEX(宏观数据!$F$79:$TN$79,1,MATCH(TODAY(),宏观数据!$F$1:$TN$1,1)-60+59)))</f>
        <v>1885</v>
      </c>
      <c r="BI21" s="2">
        <f ca="1">IF(ISERROR(INDEX(宏观数据!$F$79:$TN$79,1,MATCH(TODAY(),宏观数据!$F$1:$TN$1,1)-60+60)),NA(),IF(AND(INDEX(宏观数据!$F$79:$TN$79,1,MATCH(TODAY(),宏观数据!$F$1:$TN$1,1)-60+60)=0,INDEX(宏观数据!$F$82:$TN$82,1,MATCH(TODAY(),宏观数据!$F$1:$TN$1,1)-60+60)=0),NA(),INDEX(宏观数据!$F$79:$TN$79,1,MATCH(TODAY(),宏观数据!$F$1:$TN$1,1)-60+60)))</f>
        <v>1780</v>
      </c>
    </row>
    <row r="22" ht="15" customHeight="1" spans="1:61">
      <c r="A22" t="s">
        <v>82</v>
      </c>
      <c r="B22" s="2">
        <f ca="1">IF(ISERROR(INDEX(宏观数据!$F$81:$TN$81,1,MATCH(TODAY(),宏观数据!$F$1:$TN$1,1)-60+1)),NA(),IF(INDEX(宏观数据!$F$81:$TN$81,1,MATCH(TODAY(),宏观数据!$F$1:$TN$1,1)-60+1)=0,NA(),INDEX(宏观数据!$F$81:$TN$81,1,MATCH(TODAY(),宏观数据!$F$1:$TN$1,1)-60+1)))</f>
        <v>1.2258</v>
      </c>
      <c r="C22" s="2">
        <f ca="1">IF(ISERROR(INDEX(宏观数据!$F$81:$TN$81,1,MATCH(TODAY(),宏观数据!$F$1:$TN$1,1)-60+2)),NA(),IF(INDEX(宏观数据!$F$81:$TN$81,1,MATCH(TODAY(),宏观数据!$F$1:$TN$1,1)-60+2)=0,NA(),INDEX(宏观数据!$F$81:$TN$81,1,MATCH(TODAY(),宏观数据!$F$1:$TN$1,1)-60+2)))</f>
        <v>1.2228</v>
      </c>
      <c r="D22" s="2">
        <f ca="1">IF(ISERROR(INDEX(宏观数据!$F$81:$TN$81,1,MATCH(TODAY(),宏观数据!$F$1:$TN$1,1)-60+3)),NA(),IF(INDEX(宏观数据!$F$81:$TN$81,1,MATCH(TODAY(),宏观数据!$F$1:$TN$1,1)-60+3)=0,NA(),INDEX(宏观数据!$F$81:$TN$81,1,MATCH(TODAY(),宏观数据!$F$1:$TN$1,1)-60+3)))</f>
        <v>1.2205</v>
      </c>
      <c r="E22" s="2">
        <f ca="1">IF(ISERROR(INDEX(宏观数据!$F$81:$TN$81,1,MATCH(TODAY(),宏观数据!$F$1:$TN$1,1)-60+4)),NA(),IF(INDEX(宏观数据!$F$81:$TN$81,1,MATCH(TODAY(),宏观数据!$F$1:$TN$1,1)-60+4)=0,NA(),INDEX(宏观数据!$F$81:$TN$81,1,MATCH(TODAY(),宏观数据!$F$1:$TN$1,1)-60+4)))</f>
        <v>1.2219</v>
      </c>
      <c r="F22" s="2" t="e">
        <f ca="1">IF(ISERROR(INDEX(宏观数据!$F$81:$TN$81,1,MATCH(TODAY(),宏观数据!$F$1:$TN$1,1)-60+5)),NA(),IF(INDEX(宏观数据!$F$81:$TN$81,1,MATCH(TODAY(),宏观数据!$F$1:$TN$1,1)-60+5)=0,NA(),INDEX(宏观数据!$F$81:$TN$81,1,MATCH(TODAY(),宏观数据!$F$1:$TN$1,1)-60+5)))</f>
        <v>#N/A</v>
      </c>
      <c r="G22" t="e">
        <f ca="1">IF(ISERROR(INDEX(宏观数据!$F$81:$TN$81,1,MATCH(TODAY(),宏观数据!$F$1:$TN$1,1)-60+6)),NA(),IF(INDEX(宏观数据!$F$81:$TN$81,1,MATCH(TODAY(),宏观数据!$F$1:$TN$1,1)-60+6)=0,NA(),INDEX(宏观数据!$F$81:$TN$81,1,MATCH(TODAY(),宏观数据!$F$1:$TN$1,1)-60+6)))</f>
        <v>#N/A</v>
      </c>
      <c r="H22">
        <f ca="1">IF(ISERROR(INDEX(宏观数据!$F$81:$TN$81,1,MATCH(TODAY(),宏观数据!$F$1:$TN$1,1)-60+7)),NA(),IF(INDEX(宏观数据!$F$81:$TN$81,1,MATCH(TODAY(),宏观数据!$F$1:$TN$1,1)-60+7)=0,NA(),INDEX(宏观数据!$F$81:$TN$81,1,MATCH(TODAY(),宏观数据!$F$1:$TN$1,1)-60+7)))</f>
        <v>1.2167</v>
      </c>
      <c r="I22" s="2">
        <f ca="1">IF(ISERROR(INDEX(宏观数据!$F$81:$TN$81,1,MATCH(TODAY(),宏观数据!$F$1:$TN$1,1)-60+8)),NA(),IF(INDEX(宏观数据!$F$81:$TN$81,1,MATCH(TODAY(),宏观数据!$F$1:$TN$1,1)-60+8)=0,NA(),INDEX(宏观数据!$F$81:$TN$81,1,MATCH(TODAY(),宏观数据!$F$1:$TN$1,1)-60+8)))</f>
        <v>1.217</v>
      </c>
      <c r="J22" s="2">
        <f ca="1">IF(ISERROR(INDEX(宏观数据!$F$81:$TN$81,1,MATCH(TODAY(),宏观数据!$F$1:$TN$1,1)-60+9)),NA(),IF(INDEX(宏观数据!$F$81:$TN$81,1,MATCH(TODAY(),宏观数据!$F$1:$TN$1,1)-60+9)=0,NA(),INDEX(宏观数据!$F$81:$TN$81,1,MATCH(TODAY(),宏观数据!$F$1:$TN$1,1)-60+9)))</f>
        <v>1.2181</v>
      </c>
      <c r="K22" s="2">
        <f ca="1">IF(ISERROR(INDEX(宏观数据!$F$81:$TN$81,1,MATCH(TODAY(),宏观数据!$F$1:$TN$1,1)-60+10)),NA(),IF(INDEX(宏观数据!$F$81:$TN$81,1,MATCH(TODAY(),宏观数据!$F$1:$TN$1,1)-60+10)=0,NA(),INDEX(宏观数据!$F$81:$TN$81,1,MATCH(TODAY(),宏观数据!$F$1:$TN$1,1)-60+10)))</f>
        <v>1.2171</v>
      </c>
      <c r="L22" s="2">
        <f ca="1">IF(ISERROR(INDEX(宏观数据!$F$81:$TN$81,1,MATCH(TODAY(),宏观数据!$F$1:$TN$1,1)-60+11)),NA(),IF(INDEX(宏观数据!$F$81:$TN$81,1,MATCH(TODAY(),宏观数据!$F$1:$TN$1,1)-60+11)=0,NA(),INDEX(宏观数据!$F$81:$TN$81,1,MATCH(TODAY(),宏观数据!$F$1:$TN$1,1)-60+11)))</f>
        <v>1.2188</v>
      </c>
      <c r="M22" s="2" t="e">
        <f ca="1">IF(ISERROR(INDEX(宏观数据!$F$81:$TN$81,1,MATCH(TODAY(),宏观数据!$F$1:$TN$1,1)-60+12)),NA(),IF(INDEX(宏观数据!$F$81:$TN$81,1,MATCH(TODAY(),宏观数据!$F$1:$TN$1,1)-60+12)=0,NA(),INDEX(宏观数据!$F$81:$TN$81,1,MATCH(TODAY(),宏观数据!$F$1:$TN$1,1)-60+12)))</f>
        <v>#N/A</v>
      </c>
      <c r="N22" t="e">
        <f ca="1">IF(ISERROR(INDEX(宏观数据!$F$81:$TN$81,1,MATCH(TODAY(),宏观数据!$F$1:$TN$1,1)-60+13)),NA(),IF(INDEX(宏观数据!$F$81:$TN$81,1,MATCH(TODAY(),宏观数据!$F$1:$TN$1,1)-60+13)=0,NA(),INDEX(宏观数据!$F$81:$TN$81,1,MATCH(TODAY(),宏观数据!$F$1:$TN$1,1)-60+13)))</f>
        <v>#N/A</v>
      </c>
      <c r="O22">
        <f ca="1">IF(ISERROR(INDEX(宏观数据!$F$81:$TN$81,1,MATCH(TODAY(),宏观数据!$F$1:$TN$1,1)-60+14)),NA(),IF(INDEX(宏观数据!$F$81:$TN$81,1,MATCH(TODAY(),宏观数据!$F$1:$TN$1,1)-60+14)=0,NA(),INDEX(宏观数据!$F$81:$TN$81,1,MATCH(TODAY(),宏观数据!$F$1:$TN$1,1)-60+14)))</f>
        <v>1.2386</v>
      </c>
      <c r="P22" s="2">
        <f ca="1">IF(ISERROR(INDEX(宏观数据!$F$81:$TN$81,1,MATCH(TODAY(),宏观数据!$F$1:$TN$1,1)-60+15)),NA(),IF(INDEX(宏观数据!$F$81:$TN$81,1,MATCH(TODAY(),宏观数据!$F$1:$TN$1,1)-60+15)=0,NA(),INDEX(宏观数据!$F$81:$TN$81,1,MATCH(TODAY(),宏观数据!$F$1:$TN$1,1)-60+15)))</f>
        <v>1.2397</v>
      </c>
      <c r="Q22" s="2">
        <f ca="1">IF(ISERROR(INDEX(宏观数据!$F$81:$TN$81,1,MATCH(TODAY(),宏观数据!$F$1:$TN$1,1)-60+16)),NA(),IF(INDEX(宏观数据!$F$81:$TN$81,1,MATCH(TODAY(),宏观数据!$F$1:$TN$1,1)-60+16)=0,NA(),INDEX(宏观数据!$F$81:$TN$81,1,MATCH(TODAY(),宏观数据!$F$1:$TN$1,1)-60+16)))</f>
        <v>1.2385</v>
      </c>
      <c r="R22" s="2">
        <f ca="1">IF(ISERROR(INDEX(宏观数据!$F$81:$TN$81,1,MATCH(TODAY(),宏观数据!$F$1:$TN$1,1)-60+17)),NA(),IF(INDEX(宏观数据!$F$81:$TN$81,1,MATCH(TODAY(),宏观数据!$F$1:$TN$1,1)-60+17)=0,NA(),INDEX(宏观数据!$F$81:$TN$81,1,MATCH(TODAY(),宏观数据!$F$1:$TN$1,1)-60+17)))</f>
        <v>1.3196</v>
      </c>
      <c r="S22" s="2" t="e">
        <f ca="1">IF(ISERROR(INDEX(宏观数据!$F$81:$TN$81,1,MATCH(TODAY(),宏观数据!$F$1:$TN$1,1)-60+18)),NA(),IF(INDEX(宏观数据!$F$81:$TN$81,1,MATCH(TODAY(),宏观数据!$F$1:$TN$1,1)-60+18)=0,NA(),INDEX(宏观数据!$F$81:$TN$81,1,MATCH(TODAY(),宏观数据!$F$1:$TN$1,1)-60+18)))</f>
        <v>#N/A</v>
      </c>
      <c r="T22" s="2" t="e">
        <f ca="1">IF(ISERROR(INDEX(宏观数据!$F$81:$TN$81,1,MATCH(TODAY(),宏观数据!$F$1:$TN$1,1)-60+19)),NA(),IF(INDEX(宏观数据!$F$81:$TN$81,1,MATCH(TODAY(),宏观数据!$F$1:$TN$1,1)-60+19)=0,NA(),INDEX(宏观数据!$F$81:$TN$81,1,MATCH(TODAY(),宏观数据!$F$1:$TN$1,1)-60+19)))</f>
        <v>#N/A</v>
      </c>
      <c r="U22" t="e">
        <f ca="1">IF(ISERROR(INDEX(宏观数据!$F$81:$TN$81,1,MATCH(TODAY(),宏观数据!$F$1:$TN$1,1)-60+20)),NA(),IF(INDEX(宏观数据!$F$81:$TN$81,1,MATCH(TODAY(),宏观数据!$F$1:$TN$1,1)-60+20)=0,NA(),INDEX(宏观数据!$F$81:$TN$81,1,MATCH(TODAY(),宏观数据!$F$1:$TN$1,1)-60+20)))</f>
        <v>#N/A</v>
      </c>
      <c r="V22" t="e">
        <f ca="1">IF(ISERROR(INDEX(宏观数据!$F$81:$TN$81,1,MATCH(TODAY(),宏观数据!$F$1:$TN$1,1)-60+21)),NA(),IF(INDEX(宏观数据!$F$81:$TN$81,1,MATCH(TODAY(),宏观数据!$F$1:$TN$1,1)-60+21)=0,NA(),INDEX(宏观数据!$F$81:$TN$81,1,MATCH(TODAY(),宏观数据!$F$1:$TN$1,1)-60+21)))</f>
        <v>#N/A</v>
      </c>
      <c r="W22" t="e">
        <f ca="1">IF(ISERROR(INDEX(宏观数据!$F$81:$TN$81,1,MATCH(TODAY(),宏观数据!$F$1:$TN$1,1)-60+22)),NA(),IF(INDEX(宏观数据!$F$81:$TN$81,1,MATCH(TODAY(),宏观数据!$F$1:$TN$1,1)-60+22)=0,NA(),INDEX(宏观数据!$F$81:$TN$81,1,MATCH(TODAY(),宏观数据!$F$1:$TN$1,1)-60+22)))</f>
        <v>#N/A</v>
      </c>
      <c r="X22" s="2">
        <f ca="1">IF(ISERROR(INDEX(宏观数据!$F$81:$TN$81,1,MATCH(TODAY(),宏观数据!$F$1:$TN$1,1)-60+23)),NA(),IF(INDEX(宏观数据!$F$81:$TN$81,1,MATCH(TODAY(),宏观数据!$F$1:$TN$1,1)-60+23)=0,NA(),INDEX(宏观数据!$F$81:$TN$81,1,MATCH(TODAY(),宏观数据!$F$1:$TN$1,1)-60+23)))</f>
        <v>1.2691</v>
      </c>
      <c r="Y22" s="2">
        <f ca="1">IF(ISERROR(INDEX(宏观数据!$F$81:$TN$81,1,MATCH(TODAY(),宏观数据!$F$1:$TN$1,1)-60+24)),NA(),IF(INDEX(宏观数据!$F$81:$TN$81,1,MATCH(TODAY(),宏观数据!$F$1:$TN$1,1)-60+24)=0,NA(),INDEX(宏观数据!$F$81:$TN$81,1,MATCH(TODAY(),宏观数据!$F$1:$TN$1,1)-60+24)))</f>
        <v>1.272</v>
      </c>
      <c r="Z22" s="2">
        <f ca="1">IF(ISERROR(INDEX(宏观数据!$F$81:$TN$81,1,MATCH(TODAY(),宏观数据!$F$1:$TN$1,1)-60+25)),NA(),IF(INDEX(宏观数据!$F$81:$TN$81,1,MATCH(TODAY(),宏观数据!$F$1:$TN$1,1)-60+25)=0,NA(),INDEX(宏观数据!$F$81:$TN$81,1,MATCH(TODAY(),宏观数据!$F$1:$TN$1,1)-60+25)))</f>
        <v>1.243</v>
      </c>
      <c r="AA22" s="2">
        <f ca="1">IF(ISERROR(INDEX(宏观数据!$F$81:$TN$81,1,MATCH(TODAY(),宏观数据!$F$1:$TN$1,1)-60+26)),NA(),IF(INDEX(宏观数据!$F$81:$TN$81,1,MATCH(TODAY(),宏观数据!$F$1:$TN$1,1)-60+26)=0,NA(),INDEX(宏观数据!$F$81:$TN$81,1,MATCH(TODAY(),宏观数据!$F$1:$TN$1,1)-60+26)))</f>
        <v>1.2179</v>
      </c>
      <c r="AB22" t="e">
        <f ca="1">IF(ISERROR(INDEX(宏观数据!$F$81:$TN$81,1,MATCH(TODAY(),宏观数据!$F$1:$TN$1,1)-60+27)),NA(),IF(INDEX(宏观数据!$F$81:$TN$81,1,MATCH(TODAY(),宏观数据!$F$1:$TN$1,1)-60+27)=0,NA(),INDEX(宏观数据!$F$81:$TN$81,1,MATCH(TODAY(),宏观数据!$F$1:$TN$1,1)-60+27)))</f>
        <v>#N/A</v>
      </c>
      <c r="AC22">
        <f ca="1">IF(ISERROR(INDEX(宏观数据!$F$81:$TN$81,1,MATCH(TODAY(),宏观数据!$F$1:$TN$1,1)-60+28)),NA(),IF(INDEX(宏观数据!$F$81:$TN$81,1,MATCH(TODAY(),宏观数据!$F$1:$TN$1,1)-60+28)=0,NA(),INDEX(宏观数据!$F$81:$TN$81,1,MATCH(TODAY(),宏观数据!$F$1:$TN$1,1)-60+28)))</f>
        <v>1.2188</v>
      </c>
      <c r="AD22" s="2">
        <f ca="1">IF(ISERROR(INDEX(宏观数据!$F$81:$TN$81,1,MATCH(TODAY(),宏观数据!$F$1:$TN$1,1)-60+29)),NA(),IF(INDEX(宏观数据!$F$81:$TN$81,1,MATCH(TODAY(),宏观数据!$F$1:$TN$1,1)-60+29)=0,NA(),INDEX(宏观数据!$F$81:$TN$81,1,MATCH(TODAY(),宏观数据!$F$1:$TN$1,1)-60+29)))</f>
        <v>1.2583</v>
      </c>
      <c r="AE22" s="2">
        <f ca="1">IF(ISERROR(INDEX(宏观数据!$F$81:$TN$81,1,MATCH(TODAY(),宏观数据!$F$1:$TN$1,1)-60+30)),NA(),IF(INDEX(宏观数据!$F$81:$TN$81,1,MATCH(TODAY(),宏观数据!$F$1:$TN$1,1)-60+30)=0,NA(),INDEX(宏观数据!$F$81:$TN$81,1,MATCH(TODAY(),宏观数据!$F$1:$TN$1,1)-60+30)))</f>
        <v>1.267</v>
      </c>
      <c r="AF22" s="2">
        <f ca="1">IF(ISERROR(INDEX(宏观数据!$F$81:$TN$81,1,MATCH(TODAY(),宏观数据!$F$1:$TN$1,1)-60+31)),NA(),IF(INDEX(宏观数据!$F$81:$TN$81,1,MATCH(TODAY(),宏观数据!$F$1:$TN$1,1)-60+31)=0,NA(),INDEX(宏观数据!$F$81:$TN$81,1,MATCH(TODAY(),宏观数据!$F$1:$TN$1,1)-60+31)))</f>
        <v>1.2651</v>
      </c>
      <c r="AG22" s="2">
        <f ca="1">IF(ISERROR(INDEX(宏观数据!$F$81:$TN$81,1,MATCH(TODAY(),宏观数据!$F$1:$TN$1,1)-60+32)),NA(),IF(INDEX(宏观数据!$F$81:$TN$81,1,MATCH(TODAY(),宏观数据!$F$1:$TN$1,1)-60+32)=0,NA(),INDEX(宏观数据!$F$81:$TN$81,1,MATCH(TODAY(),宏观数据!$F$1:$TN$1,1)-60+32)))</f>
        <v>1.2646</v>
      </c>
      <c r="AH22" s="2" t="e">
        <f ca="1">IF(ISERROR(INDEX(宏观数据!$F$81:$TN$81,1,MATCH(TODAY(),宏观数据!$F$1:$TN$1,1)-60+33)),NA(),IF(INDEX(宏观数据!$F$81:$TN$81,1,MATCH(TODAY(),宏观数据!$F$1:$TN$1,1)-60+33)=0,NA(),INDEX(宏观数据!$F$81:$TN$81,1,MATCH(TODAY(),宏观数据!$F$1:$TN$1,1)-60+33)))</f>
        <v>#N/A</v>
      </c>
      <c r="AI22" t="e">
        <f ca="1">IF(ISERROR(INDEX(宏观数据!$F$81:$TN$81,1,MATCH(TODAY(),宏观数据!$F$1:$TN$1,1)-60+34)),NA(),IF(INDEX(宏观数据!$F$81:$TN$81,1,MATCH(TODAY(),宏观数据!$F$1:$TN$1,1)-60+34)=0,NA(),INDEX(宏观数据!$F$81:$TN$81,1,MATCH(TODAY(),宏观数据!$F$1:$TN$1,1)-60+34)))</f>
        <v>#N/A</v>
      </c>
      <c r="AJ22">
        <f ca="1">IF(ISERROR(INDEX(宏观数据!$F$81:$TN$81,1,MATCH(TODAY(),宏观数据!$F$1:$TN$1,1)-60+35)),NA(),IF(INDEX(宏观数据!$F$81:$TN$81,1,MATCH(TODAY(),宏观数据!$F$1:$TN$1,1)-60+35)=0,NA(),INDEX(宏观数据!$F$81:$TN$81,1,MATCH(TODAY(),宏观数据!$F$1:$TN$1,1)-60+35)))</f>
        <v>1.2659</v>
      </c>
      <c r="AK22" s="2">
        <f ca="1">IF(ISERROR(INDEX(宏观数据!$F$81:$TN$81,1,MATCH(TODAY(),宏观数据!$F$1:$TN$1,1)-60+36)),NA(),IF(INDEX(宏观数据!$F$81:$TN$81,1,MATCH(TODAY(),宏观数据!$F$1:$TN$1,1)-60+36)=0,NA(),INDEX(宏观数据!$F$81:$TN$81,1,MATCH(TODAY(),宏观数据!$F$1:$TN$1,1)-60+36)))</f>
        <v>1.2667</v>
      </c>
      <c r="AL22" s="2">
        <f ca="1">IF(ISERROR(INDEX(宏观数据!$F$81:$TN$81,1,MATCH(TODAY(),宏观数据!$F$1:$TN$1,1)-60+37)),NA(),IF(INDEX(宏观数据!$F$81:$TN$81,1,MATCH(TODAY(),宏观数据!$F$1:$TN$1,1)-60+37)=0,NA(),INDEX(宏观数据!$F$81:$TN$81,1,MATCH(TODAY(),宏观数据!$F$1:$TN$1,1)-60+37)))</f>
        <v>1.2871</v>
      </c>
      <c r="AM22" s="2">
        <f ca="1">IF(ISERROR(INDEX(宏观数据!$F$81:$TN$81,1,MATCH(TODAY(),宏观数据!$F$1:$TN$1,1)-60+38)),NA(),IF(INDEX(宏观数据!$F$81:$TN$81,1,MATCH(TODAY(),宏观数据!$F$1:$TN$1,1)-60+38)=0,NA(),INDEX(宏观数据!$F$81:$TN$81,1,MATCH(TODAY(),宏观数据!$F$1:$TN$1,1)-60+38)))</f>
        <v>1.2897</v>
      </c>
      <c r="AN22" s="2">
        <f ca="1">IF(ISERROR(INDEX(宏观数据!$F$81:$TN$81,1,MATCH(TODAY(),宏观数据!$F$1:$TN$1,1)-60+39)),NA(),IF(INDEX(宏观数据!$F$81:$TN$81,1,MATCH(TODAY(),宏观数据!$F$1:$TN$1,1)-60+39)=0,NA(),INDEX(宏观数据!$F$81:$TN$81,1,MATCH(TODAY(),宏观数据!$F$1:$TN$1,1)-60+39)))</f>
        <v>1.323</v>
      </c>
      <c r="AO22" s="2" t="e">
        <f ca="1">IF(ISERROR(INDEX(宏观数据!$F$81:$TN$81,1,MATCH(TODAY(),宏观数据!$F$1:$TN$1,1)-60+40)),NA(),IF(INDEX(宏观数据!$F$81:$TN$81,1,MATCH(TODAY(),宏观数据!$F$1:$TN$1,1)-60+40)=0,NA(),INDEX(宏观数据!$F$81:$TN$81,1,MATCH(TODAY(),宏观数据!$F$1:$TN$1,1)-60+40)))</f>
        <v>#N/A</v>
      </c>
      <c r="AP22" t="e">
        <f ca="1">IF(ISERROR(INDEX(宏观数据!$F$81:$TN$81,1,MATCH(TODAY(),宏观数据!$F$1:$TN$1,1)-60+41)),NA(),IF(INDEX(宏观数据!$F$81:$TN$81,1,MATCH(TODAY(),宏观数据!$F$1:$TN$1,1)-60+41)=0,NA(),INDEX(宏观数据!$F$81:$TN$81,1,MATCH(TODAY(),宏观数据!$F$1:$TN$1,1)-60+41)))</f>
        <v>#N/A</v>
      </c>
      <c r="AQ22">
        <f ca="1">IF(ISERROR(INDEX(宏观数据!$F$81:$TN$81,1,MATCH(TODAY(),宏观数据!$F$1:$TN$1,1)-60+42)),NA(),IF(INDEX(宏观数据!$F$81:$TN$81,1,MATCH(TODAY(),宏观数据!$F$1:$TN$1,1)-60+42)=0,NA(),INDEX(宏观数据!$F$81:$TN$81,1,MATCH(TODAY(),宏观数据!$F$1:$TN$1,1)-60+42)))</f>
        <v>1.329</v>
      </c>
      <c r="AR22" s="2">
        <f ca="1">IF(ISERROR(INDEX(宏观数据!$F$81:$TN$81,1,MATCH(TODAY(),宏观数据!$F$1:$TN$1,1)-60+43)),NA(),IF(INDEX(宏观数据!$F$81:$TN$81,1,MATCH(TODAY(),宏观数据!$F$1:$TN$1,1)-60+43)=0,NA(),INDEX(宏观数据!$F$81:$TN$81,1,MATCH(TODAY(),宏观数据!$F$1:$TN$1,1)-60+43)))</f>
        <v>1.3189</v>
      </c>
      <c r="AS22" s="2">
        <f ca="1">IF(ISERROR(INDEX(宏观数据!$F$81:$TN$81,1,MATCH(TODAY(),宏观数据!$F$1:$TN$1,1)-60+44)),NA(),IF(INDEX(宏观数据!$F$81:$TN$81,1,MATCH(TODAY(),宏观数据!$F$1:$TN$1,1)-60+44)=0,NA(),INDEX(宏观数据!$F$81:$TN$81,1,MATCH(TODAY(),宏观数据!$F$1:$TN$1,1)-60+44)))</f>
        <v>1.3152</v>
      </c>
      <c r="AT22" s="2">
        <f ca="1">IF(ISERROR(INDEX(宏观数据!$F$81:$TN$81,1,MATCH(TODAY(),宏观数据!$F$1:$TN$1,1)-60+45)),NA(),IF(INDEX(宏观数据!$F$81:$TN$81,1,MATCH(TODAY(),宏观数据!$F$1:$TN$1,1)-60+45)=0,NA(),INDEX(宏观数据!$F$81:$TN$81,1,MATCH(TODAY(),宏观数据!$F$1:$TN$1,1)-60+45)))</f>
        <v>1.3149</v>
      </c>
      <c r="AU22" s="2">
        <f ca="1">IF(ISERROR(INDEX(宏观数据!$F$81:$TN$81,1,MATCH(TODAY(),宏观数据!$F$1:$TN$1,1)-60+46)),NA(),IF(INDEX(宏观数据!$F$81:$TN$81,1,MATCH(TODAY(),宏观数据!$F$1:$TN$1,1)-60+46)=0,NA(),INDEX(宏观数据!$F$81:$TN$81,1,MATCH(TODAY(),宏观数据!$F$1:$TN$1,1)-60+46)))</f>
        <v>1.3349</v>
      </c>
      <c r="AV22" t="e">
        <f ca="1">IF(ISERROR(INDEX(宏观数据!$F$81:$TN$81,1,MATCH(TODAY(),宏观数据!$F$1:$TN$1,1)-60+47)),NA(),IF(INDEX(宏观数据!$F$81:$TN$81,1,MATCH(TODAY(),宏观数据!$F$1:$TN$1,1)-60+47)=0,NA(),INDEX(宏观数据!$F$81:$TN$81,1,MATCH(TODAY(),宏观数据!$F$1:$TN$1,1)-60+47)))</f>
        <v>#N/A</v>
      </c>
      <c r="AW22" t="e">
        <f ca="1">IF(ISERROR(INDEX(宏观数据!$F$81:$TN$81,1,MATCH(TODAY(),宏观数据!$F$1:$TN$1,1)-60+48)),NA(),IF(INDEX(宏观数据!$F$81:$TN$81,1,MATCH(TODAY(),宏观数据!$F$1:$TN$1,1)-60+48)=0,NA(),INDEX(宏观数据!$F$81:$TN$81,1,MATCH(TODAY(),宏观数据!$F$1:$TN$1,1)-60+48)))</f>
        <v>#N/A</v>
      </c>
      <c r="AX22">
        <f ca="1">IF(ISERROR(INDEX(宏观数据!$F$81:$TN$81,1,MATCH(TODAY(),宏观数据!$F$1:$TN$1,1)-60+49)),NA(),IF(INDEX(宏观数据!$F$81:$TN$81,1,MATCH(TODAY(),宏观数据!$F$1:$TN$1,1)-60+49)=0,NA(),INDEX(宏观数据!$F$81:$TN$81,1,MATCH(TODAY(),宏观数据!$F$1:$TN$1,1)-60+49)))</f>
        <v>1.3242</v>
      </c>
      <c r="AY22">
        <f ca="1">IF(ISERROR(INDEX(宏观数据!$F$81:$TN$81,1,MATCH(TODAY(),宏观数据!$F$1:$TN$1,1)-60+50)),NA(),IF(INDEX(宏观数据!$F$81:$TN$81,1,MATCH(TODAY(),宏观数据!$F$1:$TN$1,1)-60+50)=0,NA(),INDEX(宏观数据!$F$81:$TN$81,1,MATCH(TODAY(),宏观数据!$F$1:$TN$1,1)-60+50)))</f>
        <v>1.315</v>
      </c>
      <c r="AZ22">
        <f ca="1">IF(ISERROR(INDEX(宏观数据!$F$81:$TN$81,1,MATCH(TODAY(),宏观数据!$F$1:$TN$1,1)-60+51)),NA(),IF(INDEX(宏观数据!$F$81:$TN$81,1,MATCH(TODAY(),宏观数据!$F$1:$TN$1,1)-60+51)=0,NA(),INDEX(宏观数据!$F$81:$TN$81,1,MATCH(TODAY(),宏观数据!$F$1:$TN$1,1)-60+51)))</f>
        <v>1.3229</v>
      </c>
      <c r="BA22" s="2">
        <f ca="1">IF(ISERROR(INDEX(宏观数据!$F$81:$TN$81,1,MATCH(TODAY(),宏观数据!$F$1:$TN$1,1)-60+52)),NA(),IF(INDEX(宏观数据!$F$81:$TN$81,1,MATCH(TODAY(),宏观数据!$F$1:$TN$1,1)-60+52)=0,NA(),INDEX(宏观数据!$F$81:$TN$81,1,MATCH(TODAY(),宏观数据!$F$1:$TN$1,1)-60+52)))</f>
        <v>1.3226</v>
      </c>
      <c r="BB22" s="2">
        <f ca="1">IF(ISERROR(INDEX(宏观数据!$F$81:$TN$81,1,MATCH(TODAY(),宏观数据!$F$1:$TN$1,1)-60+53)),NA(),IF(INDEX(宏观数据!$F$81:$TN$81,1,MATCH(TODAY(),宏观数据!$F$1:$TN$1,1)-60+53)=0,NA(),INDEX(宏观数据!$F$81:$TN$81,1,MATCH(TODAY(),宏观数据!$F$1:$TN$1,1)-60+53)))</f>
        <v>1.3408</v>
      </c>
      <c r="BC22" s="2" t="e">
        <f ca="1">IF(ISERROR(INDEX(宏观数据!$F$81:$TN$81,1,MATCH(TODAY(),宏观数据!$F$1:$TN$1,1)-60+54)),NA(),IF(INDEX(宏观数据!$F$81:$TN$81,1,MATCH(TODAY(),宏观数据!$F$1:$TN$1,1)-60+54)=0,NA(),INDEX(宏观数据!$F$81:$TN$81,1,MATCH(TODAY(),宏观数据!$F$1:$TN$1,1)-60+54)))</f>
        <v>#N/A</v>
      </c>
      <c r="BD22" s="2" t="e">
        <f ca="1">IF(ISERROR(INDEX(宏观数据!$F$81:$TN$81,1,MATCH(TODAY(),宏观数据!$F$1:$TN$1,1)-60+55)),NA(),IF(INDEX(宏观数据!$F$81:$TN$81,1,MATCH(TODAY(),宏观数据!$F$1:$TN$1,1)-60+55)=0,NA(),INDEX(宏观数据!$F$81:$TN$81,1,MATCH(TODAY(),宏观数据!$F$1:$TN$1,1)-60+55)))</f>
        <v>#N/A</v>
      </c>
      <c r="BE22">
        <f ca="1">IF(ISERROR(INDEX(宏观数据!$F$81:$TN$81,1,MATCH(TODAY(),宏观数据!$F$1:$TN$1,1)-60+56)),NA(),IF(INDEX(宏观数据!$F$81:$TN$81,1,MATCH(TODAY(),宏观数据!$F$1:$TN$1,1)-60+56)=0,NA(),INDEX(宏观数据!$F$81:$TN$81,1,MATCH(TODAY(),宏观数据!$F$1:$TN$1,1)-60+56)))</f>
        <v>1.3675</v>
      </c>
      <c r="BF22" s="2">
        <f ca="1">IF(ISERROR(INDEX(宏观数据!$F$81:$TN$81,1,MATCH(TODAY(),宏观数据!$F$1:$TN$1,1)-60+57)),NA(),IF(INDEX(宏观数据!$F$81:$TN$81,1,MATCH(TODAY(),宏观数据!$F$1:$TN$1,1)-60+57)=0,NA(),INDEX(宏观数据!$F$81:$TN$81,1,MATCH(TODAY(),宏观数据!$F$1:$TN$1,1)-60+57)))</f>
        <v>1.3965</v>
      </c>
      <c r="BG22" s="2">
        <f ca="1">IF(ISERROR(INDEX(宏观数据!$F$81:$TN$81,1,MATCH(TODAY(),宏观数据!$F$1:$TN$1,1)-60+58)),NA(),IF(INDEX(宏观数据!$F$81:$TN$81,1,MATCH(TODAY(),宏观数据!$F$1:$TN$1,1)-60+58)=0,NA(),INDEX(宏观数据!$F$81:$TN$81,1,MATCH(TODAY(),宏观数据!$F$1:$TN$1,1)-60+58)))</f>
        <v>1.3939</v>
      </c>
      <c r="BH22" s="2">
        <f ca="1">IF(ISERROR(INDEX(宏观数据!$F$81:$TN$81,1,MATCH(TODAY(),宏观数据!$F$1:$TN$1,1)-60+59)),NA(),IF(INDEX(宏观数据!$F$81:$TN$81,1,MATCH(TODAY(),宏观数据!$F$1:$TN$1,1)-60+59)=0,NA(),INDEX(宏观数据!$F$81:$TN$81,1,MATCH(TODAY(),宏观数据!$F$1:$TN$1,1)-60+59)))</f>
        <v>1.4046</v>
      </c>
      <c r="BI22">
        <f ca="1">IF(ISERROR(INDEX(宏观数据!$F$81:$TN$81,1,MATCH(TODAY(),宏观数据!$F$1:$TN$1,1)-60+60)),NA(),IF(INDEX(宏观数据!$F$81:$TN$81,1,MATCH(TODAY(),宏观数据!$F$1:$TN$1,1)-60+60)=0,NA(),INDEX(宏观数据!$F$81:$TN$81,1,MATCH(TODAY(),宏观数据!$F$1:$TN$1,1)-60+60)))</f>
        <v>1.4162</v>
      </c>
    </row>
    <row r="23" ht="15" customHeight="1" spans="1:61">
      <c r="A23" t="s">
        <v>84</v>
      </c>
      <c r="B23" s="2">
        <f ca="1">IF(ISERROR(INDEX(宏观数据!$F$82:$TN$82,1,MATCH(TODAY(),宏观数据!$F$1:$TN$1,1)-60+1)),NA(),IF(INDEX(宏观数据!$F$82:$TN$82,1,MATCH(TODAY(),宏观数据!$F$1:$TN$1,1)-60+1)=0,NA(),INDEX(宏观数据!$F$82:$TN$82,1,MATCH(TODAY(),宏观数据!$F$1:$TN$1,1)-60+1)))</f>
        <v>1.3648</v>
      </c>
      <c r="C23" s="2">
        <f ca="1">IF(ISERROR(INDEX(宏观数据!$F$82:$TN$82,1,MATCH(TODAY(),宏观数据!$F$1:$TN$1,1)-60+2)),NA(),IF(INDEX(宏观数据!$F$82:$TN$82,1,MATCH(TODAY(),宏观数据!$F$1:$TN$1,1)-60+2)=0,NA(),INDEX(宏观数据!$F$82:$TN$82,1,MATCH(TODAY(),宏观数据!$F$1:$TN$1,1)-60+2)))</f>
        <v>1.3664</v>
      </c>
      <c r="D23" s="2">
        <f ca="1">IF(ISERROR(INDEX(宏观数据!$F$82:$TN$82,1,MATCH(TODAY(),宏观数据!$F$1:$TN$1,1)-60+3)),NA(),IF(INDEX(宏观数据!$F$82:$TN$82,1,MATCH(TODAY(),宏观数据!$F$1:$TN$1,1)-60+3)=0,NA(),INDEX(宏观数据!$F$82:$TN$82,1,MATCH(TODAY(),宏观数据!$F$1:$TN$1,1)-60+3)))</f>
        <v>1.328</v>
      </c>
      <c r="E23" s="2">
        <f ca="1">IF(ISERROR(INDEX(宏观数据!$F$82:$TN$82,1,MATCH(TODAY(),宏观数据!$F$1:$TN$1,1)-60+4)),NA(),IF(INDEX(宏观数据!$F$82:$TN$82,1,MATCH(TODAY(),宏观数据!$F$1:$TN$1,1)-60+4)=0,NA(),INDEX(宏观数据!$F$82:$TN$82,1,MATCH(TODAY(),宏观数据!$F$1:$TN$1,1)-60+4)))</f>
        <v>1.3201</v>
      </c>
      <c r="F23" s="2" t="e">
        <f ca="1">IF(ISERROR(INDEX(宏观数据!$F$82:$TN$82,1,MATCH(TODAY(),宏观数据!$F$1:$TN$1,1)-60+5)),NA(),IF(INDEX(宏观数据!$F$82:$TN$82,1,MATCH(TODAY(),宏观数据!$F$1:$TN$1,1)-60+5)=0,NA(),INDEX(宏观数据!$F$82:$TN$82,1,MATCH(TODAY(),宏观数据!$F$1:$TN$1,1)-60+5)))</f>
        <v>#N/A</v>
      </c>
      <c r="G23" t="e">
        <f ca="1">IF(ISERROR(INDEX(宏观数据!$F$82:$TN$82,1,MATCH(TODAY(),宏观数据!$F$1:$TN$1,1)-60+6)),NA(),IF(INDEX(宏观数据!$F$82:$TN$82,1,MATCH(TODAY(),宏观数据!$F$1:$TN$1,1)-60+6)=0,NA(),INDEX(宏观数据!$F$82:$TN$82,1,MATCH(TODAY(),宏观数据!$F$1:$TN$1,1)-60+6)))</f>
        <v>#N/A</v>
      </c>
      <c r="H23">
        <f ca="1">IF(ISERROR(INDEX(宏观数据!$F$82:$TN$82,1,MATCH(TODAY(),宏观数据!$F$1:$TN$1,1)-60+7)),NA(),IF(INDEX(宏观数据!$F$82:$TN$82,1,MATCH(TODAY(),宏观数据!$F$1:$TN$1,1)-60+7)=0,NA(),INDEX(宏观数据!$F$82:$TN$82,1,MATCH(TODAY(),宏观数据!$F$1:$TN$1,1)-60+7)))</f>
        <v>1.3358</v>
      </c>
      <c r="I23" s="2">
        <f ca="1">IF(ISERROR(INDEX(宏观数据!$F$82:$TN$82,1,MATCH(TODAY(),宏观数据!$F$1:$TN$1,1)-60+8)),NA(),IF(INDEX(宏观数据!$F$82:$TN$82,1,MATCH(TODAY(),宏观数据!$F$1:$TN$1,1)-60+8)=0,NA(),INDEX(宏观数据!$F$82:$TN$82,1,MATCH(TODAY(),宏观数据!$F$1:$TN$1,1)-60+8)))</f>
        <v>1.3271</v>
      </c>
      <c r="J23" s="2">
        <f ca="1">IF(ISERROR(INDEX(宏观数据!$F$82:$TN$82,1,MATCH(TODAY(),宏观数据!$F$1:$TN$1,1)-60+9)),NA(),IF(INDEX(宏观数据!$F$82:$TN$82,1,MATCH(TODAY(),宏观数据!$F$1:$TN$1,1)-60+9)=0,NA(),INDEX(宏观数据!$F$82:$TN$82,1,MATCH(TODAY(),宏观数据!$F$1:$TN$1,1)-60+9)))</f>
        <v>1.3202</v>
      </c>
      <c r="K23" s="2">
        <f ca="1">IF(ISERROR(INDEX(宏观数据!$F$82:$TN$82,1,MATCH(TODAY(),宏观数据!$F$1:$TN$1,1)-60+10)),NA(),IF(INDEX(宏观数据!$F$82:$TN$82,1,MATCH(TODAY(),宏观数据!$F$1:$TN$1,1)-60+10)=0,NA(),INDEX(宏观数据!$F$82:$TN$82,1,MATCH(TODAY(),宏观数据!$F$1:$TN$1,1)-60+10)))</f>
        <v>1.3238</v>
      </c>
      <c r="L23" s="2">
        <f ca="1">IF(ISERROR(INDEX(宏观数据!$F$82:$TN$82,1,MATCH(TODAY(),宏观数据!$F$1:$TN$1,1)-60+11)),NA(),IF(INDEX(宏观数据!$F$82:$TN$82,1,MATCH(TODAY(),宏观数据!$F$1:$TN$1,1)-60+11)=0,NA(),INDEX(宏观数据!$F$82:$TN$82,1,MATCH(TODAY(),宏观数据!$F$1:$TN$1,1)-60+11)))</f>
        <v>1.3257</v>
      </c>
      <c r="M23" s="2" t="e">
        <f ca="1">IF(ISERROR(INDEX(宏观数据!$F$82:$TN$82,1,MATCH(TODAY(),宏观数据!$F$1:$TN$1,1)-60+12)),NA(),IF(INDEX(宏观数据!$F$82:$TN$82,1,MATCH(TODAY(),宏观数据!$F$1:$TN$1,1)-60+12)=0,NA(),INDEX(宏观数据!$F$82:$TN$82,1,MATCH(TODAY(),宏观数据!$F$1:$TN$1,1)-60+12)))</f>
        <v>#N/A</v>
      </c>
      <c r="N23" t="e">
        <f ca="1">IF(ISERROR(INDEX(宏观数据!$F$82:$TN$82,1,MATCH(TODAY(),宏观数据!$F$1:$TN$1,1)-60+13)),NA(),IF(INDEX(宏观数据!$F$82:$TN$82,1,MATCH(TODAY(),宏观数据!$F$1:$TN$1,1)-60+13)=0,NA(),INDEX(宏观数据!$F$82:$TN$82,1,MATCH(TODAY(),宏观数据!$F$1:$TN$1,1)-60+13)))</f>
        <v>#N/A</v>
      </c>
      <c r="O23">
        <f ca="1">IF(ISERROR(INDEX(宏观数据!$F$82:$TN$82,1,MATCH(TODAY(),宏观数据!$F$1:$TN$1,1)-60+14)),NA(),IF(INDEX(宏观数据!$F$82:$TN$82,1,MATCH(TODAY(),宏观数据!$F$1:$TN$1,1)-60+14)=0,NA(),INDEX(宏观数据!$F$82:$TN$82,1,MATCH(TODAY(),宏观数据!$F$1:$TN$1,1)-60+14)))</f>
        <v>1.3611</v>
      </c>
      <c r="P23" s="2">
        <f ca="1">IF(ISERROR(INDEX(宏观数据!$F$82:$TN$82,1,MATCH(TODAY(),宏观数据!$F$1:$TN$1,1)-60+15)),NA(),IF(INDEX(宏观数据!$F$82:$TN$82,1,MATCH(TODAY(),宏观数据!$F$1:$TN$1,1)-60+15)=0,NA(),INDEX(宏观数据!$F$82:$TN$82,1,MATCH(TODAY(),宏观数据!$F$1:$TN$1,1)-60+15)))</f>
        <v>1.363</v>
      </c>
      <c r="Q23" s="2">
        <f ca="1">IF(ISERROR(INDEX(宏观数据!$F$82:$TN$82,1,MATCH(TODAY(),宏观数据!$F$1:$TN$1,1)-60+16)),NA(),IF(INDEX(宏观数据!$F$82:$TN$82,1,MATCH(TODAY(),宏观数据!$F$1:$TN$1,1)-60+16)=0,NA(),INDEX(宏观数据!$F$82:$TN$82,1,MATCH(TODAY(),宏观数据!$F$1:$TN$1,1)-60+16)))</f>
        <v>1.3729</v>
      </c>
      <c r="R23" s="2">
        <f ca="1">IF(ISERROR(INDEX(宏观数据!$F$82:$TN$82,1,MATCH(TODAY(),宏观数据!$F$1:$TN$1,1)-60+17)),NA(),IF(INDEX(宏观数据!$F$82:$TN$82,1,MATCH(TODAY(),宏观数据!$F$1:$TN$1,1)-60+17)=0,NA(),INDEX(宏观数据!$F$82:$TN$82,1,MATCH(TODAY(),宏观数据!$F$1:$TN$1,1)-60+17)))</f>
        <v>1.3897</v>
      </c>
      <c r="S23" s="2" t="e">
        <f ca="1">IF(ISERROR(INDEX(宏观数据!$F$82:$TN$82,1,MATCH(TODAY(),宏观数据!$F$1:$TN$1,1)-60+18)),NA(),IF(INDEX(宏观数据!$F$82:$TN$82,1,MATCH(TODAY(),宏观数据!$F$1:$TN$1,1)-60+18)=0,NA(),INDEX(宏观数据!$F$82:$TN$82,1,MATCH(TODAY(),宏观数据!$F$1:$TN$1,1)-60+18)))</f>
        <v>#N/A</v>
      </c>
      <c r="T23" s="2" t="e">
        <f ca="1">IF(ISERROR(INDEX(宏观数据!$F$82:$TN$82,1,MATCH(TODAY(),宏观数据!$F$1:$TN$1,1)-60+19)),NA(),IF(INDEX(宏观数据!$F$82:$TN$82,1,MATCH(TODAY(),宏观数据!$F$1:$TN$1,1)-60+19)=0,NA(),INDEX(宏观数据!$F$82:$TN$82,1,MATCH(TODAY(),宏观数据!$F$1:$TN$1,1)-60+19)))</f>
        <v>#N/A</v>
      </c>
      <c r="U23" t="e">
        <f ca="1">IF(ISERROR(INDEX(宏观数据!$F$82:$TN$82,1,MATCH(TODAY(),宏观数据!$F$1:$TN$1,1)-60+20)),NA(),IF(INDEX(宏观数据!$F$82:$TN$82,1,MATCH(TODAY(),宏观数据!$F$1:$TN$1,1)-60+20)=0,NA(),INDEX(宏观数据!$F$82:$TN$82,1,MATCH(TODAY(),宏观数据!$F$1:$TN$1,1)-60+20)))</f>
        <v>#N/A</v>
      </c>
      <c r="V23" t="e">
        <f ca="1">IF(ISERROR(INDEX(宏观数据!$F$82:$TN$82,1,MATCH(TODAY(),宏观数据!$F$1:$TN$1,1)-60+21)),NA(),IF(INDEX(宏观数据!$F$82:$TN$82,1,MATCH(TODAY(),宏观数据!$F$1:$TN$1,1)-60+21)=0,NA(),INDEX(宏观数据!$F$82:$TN$82,1,MATCH(TODAY(),宏观数据!$F$1:$TN$1,1)-60+21)))</f>
        <v>#N/A</v>
      </c>
      <c r="W23" t="e">
        <f ca="1">IF(ISERROR(INDEX(宏观数据!$F$82:$TN$82,1,MATCH(TODAY(),宏观数据!$F$1:$TN$1,1)-60+22)),NA(),IF(INDEX(宏观数据!$F$82:$TN$82,1,MATCH(TODAY(),宏观数据!$F$1:$TN$1,1)-60+22)=0,NA(),INDEX(宏观数据!$F$82:$TN$82,1,MATCH(TODAY(),宏观数据!$F$1:$TN$1,1)-60+22)))</f>
        <v>#N/A</v>
      </c>
      <c r="X23" s="2">
        <f ca="1">IF(ISERROR(INDEX(宏观数据!$F$82:$TN$82,1,MATCH(TODAY(),宏观数据!$F$1:$TN$1,1)-60+23)),NA(),IF(INDEX(宏观数据!$F$82:$TN$82,1,MATCH(TODAY(),宏观数据!$F$1:$TN$1,1)-60+23)=0,NA(),INDEX(宏观数据!$F$82:$TN$82,1,MATCH(TODAY(),宏观数据!$F$1:$TN$1,1)-60+23)))</f>
        <v>1.3699</v>
      </c>
      <c r="Y23" s="2">
        <f ca="1">IF(ISERROR(INDEX(宏观数据!$F$82:$TN$82,1,MATCH(TODAY(),宏观数据!$F$1:$TN$1,1)-60+24)),NA(),IF(INDEX(宏观数据!$F$82:$TN$82,1,MATCH(TODAY(),宏观数据!$F$1:$TN$1,1)-60+24)=0,NA(),INDEX(宏观数据!$F$82:$TN$82,1,MATCH(TODAY(),宏观数据!$F$1:$TN$1,1)-60+24)))</f>
        <v>1.3724</v>
      </c>
      <c r="Z23" s="2">
        <f ca="1">IF(ISERROR(INDEX(宏观数据!$F$82:$TN$82,1,MATCH(TODAY(),宏观数据!$F$1:$TN$1,1)-60+25)),NA(),IF(INDEX(宏观数据!$F$82:$TN$82,1,MATCH(TODAY(),宏观数据!$F$1:$TN$1,1)-60+25)=0,NA(),INDEX(宏观数据!$F$82:$TN$82,1,MATCH(TODAY(),宏观数据!$F$1:$TN$1,1)-60+25)))</f>
        <v>1.3365</v>
      </c>
      <c r="AA23" s="2">
        <f ca="1">IF(ISERROR(INDEX(宏观数据!$F$82:$TN$82,1,MATCH(TODAY(),宏观数据!$F$1:$TN$1,1)-60+26)),NA(),IF(INDEX(宏观数据!$F$82:$TN$82,1,MATCH(TODAY(),宏观数据!$F$1:$TN$1,1)-60+26)=0,NA(),INDEX(宏观数据!$F$82:$TN$82,1,MATCH(TODAY(),宏观数据!$F$1:$TN$1,1)-60+26)))</f>
        <v>1.2987</v>
      </c>
      <c r="AB23" t="e">
        <f ca="1">IF(ISERROR(INDEX(宏观数据!$F$82:$TN$82,1,MATCH(TODAY(),宏观数据!$F$1:$TN$1,1)-60+27)),NA(),IF(INDEX(宏观数据!$F$82:$TN$82,1,MATCH(TODAY(),宏观数据!$F$1:$TN$1,1)-60+27)=0,NA(),INDEX(宏观数据!$F$82:$TN$82,1,MATCH(TODAY(),宏观数据!$F$1:$TN$1,1)-60+27)))</f>
        <v>#N/A</v>
      </c>
      <c r="AC23">
        <f ca="1">IF(ISERROR(INDEX(宏观数据!$F$82:$TN$82,1,MATCH(TODAY(),宏观数据!$F$1:$TN$1,1)-60+28)),NA(),IF(INDEX(宏观数据!$F$82:$TN$82,1,MATCH(TODAY(),宏观数据!$F$1:$TN$1,1)-60+28)=0,NA(),INDEX(宏观数据!$F$82:$TN$82,1,MATCH(TODAY(),宏观数据!$F$1:$TN$1,1)-60+28)))</f>
        <v>1.3401</v>
      </c>
      <c r="AD23" s="2">
        <f ca="1">IF(ISERROR(INDEX(宏观数据!$F$82:$TN$82,1,MATCH(TODAY(),宏观数据!$F$1:$TN$1,1)-60+29)),NA(),IF(INDEX(宏观数据!$F$82:$TN$82,1,MATCH(TODAY(),宏观数据!$F$1:$TN$1,1)-60+29)=0,NA(),INDEX(宏观数据!$F$82:$TN$82,1,MATCH(TODAY(),宏观数据!$F$1:$TN$1,1)-60+29)))</f>
        <v>1.3011</v>
      </c>
      <c r="AE23" s="2">
        <f ca="1">IF(ISERROR(INDEX(宏观数据!$F$82:$TN$82,1,MATCH(TODAY(),宏观数据!$F$1:$TN$1,1)-60+30)),NA(),IF(INDEX(宏观数据!$F$82:$TN$82,1,MATCH(TODAY(),宏观数据!$F$1:$TN$1,1)-60+30)=0,NA(),INDEX(宏观数据!$F$82:$TN$82,1,MATCH(TODAY(),宏观数据!$F$1:$TN$1,1)-60+30)))</f>
        <v>1.2942</v>
      </c>
      <c r="AF23" s="2">
        <f ca="1">IF(ISERROR(INDEX(宏观数据!$F$82:$TN$82,1,MATCH(TODAY(),宏观数据!$F$1:$TN$1,1)-60+31)),NA(),IF(INDEX(宏观数据!$F$82:$TN$82,1,MATCH(TODAY(),宏观数据!$F$1:$TN$1,1)-60+31)=0,NA(),INDEX(宏观数据!$F$82:$TN$82,1,MATCH(TODAY(),宏观数据!$F$1:$TN$1,1)-60+31)))</f>
        <v>1.3021</v>
      </c>
      <c r="AG23" s="2">
        <f ca="1">IF(ISERROR(INDEX(宏观数据!$F$82:$TN$82,1,MATCH(TODAY(),宏观数据!$F$1:$TN$1,1)-60+32)),NA(),IF(INDEX(宏观数据!$F$82:$TN$82,1,MATCH(TODAY(),宏观数据!$F$1:$TN$1,1)-60+32)=0,NA(),INDEX(宏观数据!$F$82:$TN$82,1,MATCH(TODAY(),宏观数据!$F$1:$TN$1,1)-60+32)))</f>
        <v>1.3186</v>
      </c>
      <c r="AH23" s="2" t="e">
        <f ca="1">IF(ISERROR(INDEX(宏观数据!$F$82:$TN$82,1,MATCH(TODAY(),宏观数据!$F$1:$TN$1,1)-60+33)),NA(),IF(INDEX(宏观数据!$F$82:$TN$82,1,MATCH(TODAY(),宏观数据!$F$1:$TN$1,1)-60+33)=0,NA(),INDEX(宏观数据!$F$82:$TN$82,1,MATCH(TODAY(),宏观数据!$F$1:$TN$1,1)-60+33)))</f>
        <v>#N/A</v>
      </c>
      <c r="AI23" t="e">
        <f ca="1">IF(ISERROR(INDEX(宏观数据!$F$82:$TN$82,1,MATCH(TODAY(),宏观数据!$F$1:$TN$1,1)-60+34)),NA(),IF(INDEX(宏观数据!$F$82:$TN$82,1,MATCH(TODAY(),宏观数据!$F$1:$TN$1,1)-60+34)=0,NA(),INDEX(宏观数据!$F$82:$TN$82,1,MATCH(TODAY(),宏观数据!$F$1:$TN$1,1)-60+34)))</f>
        <v>#N/A</v>
      </c>
      <c r="AJ23">
        <f ca="1">IF(ISERROR(INDEX(宏观数据!$F$82:$TN$82,1,MATCH(TODAY(),宏观数据!$F$1:$TN$1,1)-60+35)),NA(),IF(INDEX(宏观数据!$F$82:$TN$82,1,MATCH(TODAY(),宏观数据!$F$1:$TN$1,1)-60+35)=0,NA(),INDEX(宏观数据!$F$82:$TN$82,1,MATCH(TODAY(),宏观数据!$F$1:$TN$1,1)-60+35)))</f>
        <v>1.3283</v>
      </c>
      <c r="AK23" s="2">
        <f ca="1">IF(ISERROR(INDEX(宏观数据!$F$82:$TN$82,1,MATCH(TODAY(),宏观数据!$F$1:$TN$1,1)-60+36)),NA(),IF(INDEX(宏观数据!$F$82:$TN$82,1,MATCH(TODAY(),宏观数据!$F$1:$TN$1,1)-60+36)=0,NA(),INDEX(宏观数据!$F$82:$TN$82,1,MATCH(TODAY(),宏观数据!$F$1:$TN$1,1)-60+36)))</f>
        <v>1.3214</v>
      </c>
      <c r="AL23" s="2">
        <f ca="1">IF(ISERROR(INDEX(宏观数据!$F$82:$TN$82,1,MATCH(TODAY(),宏观数据!$F$1:$TN$1,1)-60+37)),NA(),IF(INDEX(宏观数据!$F$82:$TN$82,1,MATCH(TODAY(),宏观数据!$F$1:$TN$1,1)-60+37)=0,NA(),INDEX(宏观数据!$F$82:$TN$82,1,MATCH(TODAY(),宏观数据!$F$1:$TN$1,1)-60+37)))</f>
        <v>1.3287</v>
      </c>
      <c r="AM23" s="2">
        <f ca="1">IF(ISERROR(INDEX(宏观数据!$F$82:$TN$82,1,MATCH(TODAY(),宏观数据!$F$1:$TN$1,1)-60+38)),NA(),IF(INDEX(宏观数据!$F$82:$TN$82,1,MATCH(TODAY(),宏观数据!$F$1:$TN$1,1)-60+38)=0,NA(),INDEX(宏观数据!$F$82:$TN$82,1,MATCH(TODAY(),宏观数据!$F$1:$TN$1,1)-60+38)))</f>
        <v>1.328</v>
      </c>
      <c r="AN23" s="2">
        <f ca="1">IF(ISERROR(INDEX(宏观数据!$F$82:$TN$82,1,MATCH(TODAY(),宏观数据!$F$1:$TN$1,1)-60+39)),NA(),IF(INDEX(宏观数据!$F$82:$TN$82,1,MATCH(TODAY(),宏观数据!$F$1:$TN$1,1)-60+39)=0,NA(),INDEX(宏观数据!$F$82:$TN$82,1,MATCH(TODAY(),宏观数据!$F$1:$TN$1,1)-60+39)))</f>
        <v>1.3634</v>
      </c>
      <c r="AO23" s="2" t="e">
        <f ca="1">IF(ISERROR(INDEX(宏观数据!$F$82:$TN$82,1,MATCH(TODAY(),宏观数据!$F$1:$TN$1,1)-60+40)),NA(),IF(INDEX(宏观数据!$F$82:$TN$82,1,MATCH(TODAY(),宏观数据!$F$1:$TN$1,1)-60+40)=0,NA(),INDEX(宏观数据!$F$82:$TN$82,1,MATCH(TODAY(),宏观数据!$F$1:$TN$1,1)-60+40)))</f>
        <v>#N/A</v>
      </c>
      <c r="AP23" t="e">
        <f ca="1">IF(ISERROR(INDEX(宏观数据!$F$82:$TN$82,1,MATCH(TODAY(),宏观数据!$F$1:$TN$1,1)-60+41)),NA(),IF(INDEX(宏观数据!$F$82:$TN$82,1,MATCH(TODAY(),宏观数据!$F$1:$TN$1,1)-60+41)=0,NA(),INDEX(宏观数据!$F$82:$TN$82,1,MATCH(TODAY(),宏观数据!$F$1:$TN$1,1)-60+41)))</f>
        <v>#N/A</v>
      </c>
      <c r="AQ23">
        <f ca="1">IF(ISERROR(INDEX(宏观数据!$F$82:$TN$82,1,MATCH(TODAY(),宏观数据!$F$1:$TN$1,1)-60+42)),NA(),IF(INDEX(宏观数据!$F$82:$TN$82,1,MATCH(TODAY(),宏观数据!$F$1:$TN$1,1)-60+42)=0,NA(),INDEX(宏观数据!$F$82:$TN$82,1,MATCH(TODAY(),宏观数据!$F$1:$TN$1,1)-60+42)))</f>
        <v>1.3936</v>
      </c>
      <c r="AR23" s="2">
        <f ca="1">IF(ISERROR(INDEX(宏观数据!$F$82:$TN$82,1,MATCH(TODAY(),宏观数据!$F$1:$TN$1,1)-60+43)),NA(),IF(INDEX(宏观数据!$F$82:$TN$82,1,MATCH(TODAY(),宏观数据!$F$1:$TN$1,1)-60+43)=0,NA(),INDEX(宏观数据!$F$82:$TN$82,1,MATCH(TODAY(),宏观数据!$F$1:$TN$1,1)-60+43)))</f>
        <v>1.3752</v>
      </c>
      <c r="AS23" s="2">
        <f ca="1">IF(ISERROR(INDEX(宏观数据!$F$82:$TN$82,1,MATCH(TODAY(),宏观数据!$F$1:$TN$1,1)-60+44)),NA(),IF(INDEX(宏观数据!$F$82:$TN$82,1,MATCH(TODAY(),宏观数据!$F$1:$TN$1,1)-60+44)=0,NA(),INDEX(宏观数据!$F$82:$TN$82,1,MATCH(TODAY(),宏观数据!$F$1:$TN$1,1)-60+44)))</f>
        <v>1.365</v>
      </c>
      <c r="AT23" s="2">
        <f ca="1">IF(ISERROR(INDEX(宏观数据!$F$82:$TN$82,1,MATCH(TODAY(),宏观数据!$F$1:$TN$1,1)-60+45)),NA(),IF(INDEX(宏观数据!$F$82:$TN$82,1,MATCH(TODAY(),宏观数据!$F$1:$TN$1,1)-60+45)=0,NA(),INDEX(宏观数据!$F$82:$TN$82,1,MATCH(TODAY(),宏观数据!$F$1:$TN$1,1)-60+45)))</f>
        <v>1.3578</v>
      </c>
      <c r="AU23" s="2">
        <f ca="1">IF(ISERROR(INDEX(宏观数据!$F$82:$TN$82,1,MATCH(TODAY(),宏观数据!$F$1:$TN$1,1)-60+46)),NA(),IF(INDEX(宏观数据!$F$82:$TN$82,1,MATCH(TODAY(),宏观数据!$F$1:$TN$1,1)-60+46)=0,NA(),INDEX(宏观数据!$F$82:$TN$82,1,MATCH(TODAY(),宏观数据!$F$1:$TN$1,1)-60+46)))</f>
        <v>1.3809</v>
      </c>
      <c r="AV23" t="e">
        <f ca="1">IF(ISERROR(INDEX(宏观数据!$F$82:$TN$82,1,MATCH(TODAY(),宏观数据!$F$1:$TN$1,1)-60+47)),NA(),IF(INDEX(宏观数据!$F$82:$TN$82,1,MATCH(TODAY(),宏观数据!$F$1:$TN$1,1)-60+47)=0,NA(),INDEX(宏观数据!$F$82:$TN$82,1,MATCH(TODAY(),宏观数据!$F$1:$TN$1,1)-60+47)))</f>
        <v>#N/A</v>
      </c>
      <c r="AW23" t="e">
        <f ca="1">IF(ISERROR(INDEX(宏观数据!$F$82:$TN$82,1,MATCH(TODAY(),宏观数据!$F$1:$TN$1,1)-60+48)),NA(),IF(INDEX(宏观数据!$F$82:$TN$82,1,MATCH(TODAY(),宏观数据!$F$1:$TN$1,1)-60+48)=0,NA(),INDEX(宏观数据!$F$82:$TN$82,1,MATCH(TODAY(),宏观数据!$F$1:$TN$1,1)-60+48)))</f>
        <v>#N/A</v>
      </c>
      <c r="AX23">
        <f ca="1">IF(ISERROR(INDEX(宏观数据!$F$82:$TN$82,1,MATCH(TODAY(),宏观数据!$F$1:$TN$1,1)-60+49)),NA(),IF(INDEX(宏观数据!$F$82:$TN$82,1,MATCH(TODAY(),宏观数据!$F$1:$TN$1,1)-60+49)=0,NA(),INDEX(宏观数据!$F$82:$TN$82,1,MATCH(TODAY(),宏观数据!$F$1:$TN$1,1)-60+49)))</f>
        <v>1.3644</v>
      </c>
      <c r="AY23">
        <f ca="1">IF(ISERROR(INDEX(宏观数据!$F$82:$TN$82,1,MATCH(TODAY(),宏观数据!$F$1:$TN$1,1)-60+50)),NA(),IF(INDEX(宏观数据!$F$82:$TN$82,1,MATCH(TODAY(),宏观数据!$F$1:$TN$1,1)-60+50)=0,NA(),INDEX(宏观数据!$F$82:$TN$82,1,MATCH(TODAY(),宏观数据!$F$1:$TN$1,1)-60+50)))</f>
        <v>1.3442</v>
      </c>
      <c r="AZ23">
        <f ca="1">IF(ISERROR(INDEX(宏观数据!$F$82:$TN$82,1,MATCH(TODAY(),宏观数据!$F$1:$TN$1,1)-60+51)),NA(),IF(INDEX(宏观数据!$F$82:$TN$82,1,MATCH(TODAY(),宏观数据!$F$1:$TN$1,1)-60+51)=0,NA(),INDEX(宏观数据!$F$82:$TN$82,1,MATCH(TODAY(),宏观数据!$F$1:$TN$1,1)-60+51)))</f>
        <v>1.3428</v>
      </c>
      <c r="BA23" s="2">
        <f ca="1">IF(ISERROR(INDEX(宏观数据!$F$82:$TN$82,1,MATCH(TODAY(),宏观数据!$F$1:$TN$1,1)-60+52)),NA(),IF(INDEX(宏观数据!$F$82:$TN$82,1,MATCH(TODAY(),宏观数据!$F$1:$TN$1,1)-60+52)=0,NA(),INDEX(宏观数据!$F$82:$TN$82,1,MATCH(TODAY(),宏观数据!$F$1:$TN$1,1)-60+52)))</f>
        <v>1.3479</v>
      </c>
      <c r="BB23" s="2">
        <f ca="1">IF(ISERROR(INDEX(宏观数据!$F$82:$TN$82,1,MATCH(TODAY(),宏观数据!$F$1:$TN$1,1)-60+53)),NA(),IF(INDEX(宏观数据!$F$82:$TN$82,1,MATCH(TODAY(),宏观数据!$F$1:$TN$1,1)-60+53)=0,NA(),INDEX(宏观数据!$F$82:$TN$82,1,MATCH(TODAY(),宏观数据!$F$1:$TN$1,1)-60+53)))</f>
        <v>1.3822</v>
      </c>
      <c r="BC23" s="2" t="e">
        <f ca="1">IF(ISERROR(INDEX(宏观数据!$F$82:$TN$82,1,MATCH(TODAY(),宏观数据!$F$1:$TN$1,1)-60+54)),NA(),IF(INDEX(宏观数据!$F$82:$TN$82,1,MATCH(TODAY(),宏观数据!$F$1:$TN$1,1)-60+54)=0,NA(),INDEX(宏观数据!$F$82:$TN$82,1,MATCH(TODAY(),宏观数据!$F$1:$TN$1,1)-60+54)))</f>
        <v>#N/A</v>
      </c>
      <c r="BD23" s="2" t="e">
        <f ca="1">IF(ISERROR(INDEX(宏观数据!$F$82:$TN$82,1,MATCH(TODAY(),宏观数据!$F$1:$TN$1,1)-60+55)),NA(),IF(INDEX(宏观数据!$F$82:$TN$82,1,MATCH(TODAY(),宏观数据!$F$1:$TN$1,1)-60+55)=0,NA(),INDEX(宏观数据!$F$82:$TN$82,1,MATCH(TODAY(),宏观数据!$F$1:$TN$1,1)-60+55)))</f>
        <v>#N/A</v>
      </c>
      <c r="BE23">
        <f ca="1">IF(ISERROR(INDEX(宏观数据!$F$82:$TN$82,1,MATCH(TODAY(),宏观数据!$F$1:$TN$1,1)-60+56)),NA(),IF(INDEX(宏观数据!$F$82:$TN$82,1,MATCH(TODAY(),宏观数据!$F$1:$TN$1,1)-60+56)=0,NA(),INDEX(宏观数据!$F$82:$TN$82,1,MATCH(TODAY(),宏观数据!$F$1:$TN$1,1)-60+56)))</f>
        <v>1.4031</v>
      </c>
      <c r="BF23" s="2">
        <f ca="1">IF(ISERROR(INDEX(宏观数据!$F$82:$TN$82,1,MATCH(TODAY(),宏观数据!$F$1:$TN$1,1)-60+57)),NA(),IF(INDEX(宏观数据!$F$82:$TN$82,1,MATCH(TODAY(),宏观数据!$F$1:$TN$1,1)-60+57)=0,NA(),INDEX(宏观数据!$F$82:$TN$82,1,MATCH(TODAY(),宏观数据!$F$1:$TN$1,1)-60+57)))</f>
        <v>1.4154</v>
      </c>
      <c r="BG23" s="2">
        <f ca="1">IF(ISERROR(INDEX(宏观数据!$F$82:$TN$82,1,MATCH(TODAY(),宏观数据!$F$1:$TN$1,1)-60+58)),NA(),IF(INDEX(宏观数据!$F$82:$TN$82,1,MATCH(TODAY(),宏观数据!$F$1:$TN$1,1)-60+58)=0,NA(),INDEX(宏观数据!$F$82:$TN$82,1,MATCH(TODAY(),宏观数据!$F$1:$TN$1,1)-60+58)))</f>
        <v>1.4152</v>
      </c>
      <c r="BH23" s="2">
        <f ca="1">IF(ISERROR(INDEX(宏观数据!$F$82:$TN$82,1,MATCH(TODAY(),宏观数据!$F$1:$TN$1,1)-60+59)),NA(),IF(INDEX(宏观数据!$F$82:$TN$82,1,MATCH(TODAY(),宏观数据!$F$1:$TN$1,1)-60+59)=0,NA(),INDEX(宏观数据!$F$82:$TN$82,1,MATCH(TODAY(),宏观数据!$F$1:$TN$1,1)-60+59)))</f>
        <v>1.4435</v>
      </c>
      <c r="BI23">
        <f ca="1">IF(ISERROR(INDEX(宏观数据!$F$82:$TN$82,1,MATCH(TODAY(),宏观数据!$F$1:$TN$1,1)-60+60)),NA(),IF(INDEX(宏观数据!$F$82:$TN$82,1,MATCH(TODAY(),宏观数据!$F$1:$TN$1,1)-60+60)=0,NA(),INDEX(宏观数据!$F$82:$TN$82,1,MATCH(TODAY(),宏观数据!$F$1:$TN$1,1)-60+60)))</f>
        <v>1.4551</v>
      </c>
    </row>
    <row r="24" ht="15" customHeight="1" spans="1:61">
      <c r="A24" t="s">
        <v>86</v>
      </c>
      <c r="B24" s="2">
        <f ca="1">IF(ISERROR(INDEX(宏观数据!$F$83:$TN$83,1,MATCH(TODAY(),宏观数据!$F$1:$TN$1,1)-60+1)),NA(),IF(INDEX(宏观数据!$F$83:$TN$83,1,MATCH(TODAY(),宏观数据!$F$1:$TN$1,1)-60+1)=0,NA(),INDEX(宏观数据!$F$83:$TN$83,1,MATCH(TODAY(),宏观数据!$F$1:$TN$1,1)-60+1)))</f>
        <v>1.2985</v>
      </c>
      <c r="C24" s="2">
        <f ca="1">IF(ISERROR(INDEX(宏观数据!$F$83:$TN$83,1,MATCH(TODAY(),宏观数据!$F$1:$TN$1,1)-60+2)),NA(),IF(INDEX(宏观数据!$F$83:$TN$83,1,MATCH(TODAY(),宏观数据!$F$1:$TN$1,1)-60+2)=0,NA(),INDEX(宏观数据!$F$83:$TN$83,1,MATCH(TODAY(),宏观数据!$F$1:$TN$1,1)-60+2)))</f>
        <v>1.2941</v>
      </c>
      <c r="D24" s="2">
        <f ca="1">IF(ISERROR(INDEX(宏观数据!$F$83:$TN$83,1,MATCH(TODAY(),宏观数据!$F$1:$TN$1,1)-60+3)),NA(),IF(INDEX(宏观数据!$F$83:$TN$83,1,MATCH(TODAY(),宏观数据!$F$1:$TN$1,1)-60+3)=0,NA(),INDEX(宏观数据!$F$83:$TN$83,1,MATCH(TODAY(),宏观数据!$F$1:$TN$1,1)-60+3)))</f>
        <v>1.2879</v>
      </c>
      <c r="E24" s="2">
        <f ca="1">IF(ISERROR(INDEX(宏观数据!$F$83:$TN$83,1,MATCH(TODAY(),宏观数据!$F$1:$TN$1,1)-60+4)),NA(),IF(INDEX(宏观数据!$F$83:$TN$83,1,MATCH(TODAY(),宏观数据!$F$1:$TN$1,1)-60+4)=0,NA(),INDEX(宏观数据!$F$83:$TN$83,1,MATCH(TODAY(),宏观数据!$F$1:$TN$1,1)-60+4)))</f>
        <v>1.2878</v>
      </c>
      <c r="F24" s="2" t="e">
        <f ca="1">IF(ISERROR(INDEX(宏观数据!$F$83:$TN$83,1,MATCH(TODAY(),宏观数据!$F$1:$TN$1,1)-60+5)),NA(),IF(INDEX(宏观数据!$F$83:$TN$83,1,MATCH(TODAY(),宏观数据!$F$1:$TN$1,1)-60+5)=0,NA(),INDEX(宏观数据!$F$83:$TN$83,1,MATCH(TODAY(),宏观数据!$F$1:$TN$1,1)-60+5)))</f>
        <v>#N/A</v>
      </c>
      <c r="G24" t="e">
        <f ca="1">IF(ISERROR(INDEX(宏观数据!$F$83:$TN$83,1,MATCH(TODAY(),宏观数据!$F$1:$TN$1,1)-60+6)),NA(),IF(INDEX(宏观数据!$F$83:$TN$83,1,MATCH(TODAY(),宏观数据!$F$1:$TN$1,1)-60+6)=0,NA(),INDEX(宏观数据!$F$83:$TN$83,1,MATCH(TODAY(),宏观数据!$F$1:$TN$1,1)-60+6)))</f>
        <v>#N/A</v>
      </c>
      <c r="H24">
        <f ca="1">IF(ISERROR(INDEX(宏观数据!$F$83:$TN$83,1,MATCH(TODAY(),宏观数据!$F$1:$TN$1,1)-60+7)),NA(),IF(INDEX(宏观数据!$F$83:$TN$83,1,MATCH(TODAY(),宏观数据!$F$1:$TN$1,1)-60+7)=0,NA(),INDEX(宏观数据!$F$83:$TN$83,1,MATCH(TODAY(),宏观数据!$F$1:$TN$1,1)-60+7)))</f>
        <v>1.2858</v>
      </c>
      <c r="I24" s="2">
        <f ca="1">IF(ISERROR(INDEX(宏观数据!$F$83:$TN$83,1,MATCH(TODAY(),宏观数据!$F$1:$TN$1,1)-60+8)),NA(),IF(INDEX(宏观数据!$F$83:$TN$83,1,MATCH(TODAY(),宏观数据!$F$1:$TN$1,1)-60+8)=0,NA(),INDEX(宏观数据!$F$83:$TN$83,1,MATCH(TODAY(),宏观数据!$F$1:$TN$1,1)-60+8)))</f>
        <v>1.2853</v>
      </c>
      <c r="J24" s="2">
        <f ca="1">IF(ISERROR(INDEX(宏观数据!$F$83:$TN$83,1,MATCH(TODAY(),宏观数据!$F$1:$TN$1,1)-60+9)),NA(),IF(INDEX(宏观数据!$F$83:$TN$83,1,MATCH(TODAY(),宏观数据!$F$1:$TN$1,1)-60+9)=0,NA(),INDEX(宏观数据!$F$83:$TN$83,1,MATCH(TODAY(),宏观数据!$F$1:$TN$1,1)-60+9)))</f>
        <v>1.2891</v>
      </c>
      <c r="K24" s="2">
        <f ca="1">IF(ISERROR(INDEX(宏观数据!$F$83:$TN$83,1,MATCH(TODAY(),宏观数据!$F$1:$TN$1,1)-60+10)),NA(),IF(INDEX(宏观数据!$F$83:$TN$83,1,MATCH(TODAY(),宏观数据!$F$1:$TN$1,1)-60+10)=0,NA(),INDEX(宏观数据!$F$83:$TN$83,1,MATCH(TODAY(),宏观数据!$F$1:$TN$1,1)-60+10)))</f>
        <v>1.2902</v>
      </c>
      <c r="L24" s="2">
        <f ca="1">IF(ISERROR(INDEX(宏观数据!$F$83:$TN$83,1,MATCH(TODAY(),宏观数据!$F$1:$TN$1,1)-60+11)),NA(),IF(INDEX(宏观数据!$F$83:$TN$83,1,MATCH(TODAY(),宏观数据!$F$1:$TN$1,1)-60+11)=0,NA(),INDEX(宏观数据!$F$83:$TN$83,1,MATCH(TODAY(),宏观数据!$F$1:$TN$1,1)-60+11)))</f>
        <v>1.2911</v>
      </c>
      <c r="M24" s="2" t="e">
        <f ca="1">IF(ISERROR(INDEX(宏观数据!$F$83:$TN$83,1,MATCH(TODAY(),宏观数据!$F$1:$TN$1,1)-60+12)),NA(),IF(INDEX(宏观数据!$F$83:$TN$83,1,MATCH(TODAY(),宏观数据!$F$1:$TN$1,1)-60+12)=0,NA(),INDEX(宏观数据!$F$83:$TN$83,1,MATCH(TODAY(),宏观数据!$F$1:$TN$1,1)-60+12)))</f>
        <v>#N/A</v>
      </c>
      <c r="N24" t="e">
        <f ca="1">IF(ISERROR(INDEX(宏观数据!$F$83:$TN$83,1,MATCH(TODAY(),宏观数据!$F$1:$TN$1,1)-60+13)),NA(),IF(INDEX(宏观数据!$F$83:$TN$83,1,MATCH(TODAY(),宏观数据!$F$1:$TN$1,1)-60+13)=0,NA(),INDEX(宏观数据!$F$83:$TN$83,1,MATCH(TODAY(),宏观数据!$F$1:$TN$1,1)-60+13)))</f>
        <v>#N/A</v>
      </c>
      <c r="O24">
        <f ca="1">IF(ISERROR(INDEX(宏观数据!$F$83:$TN$83,1,MATCH(TODAY(),宏观数据!$F$1:$TN$1,1)-60+14)),NA(),IF(INDEX(宏观数据!$F$83:$TN$83,1,MATCH(TODAY(),宏观数据!$F$1:$TN$1,1)-60+14)=0,NA(),INDEX(宏观数据!$F$83:$TN$83,1,MATCH(TODAY(),宏观数据!$F$1:$TN$1,1)-60+14)))</f>
        <v>1.3124</v>
      </c>
      <c r="P24" s="2">
        <f ca="1">IF(ISERROR(INDEX(宏观数据!$F$83:$TN$83,1,MATCH(TODAY(),宏观数据!$F$1:$TN$1,1)-60+15)),NA(),IF(INDEX(宏观数据!$F$83:$TN$83,1,MATCH(TODAY(),宏观数据!$F$1:$TN$1,1)-60+15)=0,NA(),INDEX(宏观数据!$F$83:$TN$83,1,MATCH(TODAY(),宏观数据!$F$1:$TN$1,1)-60+15)))</f>
        <v>1.3129</v>
      </c>
      <c r="Q24" s="2">
        <f ca="1">IF(ISERROR(INDEX(宏观数据!$F$83:$TN$83,1,MATCH(TODAY(),宏观数据!$F$1:$TN$1,1)-60+16)),NA(),IF(INDEX(宏观数据!$F$83:$TN$83,1,MATCH(TODAY(),宏观数据!$F$1:$TN$1,1)-60+16)=0,NA(),INDEX(宏观数据!$F$83:$TN$83,1,MATCH(TODAY(),宏观数据!$F$1:$TN$1,1)-60+16)))</f>
        <v>1.3122</v>
      </c>
      <c r="R24" s="2">
        <f ca="1">IF(ISERROR(INDEX(宏观数据!$F$83:$TN$83,1,MATCH(TODAY(),宏观数据!$F$1:$TN$1,1)-60+17)),NA(),IF(INDEX(宏观数据!$F$83:$TN$83,1,MATCH(TODAY(),宏观数据!$F$1:$TN$1,1)-60+17)=0,NA(),INDEX(宏观数据!$F$83:$TN$83,1,MATCH(TODAY(),宏观数据!$F$1:$TN$1,1)-60+17)))</f>
        <v>1.3749</v>
      </c>
      <c r="S24" s="2" t="e">
        <f ca="1">IF(ISERROR(INDEX(宏观数据!$F$83:$TN$83,1,MATCH(TODAY(),宏观数据!$F$1:$TN$1,1)-60+18)),NA(),IF(INDEX(宏观数据!$F$83:$TN$83,1,MATCH(TODAY(),宏观数据!$F$1:$TN$1,1)-60+18)=0,NA(),INDEX(宏观数据!$F$83:$TN$83,1,MATCH(TODAY(),宏观数据!$F$1:$TN$1,1)-60+18)))</f>
        <v>#N/A</v>
      </c>
      <c r="T24" s="2" t="e">
        <f ca="1">IF(ISERROR(INDEX(宏观数据!$F$83:$TN$83,1,MATCH(TODAY(),宏观数据!$F$1:$TN$1,1)-60+19)),NA(),IF(INDEX(宏观数据!$F$83:$TN$83,1,MATCH(TODAY(),宏观数据!$F$1:$TN$1,1)-60+19)=0,NA(),INDEX(宏观数据!$F$83:$TN$83,1,MATCH(TODAY(),宏观数据!$F$1:$TN$1,1)-60+19)))</f>
        <v>#N/A</v>
      </c>
      <c r="U24" t="e">
        <f ca="1">IF(ISERROR(INDEX(宏观数据!$F$83:$TN$83,1,MATCH(TODAY(),宏观数据!$F$1:$TN$1,1)-60+20)),NA(),IF(INDEX(宏观数据!$F$83:$TN$83,1,MATCH(TODAY(),宏观数据!$F$1:$TN$1,1)-60+20)=0,NA(),INDEX(宏观数据!$F$83:$TN$83,1,MATCH(TODAY(),宏观数据!$F$1:$TN$1,1)-60+20)))</f>
        <v>#N/A</v>
      </c>
      <c r="V24" t="e">
        <f ca="1">IF(ISERROR(INDEX(宏观数据!$F$83:$TN$83,1,MATCH(TODAY(),宏观数据!$F$1:$TN$1,1)-60+21)),NA(),IF(INDEX(宏观数据!$F$83:$TN$83,1,MATCH(TODAY(),宏观数据!$F$1:$TN$1,1)-60+21)=0,NA(),INDEX(宏观数据!$F$83:$TN$83,1,MATCH(TODAY(),宏观数据!$F$1:$TN$1,1)-60+21)))</f>
        <v>#N/A</v>
      </c>
      <c r="W24" t="e">
        <f ca="1">IF(ISERROR(INDEX(宏观数据!$F$83:$TN$83,1,MATCH(TODAY(),宏观数据!$F$1:$TN$1,1)-60+22)),NA(),IF(INDEX(宏观数据!$F$83:$TN$83,1,MATCH(TODAY(),宏观数据!$F$1:$TN$1,1)-60+22)=0,NA(),INDEX(宏观数据!$F$83:$TN$83,1,MATCH(TODAY(),宏观数据!$F$1:$TN$1,1)-60+22)))</f>
        <v>#N/A</v>
      </c>
      <c r="X24" s="2">
        <f ca="1">IF(ISERROR(INDEX(宏观数据!$F$83:$TN$83,1,MATCH(TODAY(),宏观数据!$F$1:$TN$1,1)-60+23)),NA(),IF(INDEX(宏观数据!$F$83:$TN$83,1,MATCH(TODAY(),宏观数据!$F$1:$TN$1,1)-60+23)=0,NA(),INDEX(宏观数据!$F$83:$TN$83,1,MATCH(TODAY(),宏观数据!$F$1:$TN$1,1)-60+23)))</f>
        <v>1.3456</v>
      </c>
      <c r="Y24" s="2">
        <f ca="1">IF(ISERROR(INDEX(宏观数据!$F$83:$TN$83,1,MATCH(TODAY(),宏观数据!$F$1:$TN$1,1)-60+24)),NA(),IF(INDEX(宏观数据!$F$83:$TN$83,1,MATCH(TODAY(),宏观数据!$F$1:$TN$1,1)-60+24)=0,NA(),INDEX(宏观数据!$F$83:$TN$83,1,MATCH(TODAY(),宏观数据!$F$1:$TN$1,1)-60+24)))</f>
        <v>1.3385</v>
      </c>
      <c r="Z24" s="2">
        <f ca="1">IF(ISERROR(INDEX(宏观数据!$F$83:$TN$83,1,MATCH(TODAY(),宏观数据!$F$1:$TN$1,1)-60+25)),NA(),IF(INDEX(宏观数据!$F$83:$TN$83,1,MATCH(TODAY(),宏观数据!$F$1:$TN$1,1)-60+25)=0,NA(),INDEX(宏观数据!$F$83:$TN$83,1,MATCH(TODAY(),宏观数据!$F$1:$TN$1,1)-60+25)))</f>
        <v>1.2548</v>
      </c>
      <c r="AA24" s="2">
        <f ca="1">IF(ISERROR(INDEX(宏观数据!$F$83:$TN$83,1,MATCH(TODAY(),宏观数据!$F$1:$TN$1,1)-60+26)),NA(),IF(INDEX(宏观数据!$F$83:$TN$83,1,MATCH(TODAY(),宏观数据!$F$1:$TN$1,1)-60+26)=0,NA(),INDEX(宏观数据!$F$83:$TN$83,1,MATCH(TODAY(),宏观数据!$F$1:$TN$1,1)-60+26)))</f>
        <v>1.2257</v>
      </c>
      <c r="AB24" t="e">
        <f ca="1">IF(ISERROR(INDEX(宏观数据!$F$83:$TN$83,1,MATCH(TODAY(),宏观数据!$F$1:$TN$1,1)-60+27)),NA(),IF(INDEX(宏观数据!$F$83:$TN$83,1,MATCH(TODAY(),宏观数据!$F$1:$TN$1,1)-60+27)=0,NA(),INDEX(宏观数据!$F$83:$TN$83,1,MATCH(TODAY(),宏观数据!$F$1:$TN$1,1)-60+27)))</f>
        <v>#N/A</v>
      </c>
      <c r="AC24">
        <f ca="1">IF(ISERROR(INDEX(宏观数据!$F$83:$TN$83,1,MATCH(TODAY(),宏观数据!$F$1:$TN$1,1)-60+28)),NA(),IF(INDEX(宏观数据!$F$83:$TN$83,1,MATCH(TODAY(),宏观数据!$F$1:$TN$1,1)-60+28)=0,NA(),INDEX(宏观数据!$F$83:$TN$83,1,MATCH(TODAY(),宏观数据!$F$1:$TN$1,1)-60+28)))</f>
        <v>1.2779</v>
      </c>
      <c r="AD24" s="2">
        <f ca="1">IF(ISERROR(INDEX(宏观数据!$F$83:$TN$83,1,MATCH(TODAY(),宏观数据!$F$1:$TN$1,1)-60+29)),NA(),IF(INDEX(宏观数据!$F$83:$TN$83,1,MATCH(TODAY(),宏观数据!$F$1:$TN$1,1)-60+29)=0,NA(),INDEX(宏观数据!$F$83:$TN$83,1,MATCH(TODAY(),宏观数据!$F$1:$TN$1,1)-60+29)))</f>
        <v>1.2852</v>
      </c>
      <c r="AE24" s="2">
        <f ca="1">IF(ISERROR(INDEX(宏观数据!$F$83:$TN$83,1,MATCH(TODAY(),宏观数据!$F$1:$TN$1,1)-60+30)),NA(),IF(INDEX(宏观数据!$F$83:$TN$83,1,MATCH(TODAY(),宏观数据!$F$1:$TN$1,1)-60+30)=0,NA(),INDEX(宏观数据!$F$83:$TN$83,1,MATCH(TODAY(),宏观数据!$F$1:$TN$1,1)-60+30)))</f>
        <v>1.2873</v>
      </c>
      <c r="AF24" s="2">
        <f ca="1">IF(ISERROR(INDEX(宏观数据!$F$83:$TN$83,1,MATCH(TODAY(),宏观数据!$F$1:$TN$1,1)-60+31)),NA(),IF(INDEX(宏观数据!$F$83:$TN$83,1,MATCH(TODAY(),宏观数据!$F$1:$TN$1,1)-60+31)=0,NA(),INDEX(宏观数据!$F$83:$TN$83,1,MATCH(TODAY(),宏观数据!$F$1:$TN$1,1)-60+31)))</f>
        <v>1.2897</v>
      </c>
      <c r="AG24" s="2">
        <f ca="1">IF(ISERROR(INDEX(宏观数据!$F$83:$TN$83,1,MATCH(TODAY(),宏观数据!$F$1:$TN$1,1)-60+32)),NA(),IF(INDEX(宏观数据!$F$83:$TN$83,1,MATCH(TODAY(),宏观数据!$F$1:$TN$1,1)-60+32)=0,NA(),INDEX(宏观数据!$F$83:$TN$83,1,MATCH(TODAY(),宏观数据!$F$1:$TN$1,1)-60+32)))</f>
        <v>1.2909</v>
      </c>
      <c r="AH24" s="2" t="e">
        <f ca="1">IF(ISERROR(INDEX(宏观数据!$F$83:$TN$83,1,MATCH(TODAY(),宏观数据!$F$1:$TN$1,1)-60+33)),NA(),IF(INDEX(宏观数据!$F$83:$TN$83,1,MATCH(TODAY(),宏观数据!$F$1:$TN$1,1)-60+33)=0,NA(),INDEX(宏观数据!$F$83:$TN$83,1,MATCH(TODAY(),宏观数据!$F$1:$TN$1,1)-60+33)))</f>
        <v>#N/A</v>
      </c>
      <c r="AI24" t="e">
        <f ca="1">IF(ISERROR(INDEX(宏观数据!$F$83:$TN$83,1,MATCH(TODAY(),宏观数据!$F$1:$TN$1,1)-60+34)),NA(),IF(INDEX(宏观数据!$F$83:$TN$83,1,MATCH(TODAY(),宏观数据!$F$1:$TN$1,1)-60+34)=0,NA(),INDEX(宏观数据!$F$83:$TN$83,1,MATCH(TODAY(),宏观数据!$F$1:$TN$1,1)-60+34)))</f>
        <v>#N/A</v>
      </c>
      <c r="AJ24">
        <f ca="1">IF(ISERROR(INDEX(宏观数据!$F$83:$TN$83,1,MATCH(TODAY(),宏观数据!$F$1:$TN$1,1)-60+35)),NA(),IF(INDEX(宏观数据!$F$83:$TN$83,1,MATCH(TODAY(),宏观数据!$F$1:$TN$1,1)-60+35)=0,NA(),INDEX(宏观数据!$F$83:$TN$83,1,MATCH(TODAY(),宏观数据!$F$1:$TN$1,1)-60+35)))</f>
        <v>1.2978</v>
      </c>
      <c r="AK24" s="2">
        <f ca="1">IF(ISERROR(INDEX(宏观数据!$F$83:$TN$83,1,MATCH(TODAY(),宏观数据!$F$1:$TN$1,1)-60+36)),NA(),IF(INDEX(宏观数据!$F$83:$TN$83,1,MATCH(TODAY(),宏观数据!$F$1:$TN$1,1)-60+36)=0,NA(),INDEX(宏观数据!$F$83:$TN$83,1,MATCH(TODAY(),宏观数据!$F$1:$TN$1,1)-60+36)))</f>
        <v>1.3025</v>
      </c>
      <c r="AL24" s="2">
        <f ca="1">IF(ISERROR(INDEX(宏观数据!$F$83:$TN$83,1,MATCH(TODAY(),宏观数据!$F$1:$TN$1,1)-60+37)),NA(),IF(INDEX(宏观数据!$F$83:$TN$83,1,MATCH(TODAY(),宏观数据!$F$1:$TN$1,1)-60+37)=0,NA(),INDEX(宏观数据!$F$83:$TN$83,1,MATCH(TODAY(),宏观数据!$F$1:$TN$1,1)-60+37)))</f>
        <v>1.3186</v>
      </c>
      <c r="AM24" s="2">
        <f ca="1">IF(ISERROR(INDEX(宏观数据!$F$83:$TN$83,1,MATCH(TODAY(),宏观数据!$F$1:$TN$1,1)-60+38)),NA(),IF(INDEX(宏观数据!$F$83:$TN$83,1,MATCH(TODAY(),宏观数据!$F$1:$TN$1,1)-60+38)=0,NA(),INDEX(宏观数据!$F$83:$TN$83,1,MATCH(TODAY(),宏观数据!$F$1:$TN$1,1)-60+38)))</f>
        <v>1.3248</v>
      </c>
      <c r="AN24" s="2">
        <f ca="1">IF(ISERROR(INDEX(宏观数据!$F$83:$TN$83,1,MATCH(TODAY(),宏观数据!$F$1:$TN$1,1)-60+39)),NA(),IF(INDEX(宏观数据!$F$83:$TN$83,1,MATCH(TODAY(),宏观数据!$F$1:$TN$1,1)-60+39)=0,NA(),INDEX(宏观数据!$F$83:$TN$83,1,MATCH(TODAY(),宏观数据!$F$1:$TN$1,1)-60+39)))</f>
        <v>1.361</v>
      </c>
      <c r="AO24" s="2" t="e">
        <f ca="1">IF(ISERROR(INDEX(宏观数据!$F$83:$TN$83,1,MATCH(TODAY(),宏观数据!$F$1:$TN$1,1)-60+40)),NA(),IF(INDEX(宏观数据!$F$83:$TN$83,1,MATCH(TODAY(),宏观数据!$F$1:$TN$1,1)-60+40)=0,NA(),INDEX(宏观数据!$F$83:$TN$83,1,MATCH(TODAY(),宏观数据!$F$1:$TN$1,1)-60+40)))</f>
        <v>#N/A</v>
      </c>
      <c r="AP24" t="e">
        <f ca="1">IF(ISERROR(INDEX(宏观数据!$F$83:$TN$83,1,MATCH(TODAY(),宏观数据!$F$1:$TN$1,1)-60+41)),NA(),IF(INDEX(宏观数据!$F$83:$TN$83,1,MATCH(TODAY(),宏观数据!$F$1:$TN$1,1)-60+41)=0,NA(),INDEX(宏观数据!$F$83:$TN$83,1,MATCH(TODAY(),宏观数据!$F$1:$TN$1,1)-60+41)))</f>
        <v>#N/A</v>
      </c>
      <c r="AQ24">
        <f ca="1">IF(ISERROR(INDEX(宏观数据!$F$83:$TN$83,1,MATCH(TODAY(),宏观数据!$F$1:$TN$1,1)-60+42)),NA(),IF(INDEX(宏观数据!$F$83:$TN$83,1,MATCH(TODAY(),宏观数据!$F$1:$TN$1,1)-60+42)=0,NA(),INDEX(宏观数据!$F$83:$TN$83,1,MATCH(TODAY(),宏观数据!$F$1:$TN$1,1)-60+42)))</f>
        <v>1.3735</v>
      </c>
      <c r="AR24" s="2">
        <f ca="1">IF(ISERROR(INDEX(宏观数据!$F$83:$TN$83,1,MATCH(TODAY(),宏观数据!$F$1:$TN$1,1)-60+43)),NA(),IF(INDEX(宏观数据!$F$83:$TN$83,1,MATCH(TODAY(),宏观数据!$F$1:$TN$1,1)-60+43)=0,NA(),INDEX(宏观数据!$F$83:$TN$83,1,MATCH(TODAY(),宏观数据!$F$1:$TN$1,1)-60+43)))</f>
        <v>1.3557</v>
      </c>
      <c r="AS24" s="2">
        <f ca="1">IF(ISERROR(INDEX(宏观数据!$F$83:$TN$83,1,MATCH(TODAY(),宏观数据!$F$1:$TN$1,1)-60+44)),NA(),IF(INDEX(宏观数据!$F$83:$TN$83,1,MATCH(TODAY(),宏观数据!$F$1:$TN$1,1)-60+44)=0,NA(),INDEX(宏观数据!$F$83:$TN$83,1,MATCH(TODAY(),宏观数据!$F$1:$TN$1,1)-60+44)))</f>
        <v>1.3488</v>
      </c>
      <c r="AT24" s="2">
        <f ca="1">IF(ISERROR(INDEX(宏观数据!$F$83:$TN$83,1,MATCH(TODAY(),宏观数据!$F$1:$TN$1,1)-60+45)),NA(),IF(INDEX(宏观数据!$F$83:$TN$83,1,MATCH(TODAY(),宏观数据!$F$1:$TN$1,1)-60+45)=0,NA(),INDEX(宏观数据!$F$83:$TN$83,1,MATCH(TODAY(),宏观数据!$F$1:$TN$1,1)-60+45)))</f>
        <v>1.3485</v>
      </c>
      <c r="AU24" s="2">
        <f ca="1">IF(ISERROR(INDEX(宏观数据!$F$83:$TN$83,1,MATCH(TODAY(),宏观数据!$F$1:$TN$1,1)-60+46)),NA(),IF(INDEX(宏观数据!$F$83:$TN$83,1,MATCH(TODAY(),宏观数据!$F$1:$TN$1,1)-60+46)=0,NA(),INDEX(宏观数据!$F$83:$TN$83,1,MATCH(TODAY(),宏观数据!$F$1:$TN$1,1)-60+46)))</f>
        <v>1.3889</v>
      </c>
      <c r="AV24" t="e">
        <f ca="1">IF(ISERROR(INDEX(宏观数据!$F$83:$TN$83,1,MATCH(TODAY(),宏观数据!$F$1:$TN$1,1)-60+47)),NA(),IF(INDEX(宏观数据!$F$83:$TN$83,1,MATCH(TODAY(),宏观数据!$F$1:$TN$1,1)-60+47)=0,NA(),INDEX(宏观数据!$F$83:$TN$83,1,MATCH(TODAY(),宏观数据!$F$1:$TN$1,1)-60+47)))</f>
        <v>#N/A</v>
      </c>
      <c r="AW24" t="e">
        <f ca="1">IF(ISERROR(INDEX(宏观数据!$F$83:$TN$83,1,MATCH(TODAY(),宏观数据!$F$1:$TN$1,1)-60+48)),NA(),IF(INDEX(宏观数据!$F$83:$TN$83,1,MATCH(TODAY(),宏观数据!$F$1:$TN$1,1)-60+48)=0,NA(),INDEX(宏观数据!$F$83:$TN$83,1,MATCH(TODAY(),宏观数据!$F$1:$TN$1,1)-60+48)))</f>
        <v>#N/A</v>
      </c>
      <c r="AX24">
        <f ca="1">IF(ISERROR(INDEX(宏观数据!$F$83:$TN$83,1,MATCH(TODAY(),宏观数据!$F$1:$TN$1,1)-60+49)),NA(),IF(INDEX(宏观数据!$F$83:$TN$83,1,MATCH(TODAY(),宏观数据!$F$1:$TN$1,1)-60+49)=0,NA(),INDEX(宏观数据!$F$83:$TN$83,1,MATCH(TODAY(),宏观数据!$F$1:$TN$1,1)-60+49)))</f>
        <v>1.3607</v>
      </c>
      <c r="AY24">
        <f ca="1">IF(ISERROR(INDEX(宏观数据!$F$83:$TN$83,1,MATCH(TODAY(),宏观数据!$F$1:$TN$1,1)-60+50)),NA(),IF(INDEX(宏观数据!$F$83:$TN$83,1,MATCH(TODAY(),宏观数据!$F$1:$TN$1,1)-60+50)=0,NA(),INDEX(宏观数据!$F$83:$TN$83,1,MATCH(TODAY(),宏观数据!$F$1:$TN$1,1)-60+50)))</f>
        <v>1.3508</v>
      </c>
      <c r="AZ24">
        <f ca="1">IF(ISERROR(INDEX(宏观数据!$F$83:$TN$83,1,MATCH(TODAY(),宏观数据!$F$1:$TN$1,1)-60+51)),NA(),IF(INDEX(宏观数据!$F$83:$TN$83,1,MATCH(TODAY(),宏观数据!$F$1:$TN$1,1)-60+51)=0,NA(),INDEX(宏观数据!$F$83:$TN$83,1,MATCH(TODAY(),宏观数据!$F$1:$TN$1,1)-60+51)))</f>
        <v>1.3556</v>
      </c>
      <c r="BA24" s="2">
        <f ca="1">IF(ISERROR(INDEX(宏观数据!$F$83:$TN$83,1,MATCH(TODAY(),宏观数据!$F$1:$TN$1,1)-60+52)),NA(),IF(INDEX(宏观数据!$F$83:$TN$83,1,MATCH(TODAY(),宏观数据!$F$1:$TN$1,1)-60+52)=0,NA(),INDEX(宏观数据!$F$83:$TN$83,1,MATCH(TODAY(),宏观数据!$F$1:$TN$1,1)-60+52)))</f>
        <v>1.3562</v>
      </c>
      <c r="BB24" s="2">
        <f ca="1">IF(ISERROR(INDEX(宏观数据!$F$83:$TN$83,1,MATCH(TODAY(),宏观数据!$F$1:$TN$1,1)-60+53)),NA(),IF(INDEX(宏观数据!$F$83:$TN$83,1,MATCH(TODAY(),宏观数据!$F$1:$TN$1,1)-60+53)=0,NA(),INDEX(宏观数据!$F$83:$TN$83,1,MATCH(TODAY(),宏观数据!$F$1:$TN$1,1)-60+53)))</f>
        <v>1.3864</v>
      </c>
      <c r="BC24" s="2" t="e">
        <f ca="1">IF(ISERROR(INDEX(宏观数据!$F$83:$TN$83,1,MATCH(TODAY(),宏观数据!$F$1:$TN$1,1)-60+54)),NA(),IF(INDEX(宏观数据!$F$83:$TN$83,1,MATCH(TODAY(),宏观数据!$F$1:$TN$1,1)-60+54)=0,NA(),INDEX(宏观数据!$F$83:$TN$83,1,MATCH(TODAY(),宏观数据!$F$1:$TN$1,1)-60+54)))</f>
        <v>#N/A</v>
      </c>
      <c r="BD24" s="2" t="e">
        <f ca="1">IF(ISERROR(INDEX(宏观数据!$F$83:$TN$83,1,MATCH(TODAY(),宏观数据!$F$1:$TN$1,1)-60+55)),NA(),IF(INDEX(宏观数据!$F$83:$TN$83,1,MATCH(TODAY(),宏观数据!$F$1:$TN$1,1)-60+55)=0,NA(),INDEX(宏观数据!$F$83:$TN$83,1,MATCH(TODAY(),宏观数据!$F$1:$TN$1,1)-60+55)))</f>
        <v>#N/A</v>
      </c>
      <c r="BE24">
        <f ca="1">IF(ISERROR(INDEX(宏观数据!$F$83:$TN$83,1,MATCH(TODAY(),宏观数据!$F$1:$TN$1,1)-60+56)),NA(),IF(INDEX(宏观数据!$F$83:$TN$83,1,MATCH(TODAY(),宏观数据!$F$1:$TN$1,1)-60+56)=0,NA(),INDEX(宏观数据!$F$83:$TN$83,1,MATCH(TODAY(),宏观数据!$F$1:$TN$1,1)-60+56)))</f>
        <v>1.4174</v>
      </c>
      <c r="BF24" s="2">
        <f ca="1">IF(ISERROR(INDEX(宏观数据!$F$83:$TN$83,1,MATCH(TODAY(),宏观数据!$F$1:$TN$1,1)-60+57)),NA(),IF(INDEX(宏观数据!$F$83:$TN$83,1,MATCH(TODAY(),宏观数据!$F$1:$TN$1,1)-60+57)=0,NA(),INDEX(宏观数据!$F$83:$TN$83,1,MATCH(TODAY(),宏观数据!$F$1:$TN$1,1)-60+57)))</f>
        <v>1.4274</v>
      </c>
      <c r="BG24" s="2">
        <f ca="1">IF(ISERROR(INDEX(宏观数据!$F$83:$TN$83,1,MATCH(TODAY(),宏观数据!$F$1:$TN$1,1)-60+58)),NA(),IF(INDEX(宏观数据!$F$83:$TN$83,1,MATCH(TODAY(),宏观数据!$F$1:$TN$1,1)-60+58)=0,NA(),INDEX(宏观数据!$F$83:$TN$83,1,MATCH(TODAY(),宏观数据!$F$1:$TN$1,1)-60+58)))</f>
        <v>1.4212</v>
      </c>
      <c r="BH24" s="2">
        <f ca="1">IF(ISERROR(INDEX(宏观数据!$F$83:$TN$83,1,MATCH(TODAY(),宏观数据!$F$1:$TN$1,1)-60+59)),NA(),IF(INDEX(宏观数据!$F$83:$TN$83,1,MATCH(TODAY(),宏观数据!$F$1:$TN$1,1)-60+59)=0,NA(),INDEX(宏观数据!$F$83:$TN$83,1,MATCH(TODAY(),宏观数据!$F$1:$TN$1,1)-60+59)))</f>
        <v>1.4406</v>
      </c>
      <c r="BI24">
        <f ca="1">IF(ISERROR(INDEX(宏观数据!$F$83:$TN$83,1,MATCH(TODAY(),宏观数据!$F$1:$TN$1,1)-60+60)),NA(),IF(INDEX(宏观数据!$F$83:$TN$83,1,MATCH(TODAY(),宏观数据!$F$1:$TN$1,1)-60+60)=0,NA(),INDEX(宏观数据!$F$83:$TN$83,1,MATCH(TODAY(),宏观数据!$F$1:$TN$1,1)-60+60)))</f>
        <v>1.4472</v>
      </c>
    </row>
    <row r="25" ht="15" customHeight="1" spans="1:61">
      <c r="A25" t="s">
        <v>88</v>
      </c>
      <c r="B25" s="2">
        <f ca="1">IF(ISERROR(INDEX(宏观数据!$F$84:$TN$84,1,MATCH(TODAY(),宏观数据!$F$1:$TN$1,1)-60+1)),NA(),IF(INDEX(宏观数据!$F$84:$TN$84,1,MATCH(TODAY(),宏观数据!$F$1:$TN$1,1)-60+1)=0,NA(),INDEX(宏观数据!$F$84:$TN$84,1,MATCH(TODAY(),宏观数据!$F$1:$TN$1,1)-60+1)))</f>
        <v>1.409</v>
      </c>
      <c r="C25" s="2">
        <f ca="1">IF(ISERROR(INDEX(宏观数据!$F$84:$TN$84,1,MATCH(TODAY(),宏观数据!$F$1:$TN$1,1)-60+2)),NA(),IF(INDEX(宏观数据!$F$84:$TN$84,1,MATCH(TODAY(),宏观数据!$F$1:$TN$1,1)-60+2)=0,NA(),INDEX(宏观数据!$F$84:$TN$84,1,MATCH(TODAY(),宏观数据!$F$1:$TN$1,1)-60+2)))</f>
        <v>1.4082</v>
      </c>
      <c r="D25" s="2">
        <f ca="1">IF(ISERROR(INDEX(宏观数据!$F$84:$TN$84,1,MATCH(TODAY(),宏观数据!$F$1:$TN$1,1)-60+3)),NA(),IF(INDEX(宏观数据!$F$84:$TN$84,1,MATCH(TODAY(),宏观数据!$F$1:$TN$1,1)-60+3)=0,NA(),INDEX(宏观数据!$F$84:$TN$84,1,MATCH(TODAY(),宏观数据!$F$1:$TN$1,1)-60+3)))</f>
        <v>1.3995</v>
      </c>
      <c r="E25" s="2">
        <f ca="1">IF(ISERROR(INDEX(宏观数据!$F$84:$TN$84,1,MATCH(TODAY(),宏观数据!$F$1:$TN$1,1)-60+4)),NA(),IF(INDEX(宏观数据!$F$84:$TN$84,1,MATCH(TODAY(),宏观数据!$F$1:$TN$1,1)-60+4)=0,NA(),INDEX(宏观数据!$F$84:$TN$84,1,MATCH(TODAY(),宏观数据!$F$1:$TN$1,1)-60+4)))</f>
        <v>1.3914</v>
      </c>
      <c r="F25" s="2" t="e">
        <f ca="1">IF(ISERROR(INDEX(宏观数据!$F$84:$TN$84,1,MATCH(TODAY(),宏观数据!$F$1:$TN$1,1)-60+5)),NA(),IF(INDEX(宏观数据!$F$84:$TN$84,1,MATCH(TODAY(),宏观数据!$F$1:$TN$1,1)-60+5)=0,NA(),INDEX(宏观数据!$F$84:$TN$84,1,MATCH(TODAY(),宏观数据!$F$1:$TN$1,1)-60+5)))</f>
        <v>#N/A</v>
      </c>
      <c r="G25" t="e">
        <f ca="1">IF(ISERROR(INDEX(宏观数据!$F$84:$TN$84,1,MATCH(TODAY(),宏观数据!$F$1:$TN$1,1)-60+6)),NA(),IF(INDEX(宏观数据!$F$84:$TN$84,1,MATCH(TODAY(),宏观数据!$F$1:$TN$1,1)-60+6)=0,NA(),INDEX(宏观数据!$F$84:$TN$84,1,MATCH(TODAY(),宏观数据!$F$1:$TN$1,1)-60+6)))</f>
        <v>#N/A</v>
      </c>
      <c r="H25">
        <f ca="1">IF(ISERROR(INDEX(宏观数据!$F$84:$TN$84,1,MATCH(TODAY(),宏观数据!$F$1:$TN$1,1)-60+7)),NA(),IF(INDEX(宏观数据!$F$84:$TN$84,1,MATCH(TODAY(),宏观数据!$F$1:$TN$1,1)-60+7)=0,NA(),INDEX(宏观数据!$F$84:$TN$84,1,MATCH(TODAY(),宏观数据!$F$1:$TN$1,1)-60+7)))</f>
        <v>1.391</v>
      </c>
      <c r="I25" s="2">
        <f ca="1">IF(ISERROR(INDEX(宏观数据!$F$84:$TN$84,1,MATCH(TODAY(),宏观数据!$F$1:$TN$1,1)-60+8)),NA(),IF(INDEX(宏观数据!$F$84:$TN$84,1,MATCH(TODAY(),宏观数据!$F$1:$TN$1,1)-60+8)=0,NA(),INDEX(宏观数据!$F$84:$TN$84,1,MATCH(TODAY(),宏观数据!$F$1:$TN$1,1)-60+8)))</f>
        <v>1.3945</v>
      </c>
      <c r="J25" s="2">
        <f ca="1">IF(ISERROR(INDEX(宏观数据!$F$84:$TN$84,1,MATCH(TODAY(),宏观数据!$F$1:$TN$1,1)-60+9)),NA(),IF(INDEX(宏观数据!$F$84:$TN$84,1,MATCH(TODAY(),宏观数据!$F$1:$TN$1,1)-60+9)=0,NA(),INDEX(宏观数据!$F$84:$TN$84,1,MATCH(TODAY(),宏观数据!$F$1:$TN$1,1)-60+9)))</f>
        <v>1.3921</v>
      </c>
      <c r="K25" s="2">
        <f ca="1">IF(ISERROR(INDEX(宏观数据!$F$84:$TN$84,1,MATCH(TODAY(),宏观数据!$F$1:$TN$1,1)-60+10)),NA(),IF(INDEX(宏观数据!$F$84:$TN$84,1,MATCH(TODAY(),宏观数据!$F$1:$TN$1,1)-60+10)=0,NA(),INDEX(宏观数据!$F$84:$TN$84,1,MATCH(TODAY(),宏观数据!$F$1:$TN$1,1)-60+10)))</f>
        <v>1.3869</v>
      </c>
      <c r="L25" s="2">
        <f ca="1">IF(ISERROR(INDEX(宏观数据!$F$84:$TN$84,1,MATCH(TODAY(),宏观数据!$F$1:$TN$1,1)-60+11)),NA(),IF(INDEX(宏观数据!$F$84:$TN$84,1,MATCH(TODAY(),宏观数据!$F$1:$TN$1,1)-60+11)=0,NA(),INDEX(宏观数据!$F$84:$TN$84,1,MATCH(TODAY(),宏观数据!$F$1:$TN$1,1)-60+11)))</f>
        <v>1.3702</v>
      </c>
      <c r="M25" s="2" t="e">
        <f ca="1">IF(ISERROR(INDEX(宏观数据!$F$84:$TN$84,1,MATCH(TODAY(),宏观数据!$F$1:$TN$1,1)-60+12)),NA(),IF(INDEX(宏观数据!$F$84:$TN$84,1,MATCH(TODAY(),宏观数据!$F$1:$TN$1,1)-60+12)=0,NA(),INDEX(宏观数据!$F$84:$TN$84,1,MATCH(TODAY(),宏观数据!$F$1:$TN$1,1)-60+12)))</f>
        <v>#N/A</v>
      </c>
      <c r="N25" t="e">
        <f ca="1">IF(ISERROR(INDEX(宏观数据!$F$84:$TN$84,1,MATCH(TODAY(),宏观数据!$F$1:$TN$1,1)-60+13)),NA(),IF(INDEX(宏观数据!$F$84:$TN$84,1,MATCH(TODAY(),宏观数据!$F$1:$TN$1,1)-60+13)=0,NA(),INDEX(宏观数据!$F$84:$TN$84,1,MATCH(TODAY(),宏观数据!$F$1:$TN$1,1)-60+13)))</f>
        <v>#N/A</v>
      </c>
      <c r="O25">
        <f ca="1">IF(ISERROR(INDEX(宏观数据!$F$84:$TN$84,1,MATCH(TODAY(),宏观数据!$F$1:$TN$1,1)-60+14)),NA(),IF(INDEX(宏观数据!$F$84:$TN$84,1,MATCH(TODAY(),宏观数据!$F$1:$TN$1,1)-60+14)=0,NA(),INDEX(宏观数据!$F$84:$TN$84,1,MATCH(TODAY(),宏观数据!$F$1:$TN$1,1)-60+14)))</f>
        <v>1.3826</v>
      </c>
      <c r="P25" s="2">
        <f ca="1">IF(ISERROR(INDEX(宏观数据!$F$84:$TN$84,1,MATCH(TODAY(),宏观数据!$F$1:$TN$1,1)-60+15)),NA(),IF(INDEX(宏观数据!$F$84:$TN$84,1,MATCH(TODAY(),宏观数据!$F$1:$TN$1,1)-60+15)=0,NA(),INDEX(宏观数据!$F$84:$TN$84,1,MATCH(TODAY(),宏观数据!$F$1:$TN$1,1)-60+15)))</f>
        <v>1.3885</v>
      </c>
      <c r="Q25" s="2">
        <f ca="1">IF(ISERROR(INDEX(宏观数据!$F$84:$TN$84,1,MATCH(TODAY(),宏观数据!$F$1:$TN$1,1)-60+16)),NA(),IF(INDEX(宏观数据!$F$84:$TN$84,1,MATCH(TODAY(),宏观数据!$F$1:$TN$1,1)-60+16)=0,NA(),INDEX(宏观数据!$F$84:$TN$84,1,MATCH(TODAY(),宏观数据!$F$1:$TN$1,1)-60+16)))</f>
        <v>1.399</v>
      </c>
      <c r="R25" s="2">
        <f ca="1">IF(ISERROR(INDEX(宏观数据!$F$84:$TN$84,1,MATCH(TODAY(),宏观数据!$F$1:$TN$1,1)-60+17)),NA(),IF(INDEX(宏观数据!$F$84:$TN$84,1,MATCH(TODAY(),宏观数据!$F$1:$TN$1,1)-60+17)=0,NA(),INDEX(宏观数据!$F$84:$TN$84,1,MATCH(TODAY(),宏观数据!$F$1:$TN$1,1)-60+17)))</f>
        <v>1.3998</v>
      </c>
      <c r="S25" s="2" t="e">
        <f ca="1">IF(ISERROR(INDEX(宏观数据!$F$84:$TN$84,1,MATCH(TODAY(),宏观数据!$F$1:$TN$1,1)-60+18)),NA(),IF(INDEX(宏观数据!$F$84:$TN$84,1,MATCH(TODAY(),宏观数据!$F$1:$TN$1,1)-60+18)=0,NA(),INDEX(宏观数据!$F$84:$TN$84,1,MATCH(TODAY(),宏观数据!$F$1:$TN$1,1)-60+18)))</f>
        <v>#N/A</v>
      </c>
      <c r="T25" s="2" t="e">
        <f ca="1">IF(ISERROR(INDEX(宏观数据!$F$84:$TN$84,1,MATCH(TODAY(),宏观数据!$F$1:$TN$1,1)-60+19)),NA(),IF(INDEX(宏观数据!$F$84:$TN$84,1,MATCH(TODAY(),宏观数据!$F$1:$TN$1,1)-60+19)=0,NA(),INDEX(宏观数据!$F$84:$TN$84,1,MATCH(TODAY(),宏观数据!$F$1:$TN$1,1)-60+19)))</f>
        <v>#N/A</v>
      </c>
      <c r="U25" t="e">
        <f ca="1">IF(ISERROR(INDEX(宏观数据!$F$84:$TN$84,1,MATCH(TODAY(),宏观数据!$F$1:$TN$1,1)-60+20)),NA(),IF(INDEX(宏观数据!$F$84:$TN$84,1,MATCH(TODAY(),宏观数据!$F$1:$TN$1,1)-60+20)=0,NA(),INDEX(宏观数据!$F$84:$TN$84,1,MATCH(TODAY(),宏观数据!$F$1:$TN$1,1)-60+20)))</f>
        <v>#N/A</v>
      </c>
      <c r="V25" t="e">
        <f ca="1">IF(ISERROR(INDEX(宏观数据!$F$84:$TN$84,1,MATCH(TODAY(),宏观数据!$F$1:$TN$1,1)-60+21)),NA(),IF(INDEX(宏观数据!$F$84:$TN$84,1,MATCH(TODAY(),宏观数据!$F$1:$TN$1,1)-60+21)=0,NA(),INDEX(宏观数据!$F$84:$TN$84,1,MATCH(TODAY(),宏观数据!$F$1:$TN$1,1)-60+21)))</f>
        <v>#N/A</v>
      </c>
      <c r="W25" t="e">
        <f ca="1">IF(ISERROR(INDEX(宏观数据!$F$84:$TN$84,1,MATCH(TODAY(),宏观数据!$F$1:$TN$1,1)-60+22)),NA(),IF(INDEX(宏观数据!$F$84:$TN$84,1,MATCH(TODAY(),宏观数据!$F$1:$TN$1,1)-60+22)=0,NA(),INDEX(宏观数据!$F$84:$TN$84,1,MATCH(TODAY(),宏观数据!$F$1:$TN$1,1)-60+22)))</f>
        <v>#N/A</v>
      </c>
      <c r="X25" s="2">
        <f ca="1">IF(ISERROR(INDEX(宏观数据!$F$84:$TN$84,1,MATCH(TODAY(),宏观数据!$F$1:$TN$1,1)-60+23)),NA(),IF(INDEX(宏观数据!$F$84:$TN$84,1,MATCH(TODAY(),宏观数据!$F$1:$TN$1,1)-60+23)=0,NA(),INDEX(宏观数据!$F$84:$TN$84,1,MATCH(TODAY(),宏观数据!$F$1:$TN$1,1)-60+23)))</f>
        <v>1.3961</v>
      </c>
      <c r="Y25" s="2">
        <f ca="1">IF(ISERROR(INDEX(宏观数据!$F$84:$TN$84,1,MATCH(TODAY(),宏观数据!$F$1:$TN$1,1)-60+24)),NA(),IF(INDEX(宏观数据!$F$84:$TN$84,1,MATCH(TODAY(),宏观数据!$F$1:$TN$1,1)-60+24)=0,NA(),INDEX(宏观数据!$F$84:$TN$84,1,MATCH(TODAY(),宏观数据!$F$1:$TN$1,1)-60+24)))</f>
        <v>1.3931</v>
      </c>
      <c r="Z25" s="2">
        <f ca="1">IF(ISERROR(INDEX(宏观数据!$F$84:$TN$84,1,MATCH(TODAY(),宏观数据!$F$1:$TN$1,1)-60+25)),NA(),IF(INDEX(宏观数据!$F$84:$TN$84,1,MATCH(TODAY(),宏观数据!$F$1:$TN$1,1)-60+25)=0,NA(),INDEX(宏观数据!$F$84:$TN$84,1,MATCH(TODAY(),宏观数据!$F$1:$TN$1,1)-60+25)))</f>
        <v>1.3678</v>
      </c>
      <c r="AA25" s="2">
        <f ca="1">IF(ISERROR(INDEX(宏观数据!$F$84:$TN$84,1,MATCH(TODAY(),宏观数据!$F$1:$TN$1,1)-60+26)),NA(),IF(INDEX(宏观数据!$F$84:$TN$84,1,MATCH(TODAY(),宏观数据!$F$1:$TN$1,1)-60+26)=0,NA(),INDEX(宏观数据!$F$84:$TN$84,1,MATCH(TODAY(),宏观数据!$F$1:$TN$1,1)-60+26)))</f>
        <v>1.3007</v>
      </c>
      <c r="AB25" t="e">
        <f ca="1">IF(ISERROR(INDEX(宏观数据!$F$84:$TN$84,1,MATCH(TODAY(),宏观数据!$F$1:$TN$1,1)-60+27)),NA(),IF(INDEX(宏观数据!$F$84:$TN$84,1,MATCH(TODAY(),宏观数据!$F$1:$TN$1,1)-60+27)=0,NA(),INDEX(宏观数据!$F$84:$TN$84,1,MATCH(TODAY(),宏观数据!$F$1:$TN$1,1)-60+27)))</f>
        <v>#N/A</v>
      </c>
      <c r="AC25">
        <f ca="1">IF(ISERROR(INDEX(宏观数据!$F$84:$TN$84,1,MATCH(TODAY(),宏观数据!$F$1:$TN$1,1)-60+28)),NA(),IF(INDEX(宏观数据!$F$84:$TN$84,1,MATCH(TODAY(),宏观数据!$F$1:$TN$1,1)-60+28)=0,NA(),INDEX(宏观数据!$F$84:$TN$84,1,MATCH(TODAY(),宏观数据!$F$1:$TN$1,1)-60+28)))</f>
        <v>1.3693</v>
      </c>
      <c r="AD25" s="2">
        <f ca="1">IF(ISERROR(INDEX(宏观数据!$F$84:$TN$84,1,MATCH(TODAY(),宏观数据!$F$1:$TN$1,1)-60+29)),NA(),IF(INDEX(宏观数据!$F$84:$TN$84,1,MATCH(TODAY(),宏观数据!$F$1:$TN$1,1)-60+29)=0,NA(),INDEX(宏观数据!$F$84:$TN$84,1,MATCH(TODAY(),宏观数据!$F$1:$TN$1,1)-60+29)))</f>
        <v>1.3489</v>
      </c>
      <c r="AE25" s="2">
        <f ca="1">IF(ISERROR(INDEX(宏观数据!$F$84:$TN$84,1,MATCH(TODAY(),宏观数据!$F$1:$TN$1,1)-60+30)),NA(),IF(INDEX(宏观数据!$F$84:$TN$84,1,MATCH(TODAY(),宏观数据!$F$1:$TN$1,1)-60+30)=0,NA(),INDEX(宏观数据!$F$84:$TN$84,1,MATCH(TODAY(),宏观数据!$F$1:$TN$1,1)-60+30)))</f>
        <v>1.3445</v>
      </c>
      <c r="AF25" s="2">
        <f ca="1">IF(ISERROR(INDEX(宏观数据!$F$84:$TN$84,1,MATCH(TODAY(),宏观数据!$F$1:$TN$1,1)-60+31)),NA(),IF(INDEX(宏观数据!$F$84:$TN$84,1,MATCH(TODAY(),宏观数据!$F$1:$TN$1,1)-60+31)=0,NA(),INDEX(宏观数据!$F$84:$TN$84,1,MATCH(TODAY(),宏观数据!$F$1:$TN$1,1)-60+31)))</f>
        <v>1.3478</v>
      </c>
      <c r="AG25" s="2">
        <f ca="1">IF(ISERROR(INDEX(宏观数据!$F$84:$TN$84,1,MATCH(TODAY(),宏观数据!$F$1:$TN$1,1)-60+32)),NA(),IF(INDEX(宏观数据!$F$84:$TN$84,1,MATCH(TODAY(),宏观数据!$F$1:$TN$1,1)-60+32)=0,NA(),INDEX(宏观数据!$F$84:$TN$84,1,MATCH(TODAY(),宏观数据!$F$1:$TN$1,1)-60+32)))</f>
        <v>1.3565</v>
      </c>
      <c r="AH25" s="2" t="e">
        <f ca="1">IF(ISERROR(INDEX(宏观数据!$F$84:$TN$84,1,MATCH(TODAY(),宏观数据!$F$1:$TN$1,1)-60+33)),NA(),IF(INDEX(宏观数据!$F$84:$TN$84,1,MATCH(TODAY(),宏观数据!$F$1:$TN$1,1)-60+33)=0,NA(),INDEX(宏观数据!$F$84:$TN$84,1,MATCH(TODAY(),宏观数据!$F$1:$TN$1,1)-60+33)))</f>
        <v>#N/A</v>
      </c>
      <c r="AI25" t="e">
        <f ca="1">IF(ISERROR(INDEX(宏观数据!$F$84:$TN$84,1,MATCH(TODAY(),宏观数据!$F$1:$TN$1,1)-60+34)),NA(),IF(INDEX(宏观数据!$F$84:$TN$84,1,MATCH(TODAY(),宏观数据!$F$1:$TN$1,1)-60+34)=0,NA(),INDEX(宏观数据!$F$84:$TN$84,1,MATCH(TODAY(),宏观数据!$F$1:$TN$1,1)-60+34)))</f>
        <v>#N/A</v>
      </c>
      <c r="AJ25">
        <f ca="1">IF(ISERROR(INDEX(宏观数据!$F$84:$TN$84,1,MATCH(TODAY(),宏观数据!$F$1:$TN$1,1)-60+35)),NA(),IF(INDEX(宏观数据!$F$84:$TN$84,1,MATCH(TODAY(),宏观数据!$F$1:$TN$1,1)-60+35)=0,NA(),INDEX(宏观数据!$F$84:$TN$84,1,MATCH(TODAY(),宏观数据!$F$1:$TN$1,1)-60+35)))</f>
        <v>1.3586</v>
      </c>
      <c r="AK25" s="2">
        <f ca="1">IF(ISERROR(INDEX(宏观数据!$F$84:$TN$84,1,MATCH(TODAY(),宏观数据!$F$1:$TN$1,1)-60+36)),NA(),IF(INDEX(宏观数据!$F$84:$TN$84,1,MATCH(TODAY(),宏观数据!$F$1:$TN$1,1)-60+36)=0,NA(),INDEX(宏观数据!$F$84:$TN$84,1,MATCH(TODAY(),宏观数据!$F$1:$TN$1,1)-60+36)))</f>
        <v>1.3566</v>
      </c>
      <c r="AL25" s="2">
        <f ca="1">IF(ISERROR(INDEX(宏观数据!$F$84:$TN$84,1,MATCH(TODAY(),宏观数据!$F$1:$TN$1,1)-60+37)),NA(),IF(INDEX(宏观数据!$F$84:$TN$84,1,MATCH(TODAY(),宏观数据!$F$1:$TN$1,1)-60+37)=0,NA(),INDEX(宏观数据!$F$84:$TN$84,1,MATCH(TODAY(),宏观数据!$F$1:$TN$1,1)-60+37)))</f>
        <v>1.3599</v>
      </c>
      <c r="AM25" s="2">
        <f ca="1">IF(ISERROR(INDEX(宏观数据!$F$84:$TN$84,1,MATCH(TODAY(),宏观数据!$F$1:$TN$1,1)-60+38)),NA(),IF(INDEX(宏观数据!$F$84:$TN$84,1,MATCH(TODAY(),宏观数据!$F$1:$TN$1,1)-60+38)=0,NA(),INDEX(宏观数据!$F$84:$TN$84,1,MATCH(TODAY(),宏观数据!$F$1:$TN$1,1)-60+38)))</f>
        <v>1.3659</v>
      </c>
      <c r="AN25" s="2">
        <f ca="1">IF(ISERROR(INDEX(宏观数据!$F$84:$TN$84,1,MATCH(TODAY(),宏观数据!$F$1:$TN$1,1)-60+39)),NA(),IF(INDEX(宏观数据!$F$84:$TN$84,1,MATCH(TODAY(),宏观数据!$F$1:$TN$1,1)-60+39)=0,NA(),INDEX(宏观数据!$F$84:$TN$84,1,MATCH(TODAY(),宏观数据!$F$1:$TN$1,1)-60+39)))</f>
        <v>1.3831</v>
      </c>
      <c r="AO25" s="2" t="e">
        <f ca="1">IF(ISERROR(INDEX(宏观数据!$F$84:$TN$84,1,MATCH(TODAY(),宏观数据!$F$1:$TN$1,1)-60+40)),NA(),IF(INDEX(宏观数据!$F$84:$TN$84,1,MATCH(TODAY(),宏观数据!$F$1:$TN$1,1)-60+40)=0,NA(),INDEX(宏观数据!$F$84:$TN$84,1,MATCH(TODAY(),宏观数据!$F$1:$TN$1,1)-60+40)))</f>
        <v>#N/A</v>
      </c>
      <c r="AP25" t="e">
        <f ca="1">IF(ISERROR(INDEX(宏观数据!$F$84:$TN$84,1,MATCH(TODAY(),宏观数据!$F$1:$TN$1,1)-60+41)),NA(),IF(INDEX(宏观数据!$F$84:$TN$84,1,MATCH(TODAY(),宏观数据!$F$1:$TN$1,1)-60+41)=0,NA(),INDEX(宏观数据!$F$84:$TN$84,1,MATCH(TODAY(),宏观数据!$F$1:$TN$1,1)-60+41)))</f>
        <v>#N/A</v>
      </c>
      <c r="AQ25">
        <f ca="1">IF(ISERROR(INDEX(宏观数据!$F$84:$TN$84,1,MATCH(TODAY(),宏观数据!$F$1:$TN$1,1)-60+42)),NA(),IF(INDEX(宏观数据!$F$84:$TN$84,1,MATCH(TODAY(),宏观数据!$F$1:$TN$1,1)-60+42)=0,NA(),INDEX(宏观数据!$F$84:$TN$84,1,MATCH(TODAY(),宏观数据!$F$1:$TN$1,1)-60+42)))</f>
        <v>1.4034</v>
      </c>
      <c r="AR25" s="2">
        <f ca="1">IF(ISERROR(INDEX(宏观数据!$F$84:$TN$84,1,MATCH(TODAY(),宏观数据!$F$1:$TN$1,1)-60+43)),NA(),IF(INDEX(宏观数据!$F$84:$TN$84,1,MATCH(TODAY(),宏观数据!$F$1:$TN$1,1)-60+43)=0,NA(),INDEX(宏观数据!$F$84:$TN$84,1,MATCH(TODAY(),宏观数据!$F$1:$TN$1,1)-60+43)))</f>
        <v>1.3891</v>
      </c>
      <c r="AS25" s="2">
        <f ca="1">IF(ISERROR(INDEX(宏观数据!$F$84:$TN$84,1,MATCH(TODAY(),宏观数据!$F$1:$TN$1,1)-60+44)),NA(),IF(INDEX(宏观数据!$F$84:$TN$84,1,MATCH(TODAY(),宏观数据!$F$1:$TN$1,1)-60+44)=0,NA(),INDEX(宏观数据!$F$84:$TN$84,1,MATCH(TODAY(),宏观数据!$F$1:$TN$1,1)-60+44)))</f>
        <v>1.3764</v>
      </c>
      <c r="AT25" s="2">
        <f ca="1">IF(ISERROR(INDEX(宏观数据!$F$84:$TN$84,1,MATCH(TODAY(),宏观数据!$F$1:$TN$1,1)-60+45)),NA(),IF(INDEX(宏观数据!$F$84:$TN$84,1,MATCH(TODAY(),宏观数据!$F$1:$TN$1,1)-60+45)=0,NA(),INDEX(宏观数据!$F$84:$TN$84,1,MATCH(TODAY(),宏观数据!$F$1:$TN$1,1)-60+45)))</f>
        <v>1.3782</v>
      </c>
      <c r="AU25" s="2">
        <f ca="1">IF(ISERROR(INDEX(宏观数据!$F$84:$TN$84,1,MATCH(TODAY(),宏观数据!$F$1:$TN$1,1)-60+46)),NA(),IF(INDEX(宏观数据!$F$84:$TN$84,1,MATCH(TODAY(),宏观数据!$F$1:$TN$1,1)-60+46)=0,NA(),INDEX(宏观数据!$F$84:$TN$84,1,MATCH(TODAY(),宏观数据!$F$1:$TN$1,1)-60+46)))</f>
        <v>1.3997</v>
      </c>
      <c r="AV25" t="e">
        <f ca="1">IF(ISERROR(INDEX(宏观数据!$F$84:$TN$84,1,MATCH(TODAY(),宏观数据!$F$1:$TN$1,1)-60+47)),NA(),IF(INDEX(宏观数据!$F$84:$TN$84,1,MATCH(TODAY(),宏观数据!$F$1:$TN$1,1)-60+47)=0,NA(),INDEX(宏观数据!$F$84:$TN$84,1,MATCH(TODAY(),宏观数据!$F$1:$TN$1,1)-60+47)))</f>
        <v>#N/A</v>
      </c>
      <c r="AW25" t="e">
        <f ca="1">IF(ISERROR(INDEX(宏观数据!$F$84:$TN$84,1,MATCH(TODAY(),宏观数据!$F$1:$TN$1,1)-60+48)),NA(),IF(INDEX(宏观数据!$F$84:$TN$84,1,MATCH(TODAY(),宏观数据!$F$1:$TN$1,1)-60+48)=0,NA(),INDEX(宏观数据!$F$84:$TN$84,1,MATCH(TODAY(),宏观数据!$F$1:$TN$1,1)-60+48)))</f>
        <v>#N/A</v>
      </c>
      <c r="AX25">
        <f ca="1">IF(ISERROR(INDEX(宏观数据!$F$84:$TN$84,1,MATCH(TODAY(),宏观数据!$F$1:$TN$1,1)-60+49)),NA(),IF(INDEX(宏观数据!$F$84:$TN$84,1,MATCH(TODAY(),宏观数据!$F$1:$TN$1,1)-60+49)=0,NA(),INDEX(宏观数据!$F$84:$TN$84,1,MATCH(TODAY(),宏观数据!$F$1:$TN$1,1)-60+49)))</f>
        <v>1.376</v>
      </c>
      <c r="AY25">
        <f ca="1">IF(ISERROR(INDEX(宏观数据!$F$84:$TN$84,1,MATCH(TODAY(),宏观数据!$F$1:$TN$1,1)-60+50)),NA(),IF(INDEX(宏观数据!$F$84:$TN$84,1,MATCH(TODAY(),宏观数据!$F$1:$TN$1,1)-60+50)=0,NA(),INDEX(宏观数据!$F$84:$TN$84,1,MATCH(TODAY(),宏观数据!$F$1:$TN$1,1)-60+50)))</f>
        <v>1.3725</v>
      </c>
      <c r="AZ25">
        <f ca="1">IF(ISERROR(INDEX(宏观数据!$F$84:$TN$84,1,MATCH(TODAY(),宏观数据!$F$1:$TN$1,1)-60+51)),NA(),IF(INDEX(宏观数据!$F$84:$TN$84,1,MATCH(TODAY(),宏观数据!$F$1:$TN$1,1)-60+51)=0,NA(),INDEX(宏观数据!$F$84:$TN$84,1,MATCH(TODAY(),宏观数据!$F$1:$TN$1,1)-60+51)))</f>
        <v>1.3726</v>
      </c>
      <c r="BA25" s="2">
        <f ca="1">IF(ISERROR(INDEX(宏观数据!$F$84:$TN$84,1,MATCH(TODAY(),宏观数据!$F$1:$TN$1,1)-60+52)),NA(),IF(INDEX(宏观数据!$F$84:$TN$84,1,MATCH(TODAY(),宏观数据!$F$1:$TN$1,1)-60+52)=0,NA(),INDEX(宏观数据!$F$84:$TN$84,1,MATCH(TODAY(),宏观数据!$F$1:$TN$1,1)-60+52)))</f>
        <v>1.3767</v>
      </c>
      <c r="BB25" s="2">
        <f ca="1">IF(ISERROR(INDEX(宏观数据!$F$84:$TN$84,1,MATCH(TODAY(),宏观数据!$F$1:$TN$1,1)-60+53)),NA(),IF(INDEX(宏观数据!$F$84:$TN$84,1,MATCH(TODAY(),宏观数据!$F$1:$TN$1,1)-60+53)=0,NA(),INDEX(宏观数据!$F$84:$TN$84,1,MATCH(TODAY(),宏观数据!$F$1:$TN$1,1)-60+53)))</f>
        <v>1.3907</v>
      </c>
      <c r="BC25" s="2" t="e">
        <f ca="1">IF(ISERROR(INDEX(宏观数据!$F$84:$TN$84,1,MATCH(TODAY(),宏观数据!$F$1:$TN$1,1)-60+54)),NA(),IF(INDEX(宏观数据!$F$84:$TN$84,1,MATCH(TODAY(),宏观数据!$F$1:$TN$1,1)-60+54)=0,NA(),INDEX(宏观数据!$F$84:$TN$84,1,MATCH(TODAY(),宏观数据!$F$1:$TN$1,1)-60+54)))</f>
        <v>#N/A</v>
      </c>
      <c r="BD25" s="2" t="e">
        <f ca="1">IF(ISERROR(INDEX(宏观数据!$F$84:$TN$84,1,MATCH(TODAY(),宏观数据!$F$1:$TN$1,1)-60+55)),NA(),IF(INDEX(宏观数据!$F$84:$TN$84,1,MATCH(TODAY(),宏观数据!$F$1:$TN$1,1)-60+55)=0,NA(),INDEX(宏观数据!$F$84:$TN$84,1,MATCH(TODAY(),宏观数据!$F$1:$TN$1,1)-60+55)))</f>
        <v>#N/A</v>
      </c>
      <c r="BE25">
        <f ca="1">IF(ISERROR(INDEX(宏观数据!$F$84:$TN$84,1,MATCH(TODAY(),宏观数据!$F$1:$TN$1,1)-60+56)),NA(),IF(INDEX(宏观数据!$F$84:$TN$84,1,MATCH(TODAY(),宏观数据!$F$1:$TN$1,1)-60+56)=0,NA(),INDEX(宏观数据!$F$84:$TN$84,1,MATCH(TODAY(),宏观数据!$F$1:$TN$1,1)-60+56)))</f>
        <v>1.4043</v>
      </c>
      <c r="BF25" s="2">
        <f ca="1">IF(ISERROR(INDEX(宏观数据!$F$84:$TN$84,1,MATCH(TODAY(),宏观数据!$F$1:$TN$1,1)-60+57)),NA(),IF(INDEX(宏观数据!$F$84:$TN$84,1,MATCH(TODAY(),宏观数据!$F$1:$TN$1,1)-60+57)=0,NA(),INDEX(宏观数据!$F$84:$TN$84,1,MATCH(TODAY(),宏观数据!$F$1:$TN$1,1)-60+57)))</f>
        <v>1.4132</v>
      </c>
      <c r="BG25" s="2">
        <f ca="1">IF(ISERROR(INDEX(宏观数据!$F$84:$TN$84,1,MATCH(TODAY(),宏观数据!$F$1:$TN$1,1)-60+58)),NA(),IF(INDEX(宏观数据!$F$84:$TN$84,1,MATCH(TODAY(),宏观数据!$F$1:$TN$1,1)-60+58)=0,NA(),INDEX(宏观数据!$F$84:$TN$84,1,MATCH(TODAY(),宏观数据!$F$1:$TN$1,1)-60+58)))</f>
        <v>1.4156</v>
      </c>
      <c r="BH25" s="2">
        <f ca="1">IF(ISERROR(INDEX(宏观数据!$F$84:$TN$84,1,MATCH(TODAY(),宏观数据!$F$1:$TN$1,1)-60+59)),NA(),IF(INDEX(宏观数据!$F$84:$TN$84,1,MATCH(TODAY(),宏观数据!$F$1:$TN$1,1)-60+59)=0,NA(),INDEX(宏观数据!$F$84:$TN$84,1,MATCH(TODAY(),宏观数据!$F$1:$TN$1,1)-60+59)))</f>
        <v>1.4398</v>
      </c>
      <c r="BI25">
        <f ca="1">IF(ISERROR(INDEX(宏观数据!$F$84:$TN$84,1,MATCH(TODAY(),宏观数据!$F$1:$TN$1,1)-60+60)),NA(),IF(INDEX(宏观数据!$F$84:$TN$84,1,MATCH(TODAY(),宏观数据!$F$1:$TN$1,1)-60+60)=0,NA(),INDEX(宏观数据!$F$84:$TN$84,1,MATCH(TODAY(),宏观数据!$F$1:$TN$1,1)-60+60)))</f>
        <v>1.4625</v>
      </c>
    </row>
    <row r="30" ht="16.5" customHeight="1" spans="1:61">
      <c r="A30" s="1" t="s">
        <v>626</v>
      </c>
      <c r="B30">
        <f ca="1">IFERROR(IF(C30&lt;=COLUMN(宏观数据!$F$27),-1,LOOKUP(2,1/(OFFSET(宏观数据!$F$27,0,0,1,C30-COLUMN(宏观数据!$F$27))&lt;&gt;""),COLUMN(OFFSET(宏观数据!$F$27,0,0,1,C30-COLUMN(宏观数据!$F$27))))),-1)</f>
        <v>371</v>
      </c>
      <c r="C30">
        <f ca="1">IFERROR(IF(D30&lt;=COLUMN(宏观数据!$F$27),-1,LOOKUP(2,1/(OFFSET(宏观数据!$F$27,0,0,1,D30-COLUMN(宏观数据!$F$27))&lt;&gt;""),COLUMN(OFFSET(宏观数据!$F$27,0,0,1,D30-COLUMN(宏观数据!$F$27))))),-1)</f>
        <v>402</v>
      </c>
      <c r="D30">
        <f ca="1">IFERROR(IF(E30&lt;=COLUMN(宏观数据!$F$27),-1,LOOKUP(2,1/(OFFSET(宏观数据!$F$27,0,0,1,E30-COLUMN(宏观数据!$F$27))&lt;&gt;""),COLUMN(OFFSET(宏观数据!$F$27,0,0,1,E30-COLUMN(宏观数据!$F$27))))),-1)</f>
        <v>430</v>
      </c>
      <c r="E30">
        <f ca="1">IFERROR(IF(F30&lt;=COLUMN(宏观数据!$F$27),-1,LOOKUP(2,1/(OFFSET(宏观数据!$F$27,0,0,1,F30-COLUMN(宏观数据!$F$27))&lt;&gt;""),COLUMN(OFFSET(宏观数据!$F$27,0,0,1,F30-COLUMN(宏观数据!$F$27))))),-1)</f>
        <v>461</v>
      </c>
      <c r="F30">
        <f ca="1">IFERROR(IF(G30&lt;=COLUMN(宏观数据!$F$27),-1,LOOKUP(2,1/(OFFSET(宏观数据!$F$27,0,0,1,G30-COLUMN(宏观数据!$F$27))&lt;&gt;""),COLUMN(OFFSET(宏观数据!$F$27,0,0,1,G30-COLUMN(宏观数据!$F$27))))),-1)</f>
        <v>491</v>
      </c>
      <c r="G30">
        <f>IFERROR(LOOKUP(2,1/(宏观数据!$F$27:$TN$27&lt;&gt;""),COLUMN(宏观数据!$F$27:$TN$27)),-1)</f>
        <v>522</v>
      </c>
    </row>
    <row r="31" ht="15" customHeight="1" spans="1:61">
      <c r="A31" s="1" t="s">
        <v>627</v>
      </c>
      <c r="B31" s="2">
        <f ca="1">IF(B30=-1,NA(),INDEX(宏观数据!$F$27:$TN$27,1,B30-COLUMN(宏观数据!$F$27)+1))</f>
        <v>9</v>
      </c>
      <c r="C31" s="2">
        <f ca="1">IF(C30=-1,NA(),INDEX(宏观数据!$F$27:$TN$27,1,C30-COLUMN(宏观数据!$F$27)+1))</f>
        <v>9</v>
      </c>
      <c r="D31" s="2">
        <f ca="1">IF(D30=-1,NA(),INDEX(宏观数据!$F$27:$TN$27,1,D30-COLUMN(宏观数据!$F$27)+1))</f>
        <v>9</v>
      </c>
      <c r="E31" s="2">
        <f ca="1">IF(E30=-1,NA(),INDEX(宏观数据!$F$27:$TN$27,1,E30-COLUMN(宏观数据!$F$27)+1))</f>
        <v>9</v>
      </c>
      <c r="F31" s="2">
        <f ca="1">IF(F30=-1,NA(),INDEX(宏观数据!$F$27:$TN$27,1,F30-COLUMN(宏观数据!$F$27)+1))</f>
        <v>9</v>
      </c>
      <c r="G31" s="2">
        <f>IF(G30=-1,NA(),INDEX(宏观数据!$F$27:$TN$27,1,G30-COLUMN(宏观数据!$F$27)+1))</f>
        <v>9</v>
      </c>
    </row>
    <row r="32" ht="16.5" customHeight="1" spans="1:61">
      <c r="A32" s="1" t="s">
        <v>628</v>
      </c>
      <c r="B32">
        <f ca="1">IFERROR(IF(C32&lt;=COLUMN(宏观数据!$F$33),-1,LOOKUP(2,1/(OFFSET(宏观数据!$F$33,0,0,1,C32-COLUMN(宏观数据!$F$33))&lt;&gt;""),COLUMN(OFFSET(宏观数据!$F$33,0,0,1,C32-COLUMN(宏观数据!$F$33))))),-1)</f>
        <v>371</v>
      </c>
      <c r="C32">
        <f ca="1">IFERROR(IF(D32&lt;=COLUMN(宏观数据!$F$33),-1,LOOKUP(2,1/(OFFSET(宏观数据!$F$33,0,0,1,D32-COLUMN(宏观数据!$F$33))&lt;&gt;""),COLUMN(OFFSET(宏观数据!$F$33,0,0,1,D32-COLUMN(宏观数据!$F$33))))),-1)</f>
        <v>402</v>
      </c>
      <c r="D32">
        <f ca="1">IFERROR(IF(E32&lt;=COLUMN(宏观数据!$F$33),-1,LOOKUP(2,1/(OFFSET(宏观数据!$F$33,0,0,1,E32-COLUMN(宏观数据!$F$33))&lt;&gt;""),COLUMN(OFFSET(宏观数据!$F$33,0,0,1,E32-COLUMN(宏观数据!$F$33))))),-1)</f>
        <v>430</v>
      </c>
      <c r="E32">
        <f ca="1">IFERROR(IF(F32&lt;=COLUMN(宏观数据!$F$33),-1,LOOKUP(2,1/(OFFSET(宏观数据!$F$33,0,0,1,F32-COLUMN(宏观数据!$F$33))&lt;&gt;""),COLUMN(OFFSET(宏观数据!$F$33,0,0,1,F32-COLUMN(宏观数据!$F$33))))),-1)</f>
        <v>461</v>
      </c>
      <c r="F32">
        <f ca="1">IFERROR(IF(G32&lt;=COLUMN(宏观数据!$F$33),-1,LOOKUP(2,1/(OFFSET(宏观数据!$F$33,0,0,1,G32-COLUMN(宏观数据!$F$33))&lt;&gt;""),COLUMN(OFFSET(宏观数据!$F$33,0,0,1,G32-COLUMN(宏观数据!$F$33))))),-1)</f>
        <v>491</v>
      </c>
      <c r="G32">
        <f>IFERROR(LOOKUP(2,1/(宏观数据!$F$33:$TN$33&lt;&gt;""),COLUMN(宏观数据!$F$33:$TN$33)),-1)</f>
        <v>522</v>
      </c>
    </row>
    <row r="33" ht="15" customHeight="1" spans="1:7">
      <c r="A33" s="1" t="s">
        <v>110</v>
      </c>
      <c r="B33" s="2">
        <f ca="1">IF(B32=-1,NA(),INDEX(宏观数据!$F$33:$TN$33,1,B32-COLUMN(宏观数据!$F$33)+1))</f>
        <v>8.3</v>
      </c>
      <c r="C33" s="2">
        <f ca="1">IF(C32=-1,NA(),INDEX(宏观数据!$F$33:$TN$33,1,C32-COLUMN(宏观数据!$F$33)+1))</f>
        <v>8.2</v>
      </c>
      <c r="D33" s="2">
        <f ca="1">IF(D32=-1,NA(),INDEX(宏观数据!$F$33:$TN$33,1,D32-COLUMN(宏观数据!$F$33)+1))</f>
        <v>8.2</v>
      </c>
      <c r="E33" s="2">
        <f ca="1">IF(E32=-1,NA(),INDEX(宏观数据!$F$33:$TN$33,1,E32-COLUMN(宏观数据!$F$33)+1))</f>
        <v>7.9</v>
      </c>
      <c r="F33" s="2">
        <f ca="1">IF(F32=-1,NA(),INDEX(宏观数据!$F$33:$TN$33,1,F32-COLUMN(宏观数据!$F$33)+1))</f>
        <v>7.8</v>
      </c>
      <c r="G33" s="2">
        <f>IF(G32=-1,NA(),INDEX(宏观数据!$F$33:$TN$33,1,G32-COLUMN(宏观数据!$F$33)+1))</f>
        <v>7.7</v>
      </c>
    </row>
    <row r="34" ht="16.5" customHeight="1" spans="1:7">
      <c r="A34" s="1" t="s">
        <v>629</v>
      </c>
      <c r="B34">
        <f ca="1">IFERROR(IF(C34&lt;=COLUMN(宏观数据!$F$35),-1,LOOKUP(2,1/(OFFSET(宏观数据!$F$35,0,0,1,C34-COLUMN(宏观数据!$F$35))&lt;&gt;""),COLUMN(OFFSET(宏观数据!$F$35,0,0,1,C34-COLUMN(宏观数据!$F$35))))),-1)</f>
        <v>371</v>
      </c>
      <c r="C34">
        <f ca="1">IFERROR(IF(D34&lt;=COLUMN(宏观数据!$F$35),-1,LOOKUP(2,1/(OFFSET(宏观数据!$F$35,0,0,1,D34-COLUMN(宏观数据!$F$35))&lt;&gt;""),COLUMN(OFFSET(宏观数据!$F$35,0,0,1,D34-COLUMN(宏观数据!$F$35))))),-1)</f>
        <v>402</v>
      </c>
      <c r="D34">
        <f ca="1">IFERROR(IF(E34&lt;=COLUMN(宏观数据!$F$35),-1,LOOKUP(2,1/(OFFSET(宏观数据!$F$35,0,0,1,E34-COLUMN(宏观数据!$F$35))&lt;&gt;""),COLUMN(OFFSET(宏观数据!$F$35,0,0,1,E34-COLUMN(宏观数据!$F$35))))),-1)</f>
        <v>430</v>
      </c>
      <c r="E34">
        <f ca="1">IFERROR(IF(F34&lt;=COLUMN(宏观数据!$F$35),-1,LOOKUP(2,1/(OFFSET(宏观数据!$F$35,0,0,1,F34-COLUMN(宏观数据!$F$35))&lt;&gt;""),COLUMN(OFFSET(宏观数据!$F$35,0,0,1,F34-COLUMN(宏观数据!$F$35))))),-1)</f>
        <v>461</v>
      </c>
      <c r="F34">
        <f ca="1">IFERROR(IF(G34&lt;=COLUMN(宏观数据!$F$35),-1,LOOKUP(2,1/(OFFSET(宏观数据!$F$35,0,0,1,G34-COLUMN(宏观数据!$F$35))&lt;&gt;""),COLUMN(OFFSET(宏观数据!$F$35,0,0,1,G34-COLUMN(宏观数据!$F$35))))),-1)</f>
        <v>491</v>
      </c>
      <c r="G34">
        <f>IFERROR(LOOKUP(2,1/(宏观数据!$F$35:$TN$35&lt;&gt;""),COLUMN(宏观数据!$F$35:$TN$35)),-1)</f>
        <v>522</v>
      </c>
    </row>
    <row r="35" ht="15" customHeight="1" spans="1:7">
      <c r="A35" s="1" t="s">
        <v>630</v>
      </c>
      <c r="B35" s="2">
        <f ca="1">IF(B34=-1,NA(),INDEX(宏观数据!$F$35:$TN$35,1,B34-COLUMN(宏观数据!$F$35)+1))</f>
        <v>6.3</v>
      </c>
      <c r="C35" s="2">
        <f ca="1">IF(C34=-1,NA(),INDEX(宏观数据!$F$35:$TN$35,1,C34-COLUMN(宏观数据!$F$35)+1))</f>
        <v>6.1</v>
      </c>
      <c r="D35" s="2">
        <f ca="1">IF(D34=-1,NA(),INDEX(宏观数据!$F$35:$TN$35,1,D34-COLUMN(宏观数据!$F$35)+1))</f>
        <v>6.1</v>
      </c>
      <c r="E35" s="2">
        <f ca="1">IF(E34=-1,NA(),INDEX(宏观数据!$F$35:$TN$35,1,E34-COLUMN(宏观数据!$F$35)+1))</f>
        <v>5.8</v>
      </c>
      <c r="F35" s="2">
        <f ca="1">IF(F34=-1,NA(),INDEX(宏观数据!$F$35:$TN$35,1,F34-COLUMN(宏观数据!$F$35)+1))</f>
        <v>5.6</v>
      </c>
      <c r="G35" s="2">
        <f>IF(G34=-1,NA(),INDEX(宏观数据!$F$35:$TN$35,1,G34-COLUMN(宏观数据!$F$35)+1))</f>
        <v>5.5</v>
      </c>
    </row>
    <row r="36" ht="15" customHeight="1" spans="1:7">
      <c r="A36" t="s">
        <v>631</v>
      </c>
      <c r="B36">
        <f ca="1">IFERROR(IF(C36&lt;=COLUMN(宏观数据!$F$39),-1,LOOKUP(2,1/(OFFSET(宏观数据!$F$39,0,0,1,C36-COLUMN(宏观数据!$F$39))&lt;&gt;""),COLUMN(OFFSET(宏观数据!$F$39,0,0,1,C36-COLUMN(宏观数据!$F$39))))),-1)</f>
        <v>371</v>
      </c>
      <c r="C36">
        <f ca="1">IFERROR(IF(D36&lt;=COLUMN(宏观数据!$F$39),-1,LOOKUP(2,1/(OFFSET(宏观数据!$F$39,0,0,1,D36-COLUMN(宏观数据!$F$39))&lt;&gt;""),COLUMN(OFFSET(宏观数据!$F$39,0,0,1,D36-COLUMN(宏观数据!$F$39))))),-1)</f>
        <v>402</v>
      </c>
      <c r="D36">
        <f ca="1">IFERROR(IF(E36&lt;=COLUMN(宏观数据!$F$39),-1,LOOKUP(2,1/(OFFSET(宏观数据!$F$39,0,0,1,E36-COLUMN(宏观数据!$F$39))&lt;&gt;""),COLUMN(OFFSET(宏观数据!$F$39,0,0,1,E36-COLUMN(宏观数据!$F$39))))),-1)</f>
        <v>430</v>
      </c>
      <c r="E36">
        <f ca="1">IFERROR(IF(F36&lt;=COLUMN(宏观数据!$F$39),-1,LOOKUP(2,1/(OFFSET(宏观数据!$F$39,0,0,1,F36-COLUMN(宏观数据!$F$39))&lt;&gt;""),COLUMN(OFFSET(宏观数据!$F$39,0,0,1,F36-COLUMN(宏观数据!$F$39))))),-1)</f>
        <v>461</v>
      </c>
      <c r="F36">
        <f ca="1">IFERROR(IF(G36&lt;=COLUMN(宏观数据!$F$39),-1,LOOKUP(2,1/(OFFSET(宏观数据!$F$39,0,0,1,G36-COLUMN(宏观数据!$F$39))&lt;&gt;""),COLUMN(OFFSET(宏观数据!$F$39,0,0,1,G36-COLUMN(宏观数据!$F$39))))),-1)</f>
        <v>491</v>
      </c>
      <c r="G36">
        <f>IFERROR(LOOKUP(2,1/(宏观数据!$F$39:$TN$39&lt;&gt;""),COLUMN(宏观数据!$F$39:$TN$39)),-1)</f>
        <v>522</v>
      </c>
    </row>
    <row r="37" ht="15" customHeight="1" spans="1:7">
      <c r="A37" t="s">
        <v>114</v>
      </c>
      <c r="B37" s="2">
        <f ca="1">IF(B36=-1,NA(),INDEX(宏观数据!$F$39:$TN$39,1,B36-COLUMN(宏观数据!$F$39)+1))</f>
        <v>3.8</v>
      </c>
      <c r="C37" s="2">
        <f ca="1">IF(C36=-1,NA(),INDEX(宏观数据!$F$39:$TN$39,1,C36-COLUMN(宏观数据!$F$39)+1))</f>
        <v>4.9</v>
      </c>
      <c r="D37" s="2">
        <f ca="1">IF(D36=-1,NA(),INDEX(宏观数据!$F$39:$TN$39,1,D36-COLUMN(宏观数据!$F$39)+1))</f>
        <v>5.9</v>
      </c>
      <c r="E37" s="2">
        <f ca="1">IF(E36=-1,NA(),INDEX(宏观数据!$F$39:$TN$39,1,E36-COLUMN(宏观数据!$F$39)+1))</f>
        <v>5.1</v>
      </c>
      <c r="F37" s="2">
        <f ca="1">IF(F36=-1,NA(),INDEX(宏观数据!$F$39:$TN$39,1,F36-COLUMN(宏观数据!$F$39)+1))</f>
        <v>5</v>
      </c>
      <c r="G37" s="2">
        <f>IF(G36=-1,NA(),INDEX(宏观数据!$F$39:$TN$39,1,G36-COLUMN(宏观数据!$F$39)+1))</f>
        <v>5.5</v>
      </c>
    </row>
    <row r="38" ht="15" customHeight="1" spans="1:7">
      <c r="A38" t="s">
        <v>632</v>
      </c>
      <c r="B38">
        <f ca="1">IFERROR(IF(C38&lt;=COLUMN(宏观数据!$F$41),-1,LOOKUP(2,1/(OFFSET(宏观数据!$F$41,0,0,1,C38-COLUMN(宏观数据!$F$41))&lt;&gt;""),COLUMN(OFFSET(宏观数据!$F$41,0,0,1,C38-COLUMN(宏观数据!$F$41))))),-1)</f>
        <v>371</v>
      </c>
      <c r="C38">
        <f ca="1">IFERROR(IF(D38&lt;=COLUMN(宏观数据!$F$41),-1,LOOKUP(2,1/(OFFSET(宏观数据!$F$41,0,0,1,D38-COLUMN(宏观数据!$F$41))&lt;&gt;""),COLUMN(OFFSET(宏观数据!$F$41,0,0,1,D38-COLUMN(宏观数据!$F$41))))),-1)</f>
        <v>402</v>
      </c>
      <c r="D38">
        <f ca="1">IFERROR(IF(E38&lt;=COLUMN(宏观数据!$F$41),-1,LOOKUP(2,1/(OFFSET(宏观数据!$F$41,0,0,1,E38-COLUMN(宏观数据!$F$41))&lt;&gt;""),COLUMN(OFFSET(宏观数据!$F$41,0,0,1,E38-COLUMN(宏观数据!$F$41))))),-1)</f>
        <v>430</v>
      </c>
      <c r="E38">
        <f ca="1">IFERROR(IF(F38&lt;=COLUMN(宏观数据!$F$41),-1,LOOKUP(2,1/(OFFSET(宏观数据!$F$41,0,0,1,F38-COLUMN(宏观数据!$F$41))&lt;&gt;""),COLUMN(OFFSET(宏观数据!$F$41,0,0,1,F38-COLUMN(宏观数据!$F$41))))),-1)</f>
        <v>461</v>
      </c>
      <c r="F38">
        <f ca="1">IFERROR(IF(G38&lt;=COLUMN(宏观数据!$F$41),-1,LOOKUP(2,1/(OFFSET(宏观数据!$F$41,0,0,1,G38-COLUMN(宏观数据!$F$41))&lt;&gt;""),COLUMN(OFFSET(宏观数据!$F$41,0,0,1,G38-COLUMN(宏观数据!$F$41))))),-1)</f>
        <v>491</v>
      </c>
      <c r="G38">
        <f>IFERROR(LOOKUP(2,1/(宏观数据!$F$41:$TN$41&lt;&gt;""),COLUMN(宏观数据!$F$41:$TN$41)),-1)</f>
        <v>522</v>
      </c>
    </row>
    <row r="39" ht="15" customHeight="1" spans="1:7">
      <c r="A39" t="s">
        <v>116</v>
      </c>
      <c r="B39" s="2">
        <f ca="1">IF(B38=-1,NA(),INDEX(宏观数据!$F$41:$TN$41,1,B38-COLUMN(宏观数据!$F$41)+1))</f>
        <v>8.5</v>
      </c>
      <c r="C39" s="2">
        <f ca="1">IF(C38=-1,NA(),INDEX(宏观数据!$F$41:$TN$41,1,C38-COLUMN(宏观数据!$F$41)+1))</f>
        <v>9</v>
      </c>
      <c r="D39" s="2">
        <f ca="1">IF(D38=-1,NA(),INDEX(宏观数据!$F$41:$TN$41,1,D38-COLUMN(宏观数据!$F$41)+1))</f>
        <v>9</v>
      </c>
      <c r="E39" s="2">
        <f ca="1">IF(E38=-1,NA(),INDEX(宏观数据!$F$41:$TN$41,1,E38-COLUMN(宏观数据!$F$41)+1))</f>
        <v>8.5</v>
      </c>
      <c r="F39" s="2">
        <f ca="1">IF(F38=-1,NA(),INDEX(宏观数据!$F$41:$TN$41,1,F38-COLUMN(宏观数据!$F$41)+1))</f>
        <v>8.6</v>
      </c>
      <c r="G39" s="2">
        <f>IF(G38=-1,NA(),INDEX(宏观数据!$F$41:$TN$41,1,G38-COLUMN(宏观数据!$F$41)+1))</f>
        <v>8.6</v>
      </c>
    </row>
    <row r="40" ht="16.5" customHeight="1" spans="1:7">
      <c r="A40" s="1" t="s">
        <v>633</v>
      </c>
      <c r="B40">
        <f ca="1">IFERROR(IF(C40&lt;=COLUMN(宏观数据!$F$9),-1,LOOKUP(2,1/(OFFSET(宏观数据!$F$9,0,0,1,C40-COLUMN(宏观数据!$F$9))&lt;&gt;""),COLUMN(OFFSET(宏观数据!$F$9,0,0,1,C40-COLUMN(宏观数据!$F$9))))),-1)</f>
        <v>340</v>
      </c>
      <c r="C40">
        <f ca="1">IFERROR(IF(D40&lt;=COLUMN(宏观数据!$F$9),-1,LOOKUP(2,1/(OFFSET(宏观数据!$F$9,0,0,1,D40-COLUMN(宏观数据!$F$9))&lt;&gt;""),COLUMN(OFFSET(宏观数据!$F$9,0,0,1,D40-COLUMN(宏观数据!$F$9))))),-1)</f>
        <v>371</v>
      </c>
      <c r="D40">
        <f ca="1">IFERROR(IF(E40&lt;=COLUMN(宏观数据!$F$9),-1,LOOKUP(2,1/(OFFSET(宏观数据!$F$9,0,0,1,E40-COLUMN(宏观数据!$F$9))&lt;&gt;""),COLUMN(OFFSET(宏观数据!$F$9,0,0,1,E40-COLUMN(宏观数据!$F$9))))),-1)</f>
        <v>430</v>
      </c>
      <c r="E40">
        <f ca="1">IFERROR(IF(F40&lt;=COLUMN(宏观数据!$F$9),-1,LOOKUP(2,1/(OFFSET(宏观数据!$F$9,0,0,1,F40-COLUMN(宏观数据!$F$9))&lt;&gt;""),COLUMN(OFFSET(宏观数据!$F$9,0,0,1,F40-COLUMN(宏观数据!$F$9))))),-1)</f>
        <v>461</v>
      </c>
      <c r="F40">
        <f ca="1">IFERROR(IF(G40&lt;=COLUMN(宏观数据!$F$9),-1,LOOKUP(2,1/(OFFSET(宏观数据!$F$9,0,0,1,G40-COLUMN(宏观数据!$F$9))&lt;&gt;""),COLUMN(OFFSET(宏观数据!$F$9,0,0,1,G40-COLUMN(宏观数据!$F$9))))),-1)</f>
        <v>491</v>
      </c>
      <c r="G40">
        <f>IFERROR(LOOKUP(2,1/(宏观数据!$F$9:$TN$9&lt;&gt;""),COLUMN(宏观数据!$F$9:$TN$9)),-1)</f>
        <v>522</v>
      </c>
    </row>
    <row r="41" ht="15" customHeight="1" spans="1:7">
      <c r="A41" s="1" t="s">
        <v>118</v>
      </c>
      <c r="B41" s="2">
        <f ca="1">IF(B40=-1,NA(),INDEX(宏观数据!$F$9:$TN$9,1,B40-COLUMN(宏观数据!$F$9)+1))</f>
        <v>1.3</v>
      </c>
      <c r="C41" s="2">
        <f ca="1">IF(C40=-1,NA(),INDEX(宏观数据!$F$9:$TN$9,1,C40-COLUMN(宏观数据!$F$9)+1))</f>
        <v>0.9</v>
      </c>
      <c r="D41" s="2">
        <f ca="1">IF(D40=-1,NA(),INDEX(宏观数据!$F$9:$TN$9,1,D40-COLUMN(宏观数据!$F$9)+1))</f>
        <v>2.8</v>
      </c>
      <c r="E41" s="2">
        <f ca="1">IF(E40=-1,NA(),INDEX(宏观数据!$F$9:$TN$9,1,E40-COLUMN(宏观数据!$F$9)+1))</f>
        <v>1.7</v>
      </c>
      <c r="F41" s="2">
        <f ca="1">IF(F40=-1,NA(),INDEX(宏观数据!$F$9:$TN$9,1,F40-COLUMN(宏观数据!$F$9)+1))</f>
        <v>0.2</v>
      </c>
      <c r="G41" s="2">
        <f>IF(G40=-1,NA(),INDEX(宏观数据!$F$9:$TN$9,1,G40-COLUMN(宏观数据!$F$9)+1))</f>
        <v>-0.6</v>
      </c>
    </row>
    <row r="42" ht="16.5" customHeight="1" spans="1:7">
      <c r="A42" s="1" t="s">
        <v>634</v>
      </c>
      <c r="B42">
        <f ca="1">IFERROR(IF(C42&lt;=COLUMN(宏观数据!$F$15),-1,LOOKUP(2,1/(OFFSET(宏观数据!$F$15,0,0,1,C42-COLUMN(宏观数据!$F$15))&lt;&gt;""),COLUMN(OFFSET(宏观数据!$F$15,0,0,1,C42-COLUMN(宏观数据!$F$15))))),-1)</f>
        <v>340</v>
      </c>
      <c r="C42">
        <f ca="1">IFERROR(IF(D42&lt;=COLUMN(宏观数据!$F$15),-1,LOOKUP(2,1/(OFFSET(宏观数据!$F$15,0,0,1,D42-COLUMN(宏观数据!$F$15))&lt;&gt;""),COLUMN(OFFSET(宏观数据!$F$15,0,0,1,D42-COLUMN(宏观数据!$F$15))))),-1)</f>
        <v>371</v>
      </c>
      <c r="D42">
        <f ca="1">IFERROR(IF(E42&lt;=COLUMN(宏观数据!$F$15),-1,LOOKUP(2,1/(OFFSET(宏观数据!$F$15,0,0,1,E42-COLUMN(宏观数据!$F$15))&lt;&gt;""),COLUMN(OFFSET(宏观数据!$F$15,0,0,1,E42-COLUMN(宏观数据!$F$15))))),-1)</f>
        <v>430</v>
      </c>
      <c r="E42">
        <f ca="1">IFERROR(IF(F42&lt;=COLUMN(宏观数据!$F$15),-1,LOOKUP(2,1/(OFFSET(宏观数据!$F$15,0,0,1,F42-COLUMN(宏观数据!$F$15))&lt;&gt;""),COLUMN(OFFSET(宏观数据!$F$15,0,0,1,F42-COLUMN(宏观数据!$F$15))))),-1)</f>
        <v>461</v>
      </c>
      <c r="F42">
        <f ca="1">IFERROR(IF(G42&lt;=COLUMN(宏观数据!$F$15),-1,LOOKUP(2,1/(OFFSET(宏观数据!$F$15,0,0,1,G42-COLUMN(宏观数据!$F$15))&lt;&gt;""),COLUMN(OFFSET(宏观数据!$F$15,0,0,1,G42-COLUMN(宏观数据!$F$15))))),-1)</f>
        <v>491</v>
      </c>
      <c r="G42">
        <f>IFERROR(LOOKUP(2,1/(宏观数据!$F$15:$TN$15&lt;&gt;""),COLUMN(宏观数据!$F$15:$TN$15)),-1)</f>
        <v>522</v>
      </c>
    </row>
    <row r="43" ht="15" customHeight="1" spans="1:7">
      <c r="A43" s="1" t="s">
        <v>635</v>
      </c>
      <c r="B43" s="2">
        <f ca="1">IF(B42=-1,NA(),INDEX(宏观数据!$F$15:$TN$15,1,B42-COLUMN(宏观数据!$F$15)+1))</f>
        <v>-2.6</v>
      </c>
      <c r="C43" s="2">
        <f ca="1">IF(C42=-1,NA(),INDEX(宏观数据!$F$15:$TN$15,1,C42-COLUMN(宏观数据!$F$15)+1))</f>
        <v>-3.8</v>
      </c>
      <c r="D43" s="2">
        <f ca="1">IF(D42=-1,NA(),INDEX(宏观数据!$F$15:$TN$15,1,D42-COLUMN(宏观数据!$F$15)+1))</f>
        <v>1.8</v>
      </c>
      <c r="E43" s="2">
        <f ca="1">IF(E42=-1,NA(),INDEX(宏观数据!$F$15:$TN$15,1,E42-COLUMN(宏观数据!$F$15)+1))</f>
        <v>1.7</v>
      </c>
      <c r="F43" s="2">
        <f ca="1">IF(F42=-1,NA(),INDEX(宏观数据!$F$15:$TN$15,1,F42-COLUMN(宏观数据!$F$15)+1))</f>
        <v>-1.6</v>
      </c>
      <c r="G43" s="2">
        <f>IF(G42=-1,NA(),INDEX(宏观数据!$F$15:$TN$15,1,G42-COLUMN(宏观数据!$F$15)+1))</f>
        <v>-4.1</v>
      </c>
    </row>
    <row r="44" ht="16.5" customHeight="1" spans="1:7">
      <c r="A44" s="1" t="s">
        <v>636</v>
      </c>
      <c r="B44">
        <f ca="1">IFERROR(IF(C44&lt;=COLUMN(宏观数据!$F$105),-1,LOOKUP(2,1/(OFFSET(宏观数据!$F$105,0,0,1,C44-COLUMN(宏观数据!$F$105))&lt;&gt;""),COLUMN(OFFSET(宏观数据!$F$105,0,0,1,C44-COLUMN(宏观数据!$F$105))))),-1)</f>
        <v>340</v>
      </c>
      <c r="C44">
        <f ca="1">IFERROR(IF(D44&lt;=COLUMN(宏观数据!$F$105),-1,LOOKUP(2,1/(OFFSET(宏观数据!$F$105,0,0,1,D44-COLUMN(宏观数据!$F$105))&lt;&gt;""),COLUMN(OFFSET(宏观数据!$F$105,0,0,1,D44-COLUMN(宏观数据!$F$105))))),-1)</f>
        <v>371</v>
      </c>
      <c r="D44">
        <f ca="1">IFERROR(IF(E44&lt;=COLUMN(宏观数据!$F$105),-1,LOOKUP(2,1/(OFFSET(宏观数据!$F$105,0,0,1,E44-COLUMN(宏观数据!$F$105))&lt;&gt;""),COLUMN(OFFSET(宏观数据!$F$105,0,0,1,E44-COLUMN(宏观数据!$F$105))))),-1)</f>
        <v>430</v>
      </c>
      <c r="E44">
        <f ca="1">IFERROR(IF(F44&lt;=COLUMN(宏观数据!$F$105),-1,LOOKUP(2,1/(OFFSET(宏观数据!$F$105,0,0,1,F44-COLUMN(宏观数据!$F$105))&lt;&gt;""),COLUMN(OFFSET(宏观数据!$F$105,0,0,1,F44-COLUMN(宏观数据!$F$105))))),-1)</f>
        <v>461</v>
      </c>
      <c r="F44">
        <f ca="1">IFERROR(IF(G44&lt;=COLUMN(宏观数据!$F$105),-1,LOOKUP(2,1/(OFFSET(宏观数据!$F$105,0,0,1,G44-COLUMN(宏观数据!$F$105))&lt;&gt;""),COLUMN(OFFSET(宏观数据!$F$105,0,0,1,G44-COLUMN(宏观数据!$F$105))))),-1)</f>
        <v>491</v>
      </c>
      <c r="G44">
        <f>IFERROR(LOOKUP(2,1/(宏观数据!$F$105:$TN$105&lt;&gt;""),COLUMN(宏观数据!$F$105:$TN$105)),-1)</f>
        <v>522</v>
      </c>
    </row>
    <row r="45" ht="15" customHeight="1" spans="1:7">
      <c r="A45" s="1" t="s">
        <v>122</v>
      </c>
      <c r="B45" s="2">
        <f ca="1">IF(B44=-1,NA(),INDEX(宏观数据!$F$105:$TN$105,1,B44-COLUMN(宏观数据!$F$105)+1))</f>
        <v>-7.8</v>
      </c>
      <c r="C45" s="2">
        <f ca="1">IF(C44=-1,NA(),INDEX(宏观数据!$F$105:$TN$105,1,C44-COLUMN(宏观数据!$F$105)+1))</f>
        <v>-8.7</v>
      </c>
      <c r="D45" s="2">
        <f ca="1">IF(D44=-1,NA(),INDEX(宏观数据!$F$105:$TN$105,1,D44-COLUMN(宏观数据!$F$105)+1))</f>
        <v>-13.5</v>
      </c>
      <c r="E45" s="2">
        <f ca="1">IF(E44=-1,NA(),INDEX(宏观数据!$F$105:$TN$105,1,E44-COLUMN(宏观数据!$F$105)+1))</f>
        <v>-10.4</v>
      </c>
      <c r="F45" s="2">
        <f ca="1">IF(F44=-1,NA(),INDEX(宏观数据!$F$105:$TN$105,1,F44-COLUMN(宏观数据!$F$105)+1))</f>
        <v>-10.2</v>
      </c>
      <c r="G45" s="2">
        <f>IF(G44=-1,NA(),INDEX(宏观数据!$F$105:$TN$105,1,G44-COLUMN(宏观数据!$F$105)+1))</f>
        <v>-10.8</v>
      </c>
    </row>
    <row r="46" ht="16.5" customHeight="1" spans="1:7">
      <c r="A46" s="1" t="s">
        <v>637</v>
      </c>
      <c r="B46">
        <f ca="1">IFERROR(IF(C46&lt;=COLUMN(宏观数据!$F$3),-1,LOOKUP(2,1/(OFFSET(宏观数据!$F$3,0,0,1,C46-COLUMN(宏观数据!$F$3))&lt;&gt;""),COLUMN(OFFSET(宏观数据!$F$3,0,0,1,C46-COLUMN(宏观数据!$F$3))))),-1)</f>
        <v>371</v>
      </c>
      <c r="C46">
        <f ca="1">IFERROR(IF(D46&lt;=COLUMN(宏观数据!$F$3),-1,LOOKUP(2,1/(OFFSET(宏观数据!$F$3,0,0,1,D46-COLUMN(宏观数据!$F$3))&lt;&gt;""),COLUMN(OFFSET(宏观数据!$F$3,0,0,1,D46-COLUMN(宏观数据!$F$3))))),-1)</f>
        <v>402</v>
      </c>
      <c r="D46">
        <f ca="1">IFERROR(IF(E46&lt;=COLUMN(宏观数据!$F$3),-1,LOOKUP(2,1/(OFFSET(宏观数据!$F$3,0,0,1,E46-COLUMN(宏观数据!$F$3))&lt;&gt;""),COLUMN(OFFSET(宏观数据!$F$3,0,0,1,E46-COLUMN(宏观数据!$F$3))))),-1)</f>
        <v>430</v>
      </c>
      <c r="E46">
        <f ca="1">IFERROR(IF(F46&lt;=COLUMN(宏观数据!$F$3),-1,LOOKUP(2,1/(OFFSET(宏观数据!$F$3,0,0,1,F46-COLUMN(宏观数据!$F$3))&lt;&gt;""),COLUMN(OFFSET(宏观数据!$F$3,0,0,1,F46-COLUMN(宏观数据!$F$3))))),-1)</f>
        <v>461</v>
      </c>
      <c r="F46">
        <f ca="1">IFERROR(IF(G46&lt;=COLUMN(宏观数据!$F$3),-1,LOOKUP(2,1/(OFFSET(宏观数据!$F$3,0,0,1,G46-COLUMN(宏观数据!$F$3))&lt;&gt;""),COLUMN(OFFSET(宏观数据!$F$3,0,0,1,G46-COLUMN(宏观数据!$F$3))))),-1)</f>
        <v>491</v>
      </c>
      <c r="G46">
        <f>IFERROR(LOOKUP(2,1/(宏观数据!$F$3:$TN$3&lt;&gt;""),COLUMN(宏观数据!$F$3:$TN$3)),-1)</f>
        <v>522</v>
      </c>
    </row>
    <row r="47" ht="16.5" customHeight="1" spans="1:7">
      <c r="A47" s="1" t="s">
        <v>124</v>
      </c>
      <c r="B47" s="2">
        <f ca="1">IF(B46=-1,NA(),INDEX(宏观数据!$F$3:$TN$3,1,B46-COLUMN(宏观数据!$F$3)+1))</f>
        <v>50.1</v>
      </c>
      <c r="C47" s="2">
        <f ca="1">IF(C46=-1,NA(),INDEX(宏观数据!$F$3:$TN$3,1,C46-COLUMN(宏观数据!$F$3)+1))</f>
        <v>49.3</v>
      </c>
      <c r="D47" s="2">
        <f ca="1">IF(D46=-1,NA(),INDEX(宏观数据!$F$3:$TN$3,1,D46-COLUMN(宏观数据!$F$3)+1))</f>
        <v>49</v>
      </c>
      <c r="E47" s="2">
        <f ca="1">IF(E46=-1,NA(),INDEX(宏观数据!$F$3:$TN$3,1,E46-COLUMN(宏观数据!$F$3)+1))</f>
        <v>50.4</v>
      </c>
      <c r="F47" s="2">
        <f ca="1">IF(F46=-1,NA(),INDEX(宏观数据!$F$3:$TN$3,1,F46-COLUMN(宏观数据!$F$3)+1))</f>
        <v>50.3</v>
      </c>
      <c r="G47" s="2">
        <f>IF(G46=-1,NA(),INDEX(宏观数据!$F$3:$TN$3,1,G46-COLUMN(宏观数据!$F$3)+1))</f>
        <v>50</v>
      </c>
    </row>
    <row r="48" ht="16.5" customHeight="1" spans="1:7">
      <c r="A48" s="1" t="s">
        <v>638</v>
      </c>
      <c r="B48">
        <f ca="1">IFERROR(IF(C48&lt;=COLUMN(宏观数据!$F$8),-1,LOOKUP(2,1/(OFFSET(宏观数据!$F$8,0,0,1,C48-COLUMN(宏观数据!$F$8))&lt;&gt;""),COLUMN(OFFSET(宏观数据!$F$8,0,0,1,C48-COLUMN(宏观数据!$F$8))))),-1)</f>
        <v>371</v>
      </c>
      <c r="C48">
        <f ca="1">IFERROR(IF(D48&lt;=COLUMN(宏观数据!$F$8),-1,LOOKUP(2,1/(OFFSET(宏观数据!$F$8,0,0,1,D48-COLUMN(宏观数据!$F$8))&lt;&gt;""),COLUMN(OFFSET(宏观数据!$F$8,0,0,1,D48-COLUMN(宏观数据!$F$8))))),-1)</f>
        <v>402</v>
      </c>
      <c r="D48">
        <f ca="1">IFERROR(IF(E48&lt;=COLUMN(宏观数据!$F$8),-1,LOOKUP(2,1/(OFFSET(宏观数据!$F$8,0,0,1,E48-COLUMN(宏观数据!$F$8))&lt;&gt;""),COLUMN(OFFSET(宏观数据!$F$8,0,0,1,E48-COLUMN(宏观数据!$F$8))))),-1)</f>
        <v>430</v>
      </c>
      <c r="E48">
        <f ca="1">IFERROR(IF(F48&lt;=COLUMN(宏观数据!$F$8),-1,LOOKUP(2,1/(OFFSET(宏观数据!$F$8,0,0,1,F48-COLUMN(宏观数据!$F$8))&lt;&gt;""),COLUMN(OFFSET(宏观数据!$F$8,0,0,1,F48-COLUMN(宏观数据!$F$8))))),-1)</f>
        <v>461</v>
      </c>
      <c r="F48">
        <f ca="1">IFERROR(IF(G48&lt;=COLUMN(宏观数据!$F$8),-1,LOOKUP(2,1/(OFFSET(宏观数据!$F$8,0,0,1,G48-COLUMN(宏观数据!$F$8))&lt;&gt;""),COLUMN(OFFSET(宏观数据!$F$8,0,0,1,G48-COLUMN(宏观数据!$F$8))))),-1)</f>
        <v>491</v>
      </c>
      <c r="G48">
        <f>IFERROR(LOOKUP(2,1/(宏观数据!$F$8:$TN$8&lt;&gt;""),COLUMN(宏观数据!$F$8:$TN$8)),-1)</f>
        <v>522</v>
      </c>
    </row>
    <row r="49" ht="16.5" customHeight="1" spans="1:7">
      <c r="A49" s="1" t="s">
        <v>126</v>
      </c>
      <c r="B49" s="2">
        <f ca="1">IF(B48=-1,NA(),INDEX(宏观数据!$F$8:$TN$8,1,B48-COLUMN(宏观数据!$F$8)+1))</f>
        <v>50.2</v>
      </c>
      <c r="C49" s="2">
        <f ca="1">IF(C48=-1,NA(),INDEX(宏观数据!$F$8:$TN$8,1,C48-COLUMN(宏观数据!$F$8)+1))</f>
        <v>49.4</v>
      </c>
      <c r="D49" s="2">
        <f ca="1">IF(D48=-1,NA(),INDEX(宏观数据!$F$8:$TN$8,1,D48-COLUMN(宏观数据!$F$8)+1))</f>
        <v>49.5</v>
      </c>
      <c r="E49" s="2">
        <f ca="1">IF(E48=-1,NA(),INDEX(宏观数据!$F$8:$TN$8,1,E48-COLUMN(宏观数据!$F$8)+1))</f>
        <v>50.1</v>
      </c>
      <c r="F49" s="2">
        <f ca="1">IF(F48=-1,NA(),INDEX(宏观数据!$F$8:$TN$8,1,F48-COLUMN(宏观数据!$F$8)+1))</f>
        <v>49.4</v>
      </c>
      <c r="G49" s="2">
        <f>IF(G48=-1,NA(),INDEX(宏观数据!$F$8:$TN$8,1,G48-COLUMN(宏观数据!$F$8)+1))</f>
        <v>50.1</v>
      </c>
    </row>
    <row r="50" ht="16.5" customHeight="1" spans="1:7">
      <c r="A50" s="1" t="s">
        <v>639</v>
      </c>
      <c r="B50">
        <f ca="1">IFERROR(IF(C50&lt;=COLUMN(宏观数据!$F$20),-1,LOOKUP(2,1/(OFFSET(宏观数据!$F$20,0,0,1,C50-COLUMN(宏观数据!$F$20))&lt;&gt;""),COLUMN(OFFSET(宏观数据!$F$20,0,0,1,C50-COLUMN(宏观数据!$F$20))))),-1)</f>
        <v>371</v>
      </c>
      <c r="C50">
        <f ca="1">IFERROR(IF(D50&lt;=COLUMN(宏观数据!$F$20),-1,LOOKUP(2,1/(OFFSET(宏观数据!$F$20,0,0,1,D50-COLUMN(宏观数据!$F$20))&lt;&gt;""),COLUMN(OFFSET(宏观数据!$F$20,0,0,1,D50-COLUMN(宏观数据!$F$20))))),-1)</f>
        <v>402</v>
      </c>
      <c r="D50">
        <f ca="1">IFERROR(IF(E50&lt;=COLUMN(宏观数据!$F$20),-1,LOOKUP(2,1/(OFFSET(宏观数据!$F$20,0,0,1,E50-COLUMN(宏观数据!$F$20))&lt;&gt;""),COLUMN(OFFSET(宏观数据!$F$20,0,0,1,E50-COLUMN(宏观数据!$F$20))))),-1)</f>
        <v>430</v>
      </c>
      <c r="E50">
        <f ca="1">IFERROR(IF(F50&lt;=COLUMN(宏观数据!$F$20),-1,LOOKUP(2,1/(OFFSET(宏观数据!$F$20,0,0,1,F50-COLUMN(宏观数据!$F$20))&lt;&gt;""),COLUMN(OFFSET(宏观数据!$F$20,0,0,1,F50-COLUMN(宏观数据!$F$20))))),-1)</f>
        <v>461</v>
      </c>
      <c r="F50">
        <f ca="1">IFERROR(IF(G50&lt;=COLUMN(宏观数据!$F$20),-1,LOOKUP(2,1/(OFFSET(宏观数据!$F$20,0,0,1,G50-COLUMN(宏观数据!$F$20))&lt;&gt;""),COLUMN(OFFSET(宏观数据!$F$20,0,0,1,G50-COLUMN(宏观数据!$F$20))))),-1)</f>
        <v>491</v>
      </c>
      <c r="G50">
        <f>IFERROR(LOOKUP(2,1/(宏观数据!$F$20:$TN$20&lt;&gt;""),COLUMN(宏观数据!$F$20:$TN$20)),-1)</f>
        <v>522</v>
      </c>
    </row>
    <row r="51" ht="15" customHeight="1" spans="1:7">
      <c r="A51" s="1" t="s">
        <v>128</v>
      </c>
      <c r="B51" s="2">
        <f ca="1">IF(B50=-1,NA(),INDEX(宏观数据!$F$20:$TN$20,1,B50-COLUMN(宏观数据!$F$20)+1))</f>
        <v>5.2</v>
      </c>
      <c r="C51" s="2">
        <f ca="1">IF(C50=-1,NA(),INDEX(宏观数据!$F$20:$TN$20,1,C50-COLUMN(宏观数据!$F$20)+1))</f>
        <v>6.3</v>
      </c>
      <c r="D51" s="2">
        <f ca="1">IF(D50=-1,NA(),INDEX(宏观数据!$F$20:$TN$20,1,D50-COLUMN(宏观数据!$F$20)+1))</f>
        <v>6.3</v>
      </c>
      <c r="E51" s="2">
        <f ca="1">IF(E50=-1,NA(),INDEX(宏观数据!$F$20:$TN$20,1,E50-COLUMN(宏观数据!$F$20)+1))</f>
        <v>5.7</v>
      </c>
      <c r="F51" s="2">
        <f ca="1">IF(F50=-1,NA(),INDEX(宏观数据!$F$20:$TN$20,1,F50-COLUMN(宏观数据!$F$20)+1))</f>
        <v>4.1</v>
      </c>
      <c r="G51" s="2">
        <f>IF(G50=-1,NA(),INDEX(宏观数据!$F$20:$TN$20,1,G50-COLUMN(宏观数据!$F$20)+1))</f>
        <v>4.5</v>
      </c>
    </row>
    <row r="52" ht="16.5" customHeight="1" spans="1:7">
      <c r="A52" s="1" t="s">
        <v>640</v>
      </c>
      <c r="B52">
        <f ca="1">IFERROR(IF(C52&lt;=COLUMN(宏观数据!$F$21),-1,LOOKUP(2,1/(OFFSET(宏观数据!$F$21,0,0,1,C52-COLUMN(宏观数据!$F$21))&lt;&gt;""),COLUMN(OFFSET(宏观数据!$F$21,0,0,1,C52-COLUMN(宏观数据!$F$21))))),-1)</f>
        <v>371</v>
      </c>
      <c r="C52">
        <f ca="1">IFERROR(IF(D52&lt;=COLUMN(宏观数据!$F$21),-1,LOOKUP(2,1/(OFFSET(宏观数据!$F$21,0,0,1,D52-COLUMN(宏观数据!$F$21))&lt;&gt;""),COLUMN(OFFSET(宏观数据!$F$21,0,0,1,D52-COLUMN(宏观数据!$F$21))))),-1)</f>
        <v>402</v>
      </c>
      <c r="D52">
        <f ca="1">IFERROR(IF(E52&lt;=COLUMN(宏观数据!$F$21),-1,LOOKUP(2,1/(OFFSET(宏观数据!$F$21,0,0,1,E52-COLUMN(宏观数据!$F$21))&lt;&gt;""),COLUMN(OFFSET(宏观数据!$F$21,0,0,1,E52-COLUMN(宏观数据!$F$21))))),-1)</f>
        <v>430</v>
      </c>
      <c r="E52">
        <f ca="1">IFERROR(IF(F52&lt;=COLUMN(宏观数据!$F$21),-1,LOOKUP(2,1/(OFFSET(宏观数据!$F$21,0,0,1,F52-COLUMN(宏观数据!$F$21))&lt;&gt;""),COLUMN(OFFSET(宏观数据!$F$21,0,0,1,F52-COLUMN(宏观数据!$F$21))))),-1)</f>
        <v>461</v>
      </c>
      <c r="F52">
        <f ca="1">IFERROR(IF(G52&lt;=COLUMN(宏观数据!$F$21),-1,LOOKUP(2,1/(OFFSET(宏观数据!$F$21,0,0,1,G52-COLUMN(宏观数据!$F$21))&lt;&gt;""),COLUMN(OFFSET(宏观数据!$F$21,0,0,1,G52-COLUMN(宏观数据!$F$21))))),-1)</f>
        <v>491</v>
      </c>
      <c r="G52">
        <f>IFERROR(LOOKUP(2,1/(宏观数据!$F$21:$TN$21&lt;&gt;""),COLUMN(宏观数据!$F$21:$TN$21)),-1)</f>
        <v>522</v>
      </c>
    </row>
    <row r="53" ht="15" customHeight="1" spans="1:7">
      <c r="A53" s="1" t="s">
        <v>130</v>
      </c>
      <c r="B53" s="2">
        <f ca="1">IF(B52=-1,NA(),INDEX(宏观数据!$F$21:$TN$21,1,B52-COLUMN(宏观数据!$F$21)+1))</f>
        <v>6.457242</v>
      </c>
      <c r="C53" s="2">
        <f ca="1">IF(C52=-1,NA(),INDEX(宏观数据!$F$21:$TN$21,1,C52-COLUMN(宏观数据!$F$21)+1))</f>
        <v>10</v>
      </c>
      <c r="D53" s="2">
        <f ca="1">IF(D52=-1,NA(),INDEX(宏观数据!$F$21:$TN$21,1,D52-COLUMN(宏观数据!$F$21)+1))</f>
        <v>39.6</v>
      </c>
      <c r="E53" s="2">
        <f ca="1">IF(E52=-1,NA(),INDEX(宏观数据!$F$21:$TN$21,1,E52-COLUMN(宏观数据!$F$21)+1))</f>
        <v>2.5</v>
      </c>
      <c r="F53" s="2">
        <f ca="1">IF(F52=-1,NA(),INDEX(宏观数据!$F$21:$TN$21,1,F52-COLUMN(宏观数据!$F$21)+1))</f>
        <v>14</v>
      </c>
      <c r="G53" s="2">
        <f>IF(G52=-1,NA(),INDEX(宏观数据!$F$21:$TN$21,1,G52-COLUMN(宏观数据!$F$21)+1))</f>
        <v>19.4</v>
      </c>
    </row>
    <row r="54" ht="15" customHeight="1" spans="1:7">
      <c r="A54" t="s">
        <v>641</v>
      </c>
      <c r="B54">
        <f ca="1">IFERROR(IF(C54&lt;=COLUMN(宏观数据!$F$23),-1,LOOKUP(2,1/(OFFSET(宏观数据!$F$23,0,0,1,C54-COLUMN(宏观数据!$F$23))&lt;&gt;""),COLUMN(OFFSET(宏观数据!$F$23,0,0,1,C54-COLUMN(宏观数据!$F$23))))),-1)</f>
        <v>371</v>
      </c>
      <c r="C54">
        <f ca="1">IFERROR(IF(D54&lt;=COLUMN(宏观数据!$F$23),-1,LOOKUP(2,1/(OFFSET(宏观数据!$F$23,0,0,1,D54-COLUMN(宏观数据!$F$23))&lt;&gt;""),COLUMN(OFFSET(宏观数据!$F$23,0,0,1,D54-COLUMN(宏观数据!$F$23))))),-1)</f>
        <v>402</v>
      </c>
      <c r="D54">
        <f ca="1">IFERROR(IF(E54&lt;=COLUMN(宏观数据!$F$23),-1,LOOKUP(2,1/(OFFSET(宏观数据!$F$23,0,0,1,E54-COLUMN(宏观数据!$F$23))&lt;&gt;""),COLUMN(OFFSET(宏观数据!$F$23,0,0,1,E54-COLUMN(宏观数据!$F$23))))),-1)</f>
        <v>430</v>
      </c>
      <c r="E54">
        <f ca="1">IFERROR(IF(F54&lt;=COLUMN(宏观数据!$F$23),-1,LOOKUP(2,1/(OFFSET(宏观数据!$F$23,0,0,1,F54-COLUMN(宏观数据!$F$23))&lt;&gt;""),COLUMN(OFFSET(宏观数据!$F$23,0,0,1,F54-COLUMN(宏观数据!$F$23))))),-1)</f>
        <v>461</v>
      </c>
      <c r="F54">
        <f ca="1">IFERROR(IF(G54&lt;=COLUMN(宏观数据!$F$23),-1,LOOKUP(2,1/(OFFSET(宏观数据!$F$23,0,0,1,G54-COLUMN(宏观数据!$F$23))&lt;&gt;""),COLUMN(OFFSET(宏观数据!$F$23,0,0,1,G54-COLUMN(宏观数据!$F$23))))),-1)</f>
        <v>491</v>
      </c>
      <c r="G54">
        <f>IFERROR(LOOKUP(2,1/(宏观数据!$F$23:$TN$23&lt;&gt;""),COLUMN(宏观数据!$F$23:$TN$23)),-1)</f>
        <v>522</v>
      </c>
    </row>
    <row r="55" ht="15" customHeight="1" spans="1:7">
      <c r="A55" t="s">
        <v>132</v>
      </c>
      <c r="B55" s="2">
        <f ca="1">IF(B54=-1,NA(),INDEX(宏观数据!$F$23:$TN$23,1,B54-COLUMN(宏观数据!$F$23)+1))</f>
        <v>-1.9</v>
      </c>
      <c r="C55" s="2">
        <f ca="1">IF(C54=-1,NA(),INDEX(宏观数据!$F$23:$TN$23,1,C54-COLUMN(宏观数据!$F$23)+1))</f>
        <v>-1.4</v>
      </c>
      <c r="D55" s="2">
        <f ca="1">IF(D54=-1,NA(),INDEX(宏观数据!$F$23:$TN$23,1,D54-COLUMN(宏观数据!$F$23)+1))</f>
        <v>-0.9</v>
      </c>
      <c r="E55" s="2">
        <f ca="1">IF(E54=-1,NA(),INDEX(宏观数据!$F$23:$TN$23,1,E54-COLUMN(宏观数据!$F$23)+1))</f>
        <v>0.5</v>
      </c>
      <c r="F55" s="2">
        <f ca="1">IF(F54=-1,NA(),INDEX(宏观数据!$F$23:$TN$23,1,F54-COLUMN(宏观数据!$F$23)+1))</f>
        <v>2.8</v>
      </c>
      <c r="G55" s="2">
        <f>IF(G54=-1,NA(),INDEX(宏观数据!$F$23:$TN$23,1,G54-COLUMN(宏观数据!$F$23)+1))</f>
        <v>3.9</v>
      </c>
    </row>
    <row r="56" ht="15" customHeight="1" spans="1:7">
      <c r="A56" t="s">
        <v>642</v>
      </c>
      <c r="B56">
        <f ca="1">IFERROR(IF(C56&lt;=COLUMN(宏观数据!$F$25),-1,LOOKUP(2,1/(OFFSET(宏观数据!$F$25,0,0,1,C56-COLUMN(宏观数据!$F$25))&lt;&gt;""),COLUMN(OFFSET(宏观数据!$F$25,0,0,1,C56-COLUMN(宏观数据!$F$25))))),-1)</f>
        <v>371</v>
      </c>
      <c r="C56">
        <f ca="1">IFERROR(IF(D56&lt;=COLUMN(宏观数据!$F$25),-1,LOOKUP(2,1/(OFFSET(宏观数据!$F$25,0,0,1,D56-COLUMN(宏观数据!$F$25))&lt;&gt;""),COLUMN(OFFSET(宏观数据!$F$25,0,0,1,D56-COLUMN(宏观数据!$F$25))))),-1)</f>
        <v>402</v>
      </c>
      <c r="D56">
        <f ca="1">IFERROR(IF(E56&lt;=COLUMN(宏观数据!$F$25),-1,LOOKUP(2,1/(OFFSET(宏观数据!$F$25,0,0,1,E56-COLUMN(宏观数据!$F$25))&lt;&gt;""),COLUMN(OFFSET(宏观数据!$F$25,0,0,1,E56-COLUMN(宏观数据!$F$25))))),-1)</f>
        <v>430</v>
      </c>
      <c r="E56">
        <f ca="1">IFERROR(IF(F56&lt;=COLUMN(宏观数据!$F$25),-1,LOOKUP(2,1/(OFFSET(宏观数据!$F$25,0,0,1,F56-COLUMN(宏观数据!$F$25))&lt;&gt;""),COLUMN(OFFSET(宏观数据!$F$25,0,0,1,F56-COLUMN(宏观数据!$F$25))))),-1)</f>
        <v>461</v>
      </c>
      <c r="F56">
        <f ca="1">IFERROR(IF(G56&lt;=COLUMN(宏观数据!$F$25),-1,LOOKUP(2,1/(OFFSET(宏观数据!$F$25,0,0,1,G56-COLUMN(宏观数据!$F$25))&lt;&gt;""),COLUMN(OFFSET(宏观数据!$F$25,0,0,1,G56-COLUMN(宏观数据!$F$25))))),-1)</f>
        <v>491</v>
      </c>
      <c r="G56">
        <f>IFERROR(LOOKUP(2,1/(宏观数据!$F$25:$TN$25&lt;&gt;""),COLUMN(宏观数据!$F$25:$TN$25)),-1)</f>
        <v>522</v>
      </c>
    </row>
    <row r="57" ht="15" customHeight="1" spans="1:7">
      <c r="A57" t="s">
        <v>134</v>
      </c>
      <c r="B57" s="2">
        <f ca="1">IF(B56=-1,NA(),INDEX(宏观数据!$F$25:$TN$25,1,B56-COLUMN(宏观数据!$F$25)+1))</f>
        <v>0.8</v>
      </c>
      <c r="C57" s="2">
        <f ca="1">IF(C56=-1,NA(),INDEX(宏观数据!$F$25:$TN$25,1,C56-COLUMN(宏观数据!$F$25)+1))</f>
        <v>0.2</v>
      </c>
      <c r="D57" s="2">
        <f ca="1">IF(D56=-1,NA(),INDEX(宏观数据!$F$25:$TN$25,1,D56-COLUMN(宏观数据!$F$25)+1))</f>
        <v>1.3</v>
      </c>
      <c r="E57" s="2">
        <f ca="1">IF(E56=-1,NA(),INDEX(宏观数据!$F$25:$TN$25,1,E56-COLUMN(宏观数据!$F$25)+1))</f>
        <v>1</v>
      </c>
      <c r="F57" s="2">
        <f ca="1">IF(F56=-1,NA(),INDEX(宏观数据!$F$25:$TN$25,1,F56-COLUMN(宏观数据!$F$25)+1))</f>
        <v>1.2</v>
      </c>
      <c r="G57" s="2">
        <f>IF(G56=-1,NA(),INDEX(宏观数据!$F$25:$TN$25,1,G56-COLUMN(宏观数据!$F$25)+1))</f>
        <v>1.2</v>
      </c>
    </row>
    <row r="58" ht="16.5" customHeight="1" spans="1:7">
      <c r="A58" s="1" t="s">
        <v>643</v>
      </c>
      <c r="B58">
        <f ca="1">IFERROR(IF(C58&lt;=COLUMN(宏观数据!$F$107),-1,LOOKUP(2,1/(OFFSET(宏观数据!$F$107,0,0,1,C58-COLUMN(宏观数据!$F$107))&lt;&gt;""),COLUMN(OFFSET(宏观数据!$F$107,0,0,1,C58-COLUMN(宏观数据!$F$107))))),-1)</f>
        <v>371</v>
      </c>
      <c r="C58">
        <f ca="1">IFERROR(IF(D58&lt;=COLUMN(宏观数据!$F$107),-1,LOOKUP(2,1/(OFFSET(宏观数据!$F$107,0,0,1,D58-COLUMN(宏观数据!$F$107))&lt;&gt;""),COLUMN(OFFSET(宏观数据!$F$107,0,0,1,D58-COLUMN(宏观数据!$F$107))))),-1)</f>
        <v>402</v>
      </c>
      <c r="D58">
        <f ca="1">IFERROR(IF(E58&lt;=COLUMN(宏观数据!$F$107),-1,LOOKUP(2,1/(OFFSET(宏观数据!$F$107,0,0,1,E58-COLUMN(宏观数据!$F$107))&lt;&gt;""),COLUMN(OFFSET(宏观数据!$F$107,0,0,1,E58-COLUMN(宏观数据!$F$107))))),-1)</f>
        <v>430</v>
      </c>
      <c r="E58">
        <f ca="1">IFERROR(IF(F58&lt;=COLUMN(宏观数据!$F$107),-1,LOOKUP(2,1/(OFFSET(宏观数据!$F$107,0,0,1,F58-COLUMN(宏观数据!$F$107))&lt;&gt;""),COLUMN(OFFSET(宏观数据!$F$107,0,0,1,F58-COLUMN(宏观数据!$F$107))))),-1)</f>
        <v>461</v>
      </c>
      <c r="F58">
        <f ca="1">IFERROR(IF(G58&lt;=COLUMN(宏观数据!$F$107),-1,LOOKUP(2,1/(OFFSET(宏观数据!$F$107,0,0,1,G58-COLUMN(宏观数据!$F$107))&lt;&gt;""),COLUMN(OFFSET(宏观数据!$F$107,0,0,1,G58-COLUMN(宏观数据!$F$107))))),-1)</f>
        <v>491</v>
      </c>
      <c r="G58">
        <f>IFERROR(LOOKUP(2,1/(宏观数据!$F$107:$TN$107&lt;&gt;""),COLUMN(宏观数据!$F$107:$TN$107)),-1)</f>
        <v>522</v>
      </c>
    </row>
    <row r="59" ht="15" customHeight="1" spans="1:7">
      <c r="A59" s="1" t="s">
        <v>136</v>
      </c>
      <c r="B59" s="2">
        <f ca="1">IF(B58=-1,NA(),INDEX(宏观数据!$F$107:$TN$107,1,B58-COLUMN(宏观数据!$F$107)+1))</f>
        <v>53.1</v>
      </c>
      <c r="C59" s="2">
        <f ca="1">IF(C58=-1,NA(),INDEX(宏观数据!$F$107:$TN$107,1,C58-COLUMN(宏观数据!$F$107)+1))</f>
        <v>56.1</v>
      </c>
      <c r="D59" s="2">
        <f ca="1">IF(D58=-1,NA(),INDEX(宏观数据!$F$107:$TN$107,1,D58-COLUMN(宏观数据!$F$107)+1))</f>
        <v>54.8</v>
      </c>
      <c r="E59" s="2">
        <f ca="1">IF(E58=-1,NA(),INDEX(宏观数据!$F$107:$TN$107,1,E58-COLUMN(宏观数据!$F$107)+1))</f>
        <v>63.9</v>
      </c>
      <c r="F59" s="2">
        <f ca="1">IF(F58=-1,NA(),INDEX(宏观数据!$F$107:$TN$107,1,F58-COLUMN(宏观数据!$F$107)+1))</f>
        <v>63.7</v>
      </c>
      <c r="G59" s="2">
        <f>IF(G58=-1,NA(),INDEX(宏观数据!$F$107:$TN$107,1,G58-COLUMN(宏观数据!$F$107)+1))</f>
        <v>60.5</v>
      </c>
    </row>
    <row r="60" ht="15" customHeight="1" spans="1:7">
      <c r="A60" t="s">
        <v>644</v>
      </c>
      <c r="B60">
        <f ca="1">IFERROR(IF(C60&lt;=COLUMN(宏观数据!$F$28),-1,LOOKUP(2,1/(OFFSET(宏观数据!$F$28,0,0,1,C60-COLUMN(宏观数据!$F$28))&lt;&gt;""),COLUMN(OFFSET(宏观数据!$F$28,0,0,1,C60-COLUMN(宏观数据!$F$28))))),-1)</f>
        <v>371</v>
      </c>
      <c r="C60">
        <f ca="1">IFERROR(IF(D60&lt;=COLUMN(宏观数据!$F$28),-1,LOOKUP(2,1/(OFFSET(宏观数据!$F$28,0,0,1,D60-COLUMN(宏观数据!$F$28))&lt;&gt;""),COLUMN(OFFSET(宏观数据!$F$28,0,0,1,D60-COLUMN(宏观数据!$F$28))))),-1)</f>
        <v>402</v>
      </c>
      <c r="D60">
        <f ca="1">IFERROR(IF(E60&lt;=COLUMN(宏观数据!$F$28),-1,LOOKUP(2,1/(OFFSET(宏观数据!$F$28,0,0,1,E60-COLUMN(宏观数据!$F$28))&lt;&gt;""),COLUMN(OFFSET(宏观数据!$F$28,0,0,1,E60-COLUMN(宏观数据!$F$28))))),-1)</f>
        <v>430</v>
      </c>
      <c r="E60">
        <f ca="1">IFERROR(IF(F60&lt;=COLUMN(宏观数据!$F$28),-1,LOOKUP(2,1/(OFFSET(宏观数据!$F$28,0,0,1,F60-COLUMN(宏观数据!$F$28))&lt;&gt;""),COLUMN(OFFSET(宏观数据!$F$28,0,0,1,F60-COLUMN(宏观数据!$F$28))))),-1)</f>
        <v>461</v>
      </c>
      <c r="F60">
        <f ca="1">IFERROR(IF(G60&lt;=COLUMN(宏观数据!$F$28),-1,LOOKUP(2,1/(OFFSET(宏观数据!$F$28,0,0,1,G60-COLUMN(宏观数据!$F$28))&lt;&gt;""),COLUMN(OFFSET(宏观数据!$F$28,0,0,1,G60-COLUMN(宏观数据!$F$28))))),-1)</f>
        <v>491</v>
      </c>
      <c r="G60">
        <f>IFERROR(LOOKUP(2,1/(宏观数据!$F$28:$TN$28&lt;&gt;""),COLUMN(宏观数据!$F$28:$TN$28)),-1)</f>
        <v>522</v>
      </c>
    </row>
    <row r="61" ht="15" customHeight="1" spans="1:7">
      <c r="A61" t="s">
        <v>645</v>
      </c>
      <c r="B61" s="2">
        <f ca="1">IF(B60=-1,NA(),INDEX(宏观数据!$F$28:$TN$28,1,B60-COLUMN(宏观数据!$F$28)+1))</f>
        <v>71</v>
      </c>
      <c r="C61" s="2">
        <f ca="1">IF(C60=-1,NA(),INDEX(宏观数据!$F$28:$TN$28,1,C60-COLUMN(宏观数据!$F$28)+1))</f>
        <v>-79</v>
      </c>
      <c r="D61" s="2">
        <f ca="1">IF(D60=-1,NA(),INDEX(宏观数据!$F$28:$TN$28,1,D60-COLUMN(宏观数据!$F$28)+1))</f>
        <v>0</v>
      </c>
      <c r="E61" s="2">
        <f ca="1">IF(E60=-1,NA(),INDEX(宏观数据!$F$28:$TN$28,1,E60-COLUMN(宏观数据!$F$28)+1))</f>
        <v>8</v>
      </c>
      <c r="F61" s="2">
        <f ca="1">IF(F60=-1,NA(),INDEX(宏观数据!$F$28:$TN$28,1,F60-COLUMN(宏观数据!$F$28)+1))</f>
        <v>-7</v>
      </c>
      <c r="G61" s="2">
        <f>IF(G60=-1,NA(),INDEX(宏观数据!$F$28:$TN$28,1,G60-COLUMN(宏观数据!$F$28)+1))</f>
        <v>9</v>
      </c>
    </row>
    <row r="62" ht="15" customHeight="1" spans="1:7">
      <c r="A62" t="s">
        <v>646</v>
      </c>
      <c r="B62">
        <f ca="1">IFERROR(IF(C62&lt;=COLUMN(宏观数据!$F$29),-1,LOOKUP(2,1/(OFFSET(宏观数据!$F$29,0,0,1,C62-COLUMN(宏观数据!$F$29))&lt;&gt;""),COLUMN(OFFSET(宏观数据!$F$29,0,0,1,C62-COLUMN(宏观数据!$F$29))))),-1)</f>
        <v>371</v>
      </c>
      <c r="C62">
        <f ca="1">IFERROR(IF(D62&lt;=COLUMN(宏观数据!$F$29),-1,LOOKUP(2,1/(OFFSET(宏观数据!$F$29,0,0,1,D62-COLUMN(宏观数据!$F$29))&lt;&gt;""),COLUMN(OFFSET(宏观数据!$F$29,0,0,1,D62-COLUMN(宏观数据!$F$29))))),-1)</f>
        <v>402</v>
      </c>
      <c r="D62">
        <f ca="1">IFERROR(IF(E62&lt;=COLUMN(宏观数据!$F$29),-1,LOOKUP(2,1/(OFFSET(宏观数据!$F$29,0,0,1,E62-COLUMN(宏观数据!$F$29))&lt;&gt;""),COLUMN(OFFSET(宏观数据!$F$29,0,0,1,E62-COLUMN(宏观数据!$F$29))))),-1)</f>
        <v>430</v>
      </c>
      <c r="E62">
        <f ca="1">IFERROR(IF(F62&lt;=COLUMN(宏观数据!$F$29),-1,LOOKUP(2,1/(OFFSET(宏观数据!$F$29,0,0,1,F62-COLUMN(宏观数据!$F$29))&lt;&gt;""),COLUMN(OFFSET(宏观数据!$F$29,0,0,1,F62-COLUMN(宏观数据!$F$29))))),-1)</f>
        <v>461</v>
      </c>
      <c r="F62">
        <f ca="1">IFERROR(IF(G62&lt;=COLUMN(宏观数据!$F$29),-1,LOOKUP(2,1/(OFFSET(宏观数据!$F$29,0,0,1,G62-COLUMN(宏观数据!$F$29))&lt;&gt;""),COLUMN(OFFSET(宏观数据!$F$29,0,0,1,G62-COLUMN(宏观数据!$F$29))))),-1)</f>
        <v>491</v>
      </c>
      <c r="G62">
        <f>IFERROR(LOOKUP(2,1/(宏观数据!$F$29:$TN$29&lt;&gt;""),COLUMN(宏观数据!$F$29:$TN$29)),-1)</f>
        <v>522</v>
      </c>
    </row>
    <row r="63" ht="15" customHeight="1" spans="1:7">
      <c r="A63" t="s">
        <v>647</v>
      </c>
      <c r="B63" s="2">
        <f ca="1">IF(B62=-1,NA(),INDEX(宏观数据!$F$29:$TN$29,1,B62-COLUMN(宏观数据!$F$29)+1))</f>
        <v>1000</v>
      </c>
      <c r="C63" s="2">
        <f ca="1">IF(C62=-1,NA(),INDEX(宏观数据!$F$29:$TN$29,1,C62-COLUMN(宏观数据!$F$29)+1))</f>
        <v>7000</v>
      </c>
      <c r="D63" s="2">
        <f ca="1">IF(D62=-1,NA(),INDEX(宏观数据!$F$29:$TN$29,1,D62-COLUMN(宏观数据!$F$29)+1))</f>
        <v>3000</v>
      </c>
      <c r="E63" s="2">
        <f ca="1">IF(E62=-1,NA(),INDEX(宏观数据!$F$29:$TN$29,1,E62-COLUMN(宏观数据!$F$29)+1))</f>
        <v>500</v>
      </c>
      <c r="F63" s="2">
        <f ca="1">IF(F62=-1,NA(),INDEX(宏观数据!$F$29:$TN$29,1,F62-COLUMN(宏观数据!$F$29)+1))</f>
        <v>-2000</v>
      </c>
      <c r="G63" s="2">
        <f>IF(G62=-1,NA(),INDEX(宏观数据!$F$29:$TN$29,1,G62-COLUMN(宏观数据!$F$29)+1))</f>
        <v>1000</v>
      </c>
    </row>
    <row r="64" ht="15" customHeight="1" spans="1:7">
      <c r="A64" t="s">
        <v>648</v>
      </c>
      <c r="B64">
        <f ca="1">IFERROR(IF(C64&lt;=COLUMN(宏观数据!$F$30),-1,LOOKUP(2,1/(OFFSET(宏观数据!$F$30,0,0,1,C64-COLUMN(宏观数据!$F$30))&lt;&gt;""),COLUMN(OFFSET(宏观数据!$F$30,0,0,1,C64-COLUMN(宏观数据!$F$30))))),-1)</f>
        <v>371</v>
      </c>
      <c r="C64">
        <f ca="1">IFERROR(IF(D64&lt;=COLUMN(宏观数据!$F$30),-1,LOOKUP(2,1/(OFFSET(宏观数据!$F$30,0,0,1,D64-COLUMN(宏观数据!$F$30))&lt;&gt;""),COLUMN(OFFSET(宏观数据!$F$30,0,0,1,D64-COLUMN(宏观数据!$F$30))))),-1)</f>
        <v>402</v>
      </c>
      <c r="D64">
        <f ca="1">IFERROR(IF(E64&lt;=COLUMN(宏观数据!$F$30),-1,LOOKUP(2,1/(OFFSET(宏观数据!$F$30,0,0,1,E64-COLUMN(宏观数据!$F$30))&lt;&gt;""),COLUMN(OFFSET(宏观数据!$F$30,0,0,1,E64-COLUMN(宏观数据!$F$30))))),-1)</f>
        <v>430</v>
      </c>
      <c r="E64">
        <f ca="1">IFERROR(IF(F64&lt;=COLUMN(宏观数据!$F$30),-1,LOOKUP(2,1/(OFFSET(宏观数据!$F$30,0,0,1,F64-COLUMN(宏观数据!$F$30))&lt;&gt;""),COLUMN(OFFSET(宏观数据!$F$30,0,0,1,F64-COLUMN(宏观数据!$F$30))))),-1)</f>
        <v>461</v>
      </c>
      <c r="F64">
        <f ca="1">IFERROR(IF(G64&lt;=COLUMN(宏观数据!$F$30),-1,LOOKUP(2,1/(OFFSET(宏观数据!$F$30,0,0,1,G64-COLUMN(宏观数据!$F$30))&lt;&gt;""),COLUMN(OFFSET(宏观数据!$F$30,0,0,1,G64-COLUMN(宏观数据!$F$30))))),-1)</f>
        <v>491</v>
      </c>
      <c r="G64">
        <f>IFERROR(LOOKUP(2,1/(宏观数据!$F$30:$TN$30&lt;&gt;""),COLUMN(宏观数据!$F$30:$TN$30)),-1)</f>
        <v>522</v>
      </c>
    </row>
    <row r="65" ht="15" customHeight="1" spans="1:61">
      <c r="A65" t="s">
        <v>649</v>
      </c>
      <c r="B65" s="2">
        <f ca="1">IF(B64=-1,NA(),INDEX(宏观数据!$F$30:$TN$30,1,B64-COLUMN(宏观数据!$F$30)+1))</f>
        <v>-56</v>
      </c>
      <c r="C65" s="2">
        <f ca="1">IF(C64=-1,NA(),INDEX(宏观数据!$F$30:$TN$30,1,C64-COLUMN(宏观数据!$F$30)+1))</f>
        <v>1744</v>
      </c>
      <c r="D65" s="2">
        <f ca="1">IF(D64=-1,NA(),INDEX(宏观数据!$F$30:$TN$30,1,D64-COLUMN(宏观数据!$F$30)+1))</f>
        <v>0</v>
      </c>
      <c r="E65" s="2">
        <f ca="1">IF(E64=-1,NA(),INDEX(宏观数据!$F$30:$TN$30,1,E64-COLUMN(宏观数据!$F$30)+1))</f>
        <v>0</v>
      </c>
      <c r="F65" s="2">
        <f ca="1">IF(F64=-1,NA(),INDEX(宏观数据!$F$30:$TN$30,1,F64-COLUMN(宏观数据!$F$30)+1))</f>
        <v>-2000</v>
      </c>
      <c r="G65" s="2">
        <f>IF(G64=-1,NA(),INDEX(宏观数据!$F$30:$TN$30,1,G64-COLUMN(宏观数据!$F$30)+1))</f>
        <v>-1545</v>
      </c>
    </row>
    <row r="66" ht="16.5" customHeight="1" spans="1:61">
      <c r="A66" s="1" t="s">
        <v>650</v>
      </c>
      <c r="B66">
        <f ca="1">IFERROR(IF(C66&lt;=COLUMN(宏观数据!$F$31),-1,LOOKUP(2,1/(OFFSET(宏观数据!$F$31,0,0,1,C66-COLUMN(宏观数据!$F$31))&lt;&gt;""),COLUMN(OFFSET(宏观数据!$F$31,0,0,1,C66-COLUMN(宏观数据!$F$31))))),-1)</f>
        <v>371</v>
      </c>
      <c r="C66">
        <f ca="1">IFERROR(IF(D66&lt;=COLUMN(宏观数据!$F$31),-1,LOOKUP(2,1/(OFFSET(宏观数据!$F$31,0,0,1,D66-COLUMN(宏观数据!$F$31))&lt;&gt;""),COLUMN(OFFSET(宏观数据!$F$31,0,0,1,D66-COLUMN(宏观数据!$F$31))))),-1)</f>
        <v>402</v>
      </c>
      <c r="D66">
        <f ca="1">IFERROR(IF(E66&lt;=COLUMN(宏观数据!$F$31),-1,LOOKUP(2,1/(OFFSET(宏观数据!$F$31,0,0,1,E66-COLUMN(宏观数据!$F$31))&lt;&gt;""),COLUMN(OFFSET(宏观数据!$F$31,0,0,1,E66-COLUMN(宏观数据!$F$31))))),-1)</f>
        <v>430</v>
      </c>
      <c r="E66">
        <f ca="1">IFERROR(IF(F66&lt;=COLUMN(宏观数据!$F$31),-1,LOOKUP(2,1/(OFFSET(宏观数据!$F$31,0,0,1,F66-COLUMN(宏观数据!$F$31))&lt;&gt;""),COLUMN(OFFSET(宏观数据!$F$31,0,0,1,F66-COLUMN(宏观数据!$F$31))))),-1)</f>
        <v>461</v>
      </c>
      <c r="F66">
        <f ca="1">IFERROR(IF(G66&lt;=COLUMN(宏观数据!$F$31),-1,LOOKUP(2,1/(OFFSET(宏观数据!$F$31,0,0,1,G66-COLUMN(宏观数据!$F$31))&lt;&gt;""),COLUMN(OFFSET(宏观数据!$F$31,0,0,1,G66-COLUMN(宏观数据!$F$31))))),-1)</f>
        <v>491</v>
      </c>
      <c r="G66">
        <f>IFERROR(LOOKUP(2,1/(宏观数据!$F$31:$TN$31&lt;&gt;""),COLUMN(宏观数据!$F$31:$TN$31)),-1)</f>
        <v>522</v>
      </c>
    </row>
    <row r="67" ht="15" customHeight="1" spans="1:61">
      <c r="A67" s="1" t="s">
        <v>651</v>
      </c>
      <c r="B67" s="2">
        <f ca="1">IF(B66=-1,NA(),INDEX(宏观数据!$F$31:$TN$31,1,B66-COLUMN(宏观数据!$F$31)+1))</f>
        <v>1594</v>
      </c>
      <c r="C67" s="2">
        <f ca="1">IF(C66=-1,NA(),INDEX(宏观数据!$F$31:$TN$31,1,C66-COLUMN(宏观数据!$F$31)+1))</f>
        <v>641</v>
      </c>
      <c r="D67" s="2">
        <f ca="1">IF(D66=-1,NA(),INDEX(宏观数据!$F$31:$TN$31,1,D66-COLUMN(宏观数据!$F$31)+1))</f>
        <v>-76</v>
      </c>
      <c r="E67" s="2">
        <f ca="1">IF(E66=-1,NA(),INDEX(宏观数据!$F$31:$TN$31,1,E66-COLUMN(宏观数据!$F$31)+1))</f>
        <v>1728</v>
      </c>
      <c r="F67" s="2">
        <f ca="1">IF(F66=-1,NA(),INDEX(宏观数据!$F$31:$TN$31,1,F66-COLUMN(宏观数据!$F$31)+1))</f>
        <v>3667</v>
      </c>
      <c r="G67" s="2">
        <f>IF(G66=-1,NA(),INDEX(宏观数据!$F$31:$TN$31,1,G66-COLUMN(宏观数据!$F$31)+1))</f>
        <v>1129</v>
      </c>
    </row>
    <row r="68" ht="16.5" customHeight="1" spans="1:61">
      <c r="A68" s="1" t="s">
        <v>652</v>
      </c>
      <c r="B68">
        <f ca="1">IFERROR(IF(C68&lt;=COLUMN(宏观数据!$F$32),-1,LOOKUP(2,1/(OFFSET(宏观数据!$F$32,0,0,1,C68-COLUMN(宏观数据!$F$32))&lt;&gt;""),COLUMN(OFFSET(宏观数据!$F$32,0,0,1,C68-COLUMN(宏观数据!$F$32))))),-1)</f>
        <v>-1</v>
      </c>
      <c r="C68">
        <f ca="1">IFERROR(IF(D68&lt;=COLUMN(宏观数据!$F$32),-1,LOOKUP(2,1/(OFFSET(宏观数据!$F$32,0,0,1,D68-COLUMN(宏观数据!$F$32))&lt;&gt;""),COLUMN(OFFSET(宏观数据!$F$32,0,0,1,D68-COLUMN(宏观数据!$F$32))))),-1)</f>
        <v>-1</v>
      </c>
      <c r="D68">
        <f ca="1">IFERROR(IF(E68&lt;=COLUMN(宏观数据!$F$32),-1,LOOKUP(2,1/(OFFSET(宏观数据!$F$32,0,0,1,E68-COLUMN(宏观数据!$F$32))&lt;&gt;""),COLUMN(OFFSET(宏观数据!$F$32,0,0,1,E68-COLUMN(宏观数据!$F$32))))),-1)</f>
        <v>-1</v>
      </c>
      <c r="E68">
        <f ca="1">IFERROR(IF(F68&lt;=COLUMN(宏观数据!$F$32),-1,LOOKUP(2,1/(OFFSET(宏观数据!$F$32,0,0,1,F68-COLUMN(宏观数据!$F$32))&lt;&gt;""),COLUMN(OFFSET(宏观数据!$F$32,0,0,1,F68-COLUMN(宏观数据!$F$32))))),-1)</f>
        <v>-1</v>
      </c>
      <c r="F68">
        <f ca="1">IFERROR(IF(G68&lt;=COLUMN(宏观数据!$F$32),-1,LOOKUP(2,1/(OFFSET(宏观数据!$F$32,0,0,1,G68-COLUMN(宏观数据!$F$32))&lt;&gt;""),COLUMN(OFFSET(宏观数据!$F$32,0,0,1,G68-COLUMN(宏观数据!$F$32))))),-1)</f>
        <v>-1</v>
      </c>
      <c r="G68">
        <f>IFERROR(LOOKUP(2,1/(宏观数据!$F$32:$TN$32&lt;&gt;""),COLUMN(宏观数据!$F$32:$TN$32)),-1)</f>
        <v>157</v>
      </c>
    </row>
    <row r="69" ht="15" customHeight="1" spans="1:61">
      <c r="A69" s="1" t="s">
        <v>653</v>
      </c>
      <c r="B69" t="e">
        <f ca="1">IF(B68=-1,NA(),INDEX(宏观数据!$F$32:$TN$32,1,B68-COLUMN(宏观数据!$F$32)+1))</f>
        <v>#N/A</v>
      </c>
      <c r="C69" t="e">
        <f ca="1">IF(C68=-1,NA(),INDEX(宏观数据!$F$32:$TN$32,1,C68-COLUMN(宏观数据!$F$32)+1))</f>
        <v>#N/A</v>
      </c>
      <c r="D69" t="e">
        <f ca="1">IF(D68=-1,NA(),INDEX(宏观数据!$F$32:$TN$32,1,D68-COLUMN(宏观数据!$F$32)+1))</f>
        <v>#N/A</v>
      </c>
      <c r="E69" t="e">
        <f ca="1">IF(E68=-1,NA(),INDEX(宏观数据!$F$32:$TN$32,1,E68-COLUMN(宏观数据!$F$32)+1))</f>
        <v>#N/A</v>
      </c>
      <c r="F69" t="e">
        <f ca="1">IF(F68=-1,NA(),INDEX(宏观数据!$F$32:$TN$32,1,F68-COLUMN(宏观数据!$F$32)+1))</f>
        <v>#N/A</v>
      </c>
      <c r="G69" s="2">
        <f>IF(G68=-1,NA(),INDEX(宏观数据!$F$32:$TN$32,1,G68-COLUMN(宏观数据!$F$32)+1))</f>
        <v>10000</v>
      </c>
    </row>
    <row r="70" ht="15" customHeight="1" spans="1:61">
      <c r="A70" s="1" t="s">
        <v>654</v>
      </c>
      <c r="B70">
        <f ca="1" t="shared" ref="B70:G70" si="2">IF(IF(ISNA(B61),0,1)+IF(ISNA(B63),0,1)+IF(ISNA(B65),0,1)+IF(ISNA(B67),0,1)+IF(ISNA(B69),0,1)=0,NA(),IFERROR(B61,0)+IFERROR(B63,0)+IFERROR(B65,0)+IFERROR(B67,0)+IFERROR(B69,0))</f>
        <v>2609</v>
      </c>
      <c r="C70">
        <f ca="1" t="shared" si="2"/>
        <v>9306</v>
      </c>
      <c r="D70">
        <f ca="1" t="shared" si="2"/>
        <v>2924</v>
      </c>
      <c r="E70">
        <f ca="1" t="shared" si="2"/>
        <v>2236</v>
      </c>
      <c r="F70">
        <f ca="1" t="shared" si="2"/>
        <v>-340</v>
      </c>
      <c r="G70">
        <f t="shared" si="2"/>
        <v>10593</v>
      </c>
    </row>
    <row r="71" ht="16.5" customHeight="1" spans="1:61">
      <c r="A71" t="s">
        <v>353</v>
      </c>
      <c r="B71" s="2">
        <f>IF(ISERROR(INDEX(宏观数据!$F$113:$TN$113,1,LOOKUP(2,1/(宏观数据!$F$113:$TN$113&lt;&gt;""),COLUMN(宏观数据!$F$113:$TN$113))-COLUMN(宏观数据!$F$113)+1-60+1)),NA(),IF(INDEX(宏观数据!$F$113:$TN$113,1,LOOKUP(2,1/(宏观数据!$F$113:$TN$113&lt;&gt;""),COLUMN(宏观数据!$F$113:$TN$113))-COLUMN(宏观数据!$F$113)+1-60+1)=0,NA(),INDEX(宏观数据!$F$113:$TN$113,1,LOOKUP(2,1/(宏观数据!$F$113:$TN$113&lt;&gt;""),COLUMN(宏观数据!$F$113:$TN$113))-COLUMN(宏观数据!$F$113)+1-60+1)))</f>
        <v>0.306</v>
      </c>
      <c r="C71" s="2">
        <f>IF(ISERROR(INDEX(宏观数据!$F$113:$TN$113,1,LOOKUP(2,1/(宏观数据!$F$113:$TN$113&lt;&gt;""),COLUMN(宏观数据!$F$113:$TN$113))-COLUMN(宏观数据!$F$113)+1-60+2)),NA(),IF(INDEX(宏观数据!$F$113:$TN$113,1,LOOKUP(2,1/(宏观数据!$F$113:$TN$113&lt;&gt;""),COLUMN(宏观数据!$F$113:$TN$113))-COLUMN(宏观数据!$F$113)+1-60+2)=0,NA(),INDEX(宏观数据!$F$113:$TN$113,1,LOOKUP(2,1/(宏观数据!$F$113:$TN$113&lt;&gt;""),COLUMN(宏观数据!$F$113:$TN$113))-COLUMN(宏观数据!$F$113)+1-60+2)))</f>
        <v>0.223</v>
      </c>
      <c r="D71" s="2">
        <f>IF(ISERROR(INDEX(宏观数据!$F$113:$TN$113,1,LOOKUP(2,1/(宏观数据!$F$113:$TN$113&lt;&gt;""),COLUMN(宏观数据!$F$113:$TN$113))-COLUMN(宏观数据!$F$113)+1-60+3)),NA(),IF(INDEX(宏观数据!$F$113:$TN$113,1,LOOKUP(2,1/(宏观数据!$F$113:$TN$113&lt;&gt;""),COLUMN(宏观数据!$F$113:$TN$113))-COLUMN(宏观数据!$F$113)+1-60+3)=0,NA(),INDEX(宏观数据!$F$113:$TN$113,1,LOOKUP(2,1/(宏观数据!$F$113:$TN$113&lt;&gt;""),COLUMN(宏观数据!$F$113:$TN$113))-COLUMN(宏观数据!$F$113)+1-60+3)))</f>
        <v>0.158</v>
      </c>
      <c r="E71" s="2">
        <f>IF(ISERROR(INDEX(宏观数据!$F$113:$TN$113,1,LOOKUP(2,1/(宏观数据!$F$113:$TN$113&lt;&gt;""),COLUMN(宏观数据!$F$113:$TN$113))-COLUMN(宏观数据!$F$113)+1-60+4)),NA(),IF(INDEX(宏观数据!$F$113:$TN$113,1,LOOKUP(2,1/(宏观数据!$F$113:$TN$113&lt;&gt;""),COLUMN(宏观数据!$F$113:$TN$113))-COLUMN(宏观数据!$F$113)+1-60+4)=0,NA(),INDEX(宏观数据!$F$113:$TN$113,1,LOOKUP(2,1/(宏观数据!$F$113:$TN$113&lt;&gt;""),COLUMN(宏观数据!$F$113:$TN$113))-COLUMN(宏观数据!$F$113)+1-60+4)))</f>
        <v>0.137</v>
      </c>
      <c r="F71" s="2" t="e">
        <f>IF(ISERROR(INDEX(宏观数据!$F$113:$TN$113,1,LOOKUP(2,1/(宏观数据!$F$113:$TN$113&lt;&gt;""),COLUMN(宏观数据!$F$113:$TN$113))-COLUMN(宏观数据!$F$113)+1-60+5)),NA(),IF(INDEX(宏观数据!$F$113:$TN$113,1,LOOKUP(2,1/(宏观数据!$F$113:$TN$113&lt;&gt;""),COLUMN(宏观数据!$F$113:$TN$113))-COLUMN(宏观数据!$F$113)+1-60+5)=0,NA(),INDEX(宏观数据!$F$113:$TN$113,1,LOOKUP(2,1/(宏观数据!$F$113:$TN$113&lt;&gt;""),COLUMN(宏观数据!$F$113:$TN$113))-COLUMN(宏观数据!$F$113)+1-60+5)))</f>
        <v>#N/A</v>
      </c>
      <c r="G71" s="2" t="e">
        <f>IF(ISERROR(INDEX(宏观数据!$F$113:$TN$113,1,LOOKUP(2,1/(宏观数据!$F$113:$TN$113&lt;&gt;""),COLUMN(宏观数据!$F$113:$TN$113))-COLUMN(宏观数据!$F$113)+1-60+6)),NA(),IF(INDEX(宏观数据!$F$113:$TN$113,1,LOOKUP(2,1/(宏观数据!$F$113:$TN$113&lt;&gt;""),COLUMN(宏观数据!$F$113:$TN$113))-COLUMN(宏观数据!$F$113)+1-60+6)=0,NA(),INDEX(宏观数据!$F$113:$TN$113,1,LOOKUP(2,1/(宏观数据!$F$113:$TN$113&lt;&gt;""),COLUMN(宏观数据!$F$113:$TN$113))-COLUMN(宏观数据!$F$113)+1-60+6)))</f>
        <v>#N/A</v>
      </c>
      <c r="H71" s="2">
        <f>IF(ISERROR(INDEX(宏观数据!$F$113:$TN$113,1,LOOKUP(2,1/(宏观数据!$F$113:$TN$113&lt;&gt;""),COLUMN(宏观数据!$F$113:$TN$113))-COLUMN(宏观数据!$F$113)+1-60+7)),NA(),IF(INDEX(宏观数据!$F$113:$TN$113,1,LOOKUP(2,1/(宏观数据!$F$113:$TN$113&lt;&gt;""),COLUMN(宏观数据!$F$113:$TN$113))-COLUMN(宏观数据!$F$113)+1-60+7)=0,NA(),INDEX(宏观数据!$F$113:$TN$113,1,LOOKUP(2,1/(宏观数据!$F$113:$TN$113&lt;&gt;""),COLUMN(宏观数据!$F$113:$TN$113))-COLUMN(宏观数据!$F$113)+1-60+7)))</f>
        <v>0.503</v>
      </c>
      <c r="I71" s="2">
        <f>IF(ISERROR(INDEX(宏观数据!$F$113:$TN$113,1,LOOKUP(2,1/(宏观数据!$F$113:$TN$113&lt;&gt;""),COLUMN(宏观数据!$F$113:$TN$113))-COLUMN(宏观数据!$F$113)+1-60+8)),NA(),IF(INDEX(宏观数据!$F$113:$TN$113,1,LOOKUP(2,1/(宏观数据!$F$113:$TN$113&lt;&gt;""),COLUMN(宏观数据!$F$113:$TN$113))-COLUMN(宏观数据!$F$113)+1-60+8)=0,NA(),INDEX(宏观数据!$F$113:$TN$113,1,LOOKUP(2,1/(宏观数据!$F$113:$TN$113&lt;&gt;""),COLUMN(宏观数据!$F$113:$TN$113))-COLUMN(宏观数据!$F$113)+1-60+8)))</f>
        <v>0.807</v>
      </c>
      <c r="J71" s="2">
        <f>IF(ISERROR(INDEX(宏观数据!$F$113:$TN$113,1,LOOKUP(2,1/(宏观数据!$F$113:$TN$113&lt;&gt;""),COLUMN(宏观数据!$F$113:$TN$113))-COLUMN(宏观数据!$F$113)+1-60+9)),NA(),IF(INDEX(宏观数据!$F$113:$TN$113,1,LOOKUP(2,1/(宏观数据!$F$113:$TN$113&lt;&gt;""),COLUMN(宏观数据!$F$113:$TN$113))-COLUMN(宏观数据!$F$113)+1-60+9)=0,NA(),INDEX(宏观数据!$F$113:$TN$113,1,LOOKUP(2,1/(宏观数据!$F$113:$TN$113&lt;&gt;""),COLUMN(宏观数据!$F$113:$TN$113))-COLUMN(宏观数据!$F$113)+1-60+9)))</f>
        <v>0.538</v>
      </c>
      <c r="K71" s="2">
        <f>IF(ISERROR(INDEX(宏观数据!$F$113:$TN$113,1,LOOKUP(2,1/(宏观数据!$F$113:$TN$113&lt;&gt;""),COLUMN(宏观数据!$F$113:$TN$113))-COLUMN(宏观数据!$F$113)+1-60+10)),NA(),IF(INDEX(宏观数据!$F$113:$TN$113,1,LOOKUP(2,1/(宏观数据!$F$113:$TN$113&lt;&gt;""),COLUMN(宏观数据!$F$113:$TN$113))-COLUMN(宏观数据!$F$113)+1-60+10)=0,NA(),INDEX(宏观数据!$F$113:$TN$113,1,LOOKUP(2,1/(宏观数据!$F$113:$TN$113&lt;&gt;""),COLUMN(宏观数据!$F$113:$TN$113))-COLUMN(宏观数据!$F$113)+1-60+10)))</f>
        <v>0.114</v>
      </c>
      <c r="L71" s="2">
        <f>IF(ISERROR(INDEX(宏观数据!$F$113:$TN$113,1,LOOKUP(2,1/(宏观数据!$F$113:$TN$113&lt;&gt;""),COLUMN(宏观数据!$F$113:$TN$113))-COLUMN(宏观数据!$F$113)+1-60+11)),NA(),IF(INDEX(宏观数据!$F$113:$TN$113,1,LOOKUP(2,1/(宏观数据!$F$113:$TN$113&lt;&gt;""),COLUMN(宏观数据!$F$113:$TN$113))-COLUMN(宏观数据!$F$113)+1-60+11)=0,NA(),INDEX(宏观数据!$F$113:$TN$113,1,LOOKUP(2,1/(宏观数据!$F$113:$TN$113&lt;&gt;""),COLUMN(宏观数据!$F$113:$TN$113))-COLUMN(宏观数据!$F$113)+1-60+11)))</f>
        <v>0.082</v>
      </c>
      <c r="M71" s="2" t="e">
        <f>IF(ISERROR(INDEX(宏观数据!$F$113:$TN$113,1,LOOKUP(2,1/(宏观数据!$F$113:$TN$113&lt;&gt;""),COLUMN(宏观数据!$F$113:$TN$113))-COLUMN(宏观数据!$F$113)+1-60+12)),NA(),IF(INDEX(宏观数据!$F$113:$TN$113,1,LOOKUP(2,1/(宏观数据!$F$113:$TN$113&lt;&gt;""),COLUMN(宏观数据!$F$113:$TN$113))-COLUMN(宏观数据!$F$113)+1-60+12)=0,NA(),INDEX(宏观数据!$F$113:$TN$113,1,LOOKUP(2,1/(宏观数据!$F$113:$TN$113&lt;&gt;""),COLUMN(宏观数据!$F$113:$TN$113))-COLUMN(宏观数据!$F$113)+1-60+12)))</f>
        <v>#N/A</v>
      </c>
      <c r="N71" s="2" t="e">
        <f>IF(ISERROR(INDEX(宏观数据!$F$113:$TN$113,1,LOOKUP(2,1/(宏观数据!$F$113:$TN$113&lt;&gt;""),COLUMN(宏观数据!$F$113:$TN$113))-COLUMN(宏观数据!$F$113)+1-60+13)),NA(),IF(INDEX(宏观数据!$F$113:$TN$113,1,LOOKUP(2,1/(宏观数据!$F$113:$TN$113&lt;&gt;""),COLUMN(宏观数据!$F$113:$TN$113))-COLUMN(宏观数据!$F$113)+1-60+13)=0,NA(),INDEX(宏观数据!$F$113:$TN$113,1,LOOKUP(2,1/(宏观数据!$F$113:$TN$113&lt;&gt;""),COLUMN(宏观数据!$F$113:$TN$113))-COLUMN(宏观数据!$F$113)+1-60+13)))</f>
        <v>#N/A</v>
      </c>
      <c r="O71" s="2">
        <f>IF(ISERROR(INDEX(宏观数据!$F$113:$TN$113,1,LOOKUP(2,1/(宏观数据!$F$113:$TN$113&lt;&gt;""),COLUMN(宏观数据!$F$113:$TN$113))-COLUMN(宏观数据!$F$113)+1-60+14)),NA(),IF(INDEX(宏观数据!$F$113:$TN$113,1,LOOKUP(2,1/(宏观数据!$F$113:$TN$113&lt;&gt;""),COLUMN(宏观数据!$F$113:$TN$113))-COLUMN(宏观数据!$F$113)+1-60+14)=0,NA(),INDEX(宏观数据!$F$113:$TN$113,1,LOOKUP(2,1/(宏观数据!$F$113:$TN$113&lt;&gt;""),COLUMN(宏观数据!$F$113:$TN$113))-COLUMN(宏观数据!$F$113)+1-60+14)))</f>
        <v>0.363</v>
      </c>
      <c r="P71" s="2">
        <f>IF(ISERROR(INDEX(宏观数据!$F$113:$TN$113,1,LOOKUP(2,1/(宏观数据!$F$113:$TN$113&lt;&gt;""),COLUMN(宏观数据!$F$113:$TN$113))-COLUMN(宏观数据!$F$113)+1-60+15)),NA(),IF(INDEX(宏观数据!$F$113:$TN$113,1,LOOKUP(2,1/(宏观数据!$F$113:$TN$113&lt;&gt;""),COLUMN(宏观数据!$F$113:$TN$113))-COLUMN(宏观数据!$F$113)+1-60+15)=0,NA(),INDEX(宏观数据!$F$113:$TN$113,1,LOOKUP(2,1/(宏观数据!$F$113:$TN$113&lt;&gt;""),COLUMN(宏观数据!$F$113:$TN$113))-COLUMN(宏观数据!$F$113)+1-60+15)))</f>
        <v>0.643</v>
      </c>
      <c r="Q71" s="2">
        <f>IF(ISERROR(INDEX(宏观数据!$F$113:$TN$113,1,LOOKUP(2,1/(宏观数据!$F$113:$TN$113&lt;&gt;""),COLUMN(宏观数据!$F$113:$TN$113))-COLUMN(宏观数据!$F$113)+1-60+16)),NA(),IF(INDEX(宏观数据!$F$113:$TN$113,1,LOOKUP(2,1/(宏观数据!$F$113:$TN$113&lt;&gt;""),COLUMN(宏观数据!$F$113:$TN$113))-COLUMN(宏观数据!$F$113)+1-60+16)=0,NA(),INDEX(宏观数据!$F$113:$TN$113,1,LOOKUP(2,1/(宏观数据!$F$113:$TN$113&lt;&gt;""),COLUMN(宏观数据!$F$113:$TN$113))-COLUMN(宏观数据!$F$113)+1-60+16)))</f>
        <v>0.747</v>
      </c>
      <c r="R71" s="2">
        <f>IF(ISERROR(INDEX(宏观数据!$F$113:$TN$113,1,LOOKUP(2,1/(宏观数据!$F$113:$TN$113&lt;&gt;""),COLUMN(宏观数据!$F$113:$TN$113))-COLUMN(宏观数据!$F$113)+1-60+17)),NA(),IF(INDEX(宏观数据!$F$113:$TN$113,1,LOOKUP(2,1/(宏观数据!$F$113:$TN$113&lt;&gt;""),COLUMN(宏观数据!$F$113:$TN$113))-COLUMN(宏观数据!$F$113)+1-60+17)=0,NA(),INDEX(宏观数据!$F$113:$TN$113,1,LOOKUP(2,1/(宏观数据!$F$113:$TN$113&lt;&gt;""),COLUMN(宏观数据!$F$113:$TN$113))-COLUMN(宏观数据!$F$113)+1-60+17)))</f>
        <v>8.261</v>
      </c>
      <c r="S71" s="2">
        <f>IF(ISERROR(INDEX(宏观数据!$F$113:$TN$113,1,LOOKUP(2,1/(宏观数据!$F$113:$TN$113&lt;&gt;""),COLUMN(宏观数据!$F$113:$TN$113))-COLUMN(宏观数据!$F$113)+1-60+18)),NA(),IF(INDEX(宏观数据!$F$113:$TN$113,1,LOOKUP(2,1/(宏观数据!$F$113:$TN$113&lt;&gt;""),COLUMN(宏观数据!$F$113:$TN$113))-COLUMN(宏观数据!$F$113)+1-60+18)=0,NA(),INDEX(宏观数据!$F$113:$TN$113,1,LOOKUP(2,1/(宏观数据!$F$113:$TN$113&lt;&gt;""),COLUMN(宏观数据!$F$113:$TN$113))-COLUMN(宏观数据!$F$113)+1-60+18)))</f>
        <v>0.607</v>
      </c>
      <c r="T71" s="2" t="e">
        <f>IF(ISERROR(INDEX(宏观数据!$F$113:$TN$113,1,LOOKUP(2,1/(宏观数据!$F$113:$TN$113&lt;&gt;""),COLUMN(宏观数据!$F$113:$TN$113))-COLUMN(宏观数据!$F$113)+1-60+19)),NA(),IF(INDEX(宏观数据!$F$113:$TN$113,1,LOOKUP(2,1/(宏观数据!$F$113:$TN$113&lt;&gt;""),COLUMN(宏观数据!$F$113:$TN$113))-COLUMN(宏观数据!$F$113)+1-60+19)=0,NA(),INDEX(宏观数据!$F$113:$TN$113,1,LOOKUP(2,1/(宏观数据!$F$113:$TN$113&lt;&gt;""),COLUMN(宏观数据!$F$113:$TN$113))-COLUMN(宏观数据!$F$113)+1-60+19)))</f>
        <v>#N/A</v>
      </c>
      <c r="U71" s="2" t="e">
        <f>IF(ISERROR(INDEX(宏观数据!$F$113:$TN$113,1,LOOKUP(2,1/(宏观数据!$F$113:$TN$113&lt;&gt;""),COLUMN(宏观数据!$F$113:$TN$113))-COLUMN(宏观数据!$F$113)+1-60+20)),NA(),IF(INDEX(宏观数据!$F$113:$TN$113,1,LOOKUP(2,1/(宏观数据!$F$113:$TN$113&lt;&gt;""),COLUMN(宏观数据!$F$113:$TN$113))-COLUMN(宏观数据!$F$113)+1-60+20)=0,NA(),INDEX(宏观数据!$F$113:$TN$113,1,LOOKUP(2,1/(宏观数据!$F$113:$TN$113&lt;&gt;""),COLUMN(宏观数据!$F$113:$TN$113))-COLUMN(宏观数据!$F$113)+1-60+20)))</f>
        <v>#N/A</v>
      </c>
      <c r="V71" s="2">
        <f>IF(ISERROR(INDEX(宏观数据!$F$113:$TN$113,1,LOOKUP(2,1/(宏观数据!$F$113:$TN$113&lt;&gt;""),COLUMN(宏观数据!$F$113:$TN$113))-COLUMN(宏观数据!$F$113)+1-60+21)),NA(),IF(INDEX(宏观数据!$F$113:$TN$113,1,LOOKUP(2,1/(宏观数据!$F$113:$TN$113&lt;&gt;""),COLUMN(宏观数据!$F$113:$TN$113))-COLUMN(宏观数据!$F$113)+1-60+21)=0,NA(),INDEX(宏观数据!$F$113:$TN$113,1,LOOKUP(2,1/(宏观数据!$F$113:$TN$113&lt;&gt;""),COLUMN(宏观数据!$F$113:$TN$113))-COLUMN(宏观数据!$F$113)+1-60+21)))</f>
        <v>0.618</v>
      </c>
      <c r="W71" s="2">
        <f>IF(ISERROR(INDEX(宏观数据!$F$113:$TN$113,1,LOOKUP(2,1/(宏观数据!$F$113:$TN$113&lt;&gt;""),COLUMN(宏观数据!$F$113:$TN$113))-COLUMN(宏观数据!$F$113)+1-60+22)),NA(),IF(INDEX(宏观数据!$F$113:$TN$113,1,LOOKUP(2,1/(宏观数据!$F$113:$TN$113&lt;&gt;""),COLUMN(宏观数据!$F$113:$TN$113))-COLUMN(宏观数据!$F$113)+1-60+22)=0,NA(),INDEX(宏观数据!$F$113:$TN$113,1,LOOKUP(2,1/(宏观数据!$F$113:$TN$113&lt;&gt;""),COLUMN(宏观数据!$F$113:$TN$113))-COLUMN(宏观数据!$F$113)+1-60+22)))</f>
        <v>1.122</v>
      </c>
      <c r="X71" s="2">
        <f>IF(ISERROR(INDEX(宏观数据!$F$113:$TN$113,1,LOOKUP(2,1/(宏观数据!$F$113:$TN$113&lt;&gt;""),COLUMN(宏观数据!$F$113:$TN$113))-COLUMN(宏观数据!$F$113)+1-60+23)),NA(),IF(INDEX(宏观数据!$F$113:$TN$113,1,LOOKUP(2,1/(宏观数据!$F$113:$TN$113&lt;&gt;""),COLUMN(宏观数据!$F$113:$TN$113))-COLUMN(宏观数据!$F$113)+1-60+23)=0,NA(),INDEX(宏观数据!$F$113:$TN$113,1,LOOKUP(2,1/(宏观数据!$F$113:$TN$113&lt;&gt;""),COLUMN(宏观数据!$F$113:$TN$113))-COLUMN(宏观数据!$F$113)+1-60+23)))</f>
        <v>1.633</v>
      </c>
      <c r="Y71" s="2">
        <f>IF(ISERROR(INDEX(宏观数据!$F$113:$TN$113,1,LOOKUP(2,1/(宏观数据!$F$113:$TN$113&lt;&gt;""),COLUMN(宏观数据!$F$113:$TN$113))-COLUMN(宏观数据!$F$113)+1-60+24)),NA(),IF(INDEX(宏观数据!$F$113:$TN$113,1,LOOKUP(2,1/(宏观数据!$F$113:$TN$113&lt;&gt;""),COLUMN(宏观数据!$F$113:$TN$113))-COLUMN(宏观数据!$F$113)+1-60+24)=0,NA(),INDEX(宏观数据!$F$113:$TN$113,1,LOOKUP(2,1/(宏观数据!$F$113:$TN$113&lt;&gt;""),COLUMN(宏观数据!$F$113:$TN$113))-COLUMN(宏观数据!$F$113)+1-60+24)))</f>
        <v>0.773</v>
      </c>
      <c r="Z71" s="2">
        <f>IF(ISERROR(INDEX(宏观数据!$F$113:$TN$113,1,LOOKUP(2,1/(宏观数据!$F$113:$TN$113&lt;&gt;""),COLUMN(宏观数据!$F$113:$TN$113))-COLUMN(宏观数据!$F$113)+1-60+25)),NA(),IF(INDEX(宏观数据!$F$113:$TN$113,1,LOOKUP(2,1/(宏观数据!$F$113:$TN$113&lt;&gt;""),COLUMN(宏观数据!$F$113:$TN$113))-COLUMN(宏观数据!$F$113)+1-60+25)=0,NA(),INDEX(宏观数据!$F$113:$TN$113,1,LOOKUP(2,1/(宏观数据!$F$113:$TN$113&lt;&gt;""),COLUMN(宏观数据!$F$113:$TN$113))-COLUMN(宏观数据!$F$113)+1-60+25)))</f>
        <v>0.787</v>
      </c>
      <c r="AA71" s="2" t="e">
        <f>IF(ISERROR(INDEX(宏观数据!$F$113:$TN$113,1,LOOKUP(2,1/(宏观数据!$F$113:$TN$113&lt;&gt;""),COLUMN(宏观数据!$F$113:$TN$113))-COLUMN(宏观数据!$F$113)+1-60+26)),NA(),IF(INDEX(宏观数据!$F$113:$TN$113,1,LOOKUP(2,1/(宏观数据!$F$113:$TN$113&lt;&gt;""),COLUMN(宏观数据!$F$113:$TN$113))-COLUMN(宏观数据!$F$113)+1-60+26)=0,NA(),INDEX(宏观数据!$F$113:$TN$113,1,LOOKUP(2,1/(宏观数据!$F$113:$TN$113&lt;&gt;""),COLUMN(宏观数据!$F$113:$TN$113))-COLUMN(宏观数据!$F$113)+1-60+26)))</f>
        <v>#N/A</v>
      </c>
      <c r="AB71" s="2" t="e">
        <f>IF(ISERROR(INDEX(宏观数据!$F$113:$TN$113,1,LOOKUP(2,1/(宏观数据!$F$113:$TN$113&lt;&gt;""),COLUMN(宏观数据!$F$113:$TN$113))-COLUMN(宏观数据!$F$113)+1-60+27)),NA(),IF(INDEX(宏观数据!$F$113:$TN$113,1,LOOKUP(2,1/(宏观数据!$F$113:$TN$113&lt;&gt;""),COLUMN(宏观数据!$F$113:$TN$113))-COLUMN(宏观数据!$F$113)+1-60+27)=0,NA(),INDEX(宏观数据!$F$113:$TN$113,1,LOOKUP(2,1/(宏观数据!$F$113:$TN$113&lt;&gt;""),COLUMN(宏观数据!$F$113:$TN$113))-COLUMN(宏观数据!$F$113)+1-60+27)))</f>
        <v>#N/A</v>
      </c>
      <c r="AC71" s="2">
        <f>IF(ISERROR(INDEX(宏观数据!$F$113:$TN$113,1,LOOKUP(2,1/(宏观数据!$F$113:$TN$113&lt;&gt;""),COLUMN(宏观数据!$F$113:$TN$113))-COLUMN(宏观数据!$F$113)+1-60+28)),NA(),IF(INDEX(宏观数据!$F$113:$TN$113,1,LOOKUP(2,1/(宏观数据!$F$113:$TN$113&lt;&gt;""),COLUMN(宏观数据!$F$113:$TN$113))-COLUMN(宏观数据!$F$113)+1-60+28)=0,NA(),INDEX(宏观数据!$F$113:$TN$113,1,LOOKUP(2,1/(宏观数据!$F$113:$TN$113&lt;&gt;""),COLUMN(宏观数据!$F$113:$TN$113))-COLUMN(宏观数据!$F$113)+1-60+28)))</f>
        <v>1.133</v>
      </c>
      <c r="AD71" s="2">
        <f>IF(ISERROR(INDEX(宏观数据!$F$113:$TN$113,1,LOOKUP(2,1/(宏观数据!$F$113:$TN$113&lt;&gt;""),COLUMN(宏观数据!$F$113:$TN$113))-COLUMN(宏观数据!$F$113)+1-60+29)),NA(),IF(INDEX(宏观数据!$F$113:$TN$113,1,LOOKUP(2,1/(宏观数据!$F$113:$TN$113&lt;&gt;""),COLUMN(宏观数据!$F$113:$TN$113))-COLUMN(宏观数据!$F$113)+1-60+29)=0,NA(),INDEX(宏观数据!$F$113:$TN$113,1,LOOKUP(2,1/(宏观数据!$F$113:$TN$113&lt;&gt;""),COLUMN(宏观数据!$F$113:$TN$113))-COLUMN(宏观数据!$F$113)+1-60+29)))</f>
        <v>1.199</v>
      </c>
      <c r="AE71" s="2">
        <f>IF(ISERROR(INDEX(宏观数据!$F$113:$TN$113,1,LOOKUP(2,1/(宏观数据!$F$113:$TN$113&lt;&gt;""),COLUMN(宏观数据!$F$113:$TN$113))-COLUMN(宏观数据!$F$113)+1-60+30)),NA(),IF(INDEX(宏观数据!$F$113:$TN$113,1,LOOKUP(2,1/(宏观数据!$F$113:$TN$113&lt;&gt;""),COLUMN(宏观数据!$F$113:$TN$113))-COLUMN(宏观数据!$F$113)+1-60+30)=0,NA(),INDEX(宏观数据!$F$113:$TN$113,1,LOOKUP(2,1/(宏观数据!$F$113:$TN$113&lt;&gt;""),COLUMN(宏观数据!$F$113:$TN$113))-COLUMN(宏观数据!$F$113)+1-60+30)))</f>
        <v>3.609</v>
      </c>
      <c r="AF71" s="2">
        <f>IF(ISERROR(INDEX(宏观数据!$F$113:$TN$113,1,LOOKUP(2,1/(宏观数据!$F$113:$TN$113&lt;&gt;""),COLUMN(宏观数据!$F$113:$TN$113))-COLUMN(宏观数据!$F$113)+1-60+31)),NA(),IF(INDEX(宏观数据!$F$113:$TN$113,1,LOOKUP(2,1/(宏观数据!$F$113:$TN$113&lt;&gt;""),COLUMN(宏观数据!$F$113:$TN$113))-COLUMN(宏观数据!$F$113)+1-60+31)=0,NA(),INDEX(宏观数据!$F$113:$TN$113,1,LOOKUP(2,1/(宏观数据!$F$113:$TN$113&lt;&gt;""),COLUMN(宏观数据!$F$113:$TN$113))-COLUMN(宏观数据!$F$113)+1-60+31)))</f>
        <v>2.034</v>
      </c>
      <c r="AG71" s="2">
        <f>IF(ISERROR(INDEX(宏观数据!$F$113:$TN$113,1,LOOKUP(2,1/(宏观数据!$F$113:$TN$113&lt;&gt;""),COLUMN(宏观数据!$F$113:$TN$113))-COLUMN(宏观数据!$F$113)+1-60+32)),NA(),IF(INDEX(宏观数据!$F$113:$TN$113,1,LOOKUP(2,1/(宏观数据!$F$113:$TN$113&lt;&gt;""),COLUMN(宏观数据!$F$113:$TN$113))-COLUMN(宏观数据!$F$113)+1-60+32)=0,NA(),INDEX(宏观数据!$F$113:$TN$113,1,LOOKUP(2,1/(宏观数据!$F$113:$TN$113&lt;&gt;""),COLUMN(宏观数据!$F$113:$TN$113))-COLUMN(宏观数据!$F$113)+1-60+32)))</f>
        <v>0.647</v>
      </c>
      <c r="AH71" s="2" t="e">
        <f>IF(ISERROR(INDEX(宏观数据!$F$113:$TN$113,1,LOOKUP(2,1/(宏观数据!$F$113:$TN$113&lt;&gt;""),COLUMN(宏观数据!$F$113:$TN$113))-COLUMN(宏观数据!$F$113)+1-60+33)),NA(),IF(INDEX(宏观数据!$F$113:$TN$113,1,LOOKUP(2,1/(宏观数据!$F$113:$TN$113&lt;&gt;""),COLUMN(宏观数据!$F$113:$TN$113))-COLUMN(宏观数据!$F$113)+1-60+33)=0,NA(),INDEX(宏观数据!$F$113:$TN$113,1,LOOKUP(2,1/(宏观数据!$F$113:$TN$113&lt;&gt;""),COLUMN(宏观数据!$F$113:$TN$113))-COLUMN(宏观数据!$F$113)+1-60+33)))</f>
        <v>#N/A</v>
      </c>
      <c r="AI71" s="2" t="e">
        <f>IF(ISERROR(INDEX(宏观数据!$F$113:$TN$113,1,LOOKUP(2,1/(宏观数据!$F$113:$TN$113&lt;&gt;""),COLUMN(宏观数据!$F$113:$TN$113))-COLUMN(宏观数据!$F$113)+1-60+34)),NA(),IF(INDEX(宏观数据!$F$113:$TN$113,1,LOOKUP(2,1/(宏观数据!$F$113:$TN$113&lt;&gt;""),COLUMN(宏观数据!$F$113:$TN$113))-COLUMN(宏观数据!$F$113)+1-60+34)=0,NA(),INDEX(宏观数据!$F$113:$TN$113,1,LOOKUP(2,1/(宏观数据!$F$113:$TN$113&lt;&gt;""),COLUMN(宏观数据!$F$113:$TN$113))-COLUMN(宏观数据!$F$113)+1-60+34)))</f>
        <v>#N/A</v>
      </c>
      <c r="AJ71" s="2">
        <f>IF(ISERROR(INDEX(宏观数据!$F$113:$TN$113,1,LOOKUP(2,1/(宏观数据!$F$113:$TN$113&lt;&gt;""),COLUMN(宏观数据!$F$113:$TN$113))-COLUMN(宏观数据!$F$113)+1-60+35)),NA(),IF(INDEX(宏观数据!$F$113:$TN$113,1,LOOKUP(2,1/(宏观数据!$F$113:$TN$113&lt;&gt;""),COLUMN(宏观数据!$F$113:$TN$113))-COLUMN(宏观数据!$F$113)+1-60+35)=0,NA(),INDEX(宏观数据!$F$113:$TN$113,1,LOOKUP(2,1/(宏观数据!$F$113:$TN$113&lt;&gt;""),COLUMN(宏观数据!$F$113:$TN$113))-COLUMN(宏观数据!$F$113)+1-60+35)))</f>
        <v>7.193</v>
      </c>
      <c r="AK71" s="2">
        <f>IF(ISERROR(INDEX(宏观数据!$F$113:$TN$113,1,LOOKUP(2,1/(宏观数据!$F$113:$TN$113&lt;&gt;""),COLUMN(宏观数据!$F$113:$TN$113))-COLUMN(宏观数据!$F$113)+1-60+36)),NA(),IF(INDEX(宏观数据!$F$113:$TN$113,1,LOOKUP(2,1/(宏观数据!$F$113:$TN$113&lt;&gt;""),COLUMN(宏观数据!$F$113:$TN$113))-COLUMN(宏观数据!$F$113)+1-60+36)=0,NA(),INDEX(宏观数据!$F$113:$TN$113,1,LOOKUP(2,1/(宏观数据!$F$113:$TN$113&lt;&gt;""),COLUMN(宏观数据!$F$113:$TN$113))-COLUMN(宏观数据!$F$113)+1-60+36)))</f>
        <v>12.911</v>
      </c>
      <c r="AL71" s="2">
        <f>IF(ISERROR(INDEX(宏观数据!$F$113:$TN$113,1,LOOKUP(2,1/(宏观数据!$F$113:$TN$113&lt;&gt;""),COLUMN(宏观数据!$F$113:$TN$113))-COLUMN(宏观数据!$F$113)+1-60+37)),NA(),IF(INDEX(宏观数据!$F$113:$TN$113,1,LOOKUP(2,1/(宏观数据!$F$113:$TN$113&lt;&gt;""),COLUMN(宏观数据!$F$113:$TN$113))-COLUMN(宏观数据!$F$113)+1-60+37)=0,NA(),INDEX(宏观数据!$F$113:$TN$113,1,LOOKUP(2,1/(宏观数据!$F$113:$TN$113&lt;&gt;""),COLUMN(宏观数据!$F$113:$TN$113))-COLUMN(宏观数据!$F$113)+1-60+37)))</f>
        <v>24.867</v>
      </c>
      <c r="AM71" s="2">
        <f>IF(ISERROR(INDEX(宏观数据!$F$113:$TN$113,1,LOOKUP(2,1/(宏观数据!$F$113:$TN$113&lt;&gt;""),COLUMN(宏观数据!$F$113:$TN$113))-COLUMN(宏观数据!$F$113)+1-60+38)),NA(),IF(INDEX(宏观数据!$F$113:$TN$113,1,LOOKUP(2,1/(宏观数据!$F$113:$TN$113&lt;&gt;""),COLUMN(宏观数据!$F$113:$TN$113))-COLUMN(宏观数据!$F$113)+1-60+38)=0,NA(),INDEX(宏观数据!$F$113:$TN$113,1,LOOKUP(2,1/(宏观数据!$F$113:$TN$113&lt;&gt;""),COLUMN(宏观数据!$F$113:$TN$113))-COLUMN(宏观数据!$F$113)+1-60+38)))</f>
        <v>3.281</v>
      </c>
      <c r="AN71" s="2">
        <f>IF(ISERROR(INDEX(宏观数据!$F$113:$TN$113,1,LOOKUP(2,1/(宏观数据!$F$113:$TN$113&lt;&gt;""),COLUMN(宏观数据!$F$113:$TN$113))-COLUMN(宏观数据!$F$113)+1-60+39)),NA(),IF(INDEX(宏观数据!$F$113:$TN$113,1,LOOKUP(2,1/(宏观数据!$F$113:$TN$113&lt;&gt;""),COLUMN(宏观数据!$F$113:$TN$113))-COLUMN(宏观数据!$F$113)+1-60+39)=0,NA(),INDEX(宏观数据!$F$113:$TN$113,1,LOOKUP(2,1/(宏观数据!$F$113:$TN$113&lt;&gt;""),COLUMN(宏观数据!$F$113:$TN$113))-COLUMN(宏观数据!$F$113)+1-60+39)))</f>
        <v>0.965</v>
      </c>
      <c r="AO71" s="2" t="e">
        <f>IF(ISERROR(INDEX(宏观数据!$F$113:$TN$113,1,LOOKUP(2,1/(宏观数据!$F$113:$TN$113&lt;&gt;""),COLUMN(宏观数据!$F$113:$TN$113))-COLUMN(宏观数据!$F$113)+1-60+40)),NA(),IF(INDEX(宏观数据!$F$113:$TN$113,1,LOOKUP(2,1/(宏观数据!$F$113:$TN$113&lt;&gt;""),COLUMN(宏观数据!$F$113:$TN$113))-COLUMN(宏观数据!$F$113)+1-60+40)=0,NA(),INDEX(宏观数据!$F$113:$TN$113,1,LOOKUP(2,1/(宏观数据!$F$113:$TN$113&lt;&gt;""),COLUMN(宏观数据!$F$113:$TN$113))-COLUMN(宏观数据!$F$113)+1-60+40)))</f>
        <v>#N/A</v>
      </c>
      <c r="AP71" s="2" t="e">
        <f>IF(ISERROR(INDEX(宏观数据!$F$113:$TN$113,1,LOOKUP(2,1/(宏观数据!$F$113:$TN$113&lt;&gt;""),COLUMN(宏观数据!$F$113:$TN$113))-COLUMN(宏观数据!$F$113)+1-60+41)),NA(),IF(INDEX(宏观数据!$F$113:$TN$113,1,LOOKUP(2,1/(宏观数据!$F$113:$TN$113&lt;&gt;""),COLUMN(宏观数据!$F$113:$TN$113))-COLUMN(宏观数据!$F$113)+1-60+41)=0,NA(),INDEX(宏观数据!$F$113:$TN$113,1,LOOKUP(2,1/(宏观数据!$F$113:$TN$113&lt;&gt;""),COLUMN(宏观数据!$F$113:$TN$113))-COLUMN(宏观数据!$F$113)+1-60+41)))</f>
        <v>#N/A</v>
      </c>
      <c r="AQ71" s="2" t="e">
        <f>IF(ISERROR(INDEX(宏观数据!$F$113:$TN$113,1,LOOKUP(2,1/(宏观数据!$F$113:$TN$113&lt;&gt;""),COLUMN(宏观数据!$F$113:$TN$113))-COLUMN(宏观数据!$F$113)+1-60+42)),NA(),IF(INDEX(宏观数据!$F$113:$TN$113,1,LOOKUP(2,1/(宏观数据!$F$113:$TN$113&lt;&gt;""),COLUMN(宏观数据!$F$113:$TN$113))-COLUMN(宏观数据!$F$113)+1-60+42)=0,NA(),INDEX(宏观数据!$F$113:$TN$113,1,LOOKUP(2,1/(宏观数据!$F$113:$TN$113&lt;&gt;""),COLUMN(宏观数据!$F$113:$TN$113))-COLUMN(宏观数据!$F$113)+1-60+42)))</f>
        <v>#N/A</v>
      </c>
      <c r="AR71" s="2">
        <f>IF(ISERROR(INDEX(宏观数据!$F$113:$TN$113,1,LOOKUP(2,1/(宏观数据!$F$113:$TN$113&lt;&gt;""),COLUMN(宏观数据!$F$113:$TN$113))-COLUMN(宏观数据!$F$113)+1-60+43)),NA(),IF(INDEX(宏观数据!$F$113:$TN$113,1,LOOKUP(2,1/(宏观数据!$F$113:$TN$113&lt;&gt;""),COLUMN(宏观数据!$F$113:$TN$113))-COLUMN(宏观数据!$F$113)+1-60+43)=0,NA(),INDEX(宏观数据!$F$113:$TN$113,1,LOOKUP(2,1/(宏观数据!$F$113:$TN$113&lt;&gt;""),COLUMN(宏观数据!$F$113:$TN$113))-COLUMN(宏观数据!$F$113)+1-60+43)))</f>
        <v>1.787</v>
      </c>
      <c r="AS71" s="2">
        <f>IF(ISERROR(INDEX(宏观数据!$F$113:$TN$113,1,LOOKUP(2,1/(宏观数据!$F$113:$TN$113&lt;&gt;""),COLUMN(宏观数据!$F$113:$TN$113))-COLUMN(宏观数据!$F$113)+1-60+44)),NA(),IF(INDEX(宏观数据!$F$113:$TN$113,1,LOOKUP(2,1/(宏观数据!$F$113:$TN$113&lt;&gt;""),COLUMN(宏观数据!$F$113:$TN$113))-COLUMN(宏观数据!$F$113)+1-60+44)=0,NA(),INDEX(宏观数据!$F$113:$TN$113,1,LOOKUP(2,1/(宏观数据!$F$113:$TN$113&lt;&gt;""),COLUMN(宏观数据!$F$113:$TN$113))-COLUMN(宏观数据!$F$113)+1-60+44)))</f>
        <v>1.853</v>
      </c>
      <c r="AT71" s="2">
        <f>IF(ISERROR(INDEX(宏观数据!$F$113:$TN$113,1,LOOKUP(2,1/(宏观数据!$F$113:$TN$113&lt;&gt;""),COLUMN(宏观数据!$F$113:$TN$113))-COLUMN(宏观数据!$F$113)+1-60+45)),NA(),IF(INDEX(宏观数据!$F$113:$TN$113,1,LOOKUP(2,1/(宏观数据!$F$113:$TN$113&lt;&gt;""),COLUMN(宏观数据!$F$113:$TN$113))-COLUMN(宏观数据!$F$113)+1-60+45)=0,NA(),INDEX(宏观数据!$F$113:$TN$113,1,LOOKUP(2,1/(宏观数据!$F$113:$TN$113&lt;&gt;""),COLUMN(宏观数据!$F$113:$TN$113))-COLUMN(宏观数据!$F$113)+1-60+45)))</f>
        <v>1.163</v>
      </c>
      <c r="AU71" s="2">
        <f>IF(ISERROR(INDEX(宏观数据!$F$113:$TN$113,1,LOOKUP(2,1/(宏观数据!$F$113:$TN$113&lt;&gt;""),COLUMN(宏观数据!$F$113:$TN$113))-COLUMN(宏观数据!$F$113)+1-60+46)),NA(),IF(INDEX(宏观数据!$F$113:$TN$113,1,LOOKUP(2,1/(宏观数据!$F$113:$TN$113&lt;&gt;""),COLUMN(宏观数据!$F$113:$TN$113))-COLUMN(宏观数据!$F$113)+1-60+46)=0,NA(),INDEX(宏观数据!$F$113:$TN$113,1,LOOKUP(2,1/(宏观数据!$F$113:$TN$113&lt;&gt;""),COLUMN(宏观数据!$F$113:$TN$113))-COLUMN(宏观数据!$F$113)+1-60+46)))</f>
        <v>11.677</v>
      </c>
      <c r="AV71" s="2" t="e">
        <f>IF(ISERROR(INDEX(宏观数据!$F$113:$TN$113,1,LOOKUP(2,1/(宏观数据!$F$113:$TN$113&lt;&gt;""),COLUMN(宏观数据!$F$113:$TN$113))-COLUMN(宏观数据!$F$113)+1-60+47)),NA(),IF(INDEX(宏观数据!$F$113:$TN$113,1,LOOKUP(2,1/(宏观数据!$F$113:$TN$113&lt;&gt;""),COLUMN(宏观数据!$F$113:$TN$113))-COLUMN(宏观数据!$F$113)+1-60+47)=0,NA(),INDEX(宏观数据!$F$113:$TN$113,1,LOOKUP(2,1/(宏观数据!$F$113:$TN$113&lt;&gt;""),COLUMN(宏观数据!$F$113:$TN$113))-COLUMN(宏观数据!$F$113)+1-60+47)))</f>
        <v>#N/A</v>
      </c>
      <c r="AW71" s="2" t="e">
        <f>IF(ISERROR(INDEX(宏观数据!$F$113:$TN$113,1,LOOKUP(2,1/(宏观数据!$F$113:$TN$113&lt;&gt;""),COLUMN(宏观数据!$F$113:$TN$113))-COLUMN(宏观数据!$F$113)+1-60+48)),NA(),IF(INDEX(宏观数据!$F$113:$TN$113,1,LOOKUP(2,1/(宏观数据!$F$113:$TN$113&lt;&gt;""),COLUMN(宏观数据!$F$113:$TN$113))-COLUMN(宏观数据!$F$113)+1-60+48)=0,NA(),INDEX(宏观数据!$F$113:$TN$113,1,LOOKUP(2,1/(宏观数据!$F$113:$TN$113&lt;&gt;""),COLUMN(宏观数据!$F$113:$TN$113))-COLUMN(宏观数据!$F$113)+1-60+48)))</f>
        <v>#N/A</v>
      </c>
      <c r="AX71" s="2">
        <f>IF(ISERROR(INDEX(宏观数据!$F$113:$TN$113,1,LOOKUP(2,1/(宏观数据!$F$113:$TN$113&lt;&gt;""),COLUMN(宏观数据!$F$113:$TN$113))-COLUMN(宏观数据!$F$113)+1-60+49)),NA(),IF(INDEX(宏观数据!$F$113:$TN$113,1,LOOKUP(2,1/(宏观数据!$F$113:$TN$113&lt;&gt;""),COLUMN(宏观数据!$F$113:$TN$113))-COLUMN(宏观数据!$F$113)+1-60+49)=0,NA(),INDEX(宏观数据!$F$113:$TN$113,1,LOOKUP(2,1/(宏观数据!$F$113:$TN$113&lt;&gt;""),COLUMN(宏观数据!$F$113:$TN$113))-COLUMN(宏观数据!$F$113)+1-60+49)))</f>
        <v>1.302</v>
      </c>
      <c r="AY71" s="2">
        <f>IF(ISERROR(INDEX(宏观数据!$F$113:$TN$113,1,LOOKUP(2,1/(宏观数据!$F$113:$TN$113&lt;&gt;""),COLUMN(宏观数据!$F$113:$TN$113))-COLUMN(宏观数据!$F$113)+1-60+50)),NA(),IF(INDEX(宏观数据!$F$113:$TN$113,1,LOOKUP(2,1/(宏观数据!$F$113:$TN$113&lt;&gt;""),COLUMN(宏观数据!$F$113:$TN$113))-COLUMN(宏观数据!$F$113)+1-60+50)=0,NA(),INDEX(宏观数据!$F$113:$TN$113,1,LOOKUP(2,1/(宏观数据!$F$113:$TN$113&lt;&gt;""),COLUMN(宏观数据!$F$113:$TN$113))-COLUMN(宏观数据!$F$113)+1-60+50)))</f>
        <v>2.502</v>
      </c>
      <c r="AZ71" s="2">
        <f>IF(ISERROR(INDEX(宏观数据!$F$113:$TN$113,1,LOOKUP(2,1/(宏观数据!$F$113:$TN$113&lt;&gt;""),COLUMN(宏观数据!$F$113:$TN$113))-COLUMN(宏观数据!$F$113)+1-60+51)),NA(),IF(INDEX(宏观数据!$F$113:$TN$113,1,LOOKUP(2,1/(宏观数据!$F$113:$TN$113&lt;&gt;""),COLUMN(宏观数据!$F$113:$TN$113))-COLUMN(宏观数据!$F$113)+1-60+51)=0,NA(),INDEX(宏观数据!$F$113:$TN$113,1,LOOKUP(2,1/(宏观数据!$F$113:$TN$113&lt;&gt;""),COLUMN(宏观数据!$F$113:$TN$113))-COLUMN(宏观数据!$F$113)+1-60+51)))</f>
        <v>2.062</v>
      </c>
      <c r="BA71" s="2">
        <f>IF(ISERROR(INDEX(宏观数据!$F$113:$TN$113,1,LOOKUP(2,1/(宏观数据!$F$113:$TN$113&lt;&gt;""),COLUMN(宏观数据!$F$113:$TN$113))-COLUMN(宏观数据!$F$113)+1-60+52)),NA(),IF(INDEX(宏观数据!$F$113:$TN$113,1,LOOKUP(2,1/(宏观数据!$F$113:$TN$113&lt;&gt;""),COLUMN(宏观数据!$F$113:$TN$113))-COLUMN(宏观数据!$F$113)+1-60+52)=0,NA(),INDEX(宏观数据!$F$113:$TN$113,1,LOOKUP(2,1/(宏观数据!$F$113:$TN$113&lt;&gt;""),COLUMN(宏观数据!$F$113:$TN$113))-COLUMN(宏观数据!$F$113)+1-60+52)))</f>
        <v>1.122</v>
      </c>
      <c r="BB71" s="2">
        <f>IF(ISERROR(INDEX(宏观数据!$F$113:$TN$113,1,LOOKUP(2,1/(宏观数据!$F$113:$TN$113&lt;&gt;""),COLUMN(宏观数据!$F$113:$TN$113))-COLUMN(宏观数据!$F$113)+1-60+53)),NA(),IF(INDEX(宏观数据!$F$113:$TN$113,1,LOOKUP(2,1/(宏观数据!$F$113:$TN$113&lt;&gt;""),COLUMN(宏观数据!$F$113:$TN$113))-COLUMN(宏观数据!$F$113)+1-60+53)=0,NA(),INDEX(宏观数据!$F$113:$TN$113,1,LOOKUP(2,1/(宏观数据!$F$113:$TN$113&lt;&gt;""),COLUMN(宏观数据!$F$113:$TN$113))-COLUMN(宏观数据!$F$113)+1-60+53)))</f>
        <v>0.761</v>
      </c>
      <c r="BC71" s="2" t="e">
        <f>IF(ISERROR(INDEX(宏观数据!$F$113:$TN$113,1,LOOKUP(2,1/(宏观数据!$F$113:$TN$113&lt;&gt;""),COLUMN(宏观数据!$F$113:$TN$113))-COLUMN(宏观数据!$F$113)+1-60+54)),NA(),IF(INDEX(宏观数据!$F$113:$TN$113,1,LOOKUP(2,1/(宏观数据!$F$113:$TN$113&lt;&gt;""),COLUMN(宏观数据!$F$113:$TN$113))-COLUMN(宏观数据!$F$113)+1-60+54)=0,NA(),INDEX(宏观数据!$F$113:$TN$113,1,LOOKUP(2,1/(宏观数据!$F$113:$TN$113&lt;&gt;""),COLUMN(宏观数据!$F$113:$TN$113))-COLUMN(宏观数据!$F$113)+1-60+54)))</f>
        <v>#N/A</v>
      </c>
      <c r="BD71" s="2" t="e">
        <f>IF(ISERROR(INDEX(宏观数据!$F$113:$TN$113,1,LOOKUP(2,1/(宏观数据!$F$113:$TN$113&lt;&gt;""),COLUMN(宏观数据!$F$113:$TN$113))-COLUMN(宏观数据!$F$113)+1-60+55)),NA(),IF(INDEX(宏观数据!$F$113:$TN$113,1,LOOKUP(2,1/(宏观数据!$F$113:$TN$113&lt;&gt;""),COLUMN(宏观数据!$F$113:$TN$113))-COLUMN(宏观数据!$F$113)+1-60+55)=0,NA(),INDEX(宏观数据!$F$113:$TN$113,1,LOOKUP(2,1/(宏观数据!$F$113:$TN$113&lt;&gt;""),COLUMN(宏观数据!$F$113:$TN$113))-COLUMN(宏观数据!$F$113)+1-60+55)))</f>
        <v>#N/A</v>
      </c>
      <c r="BE71" s="2">
        <f>IF(ISERROR(INDEX(宏观数据!$F$113:$TN$113,1,LOOKUP(2,1/(宏观数据!$F$113:$TN$113&lt;&gt;""),COLUMN(宏观数据!$F$113:$TN$113))-COLUMN(宏观数据!$F$113)+1-60+56)),NA(),IF(INDEX(宏观数据!$F$113:$TN$113,1,LOOKUP(2,1/(宏观数据!$F$113:$TN$113&lt;&gt;""),COLUMN(宏观数据!$F$113:$TN$113))-COLUMN(宏观数据!$F$113)+1-60+56)=0,NA(),INDEX(宏观数据!$F$113:$TN$113,1,LOOKUP(2,1/(宏观数据!$F$113:$TN$113&lt;&gt;""),COLUMN(宏观数据!$F$113:$TN$113))-COLUMN(宏观数据!$F$113)+1-60+56)))</f>
        <v>1.832</v>
      </c>
      <c r="BF71" s="2">
        <f>IF(ISERROR(INDEX(宏观数据!$F$113:$TN$113,1,LOOKUP(2,1/(宏观数据!$F$113:$TN$113&lt;&gt;""),COLUMN(宏观数据!$F$113:$TN$113))-COLUMN(宏观数据!$F$113)+1-60+57)),NA(),IF(INDEX(宏观数据!$F$113:$TN$113,1,LOOKUP(2,1/(宏观数据!$F$113:$TN$113&lt;&gt;""),COLUMN(宏观数据!$F$113:$TN$113))-COLUMN(宏观数据!$F$113)+1-60+57)=0,NA(),INDEX(宏观数据!$F$113:$TN$113,1,LOOKUP(2,1/(宏观数据!$F$113:$TN$113&lt;&gt;""),COLUMN(宏观数据!$F$113:$TN$113))-COLUMN(宏观数据!$F$113)+1-60+57)))</f>
        <v>0.577</v>
      </c>
      <c r="BG71" s="2">
        <f>IF(ISERROR(INDEX(宏观数据!$F$113:$TN$113,1,LOOKUP(2,1/(宏观数据!$F$113:$TN$113&lt;&gt;""),COLUMN(宏观数据!$F$113:$TN$113))-COLUMN(宏观数据!$F$113)+1-60+58)),NA(),IF(INDEX(宏观数据!$F$113:$TN$113,1,LOOKUP(2,1/(宏观数据!$F$113:$TN$113&lt;&gt;""),COLUMN(宏观数据!$F$113:$TN$113))-COLUMN(宏观数据!$F$113)+1-60+58)=0,NA(),INDEX(宏观数据!$F$113:$TN$113,1,LOOKUP(2,1/(宏观数据!$F$113:$TN$113&lt;&gt;""),COLUMN(宏观数据!$F$113:$TN$113))-COLUMN(宏观数据!$F$113)+1-60+58)))</f>
        <v>0.387</v>
      </c>
      <c r="BH71" s="2">
        <f>IF(ISERROR(INDEX(宏观数据!$F$113:$TN$113,1,LOOKUP(2,1/(宏观数据!$F$113:$TN$113&lt;&gt;""),COLUMN(宏观数据!$F$113:$TN$113))-COLUMN(宏观数据!$F$113)+1-60+59)),NA(),IF(INDEX(宏观数据!$F$113:$TN$113,1,LOOKUP(2,1/(宏观数据!$F$113:$TN$113&lt;&gt;""),COLUMN(宏观数据!$F$113:$TN$113))-COLUMN(宏观数据!$F$113)+1-60+59)=0,NA(),INDEX(宏观数据!$F$113:$TN$113,1,LOOKUP(2,1/(宏观数据!$F$113:$TN$113&lt;&gt;""),COLUMN(宏观数据!$F$113:$TN$113))-COLUMN(宏观数据!$F$113)+1-60+59)))</f>
        <v>0.46</v>
      </c>
      <c r="BI71" s="2">
        <f>IF(ISERROR(INDEX(宏观数据!$F$113:$TN$113,1,LOOKUP(2,1/(宏观数据!$F$113:$TN$113&lt;&gt;""),COLUMN(宏观数据!$F$113:$TN$113))-COLUMN(宏观数据!$F$113)+1-60+60)),NA(),IF(INDEX(宏观数据!$F$113:$TN$113,1,LOOKUP(2,1/(宏观数据!$F$113:$TN$113&lt;&gt;""),COLUMN(宏观数据!$F$113:$TN$113))-COLUMN(宏观数据!$F$113)+1-60+60)=0,NA(),INDEX(宏观数据!$F$113:$TN$113,1,LOOKUP(2,1/(宏观数据!$F$113:$TN$113&lt;&gt;""),COLUMN(宏观数据!$F$113:$TN$113))-COLUMN(宏观数据!$F$113)+1-60+60)))</f>
        <v>0.454</v>
      </c>
    </row>
    <row r="72" ht="15" customHeight="1" spans="1:61">
      <c r="A72" s="1" t="s">
        <v>226</v>
      </c>
      <c r="B72" s="2" t="e">
        <f>IF(ISERROR(INDEX(宏观数据!$F$147:$TN$147,1,LOOKUP(2,1/(宏观数据!$F$147:$TN$147&lt;&gt;""),COLUMN(宏观数据!$F$147:$TN$147))-COLUMN(宏观数据!$F$147)+1-60+1)),NA(),IF(INDEX(宏观数据!$F$147:$TN$147,1,LOOKUP(2,1/(宏观数据!$F$147:$TN$147&lt;&gt;""),COLUMN(宏观数据!$F$147:$TN$147))-COLUMN(宏观数据!$F$147)+1-60+1)=0,NA(),INDEX(宏观数据!$F$147:$TN$147,1,LOOKUP(2,1/(宏观数据!$F$147:$TN$147&lt;&gt;""),COLUMN(宏观数据!$F$147:$TN$147))-COLUMN(宏观数据!$F$147)+1-60+1)))</f>
        <v>#N/A</v>
      </c>
      <c r="C72" s="2" t="e">
        <f>IF(ISERROR(INDEX(宏观数据!$F$147:$TN$147,1,LOOKUP(2,1/(宏观数据!$F$147:$TN$147&lt;&gt;""),COLUMN(宏观数据!$F$147:$TN$147))-COLUMN(宏观数据!$F$147)+1-60+2)),NA(),IF(INDEX(宏观数据!$F$147:$TN$147,1,LOOKUP(2,1/(宏观数据!$F$147:$TN$147&lt;&gt;""),COLUMN(宏观数据!$F$147:$TN$147))-COLUMN(宏观数据!$F$147)+1-60+2)=0,NA(),INDEX(宏观数据!$F$147:$TN$147,1,LOOKUP(2,1/(宏观数据!$F$147:$TN$147&lt;&gt;""),COLUMN(宏观数据!$F$147:$TN$147))-COLUMN(宏观数据!$F$147)+1-60+2)))</f>
        <v>#N/A</v>
      </c>
      <c r="D72" s="2" t="e">
        <f>IF(ISERROR(INDEX(宏观数据!$F$147:$TN$147,1,LOOKUP(2,1/(宏观数据!$F$147:$TN$147&lt;&gt;""),COLUMN(宏观数据!$F$147:$TN$147))-COLUMN(宏观数据!$F$147)+1-60+3)),NA(),IF(INDEX(宏观数据!$F$147:$TN$147,1,LOOKUP(2,1/(宏观数据!$F$147:$TN$147&lt;&gt;""),COLUMN(宏观数据!$F$147:$TN$147))-COLUMN(宏观数据!$F$147)+1-60+3)=0,NA(),INDEX(宏观数据!$F$147:$TN$147,1,LOOKUP(2,1/(宏观数据!$F$147:$TN$147&lt;&gt;""),COLUMN(宏观数据!$F$147:$TN$147))-COLUMN(宏观数据!$F$147)+1-60+3)))</f>
        <v>#N/A</v>
      </c>
      <c r="E72" s="2" t="e">
        <f>IF(ISERROR(INDEX(宏观数据!$F$147:$TN$147,1,LOOKUP(2,1/(宏观数据!$F$147:$TN$147&lt;&gt;""),COLUMN(宏观数据!$F$147:$TN$147))-COLUMN(宏观数据!$F$147)+1-60+4)),NA(),IF(INDEX(宏观数据!$F$147:$TN$147,1,LOOKUP(2,1/(宏观数据!$F$147:$TN$147&lt;&gt;""),COLUMN(宏观数据!$F$147:$TN$147))-COLUMN(宏观数据!$F$147)+1-60+4)=0,NA(),INDEX(宏观数据!$F$147:$TN$147,1,LOOKUP(2,1/(宏观数据!$F$147:$TN$147&lt;&gt;""),COLUMN(宏观数据!$F$147:$TN$147))-COLUMN(宏观数据!$F$147)+1-60+4)))</f>
        <v>#N/A</v>
      </c>
      <c r="F72" s="2" t="e">
        <f>IF(ISERROR(INDEX(宏观数据!$F$147:$TN$147,1,LOOKUP(2,1/(宏观数据!$F$147:$TN$147&lt;&gt;""),COLUMN(宏观数据!$F$147:$TN$147))-COLUMN(宏观数据!$F$147)+1-60+5)),NA(),IF(INDEX(宏观数据!$F$147:$TN$147,1,LOOKUP(2,1/(宏观数据!$F$147:$TN$147&lt;&gt;""),COLUMN(宏观数据!$F$147:$TN$147))-COLUMN(宏观数据!$F$147)+1-60+5)=0,NA(),INDEX(宏观数据!$F$147:$TN$147,1,LOOKUP(2,1/(宏观数据!$F$147:$TN$147&lt;&gt;""),COLUMN(宏观数据!$F$147:$TN$147))-COLUMN(宏观数据!$F$147)+1-60+5)))</f>
        <v>#N/A</v>
      </c>
      <c r="G72" s="2" t="e">
        <f>IF(ISERROR(INDEX(宏观数据!$F$147:$TN$147,1,LOOKUP(2,1/(宏观数据!$F$147:$TN$147&lt;&gt;""),COLUMN(宏观数据!$F$147:$TN$147))-COLUMN(宏观数据!$F$147)+1-60+6)),NA(),IF(INDEX(宏观数据!$F$147:$TN$147,1,LOOKUP(2,1/(宏观数据!$F$147:$TN$147&lt;&gt;""),COLUMN(宏观数据!$F$147:$TN$147))-COLUMN(宏观数据!$F$147)+1-60+6)=0,NA(),INDEX(宏观数据!$F$147:$TN$147,1,LOOKUP(2,1/(宏观数据!$F$147:$TN$147&lt;&gt;""),COLUMN(宏观数据!$F$147:$TN$147))-COLUMN(宏观数据!$F$147)+1-60+6)))</f>
        <v>#N/A</v>
      </c>
      <c r="H72" s="2" t="e">
        <f>IF(ISERROR(INDEX(宏观数据!$F$147:$TN$147,1,LOOKUP(2,1/(宏观数据!$F$147:$TN$147&lt;&gt;""),COLUMN(宏观数据!$F$147:$TN$147))-COLUMN(宏观数据!$F$147)+1-60+7)),NA(),IF(INDEX(宏观数据!$F$147:$TN$147,1,LOOKUP(2,1/(宏观数据!$F$147:$TN$147&lt;&gt;""),COLUMN(宏观数据!$F$147:$TN$147))-COLUMN(宏观数据!$F$147)+1-60+7)=0,NA(),INDEX(宏观数据!$F$147:$TN$147,1,LOOKUP(2,1/(宏观数据!$F$147:$TN$147&lt;&gt;""),COLUMN(宏观数据!$F$147:$TN$147))-COLUMN(宏观数据!$F$147)+1-60+7)))</f>
        <v>#N/A</v>
      </c>
      <c r="I72" s="2" t="e">
        <f>IF(ISERROR(INDEX(宏观数据!$F$147:$TN$147,1,LOOKUP(2,1/(宏观数据!$F$147:$TN$147&lt;&gt;""),COLUMN(宏观数据!$F$147:$TN$147))-COLUMN(宏观数据!$F$147)+1-60+8)),NA(),IF(INDEX(宏观数据!$F$147:$TN$147,1,LOOKUP(2,1/(宏观数据!$F$147:$TN$147&lt;&gt;""),COLUMN(宏观数据!$F$147:$TN$147))-COLUMN(宏观数据!$F$147)+1-60+8)=0,NA(),INDEX(宏观数据!$F$147:$TN$147,1,LOOKUP(2,1/(宏观数据!$F$147:$TN$147&lt;&gt;""),COLUMN(宏观数据!$F$147:$TN$147))-COLUMN(宏观数据!$F$147)+1-60+8)))</f>
        <v>#N/A</v>
      </c>
      <c r="J72" s="2" t="e">
        <f>IF(ISERROR(INDEX(宏观数据!$F$147:$TN$147,1,LOOKUP(2,1/(宏观数据!$F$147:$TN$147&lt;&gt;""),COLUMN(宏观数据!$F$147:$TN$147))-COLUMN(宏观数据!$F$147)+1-60+9)),NA(),IF(INDEX(宏观数据!$F$147:$TN$147,1,LOOKUP(2,1/(宏观数据!$F$147:$TN$147&lt;&gt;""),COLUMN(宏观数据!$F$147:$TN$147))-COLUMN(宏观数据!$F$147)+1-60+9)=0,NA(),INDEX(宏观数据!$F$147:$TN$147,1,LOOKUP(2,1/(宏观数据!$F$147:$TN$147&lt;&gt;""),COLUMN(宏观数据!$F$147:$TN$147))-COLUMN(宏观数据!$F$147)+1-60+9)))</f>
        <v>#N/A</v>
      </c>
      <c r="K72" s="2" t="e">
        <f>IF(ISERROR(INDEX(宏观数据!$F$147:$TN$147,1,LOOKUP(2,1/(宏观数据!$F$147:$TN$147&lt;&gt;""),COLUMN(宏观数据!$F$147:$TN$147))-COLUMN(宏观数据!$F$147)+1-60+10)),NA(),IF(INDEX(宏观数据!$F$147:$TN$147,1,LOOKUP(2,1/(宏观数据!$F$147:$TN$147&lt;&gt;""),COLUMN(宏观数据!$F$147:$TN$147))-COLUMN(宏观数据!$F$147)+1-60+10)=0,NA(),INDEX(宏观数据!$F$147:$TN$147,1,LOOKUP(2,1/(宏观数据!$F$147:$TN$147&lt;&gt;""),COLUMN(宏观数据!$F$147:$TN$147))-COLUMN(宏观数据!$F$147)+1-60+10)))</f>
        <v>#N/A</v>
      </c>
      <c r="L72" s="2" t="e">
        <f>IF(ISERROR(INDEX(宏观数据!$F$147:$TN$147,1,LOOKUP(2,1/(宏观数据!$F$147:$TN$147&lt;&gt;""),COLUMN(宏观数据!$F$147:$TN$147))-COLUMN(宏观数据!$F$147)+1-60+11)),NA(),IF(INDEX(宏观数据!$F$147:$TN$147,1,LOOKUP(2,1/(宏观数据!$F$147:$TN$147&lt;&gt;""),COLUMN(宏观数据!$F$147:$TN$147))-COLUMN(宏观数据!$F$147)+1-60+11)=0,NA(),INDEX(宏观数据!$F$147:$TN$147,1,LOOKUP(2,1/(宏观数据!$F$147:$TN$147&lt;&gt;""),COLUMN(宏观数据!$F$147:$TN$147))-COLUMN(宏观数据!$F$147)+1-60+11)))</f>
        <v>#N/A</v>
      </c>
      <c r="M72" s="2" t="e">
        <f>IF(ISERROR(INDEX(宏观数据!$F$147:$TN$147,1,LOOKUP(2,1/(宏观数据!$F$147:$TN$147&lt;&gt;""),COLUMN(宏观数据!$F$147:$TN$147))-COLUMN(宏观数据!$F$147)+1-60+12)),NA(),IF(INDEX(宏观数据!$F$147:$TN$147,1,LOOKUP(2,1/(宏观数据!$F$147:$TN$147&lt;&gt;""),COLUMN(宏观数据!$F$147:$TN$147))-COLUMN(宏观数据!$F$147)+1-60+12)=0,NA(),INDEX(宏观数据!$F$147:$TN$147,1,LOOKUP(2,1/(宏观数据!$F$147:$TN$147&lt;&gt;""),COLUMN(宏观数据!$F$147:$TN$147))-COLUMN(宏观数据!$F$147)+1-60+12)))</f>
        <v>#N/A</v>
      </c>
      <c r="N72" s="2" t="e">
        <f>IF(ISERROR(INDEX(宏观数据!$F$147:$TN$147,1,LOOKUP(2,1/(宏观数据!$F$147:$TN$147&lt;&gt;""),COLUMN(宏观数据!$F$147:$TN$147))-COLUMN(宏观数据!$F$147)+1-60+13)),NA(),IF(INDEX(宏观数据!$F$147:$TN$147,1,LOOKUP(2,1/(宏观数据!$F$147:$TN$147&lt;&gt;""),COLUMN(宏观数据!$F$147:$TN$147))-COLUMN(宏观数据!$F$147)+1-60+13)=0,NA(),INDEX(宏观数据!$F$147:$TN$147,1,LOOKUP(2,1/(宏观数据!$F$147:$TN$147&lt;&gt;""),COLUMN(宏观数据!$F$147:$TN$147))-COLUMN(宏观数据!$F$147)+1-60+13)))</f>
        <v>#N/A</v>
      </c>
      <c r="O72" s="2" t="e">
        <f>IF(ISERROR(INDEX(宏观数据!$F$147:$TN$147,1,LOOKUP(2,1/(宏观数据!$F$147:$TN$147&lt;&gt;""),COLUMN(宏观数据!$F$147:$TN$147))-COLUMN(宏观数据!$F$147)+1-60+14)),NA(),IF(INDEX(宏观数据!$F$147:$TN$147,1,LOOKUP(2,1/(宏观数据!$F$147:$TN$147&lt;&gt;""),COLUMN(宏观数据!$F$147:$TN$147))-COLUMN(宏观数据!$F$147)+1-60+14)=0,NA(),INDEX(宏观数据!$F$147:$TN$147,1,LOOKUP(2,1/(宏观数据!$F$147:$TN$147&lt;&gt;""),COLUMN(宏观数据!$F$147:$TN$147))-COLUMN(宏观数据!$F$147)+1-60+14)))</f>
        <v>#N/A</v>
      </c>
      <c r="P72" s="2" t="e">
        <f>IF(ISERROR(INDEX(宏观数据!$F$147:$TN$147,1,LOOKUP(2,1/(宏观数据!$F$147:$TN$147&lt;&gt;""),COLUMN(宏观数据!$F$147:$TN$147))-COLUMN(宏观数据!$F$147)+1-60+15)),NA(),IF(INDEX(宏观数据!$F$147:$TN$147,1,LOOKUP(2,1/(宏观数据!$F$147:$TN$147&lt;&gt;""),COLUMN(宏观数据!$F$147:$TN$147))-COLUMN(宏观数据!$F$147)+1-60+15)=0,NA(),INDEX(宏观数据!$F$147:$TN$147,1,LOOKUP(2,1/(宏观数据!$F$147:$TN$147&lt;&gt;""),COLUMN(宏观数据!$F$147:$TN$147))-COLUMN(宏观数据!$F$147)+1-60+15)))</f>
        <v>#N/A</v>
      </c>
      <c r="Q72" s="2" t="e">
        <f>IF(ISERROR(INDEX(宏观数据!$F$147:$TN$147,1,LOOKUP(2,1/(宏观数据!$F$147:$TN$147&lt;&gt;""),COLUMN(宏观数据!$F$147:$TN$147))-COLUMN(宏观数据!$F$147)+1-60+16)),NA(),IF(INDEX(宏观数据!$F$147:$TN$147,1,LOOKUP(2,1/(宏观数据!$F$147:$TN$147&lt;&gt;""),COLUMN(宏观数据!$F$147:$TN$147))-COLUMN(宏观数据!$F$147)+1-60+16)=0,NA(),INDEX(宏观数据!$F$147:$TN$147,1,LOOKUP(2,1/(宏观数据!$F$147:$TN$147&lt;&gt;""),COLUMN(宏观数据!$F$147:$TN$147))-COLUMN(宏观数据!$F$147)+1-60+16)))</f>
        <v>#N/A</v>
      </c>
      <c r="R72" s="2" t="e">
        <f>IF(ISERROR(INDEX(宏观数据!$F$147:$TN$147,1,LOOKUP(2,1/(宏观数据!$F$147:$TN$147&lt;&gt;""),COLUMN(宏观数据!$F$147:$TN$147))-COLUMN(宏观数据!$F$147)+1-60+17)),NA(),IF(INDEX(宏观数据!$F$147:$TN$147,1,LOOKUP(2,1/(宏观数据!$F$147:$TN$147&lt;&gt;""),COLUMN(宏观数据!$F$147:$TN$147))-COLUMN(宏观数据!$F$147)+1-60+17)=0,NA(),INDEX(宏观数据!$F$147:$TN$147,1,LOOKUP(2,1/(宏观数据!$F$147:$TN$147&lt;&gt;""),COLUMN(宏观数据!$F$147:$TN$147))-COLUMN(宏观数据!$F$147)+1-60+17)))</f>
        <v>#N/A</v>
      </c>
      <c r="S72" s="2" t="e">
        <f>IF(ISERROR(INDEX(宏观数据!$F$147:$TN$147,1,LOOKUP(2,1/(宏观数据!$F$147:$TN$147&lt;&gt;""),COLUMN(宏观数据!$F$147:$TN$147))-COLUMN(宏观数据!$F$147)+1-60+18)),NA(),IF(INDEX(宏观数据!$F$147:$TN$147,1,LOOKUP(2,1/(宏观数据!$F$147:$TN$147&lt;&gt;""),COLUMN(宏观数据!$F$147:$TN$147))-COLUMN(宏观数据!$F$147)+1-60+18)=0,NA(),INDEX(宏观数据!$F$147:$TN$147,1,LOOKUP(2,1/(宏观数据!$F$147:$TN$147&lt;&gt;""),COLUMN(宏观数据!$F$147:$TN$147))-COLUMN(宏观数据!$F$147)+1-60+18)))</f>
        <v>#N/A</v>
      </c>
      <c r="T72" s="2" t="e">
        <f>IF(ISERROR(INDEX(宏观数据!$F$147:$TN$147,1,LOOKUP(2,1/(宏观数据!$F$147:$TN$147&lt;&gt;""),COLUMN(宏观数据!$F$147:$TN$147))-COLUMN(宏观数据!$F$147)+1-60+19)),NA(),IF(INDEX(宏观数据!$F$147:$TN$147,1,LOOKUP(2,1/(宏观数据!$F$147:$TN$147&lt;&gt;""),COLUMN(宏观数据!$F$147:$TN$147))-COLUMN(宏观数据!$F$147)+1-60+19)=0,NA(),INDEX(宏观数据!$F$147:$TN$147,1,LOOKUP(2,1/(宏观数据!$F$147:$TN$147&lt;&gt;""),COLUMN(宏观数据!$F$147:$TN$147))-COLUMN(宏观数据!$F$147)+1-60+19)))</f>
        <v>#N/A</v>
      </c>
      <c r="U72" s="2" t="e">
        <f>IF(ISERROR(INDEX(宏观数据!$F$147:$TN$147,1,LOOKUP(2,1/(宏观数据!$F$147:$TN$147&lt;&gt;""),COLUMN(宏观数据!$F$147:$TN$147))-COLUMN(宏观数据!$F$147)+1-60+20)),NA(),IF(INDEX(宏观数据!$F$147:$TN$147,1,LOOKUP(2,1/(宏观数据!$F$147:$TN$147&lt;&gt;""),COLUMN(宏观数据!$F$147:$TN$147))-COLUMN(宏观数据!$F$147)+1-60+20)=0,NA(),INDEX(宏观数据!$F$147:$TN$147,1,LOOKUP(2,1/(宏观数据!$F$147:$TN$147&lt;&gt;""),COLUMN(宏观数据!$F$147:$TN$147))-COLUMN(宏观数据!$F$147)+1-60+20)))</f>
        <v>#N/A</v>
      </c>
      <c r="V72" s="2" t="e">
        <f>IF(ISERROR(INDEX(宏观数据!$F$147:$TN$147,1,LOOKUP(2,1/(宏观数据!$F$147:$TN$147&lt;&gt;""),COLUMN(宏观数据!$F$147:$TN$147))-COLUMN(宏观数据!$F$147)+1-60+21)),NA(),IF(INDEX(宏观数据!$F$147:$TN$147,1,LOOKUP(2,1/(宏观数据!$F$147:$TN$147&lt;&gt;""),COLUMN(宏观数据!$F$147:$TN$147))-COLUMN(宏观数据!$F$147)+1-60+21)=0,NA(),INDEX(宏观数据!$F$147:$TN$147,1,LOOKUP(2,1/(宏观数据!$F$147:$TN$147&lt;&gt;""),COLUMN(宏观数据!$F$147:$TN$147))-COLUMN(宏观数据!$F$147)+1-60+21)))</f>
        <v>#N/A</v>
      </c>
      <c r="W72" s="2" t="e">
        <f>IF(ISERROR(INDEX(宏观数据!$F$147:$TN$147,1,LOOKUP(2,1/(宏观数据!$F$147:$TN$147&lt;&gt;""),COLUMN(宏观数据!$F$147:$TN$147))-COLUMN(宏观数据!$F$147)+1-60+22)),NA(),IF(INDEX(宏观数据!$F$147:$TN$147,1,LOOKUP(2,1/(宏观数据!$F$147:$TN$147&lt;&gt;""),COLUMN(宏观数据!$F$147:$TN$147))-COLUMN(宏观数据!$F$147)+1-60+22)=0,NA(),INDEX(宏观数据!$F$147:$TN$147,1,LOOKUP(2,1/(宏观数据!$F$147:$TN$147&lt;&gt;""),COLUMN(宏观数据!$F$147:$TN$147))-COLUMN(宏观数据!$F$147)+1-60+22)))</f>
        <v>#N/A</v>
      </c>
      <c r="X72" s="2" t="e">
        <f>IF(ISERROR(INDEX(宏观数据!$F$147:$TN$147,1,LOOKUP(2,1/(宏观数据!$F$147:$TN$147&lt;&gt;""),COLUMN(宏观数据!$F$147:$TN$147))-COLUMN(宏观数据!$F$147)+1-60+23)),NA(),IF(INDEX(宏观数据!$F$147:$TN$147,1,LOOKUP(2,1/(宏观数据!$F$147:$TN$147&lt;&gt;""),COLUMN(宏观数据!$F$147:$TN$147))-COLUMN(宏观数据!$F$147)+1-60+23)=0,NA(),INDEX(宏观数据!$F$147:$TN$147,1,LOOKUP(2,1/(宏观数据!$F$147:$TN$147&lt;&gt;""),COLUMN(宏观数据!$F$147:$TN$147))-COLUMN(宏观数据!$F$147)+1-60+23)))</f>
        <v>#N/A</v>
      </c>
      <c r="Y72" s="2" t="e">
        <f>IF(ISERROR(INDEX(宏观数据!$F$147:$TN$147,1,LOOKUP(2,1/(宏观数据!$F$147:$TN$147&lt;&gt;""),COLUMN(宏观数据!$F$147:$TN$147))-COLUMN(宏观数据!$F$147)+1-60+24)),NA(),IF(INDEX(宏观数据!$F$147:$TN$147,1,LOOKUP(2,1/(宏观数据!$F$147:$TN$147&lt;&gt;""),COLUMN(宏观数据!$F$147:$TN$147))-COLUMN(宏观数据!$F$147)+1-60+24)=0,NA(),INDEX(宏观数据!$F$147:$TN$147,1,LOOKUP(2,1/(宏观数据!$F$147:$TN$147&lt;&gt;""),COLUMN(宏观数据!$F$147:$TN$147))-COLUMN(宏观数据!$F$147)+1-60+24)))</f>
        <v>#N/A</v>
      </c>
      <c r="Z72" s="2" t="e">
        <f>IF(ISERROR(INDEX(宏观数据!$F$147:$TN$147,1,LOOKUP(2,1/(宏观数据!$F$147:$TN$147&lt;&gt;""),COLUMN(宏观数据!$F$147:$TN$147))-COLUMN(宏观数据!$F$147)+1-60+25)),NA(),IF(INDEX(宏观数据!$F$147:$TN$147,1,LOOKUP(2,1/(宏观数据!$F$147:$TN$147&lt;&gt;""),COLUMN(宏观数据!$F$147:$TN$147))-COLUMN(宏观数据!$F$147)+1-60+25)=0,NA(),INDEX(宏观数据!$F$147:$TN$147,1,LOOKUP(2,1/(宏观数据!$F$147:$TN$147&lt;&gt;""),COLUMN(宏观数据!$F$147:$TN$147))-COLUMN(宏观数据!$F$147)+1-60+25)))</f>
        <v>#N/A</v>
      </c>
      <c r="AA72" s="2" t="e">
        <f>IF(ISERROR(INDEX(宏观数据!$F$147:$TN$147,1,LOOKUP(2,1/(宏观数据!$F$147:$TN$147&lt;&gt;""),COLUMN(宏观数据!$F$147:$TN$147))-COLUMN(宏观数据!$F$147)+1-60+26)),NA(),IF(INDEX(宏观数据!$F$147:$TN$147,1,LOOKUP(2,1/(宏观数据!$F$147:$TN$147&lt;&gt;""),COLUMN(宏观数据!$F$147:$TN$147))-COLUMN(宏观数据!$F$147)+1-60+26)=0,NA(),INDEX(宏观数据!$F$147:$TN$147,1,LOOKUP(2,1/(宏观数据!$F$147:$TN$147&lt;&gt;""),COLUMN(宏观数据!$F$147:$TN$147))-COLUMN(宏观数据!$F$147)+1-60+26)))</f>
        <v>#N/A</v>
      </c>
      <c r="AB72" s="2" t="e">
        <f>IF(ISERROR(INDEX(宏观数据!$F$147:$TN$147,1,LOOKUP(2,1/(宏观数据!$F$147:$TN$147&lt;&gt;""),COLUMN(宏观数据!$F$147:$TN$147))-COLUMN(宏观数据!$F$147)+1-60+27)),NA(),IF(INDEX(宏观数据!$F$147:$TN$147,1,LOOKUP(2,1/(宏观数据!$F$147:$TN$147&lt;&gt;""),COLUMN(宏观数据!$F$147:$TN$147))-COLUMN(宏观数据!$F$147)+1-60+27)=0,NA(),INDEX(宏观数据!$F$147:$TN$147,1,LOOKUP(2,1/(宏观数据!$F$147:$TN$147&lt;&gt;""),COLUMN(宏观数据!$F$147:$TN$147))-COLUMN(宏观数据!$F$147)+1-60+27)))</f>
        <v>#N/A</v>
      </c>
      <c r="AC72" s="2" t="e">
        <f>IF(ISERROR(INDEX(宏观数据!$F$147:$TN$147,1,LOOKUP(2,1/(宏观数据!$F$147:$TN$147&lt;&gt;""),COLUMN(宏观数据!$F$147:$TN$147))-COLUMN(宏观数据!$F$147)+1-60+28)),NA(),IF(INDEX(宏观数据!$F$147:$TN$147,1,LOOKUP(2,1/(宏观数据!$F$147:$TN$147&lt;&gt;""),COLUMN(宏观数据!$F$147:$TN$147))-COLUMN(宏观数据!$F$147)+1-60+28)=0,NA(),INDEX(宏观数据!$F$147:$TN$147,1,LOOKUP(2,1/(宏观数据!$F$147:$TN$147&lt;&gt;""),COLUMN(宏观数据!$F$147:$TN$147))-COLUMN(宏观数据!$F$147)+1-60+28)))</f>
        <v>#N/A</v>
      </c>
      <c r="AD72" s="2">
        <f>IF(ISERROR(INDEX(宏观数据!$F$147:$TN$147,1,LOOKUP(2,1/(宏观数据!$F$147:$TN$147&lt;&gt;""),COLUMN(宏观数据!$F$147:$TN$147))-COLUMN(宏观数据!$F$147)+1-60+29)),NA(),IF(INDEX(宏观数据!$F$147:$TN$147,1,LOOKUP(2,1/(宏观数据!$F$147:$TN$147&lt;&gt;""),COLUMN(宏观数据!$F$147:$TN$147))-COLUMN(宏观数据!$F$147)+1-60+29)=0,NA(),INDEX(宏观数据!$F$147:$TN$147,1,LOOKUP(2,1/(宏观数据!$F$147:$TN$147&lt;&gt;""),COLUMN(宏观数据!$F$147:$TN$147))-COLUMN(宏观数据!$F$147)+1-60+29)))</f>
        <v>400.799</v>
      </c>
      <c r="AE72" s="2" t="e">
        <f>IF(ISERROR(INDEX(宏观数据!$F$147:$TN$147,1,LOOKUP(2,1/(宏观数据!$F$147:$TN$147&lt;&gt;""),COLUMN(宏观数据!$F$147:$TN$147))-COLUMN(宏观数据!$F$147)+1-60+30)),NA(),IF(INDEX(宏观数据!$F$147:$TN$147,1,LOOKUP(2,1/(宏观数据!$F$147:$TN$147&lt;&gt;""),COLUMN(宏观数据!$F$147:$TN$147))-COLUMN(宏观数据!$F$147)+1-60+30)=0,NA(),INDEX(宏观数据!$F$147:$TN$147,1,LOOKUP(2,1/(宏观数据!$F$147:$TN$147&lt;&gt;""),COLUMN(宏观数据!$F$147:$TN$147))-COLUMN(宏观数据!$F$147)+1-60+30)))</f>
        <v>#N/A</v>
      </c>
      <c r="AF72" s="2" t="e">
        <f>IF(ISERROR(INDEX(宏观数据!$F$147:$TN$147,1,LOOKUP(2,1/(宏观数据!$F$147:$TN$147&lt;&gt;""),COLUMN(宏观数据!$F$147:$TN$147))-COLUMN(宏观数据!$F$147)+1-60+31)),NA(),IF(INDEX(宏观数据!$F$147:$TN$147,1,LOOKUP(2,1/(宏观数据!$F$147:$TN$147&lt;&gt;""),COLUMN(宏观数据!$F$147:$TN$147))-COLUMN(宏观数据!$F$147)+1-60+31)=0,NA(),INDEX(宏观数据!$F$147:$TN$147,1,LOOKUP(2,1/(宏观数据!$F$147:$TN$147&lt;&gt;""),COLUMN(宏观数据!$F$147:$TN$147))-COLUMN(宏观数据!$F$147)+1-60+31)))</f>
        <v>#N/A</v>
      </c>
      <c r="AG72" s="2" t="e">
        <f>IF(ISERROR(INDEX(宏观数据!$F$147:$TN$147,1,LOOKUP(2,1/(宏观数据!$F$147:$TN$147&lt;&gt;""),COLUMN(宏观数据!$F$147:$TN$147))-COLUMN(宏观数据!$F$147)+1-60+32)),NA(),IF(INDEX(宏观数据!$F$147:$TN$147,1,LOOKUP(2,1/(宏观数据!$F$147:$TN$147&lt;&gt;""),COLUMN(宏观数据!$F$147:$TN$147))-COLUMN(宏观数据!$F$147)+1-60+32)=0,NA(),INDEX(宏观数据!$F$147:$TN$147,1,LOOKUP(2,1/(宏观数据!$F$147:$TN$147&lt;&gt;""),COLUMN(宏观数据!$F$147:$TN$147))-COLUMN(宏观数据!$F$147)+1-60+32)))</f>
        <v>#N/A</v>
      </c>
      <c r="AH72" s="2" t="e">
        <f>IF(ISERROR(INDEX(宏观数据!$F$147:$TN$147,1,LOOKUP(2,1/(宏观数据!$F$147:$TN$147&lt;&gt;""),COLUMN(宏观数据!$F$147:$TN$147))-COLUMN(宏观数据!$F$147)+1-60+33)),NA(),IF(INDEX(宏观数据!$F$147:$TN$147,1,LOOKUP(2,1/(宏观数据!$F$147:$TN$147&lt;&gt;""),COLUMN(宏观数据!$F$147:$TN$147))-COLUMN(宏观数据!$F$147)+1-60+33)=0,NA(),INDEX(宏观数据!$F$147:$TN$147,1,LOOKUP(2,1/(宏观数据!$F$147:$TN$147&lt;&gt;""),COLUMN(宏观数据!$F$147:$TN$147))-COLUMN(宏观数据!$F$147)+1-60+33)))</f>
        <v>#N/A</v>
      </c>
      <c r="AI72" s="2" t="e">
        <f>IF(ISERROR(INDEX(宏观数据!$F$147:$TN$147,1,LOOKUP(2,1/(宏观数据!$F$147:$TN$147&lt;&gt;""),COLUMN(宏观数据!$F$147:$TN$147))-COLUMN(宏观数据!$F$147)+1-60+34)),NA(),IF(INDEX(宏观数据!$F$147:$TN$147,1,LOOKUP(2,1/(宏观数据!$F$147:$TN$147&lt;&gt;""),COLUMN(宏观数据!$F$147:$TN$147))-COLUMN(宏观数据!$F$147)+1-60+34)=0,NA(),INDEX(宏观数据!$F$147:$TN$147,1,LOOKUP(2,1/(宏观数据!$F$147:$TN$147&lt;&gt;""),COLUMN(宏观数据!$F$147:$TN$147))-COLUMN(宏观数据!$F$147)+1-60+34)))</f>
        <v>#N/A</v>
      </c>
      <c r="AJ72" s="2" t="e">
        <f>IF(ISERROR(INDEX(宏观数据!$F$147:$TN$147,1,LOOKUP(2,1/(宏观数据!$F$147:$TN$147&lt;&gt;""),COLUMN(宏观数据!$F$147:$TN$147))-COLUMN(宏观数据!$F$147)+1-60+35)),NA(),IF(INDEX(宏观数据!$F$147:$TN$147,1,LOOKUP(2,1/(宏观数据!$F$147:$TN$147&lt;&gt;""),COLUMN(宏观数据!$F$147:$TN$147))-COLUMN(宏观数据!$F$147)+1-60+35)=0,NA(),INDEX(宏观数据!$F$147:$TN$147,1,LOOKUP(2,1/(宏观数据!$F$147:$TN$147&lt;&gt;""),COLUMN(宏观数据!$F$147:$TN$147))-COLUMN(宏观数据!$F$147)+1-60+35)))</f>
        <v>#N/A</v>
      </c>
      <c r="AK72" s="2" t="e">
        <f>IF(ISERROR(INDEX(宏观数据!$F$147:$TN$147,1,LOOKUP(2,1/(宏观数据!$F$147:$TN$147&lt;&gt;""),COLUMN(宏观数据!$F$147:$TN$147))-COLUMN(宏观数据!$F$147)+1-60+36)),NA(),IF(INDEX(宏观数据!$F$147:$TN$147,1,LOOKUP(2,1/(宏观数据!$F$147:$TN$147&lt;&gt;""),COLUMN(宏观数据!$F$147:$TN$147))-COLUMN(宏观数据!$F$147)+1-60+36)=0,NA(),INDEX(宏观数据!$F$147:$TN$147,1,LOOKUP(2,1/(宏观数据!$F$147:$TN$147&lt;&gt;""),COLUMN(宏观数据!$F$147:$TN$147))-COLUMN(宏观数据!$F$147)+1-60+36)))</f>
        <v>#N/A</v>
      </c>
      <c r="AL72" s="2" t="e">
        <f>IF(ISERROR(INDEX(宏观数据!$F$147:$TN$147,1,LOOKUP(2,1/(宏观数据!$F$147:$TN$147&lt;&gt;""),COLUMN(宏观数据!$F$147:$TN$147))-COLUMN(宏观数据!$F$147)+1-60+37)),NA(),IF(INDEX(宏观数据!$F$147:$TN$147,1,LOOKUP(2,1/(宏观数据!$F$147:$TN$147&lt;&gt;""),COLUMN(宏观数据!$F$147:$TN$147))-COLUMN(宏观数据!$F$147)+1-60+37)=0,NA(),INDEX(宏观数据!$F$147:$TN$147,1,LOOKUP(2,1/(宏观数据!$F$147:$TN$147&lt;&gt;""),COLUMN(宏观数据!$F$147:$TN$147))-COLUMN(宏观数据!$F$147)+1-60+37)))</f>
        <v>#N/A</v>
      </c>
      <c r="AM72" s="2" t="e">
        <f>IF(ISERROR(INDEX(宏观数据!$F$147:$TN$147,1,LOOKUP(2,1/(宏观数据!$F$147:$TN$147&lt;&gt;""),COLUMN(宏观数据!$F$147:$TN$147))-COLUMN(宏观数据!$F$147)+1-60+38)),NA(),IF(INDEX(宏观数据!$F$147:$TN$147,1,LOOKUP(2,1/(宏观数据!$F$147:$TN$147&lt;&gt;""),COLUMN(宏观数据!$F$147:$TN$147))-COLUMN(宏观数据!$F$147)+1-60+38)=0,NA(),INDEX(宏观数据!$F$147:$TN$147,1,LOOKUP(2,1/(宏观数据!$F$147:$TN$147&lt;&gt;""),COLUMN(宏观数据!$F$147:$TN$147))-COLUMN(宏观数据!$F$147)+1-60+38)))</f>
        <v>#N/A</v>
      </c>
      <c r="AN72" s="2" t="e">
        <f>IF(ISERROR(INDEX(宏观数据!$F$147:$TN$147,1,LOOKUP(2,1/(宏观数据!$F$147:$TN$147&lt;&gt;""),COLUMN(宏观数据!$F$147:$TN$147))-COLUMN(宏观数据!$F$147)+1-60+39)),NA(),IF(INDEX(宏观数据!$F$147:$TN$147,1,LOOKUP(2,1/(宏观数据!$F$147:$TN$147&lt;&gt;""),COLUMN(宏观数据!$F$147:$TN$147))-COLUMN(宏观数据!$F$147)+1-60+39)=0,NA(),INDEX(宏观数据!$F$147:$TN$147,1,LOOKUP(2,1/(宏观数据!$F$147:$TN$147&lt;&gt;""),COLUMN(宏观数据!$F$147:$TN$147))-COLUMN(宏观数据!$F$147)+1-60+39)))</f>
        <v>#N/A</v>
      </c>
      <c r="AO72" s="2" t="e">
        <f>IF(ISERROR(INDEX(宏观数据!$F$147:$TN$147,1,LOOKUP(2,1/(宏观数据!$F$147:$TN$147&lt;&gt;""),COLUMN(宏观数据!$F$147:$TN$147))-COLUMN(宏观数据!$F$147)+1-60+40)),NA(),IF(INDEX(宏观数据!$F$147:$TN$147,1,LOOKUP(2,1/(宏观数据!$F$147:$TN$147&lt;&gt;""),COLUMN(宏观数据!$F$147:$TN$147))-COLUMN(宏观数据!$F$147)+1-60+40)=0,NA(),INDEX(宏观数据!$F$147:$TN$147,1,LOOKUP(2,1/(宏观数据!$F$147:$TN$147&lt;&gt;""),COLUMN(宏观数据!$F$147:$TN$147))-COLUMN(宏观数据!$F$147)+1-60+40)))</f>
        <v>#N/A</v>
      </c>
      <c r="AP72" s="2" t="e">
        <f>IF(ISERROR(INDEX(宏观数据!$F$147:$TN$147,1,LOOKUP(2,1/(宏观数据!$F$147:$TN$147&lt;&gt;""),COLUMN(宏观数据!$F$147:$TN$147))-COLUMN(宏观数据!$F$147)+1-60+41)),NA(),IF(INDEX(宏观数据!$F$147:$TN$147,1,LOOKUP(2,1/(宏观数据!$F$147:$TN$147&lt;&gt;""),COLUMN(宏观数据!$F$147:$TN$147))-COLUMN(宏观数据!$F$147)+1-60+41)=0,NA(),INDEX(宏观数据!$F$147:$TN$147,1,LOOKUP(2,1/(宏观数据!$F$147:$TN$147&lt;&gt;""),COLUMN(宏观数据!$F$147:$TN$147))-COLUMN(宏观数据!$F$147)+1-60+41)))</f>
        <v>#N/A</v>
      </c>
      <c r="AQ72" s="2" t="e">
        <f>IF(ISERROR(INDEX(宏观数据!$F$147:$TN$147,1,LOOKUP(2,1/(宏观数据!$F$147:$TN$147&lt;&gt;""),COLUMN(宏观数据!$F$147:$TN$147))-COLUMN(宏观数据!$F$147)+1-60+42)),NA(),IF(INDEX(宏观数据!$F$147:$TN$147,1,LOOKUP(2,1/(宏观数据!$F$147:$TN$147&lt;&gt;""),COLUMN(宏观数据!$F$147:$TN$147))-COLUMN(宏观数据!$F$147)+1-60+42)=0,NA(),INDEX(宏观数据!$F$147:$TN$147,1,LOOKUP(2,1/(宏观数据!$F$147:$TN$147&lt;&gt;""),COLUMN(宏观数据!$F$147:$TN$147))-COLUMN(宏观数据!$F$147)+1-60+42)))</f>
        <v>#N/A</v>
      </c>
      <c r="AR72" s="2" t="e">
        <f>IF(ISERROR(INDEX(宏观数据!$F$147:$TN$147,1,LOOKUP(2,1/(宏观数据!$F$147:$TN$147&lt;&gt;""),COLUMN(宏观数据!$F$147:$TN$147))-COLUMN(宏观数据!$F$147)+1-60+43)),NA(),IF(INDEX(宏观数据!$F$147:$TN$147,1,LOOKUP(2,1/(宏观数据!$F$147:$TN$147&lt;&gt;""),COLUMN(宏观数据!$F$147:$TN$147))-COLUMN(宏观数据!$F$147)+1-60+43)=0,NA(),INDEX(宏观数据!$F$147:$TN$147,1,LOOKUP(2,1/(宏观数据!$F$147:$TN$147&lt;&gt;""),COLUMN(宏观数据!$F$147:$TN$147))-COLUMN(宏观数据!$F$147)+1-60+43)))</f>
        <v>#N/A</v>
      </c>
      <c r="AS72" s="2" t="e">
        <f>IF(ISERROR(INDEX(宏观数据!$F$147:$TN$147,1,LOOKUP(2,1/(宏观数据!$F$147:$TN$147&lt;&gt;""),COLUMN(宏观数据!$F$147:$TN$147))-COLUMN(宏观数据!$F$147)+1-60+44)),NA(),IF(INDEX(宏观数据!$F$147:$TN$147,1,LOOKUP(2,1/(宏观数据!$F$147:$TN$147&lt;&gt;""),COLUMN(宏观数据!$F$147:$TN$147))-COLUMN(宏观数据!$F$147)+1-60+44)=0,NA(),INDEX(宏观数据!$F$147:$TN$147,1,LOOKUP(2,1/(宏观数据!$F$147:$TN$147&lt;&gt;""),COLUMN(宏观数据!$F$147:$TN$147))-COLUMN(宏观数据!$F$147)+1-60+44)))</f>
        <v>#N/A</v>
      </c>
      <c r="AT72" s="2" t="e">
        <f>IF(ISERROR(INDEX(宏观数据!$F$147:$TN$147,1,LOOKUP(2,1/(宏观数据!$F$147:$TN$147&lt;&gt;""),COLUMN(宏观数据!$F$147:$TN$147))-COLUMN(宏观数据!$F$147)+1-60+45)),NA(),IF(INDEX(宏观数据!$F$147:$TN$147,1,LOOKUP(2,1/(宏观数据!$F$147:$TN$147&lt;&gt;""),COLUMN(宏观数据!$F$147:$TN$147))-COLUMN(宏观数据!$F$147)+1-60+45)=0,NA(),INDEX(宏观数据!$F$147:$TN$147,1,LOOKUP(2,1/(宏观数据!$F$147:$TN$147&lt;&gt;""),COLUMN(宏观数据!$F$147:$TN$147))-COLUMN(宏观数据!$F$147)+1-60+45)))</f>
        <v>#N/A</v>
      </c>
      <c r="AU72" s="2" t="e">
        <f>IF(ISERROR(INDEX(宏观数据!$F$147:$TN$147,1,LOOKUP(2,1/(宏观数据!$F$147:$TN$147&lt;&gt;""),COLUMN(宏观数据!$F$147:$TN$147))-COLUMN(宏观数据!$F$147)+1-60+46)),NA(),IF(INDEX(宏观数据!$F$147:$TN$147,1,LOOKUP(2,1/(宏观数据!$F$147:$TN$147&lt;&gt;""),COLUMN(宏观数据!$F$147:$TN$147))-COLUMN(宏观数据!$F$147)+1-60+46)=0,NA(),INDEX(宏观数据!$F$147:$TN$147,1,LOOKUP(2,1/(宏观数据!$F$147:$TN$147&lt;&gt;""),COLUMN(宏观数据!$F$147:$TN$147))-COLUMN(宏观数据!$F$147)+1-60+46)))</f>
        <v>#N/A</v>
      </c>
      <c r="AV72" s="2" t="e">
        <f>IF(ISERROR(INDEX(宏观数据!$F$147:$TN$147,1,LOOKUP(2,1/(宏观数据!$F$147:$TN$147&lt;&gt;""),COLUMN(宏观数据!$F$147:$TN$147))-COLUMN(宏观数据!$F$147)+1-60+47)),NA(),IF(INDEX(宏观数据!$F$147:$TN$147,1,LOOKUP(2,1/(宏观数据!$F$147:$TN$147&lt;&gt;""),COLUMN(宏观数据!$F$147:$TN$147))-COLUMN(宏观数据!$F$147)+1-60+47)=0,NA(),INDEX(宏观数据!$F$147:$TN$147,1,LOOKUP(2,1/(宏观数据!$F$147:$TN$147&lt;&gt;""),COLUMN(宏观数据!$F$147:$TN$147))-COLUMN(宏观数据!$F$147)+1-60+47)))</f>
        <v>#N/A</v>
      </c>
      <c r="AW72" s="2" t="e">
        <f>IF(ISERROR(INDEX(宏观数据!$F$147:$TN$147,1,LOOKUP(2,1/(宏观数据!$F$147:$TN$147&lt;&gt;""),COLUMN(宏观数据!$F$147:$TN$147))-COLUMN(宏观数据!$F$147)+1-60+48)),NA(),IF(INDEX(宏观数据!$F$147:$TN$147,1,LOOKUP(2,1/(宏观数据!$F$147:$TN$147&lt;&gt;""),COLUMN(宏观数据!$F$147:$TN$147))-COLUMN(宏观数据!$F$147)+1-60+48)=0,NA(),INDEX(宏观数据!$F$147:$TN$147,1,LOOKUP(2,1/(宏观数据!$F$147:$TN$147&lt;&gt;""),COLUMN(宏观数据!$F$147:$TN$147))-COLUMN(宏观数据!$F$147)+1-60+48)))</f>
        <v>#N/A</v>
      </c>
      <c r="AX72" s="2" t="e">
        <f>IF(ISERROR(INDEX(宏观数据!$F$147:$TN$147,1,LOOKUP(2,1/(宏观数据!$F$147:$TN$147&lt;&gt;""),COLUMN(宏观数据!$F$147:$TN$147))-COLUMN(宏观数据!$F$147)+1-60+49)),NA(),IF(INDEX(宏观数据!$F$147:$TN$147,1,LOOKUP(2,1/(宏观数据!$F$147:$TN$147&lt;&gt;""),COLUMN(宏观数据!$F$147:$TN$147))-COLUMN(宏观数据!$F$147)+1-60+49)=0,NA(),INDEX(宏观数据!$F$147:$TN$147,1,LOOKUP(2,1/(宏观数据!$F$147:$TN$147&lt;&gt;""),COLUMN(宏观数据!$F$147:$TN$147))-COLUMN(宏观数据!$F$147)+1-60+49)))</f>
        <v>#N/A</v>
      </c>
      <c r="AY72" s="2" t="e">
        <f>IF(ISERROR(INDEX(宏观数据!$F$147:$TN$147,1,LOOKUP(2,1/(宏观数据!$F$147:$TN$147&lt;&gt;""),COLUMN(宏观数据!$F$147:$TN$147))-COLUMN(宏观数据!$F$147)+1-60+50)),NA(),IF(INDEX(宏观数据!$F$147:$TN$147,1,LOOKUP(2,1/(宏观数据!$F$147:$TN$147&lt;&gt;""),COLUMN(宏观数据!$F$147:$TN$147))-COLUMN(宏观数据!$F$147)+1-60+50)=0,NA(),INDEX(宏观数据!$F$147:$TN$147,1,LOOKUP(2,1/(宏观数据!$F$147:$TN$147&lt;&gt;""),COLUMN(宏观数据!$F$147:$TN$147))-COLUMN(宏观数据!$F$147)+1-60+50)))</f>
        <v>#N/A</v>
      </c>
      <c r="AZ72" s="2" t="e">
        <f>IF(ISERROR(INDEX(宏观数据!$F$147:$TN$147,1,LOOKUP(2,1/(宏观数据!$F$147:$TN$147&lt;&gt;""),COLUMN(宏观数据!$F$147:$TN$147))-COLUMN(宏观数据!$F$147)+1-60+51)),NA(),IF(INDEX(宏观数据!$F$147:$TN$147,1,LOOKUP(2,1/(宏观数据!$F$147:$TN$147&lt;&gt;""),COLUMN(宏观数据!$F$147:$TN$147))-COLUMN(宏观数据!$F$147)+1-60+51)=0,NA(),INDEX(宏观数据!$F$147:$TN$147,1,LOOKUP(2,1/(宏观数据!$F$147:$TN$147&lt;&gt;""),COLUMN(宏观数据!$F$147:$TN$147))-COLUMN(宏观数据!$F$147)+1-60+51)))</f>
        <v>#N/A</v>
      </c>
      <c r="BA72" s="2" t="e">
        <f>IF(ISERROR(INDEX(宏观数据!$F$147:$TN$147,1,LOOKUP(2,1/(宏观数据!$F$147:$TN$147&lt;&gt;""),COLUMN(宏观数据!$F$147:$TN$147))-COLUMN(宏观数据!$F$147)+1-60+52)),NA(),IF(INDEX(宏观数据!$F$147:$TN$147,1,LOOKUP(2,1/(宏观数据!$F$147:$TN$147&lt;&gt;""),COLUMN(宏观数据!$F$147:$TN$147))-COLUMN(宏观数据!$F$147)+1-60+52)=0,NA(),INDEX(宏观数据!$F$147:$TN$147,1,LOOKUP(2,1/(宏观数据!$F$147:$TN$147&lt;&gt;""),COLUMN(宏观数据!$F$147:$TN$147))-COLUMN(宏观数据!$F$147)+1-60+52)))</f>
        <v>#N/A</v>
      </c>
      <c r="BB72" s="2" t="e">
        <f>IF(ISERROR(INDEX(宏观数据!$F$147:$TN$147,1,LOOKUP(2,1/(宏观数据!$F$147:$TN$147&lt;&gt;""),COLUMN(宏观数据!$F$147:$TN$147))-COLUMN(宏观数据!$F$147)+1-60+53)),NA(),IF(INDEX(宏观数据!$F$147:$TN$147,1,LOOKUP(2,1/(宏观数据!$F$147:$TN$147&lt;&gt;""),COLUMN(宏观数据!$F$147:$TN$147))-COLUMN(宏观数据!$F$147)+1-60+53)=0,NA(),INDEX(宏观数据!$F$147:$TN$147,1,LOOKUP(2,1/(宏观数据!$F$147:$TN$147&lt;&gt;""),COLUMN(宏观数据!$F$147:$TN$147))-COLUMN(宏观数据!$F$147)+1-60+53)))</f>
        <v>#N/A</v>
      </c>
      <c r="BC72" s="2" t="e">
        <f>IF(ISERROR(INDEX(宏观数据!$F$147:$TN$147,1,LOOKUP(2,1/(宏观数据!$F$147:$TN$147&lt;&gt;""),COLUMN(宏观数据!$F$147:$TN$147))-COLUMN(宏观数据!$F$147)+1-60+54)),NA(),IF(INDEX(宏观数据!$F$147:$TN$147,1,LOOKUP(2,1/(宏观数据!$F$147:$TN$147&lt;&gt;""),COLUMN(宏观数据!$F$147:$TN$147))-COLUMN(宏观数据!$F$147)+1-60+54)=0,NA(),INDEX(宏观数据!$F$147:$TN$147,1,LOOKUP(2,1/(宏观数据!$F$147:$TN$147&lt;&gt;""),COLUMN(宏观数据!$F$147:$TN$147))-COLUMN(宏观数据!$F$147)+1-60+54)))</f>
        <v>#N/A</v>
      </c>
      <c r="BD72" s="2" t="e">
        <f>IF(ISERROR(INDEX(宏观数据!$F$147:$TN$147,1,LOOKUP(2,1/(宏观数据!$F$147:$TN$147&lt;&gt;""),COLUMN(宏观数据!$F$147:$TN$147))-COLUMN(宏观数据!$F$147)+1-60+55)),NA(),IF(INDEX(宏观数据!$F$147:$TN$147,1,LOOKUP(2,1/(宏观数据!$F$147:$TN$147&lt;&gt;""),COLUMN(宏观数据!$F$147:$TN$147))-COLUMN(宏观数据!$F$147)+1-60+55)=0,NA(),INDEX(宏观数据!$F$147:$TN$147,1,LOOKUP(2,1/(宏观数据!$F$147:$TN$147&lt;&gt;""),COLUMN(宏观数据!$F$147:$TN$147))-COLUMN(宏观数据!$F$147)+1-60+55)))</f>
        <v>#N/A</v>
      </c>
      <c r="BE72" s="2" t="e">
        <f>IF(ISERROR(INDEX(宏观数据!$F$147:$TN$147,1,LOOKUP(2,1/(宏观数据!$F$147:$TN$147&lt;&gt;""),COLUMN(宏观数据!$F$147:$TN$147))-COLUMN(宏观数据!$F$147)+1-60+56)),NA(),IF(INDEX(宏观数据!$F$147:$TN$147,1,LOOKUP(2,1/(宏观数据!$F$147:$TN$147&lt;&gt;""),COLUMN(宏观数据!$F$147:$TN$147))-COLUMN(宏观数据!$F$147)+1-60+56)=0,NA(),INDEX(宏观数据!$F$147:$TN$147,1,LOOKUP(2,1/(宏观数据!$F$147:$TN$147&lt;&gt;""),COLUMN(宏观数据!$F$147:$TN$147))-COLUMN(宏观数据!$F$147)+1-60+56)))</f>
        <v>#N/A</v>
      </c>
      <c r="BF72" s="2" t="e">
        <f>IF(ISERROR(INDEX(宏观数据!$F$147:$TN$147,1,LOOKUP(2,1/(宏观数据!$F$147:$TN$147&lt;&gt;""),COLUMN(宏观数据!$F$147:$TN$147))-COLUMN(宏观数据!$F$147)+1-60+57)),NA(),IF(INDEX(宏观数据!$F$147:$TN$147,1,LOOKUP(2,1/(宏观数据!$F$147:$TN$147&lt;&gt;""),COLUMN(宏观数据!$F$147:$TN$147))-COLUMN(宏观数据!$F$147)+1-60+57)=0,NA(),INDEX(宏观数据!$F$147:$TN$147,1,LOOKUP(2,1/(宏观数据!$F$147:$TN$147&lt;&gt;""),COLUMN(宏观数据!$F$147:$TN$147))-COLUMN(宏观数据!$F$147)+1-60+57)))</f>
        <v>#N/A</v>
      </c>
      <c r="BG72" s="2" t="e">
        <f>IF(ISERROR(INDEX(宏观数据!$F$147:$TN$147,1,LOOKUP(2,1/(宏观数据!$F$147:$TN$147&lt;&gt;""),COLUMN(宏观数据!$F$147:$TN$147))-COLUMN(宏观数据!$F$147)+1-60+58)),NA(),IF(INDEX(宏观数据!$F$147:$TN$147,1,LOOKUP(2,1/(宏观数据!$F$147:$TN$147&lt;&gt;""),COLUMN(宏观数据!$F$147:$TN$147))-COLUMN(宏观数据!$F$147)+1-60+58)=0,NA(),INDEX(宏观数据!$F$147:$TN$147,1,LOOKUP(2,1/(宏观数据!$F$147:$TN$147&lt;&gt;""),COLUMN(宏观数据!$F$147:$TN$147))-COLUMN(宏观数据!$F$147)+1-60+58)))</f>
        <v>#N/A</v>
      </c>
      <c r="BH72" s="2" t="e">
        <f>IF(ISERROR(INDEX(宏观数据!$F$147:$TN$147,1,LOOKUP(2,1/(宏观数据!$F$147:$TN$147&lt;&gt;""),COLUMN(宏观数据!$F$147:$TN$147))-COLUMN(宏观数据!$F$147)+1-60+59)),NA(),IF(INDEX(宏观数据!$F$147:$TN$147,1,LOOKUP(2,1/(宏观数据!$F$147:$TN$147&lt;&gt;""),COLUMN(宏观数据!$F$147:$TN$147))-COLUMN(宏观数据!$F$147)+1-60+59)=0,NA(),INDEX(宏观数据!$F$147:$TN$147,1,LOOKUP(2,1/(宏观数据!$F$147:$TN$147&lt;&gt;""),COLUMN(宏观数据!$F$147:$TN$147))-COLUMN(宏观数据!$F$147)+1-60+59)))</f>
        <v>#N/A</v>
      </c>
      <c r="BI72">
        <f>IF(ISERROR(INDEX(宏观数据!$F$147:$TN$147,1,LOOKUP(2,1/(宏观数据!$F$147:$TN$147&lt;&gt;""),COLUMN(宏观数据!$F$147:$TN$147))-COLUMN(宏观数据!$F$147)+1-60+60)),NA(),IF(INDEX(宏观数据!$F$147:$TN$147,1,LOOKUP(2,1/(宏观数据!$F$147:$TN$147&lt;&gt;""),COLUMN(宏观数据!$F$147:$TN$147))-COLUMN(宏观数据!$F$147)+1-60+60)=0,NA(),INDEX(宏观数据!$F$147:$TN$147,1,LOOKUP(2,1/(宏观数据!$F$147:$TN$147&lt;&gt;""),COLUMN(宏观数据!$F$147:$TN$147))-COLUMN(宏观数据!$F$147)+1-60+60)))</f>
        <v>357.9242</v>
      </c>
    </row>
    <row r="73" ht="15" customHeight="1" spans="1:61">
      <c r="A73" s="1" t="s">
        <v>391</v>
      </c>
      <c r="B73" s="2" t="e">
        <f>IF(ISERROR(INDEX(宏观数据!$F$148:$TN$148,1,LOOKUP(2,1/(宏观数据!$F$148:$TN$148&lt;&gt;""),COLUMN(宏观数据!$F$148:$TN$148))-COLUMN(宏观数据!$F$148)+1-60+1)),NA(),IF(INDEX(宏观数据!$F$148:$TN$148,1,LOOKUP(2,1/(宏观数据!$F$148:$TN$148&lt;&gt;""),COLUMN(宏观数据!$F$148:$TN$148))-COLUMN(宏观数据!$F$148)+1-60+1)=0,NA(),INDEX(宏观数据!$F$148:$TN$148,1,LOOKUP(2,1/(宏观数据!$F$148:$TN$148&lt;&gt;""),COLUMN(宏观数据!$F$148:$TN$148))-COLUMN(宏观数据!$F$148)+1-60+1)))</f>
        <v>#N/A</v>
      </c>
      <c r="C73" s="2" t="e">
        <f>IF(ISERROR(INDEX(宏观数据!$F$148:$TN$148,1,LOOKUP(2,1/(宏观数据!$F$148:$TN$148&lt;&gt;""),COLUMN(宏观数据!$F$148:$TN$148))-COLUMN(宏观数据!$F$148)+1-60+2)),NA(),IF(INDEX(宏观数据!$F$148:$TN$148,1,LOOKUP(2,1/(宏观数据!$F$148:$TN$148&lt;&gt;""),COLUMN(宏观数据!$F$148:$TN$148))-COLUMN(宏观数据!$F$148)+1-60+2)=0,NA(),INDEX(宏观数据!$F$148:$TN$148,1,LOOKUP(2,1/(宏观数据!$F$148:$TN$148&lt;&gt;""),COLUMN(宏观数据!$F$148:$TN$148))-COLUMN(宏观数据!$F$148)+1-60+2)))</f>
        <v>#N/A</v>
      </c>
      <c r="D73" s="2" t="e">
        <f>IF(ISERROR(INDEX(宏观数据!$F$148:$TN$148,1,LOOKUP(2,1/(宏观数据!$F$148:$TN$148&lt;&gt;""),COLUMN(宏观数据!$F$148:$TN$148))-COLUMN(宏观数据!$F$148)+1-60+3)),NA(),IF(INDEX(宏观数据!$F$148:$TN$148,1,LOOKUP(2,1/(宏观数据!$F$148:$TN$148&lt;&gt;""),COLUMN(宏观数据!$F$148:$TN$148))-COLUMN(宏观数据!$F$148)+1-60+3)=0,NA(),INDEX(宏观数据!$F$148:$TN$148,1,LOOKUP(2,1/(宏观数据!$F$148:$TN$148&lt;&gt;""),COLUMN(宏观数据!$F$148:$TN$148))-COLUMN(宏观数据!$F$148)+1-60+3)))</f>
        <v>#N/A</v>
      </c>
      <c r="E73" s="2" t="e">
        <f>IF(ISERROR(INDEX(宏观数据!$F$148:$TN$148,1,LOOKUP(2,1/(宏观数据!$F$148:$TN$148&lt;&gt;""),COLUMN(宏观数据!$F$148:$TN$148))-COLUMN(宏观数据!$F$148)+1-60+4)),NA(),IF(INDEX(宏观数据!$F$148:$TN$148,1,LOOKUP(2,1/(宏观数据!$F$148:$TN$148&lt;&gt;""),COLUMN(宏观数据!$F$148:$TN$148))-COLUMN(宏观数据!$F$148)+1-60+4)=0,NA(),INDEX(宏观数据!$F$148:$TN$148,1,LOOKUP(2,1/(宏观数据!$F$148:$TN$148&lt;&gt;""),COLUMN(宏观数据!$F$148:$TN$148))-COLUMN(宏观数据!$F$148)+1-60+4)))</f>
        <v>#N/A</v>
      </c>
      <c r="F73" s="2" t="e">
        <f>IF(ISERROR(INDEX(宏观数据!$F$148:$TN$148,1,LOOKUP(2,1/(宏观数据!$F$148:$TN$148&lt;&gt;""),COLUMN(宏观数据!$F$148:$TN$148))-COLUMN(宏观数据!$F$148)+1-60+5)),NA(),IF(INDEX(宏观数据!$F$148:$TN$148,1,LOOKUP(2,1/(宏观数据!$F$148:$TN$148&lt;&gt;""),COLUMN(宏观数据!$F$148:$TN$148))-COLUMN(宏观数据!$F$148)+1-60+5)=0,NA(),INDEX(宏观数据!$F$148:$TN$148,1,LOOKUP(2,1/(宏观数据!$F$148:$TN$148&lt;&gt;""),COLUMN(宏观数据!$F$148:$TN$148))-COLUMN(宏观数据!$F$148)+1-60+5)))</f>
        <v>#N/A</v>
      </c>
      <c r="G73" s="2" t="e">
        <f>IF(ISERROR(INDEX(宏观数据!$F$148:$TN$148,1,LOOKUP(2,1/(宏观数据!$F$148:$TN$148&lt;&gt;""),COLUMN(宏观数据!$F$148:$TN$148))-COLUMN(宏观数据!$F$148)+1-60+6)),NA(),IF(INDEX(宏观数据!$F$148:$TN$148,1,LOOKUP(2,1/(宏观数据!$F$148:$TN$148&lt;&gt;""),COLUMN(宏观数据!$F$148:$TN$148))-COLUMN(宏观数据!$F$148)+1-60+6)=0,NA(),INDEX(宏观数据!$F$148:$TN$148,1,LOOKUP(2,1/(宏观数据!$F$148:$TN$148&lt;&gt;""),COLUMN(宏观数据!$F$148:$TN$148))-COLUMN(宏观数据!$F$148)+1-60+6)))</f>
        <v>#N/A</v>
      </c>
      <c r="H73" s="2" t="e">
        <f>IF(ISERROR(INDEX(宏观数据!$F$148:$TN$148,1,LOOKUP(2,1/(宏观数据!$F$148:$TN$148&lt;&gt;""),COLUMN(宏观数据!$F$148:$TN$148))-COLUMN(宏观数据!$F$148)+1-60+7)),NA(),IF(INDEX(宏观数据!$F$148:$TN$148,1,LOOKUP(2,1/(宏观数据!$F$148:$TN$148&lt;&gt;""),COLUMN(宏观数据!$F$148:$TN$148))-COLUMN(宏观数据!$F$148)+1-60+7)=0,NA(),INDEX(宏观数据!$F$148:$TN$148,1,LOOKUP(2,1/(宏观数据!$F$148:$TN$148&lt;&gt;""),COLUMN(宏观数据!$F$148:$TN$148))-COLUMN(宏观数据!$F$148)+1-60+7)))</f>
        <v>#N/A</v>
      </c>
      <c r="I73" s="2" t="e">
        <f>IF(ISERROR(INDEX(宏观数据!$F$148:$TN$148,1,LOOKUP(2,1/(宏观数据!$F$148:$TN$148&lt;&gt;""),COLUMN(宏观数据!$F$148:$TN$148))-COLUMN(宏观数据!$F$148)+1-60+8)),NA(),IF(INDEX(宏观数据!$F$148:$TN$148,1,LOOKUP(2,1/(宏观数据!$F$148:$TN$148&lt;&gt;""),COLUMN(宏观数据!$F$148:$TN$148))-COLUMN(宏观数据!$F$148)+1-60+8)=0,NA(),INDEX(宏观数据!$F$148:$TN$148,1,LOOKUP(2,1/(宏观数据!$F$148:$TN$148&lt;&gt;""),COLUMN(宏观数据!$F$148:$TN$148))-COLUMN(宏观数据!$F$148)+1-60+8)))</f>
        <v>#N/A</v>
      </c>
      <c r="J73" s="2" t="e">
        <f>IF(ISERROR(INDEX(宏观数据!$F$148:$TN$148,1,LOOKUP(2,1/(宏观数据!$F$148:$TN$148&lt;&gt;""),COLUMN(宏观数据!$F$148:$TN$148))-COLUMN(宏观数据!$F$148)+1-60+9)),NA(),IF(INDEX(宏观数据!$F$148:$TN$148,1,LOOKUP(2,1/(宏观数据!$F$148:$TN$148&lt;&gt;""),COLUMN(宏观数据!$F$148:$TN$148))-COLUMN(宏观数据!$F$148)+1-60+9)=0,NA(),INDEX(宏观数据!$F$148:$TN$148,1,LOOKUP(2,1/(宏观数据!$F$148:$TN$148&lt;&gt;""),COLUMN(宏观数据!$F$148:$TN$148))-COLUMN(宏观数据!$F$148)+1-60+9)))</f>
        <v>#N/A</v>
      </c>
      <c r="K73" s="2" t="e">
        <f>IF(ISERROR(INDEX(宏观数据!$F$148:$TN$148,1,LOOKUP(2,1/(宏观数据!$F$148:$TN$148&lt;&gt;""),COLUMN(宏观数据!$F$148:$TN$148))-COLUMN(宏观数据!$F$148)+1-60+10)),NA(),IF(INDEX(宏观数据!$F$148:$TN$148,1,LOOKUP(2,1/(宏观数据!$F$148:$TN$148&lt;&gt;""),COLUMN(宏观数据!$F$148:$TN$148))-COLUMN(宏观数据!$F$148)+1-60+10)=0,NA(),INDEX(宏观数据!$F$148:$TN$148,1,LOOKUP(2,1/(宏观数据!$F$148:$TN$148&lt;&gt;""),COLUMN(宏观数据!$F$148:$TN$148))-COLUMN(宏观数据!$F$148)+1-60+10)))</f>
        <v>#N/A</v>
      </c>
      <c r="L73" s="2" t="e">
        <f>IF(ISERROR(INDEX(宏观数据!$F$148:$TN$148,1,LOOKUP(2,1/(宏观数据!$F$148:$TN$148&lt;&gt;""),COLUMN(宏观数据!$F$148:$TN$148))-COLUMN(宏观数据!$F$148)+1-60+11)),NA(),IF(INDEX(宏观数据!$F$148:$TN$148,1,LOOKUP(2,1/(宏观数据!$F$148:$TN$148&lt;&gt;""),COLUMN(宏观数据!$F$148:$TN$148))-COLUMN(宏观数据!$F$148)+1-60+11)=0,NA(),INDEX(宏观数据!$F$148:$TN$148,1,LOOKUP(2,1/(宏观数据!$F$148:$TN$148&lt;&gt;""),COLUMN(宏观数据!$F$148:$TN$148))-COLUMN(宏观数据!$F$148)+1-60+11)))</f>
        <v>#N/A</v>
      </c>
      <c r="M73" s="2" t="e">
        <f>IF(ISERROR(INDEX(宏观数据!$F$148:$TN$148,1,LOOKUP(2,1/(宏观数据!$F$148:$TN$148&lt;&gt;""),COLUMN(宏观数据!$F$148:$TN$148))-COLUMN(宏观数据!$F$148)+1-60+12)),NA(),IF(INDEX(宏观数据!$F$148:$TN$148,1,LOOKUP(2,1/(宏观数据!$F$148:$TN$148&lt;&gt;""),COLUMN(宏观数据!$F$148:$TN$148))-COLUMN(宏观数据!$F$148)+1-60+12)=0,NA(),INDEX(宏观数据!$F$148:$TN$148,1,LOOKUP(2,1/(宏观数据!$F$148:$TN$148&lt;&gt;""),COLUMN(宏观数据!$F$148:$TN$148))-COLUMN(宏观数据!$F$148)+1-60+12)))</f>
        <v>#N/A</v>
      </c>
      <c r="N73" s="2" t="e">
        <f>IF(ISERROR(INDEX(宏观数据!$F$148:$TN$148,1,LOOKUP(2,1/(宏观数据!$F$148:$TN$148&lt;&gt;""),COLUMN(宏观数据!$F$148:$TN$148))-COLUMN(宏观数据!$F$148)+1-60+13)),NA(),IF(INDEX(宏观数据!$F$148:$TN$148,1,LOOKUP(2,1/(宏观数据!$F$148:$TN$148&lt;&gt;""),COLUMN(宏观数据!$F$148:$TN$148))-COLUMN(宏观数据!$F$148)+1-60+13)=0,NA(),INDEX(宏观数据!$F$148:$TN$148,1,LOOKUP(2,1/(宏观数据!$F$148:$TN$148&lt;&gt;""),COLUMN(宏观数据!$F$148:$TN$148))-COLUMN(宏观数据!$F$148)+1-60+13)))</f>
        <v>#N/A</v>
      </c>
      <c r="O73" s="2" t="e">
        <f>IF(ISERROR(INDEX(宏观数据!$F$148:$TN$148,1,LOOKUP(2,1/(宏观数据!$F$148:$TN$148&lt;&gt;""),COLUMN(宏观数据!$F$148:$TN$148))-COLUMN(宏观数据!$F$148)+1-60+14)),NA(),IF(INDEX(宏观数据!$F$148:$TN$148,1,LOOKUP(2,1/(宏观数据!$F$148:$TN$148&lt;&gt;""),COLUMN(宏观数据!$F$148:$TN$148))-COLUMN(宏观数据!$F$148)+1-60+14)=0,NA(),INDEX(宏观数据!$F$148:$TN$148,1,LOOKUP(2,1/(宏观数据!$F$148:$TN$148&lt;&gt;""),COLUMN(宏观数据!$F$148:$TN$148))-COLUMN(宏观数据!$F$148)+1-60+14)))</f>
        <v>#N/A</v>
      </c>
      <c r="P73" s="2" t="e">
        <f>IF(ISERROR(INDEX(宏观数据!$F$148:$TN$148,1,LOOKUP(2,1/(宏观数据!$F$148:$TN$148&lt;&gt;""),COLUMN(宏观数据!$F$148:$TN$148))-COLUMN(宏观数据!$F$148)+1-60+15)),NA(),IF(INDEX(宏观数据!$F$148:$TN$148,1,LOOKUP(2,1/(宏观数据!$F$148:$TN$148&lt;&gt;""),COLUMN(宏观数据!$F$148:$TN$148))-COLUMN(宏观数据!$F$148)+1-60+15)=0,NA(),INDEX(宏观数据!$F$148:$TN$148,1,LOOKUP(2,1/(宏观数据!$F$148:$TN$148&lt;&gt;""),COLUMN(宏观数据!$F$148:$TN$148))-COLUMN(宏观数据!$F$148)+1-60+15)))</f>
        <v>#N/A</v>
      </c>
      <c r="Q73" s="2" t="e">
        <f>IF(ISERROR(INDEX(宏观数据!$F$148:$TN$148,1,LOOKUP(2,1/(宏观数据!$F$148:$TN$148&lt;&gt;""),COLUMN(宏观数据!$F$148:$TN$148))-COLUMN(宏观数据!$F$148)+1-60+16)),NA(),IF(INDEX(宏观数据!$F$148:$TN$148,1,LOOKUP(2,1/(宏观数据!$F$148:$TN$148&lt;&gt;""),COLUMN(宏观数据!$F$148:$TN$148))-COLUMN(宏观数据!$F$148)+1-60+16)=0,NA(),INDEX(宏观数据!$F$148:$TN$148,1,LOOKUP(2,1/(宏观数据!$F$148:$TN$148&lt;&gt;""),COLUMN(宏观数据!$F$148:$TN$148))-COLUMN(宏观数据!$F$148)+1-60+16)))</f>
        <v>#N/A</v>
      </c>
      <c r="R73" s="2" t="e">
        <f>IF(ISERROR(INDEX(宏观数据!$F$148:$TN$148,1,LOOKUP(2,1/(宏观数据!$F$148:$TN$148&lt;&gt;""),COLUMN(宏观数据!$F$148:$TN$148))-COLUMN(宏观数据!$F$148)+1-60+17)),NA(),IF(INDEX(宏观数据!$F$148:$TN$148,1,LOOKUP(2,1/(宏观数据!$F$148:$TN$148&lt;&gt;""),COLUMN(宏观数据!$F$148:$TN$148))-COLUMN(宏观数据!$F$148)+1-60+17)=0,NA(),INDEX(宏观数据!$F$148:$TN$148,1,LOOKUP(2,1/(宏观数据!$F$148:$TN$148&lt;&gt;""),COLUMN(宏观数据!$F$148:$TN$148))-COLUMN(宏观数据!$F$148)+1-60+17)))</f>
        <v>#N/A</v>
      </c>
      <c r="S73" s="2" t="e">
        <f>IF(ISERROR(INDEX(宏观数据!$F$148:$TN$148,1,LOOKUP(2,1/(宏观数据!$F$148:$TN$148&lt;&gt;""),COLUMN(宏观数据!$F$148:$TN$148))-COLUMN(宏观数据!$F$148)+1-60+18)),NA(),IF(INDEX(宏观数据!$F$148:$TN$148,1,LOOKUP(2,1/(宏观数据!$F$148:$TN$148&lt;&gt;""),COLUMN(宏观数据!$F$148:$TN$148))-COLUMN(宏观数据!$F$148)+1-60+18)=0,NA(),INDEX(宏观数据!$F$148:$TN$148,1,LOOKUP(2,1/(宏观数据!$F$148:$TN$148&lt;&gt;""),COLUMN(宏观数据!$F$148:$TN$148))-COLUMN(宏观数据!$F$148)+1-60+18)))</f>
        <v>#N/A</v>
      </c>
      <c r="T73" s="2" t="e">
        <f>IF(ISERROR(INDEX(宏观数据!$F$148:$TN$148,1,LOOKUP(2,1/(宏观数据!$F$148:$TN$148&lt;&gt;""),COLUMN(宏观数据!$F$148:$TN$148))-COLUMN(宏观数据!$F$148)+1-60+19)),NA(),IF(INDEX(宏观数据!$F$148:$TN$148,1,LOOKUP(2,1/(宏观数据!$F$148:$TN$148&lt;&gt;""),COLUMN(宏观数据!$F$148:$TN$148))-COLUMN(宏观数据!$F$148)+1-60+19)=0,NA(),INDEX(宏观数据!$F$148:$TN$148,1,LOOKUP(2,1/(宏观数据!$F$148:$TN$148&lt;&gt;""),COLUMN(宏观数据!$F$148:$TN$148))-COLUMN(宏观数据!$F$148)+1-60+19)))</f>
        <v>#N/A</v>
      </c>
      <c r="U73" s="2" t="e">
        <f>IF(ISERROR(INDEX(宏观数据!$F$148:$TN$148,1,LOOKUP(2,1/(宏观数据!$F$148:$TN$148&lt;&gt;""),COLUMN(宏观数据!$F$148:$TN$148))-COLUMN(宏观数据!$F$148)+1-60+20)),NA(),IF(INDEX(宏观数据!$F$148:$TN$148,1,LOOKUP(2,1/(宏观数据!$F$148:$TN$148&lt;&gt;""),COLUMN(宏观数据!$F$148:$TN$148))-COLUMN(宏观数据!$F$148)+1-60+20)=0,NA(),INDEX(宏观数据!$F$148:$TN$148,1,LOOKUP(2,1/(宏观数据!$F$148:$TN$148&lt;&gt;""),COLUMN(宏观数据!$F$148:$TN$148))-COLUMN(宏观数据!$F$148)+1-60+20)))</f>
        <v>#N/A</v>
      </c>
      <c r="V73" s="2" t="e">
        <f>IF(ISERROR(INDEX(宏观数据!$F$148:$TN$148,1,LOOKUP(2,1/(宏观数据!$F$148:$TN$148&lt;&gt;""),COLUMN(宏观数据!$F$148:$TN$148))-COLUMN(宏观数据!$F$148)+1-60+21)),NA(),IF(INDEX(宏观数据!$F$148:$TN$148,1,LOOKUP(2,1/(宏观数据!$F$148:$TN$148&lt;&gt;""),COLUMN(宏观数据!$F$148:$TN$148))-COLUMN(宏观数据!$F$148)+1-60+21)=0,NA(),INDEX(宏观数据!$F$148:$TN$148,1,LOOKUP(2,1/(宏观数据!$F$148:$TN$148&lt;&gt;""),COLUMN(宏观数据!$F$148:$TN$148))-COLUMN(宏观数据!$F$148)+1-60+21)))</f>
        <v>#N/A</v>
      </c>
      <c r="W73" s="2" t="e">
        <f>IF(ISERROR(INDEX(宏观数据!$F$148:$TN$148,1,LOOKUP(2,1/(宏观数据!$F$148:$TN$148&lt;&gt;""),COLUMN(宏观数据!$F$148:$TN$148))-COLUMN(宏观数据!$F$148)+1-60+22)),NA(),IF(INDEX(宏观数据!$F$148:$TN$148,1,LOOKUP(2,1/(宏观数据!$F$148:$TN$148&lt;&gt;""),COLUMN(宏观数据!$F$148:$TN$148))-COLUMN(宏观数据!$F$148)+1-60+22)=0,NA(),INDEX(宏观数据!$F$148:$TN$148,1,LOOKUP(2,1/(宏观数据!$F$148:$TN$148&lt;&gt;""),COLUMN(宏观数据!$F$148:$TN$148))-COLUMN(宏观数据!$F$148)+1-60+22)))</f>
        <v>#N/A</v>
      </c>
      <c r="X73" s="2" t="e">
        <f>IF(ISERROR(INDEX(宏观数据!$F$148:$TN$148,1,LOOKUP(2,1/(宏观数据!$F$148:$TN$148&lt;&gt;""),COLUMN(宏观数据!$F$148:$TN$148))-COLUMN(宏观数据!$F$148)+1-60+23)),NA(),IF(INDEX(宏观数据!$F$148:$TN$148,1,LOOKUP(2,1/(宏观数据!$F$148:$TN$148&lt;&gt;""),COLUMN(宏观数据!$F$148:$TN$148))-COLUMN(宏观数据!$F$148)+1-60+23)=0,NA(),INDEX(宏观数据!$F$148:$TN$148,1,LOOKUP(2,1/(宏观数据!$F$148:$TN$148&lt;&gt;""),COLUMN(宏观数据!$F$148:$TN$148))-COLUMN(宏观数据!$F$148)+1-60+23)))</f>
        <v>#N/A</v>
      </c>
      <c r="Y73" s="2" t="e">
        <f>IF(ISERROR(INDEX(宏观数据!$F$148:$TN$148,1,LOOKUP(2,1/(宏观数据!$F$148:$TN$148&lt;&gt;""),COLUMN(宏观数据!$F$148:$TN$148))-COLUMN(宏观数据!$F$148)+1-60+24)),NA(),IF(INDEX(宏观数据!$F$148:$TN$148,1,LOOKUP(2,1/(宏观数据!$F$148:$TN$148&lt;&gt;""),COLUMN(宏观数据!$F$148:$TN$148))-COLUMN(宏观数据!$F$148)+1-60+24)=0,NA(),INDEX(宏观数据!$F$148:$TN$148,1,LOOKUP(2,1/(宏观数据!$F$148:$TN$148&lt;&gt;""),COLUMN(宏观数据!$F$148:$TN$148))-COLUMN(宏观数据!$F$148)+1-60+24)))</f>
        <v>#N/A</v>
      </c>
      <c r="Z73" s="2" t="e">
        <f>IF(ISERROR(INDEX(宏观数据!$F$148:$TN$148,1,LOOKUP(2,1/(宏观数据!$F$148:$TN$148&lt;&gt;""),COLUMN(宏观数据!$F$148:$TN$148))-COLUMN(宏观数据!$F$148)+1-60+25)),NA(),IF(INDEX(宏观数据!$F$148:$TN$148,1,LOOKUP(2,1/(宏观数据!$F$148:$TN$148&lt;&gt;""),COLUMN(宏观数据!$F$148:$TN$148))-COLUMN(宏观数据!$F$148)+1-60+25)=0,NA(),INDEX(宏观数据!$F$148:$TN$148,1,LOOKUP(2,1/(宏观数据!$F$148:$TN$148&lt;&gt;""),COLUMN(宏观数据!$F$148:$TN$148))-COLUMN(宏观数据!$F$148)+1-60+25)))</f>
        <v>#N/A</v>
      </c>
      <c r="AA73" s="2" t="e">
        <f>IF(ISERROR(INDEX(宏观数据!$F$148:$TN$148,1,LOOKUP(2,1/(宏观数据!$F$148:$TN$148&lt;&gt;""),COLUMN(宏观数据!$F$148:$TN$148))-COLUMN(宏观数据!$F$148)+1-60+26)),NA(),IF(INDEX(宏观数据!$F$148:$TN$148,1,LOOKUP(2,1/(宏观数据!$F$148:$TN$148&lt;&gt;""),COLUMN(宏观数据!$F$148:$TN$148))-COLUMN(宏观数据!$F$148)+1-60+26)=0,NA(),INDEX(宏观数据!$F$148:$TN$148,1,LOOKUP(2,1/(宏观数据!$F$148:$TN$148&lt;&gt;""),COLUMN(宏观数据!$F$148:$TN$148))-COLUMN(宏观数据!$F$148)+1-60+26)))</f>
        <v>#N/A</v>
      </c>
      <c r="AB73" s="2" t="e">
        <f>IF(ISERROR(INDEX(宏观数据!$F$148:$TN$148,1,LOOKUP(2,1/(宏观数据!$F$148:$TN$148&lt;&gt;""),COLUMN(宏观数据!$F$148:$TN$148))-COLUMN(宏观数据!$F$148)+1-60+27)),NA(),IF(INDEX(宏观数据!$F$148:$TN$148,1,LOOKUP(2,1/(宏观数据!$F$148:$TN$148&lt;&gt;""),COLUMN(宏观数据!$F$148:$TN$148))-COLUMN(宏观数据!$F$148)+1-60+27)=0,NA(),INDEX(宏观数据!$F$148:$TN$148,1,LOOKUP(2,1/(宏观数据!$F$148:$TN$148&lt;&gt;""),COLUMN(宏观数据!$F$148:$TN$148))-COLUMN(宏观数据!$F$148)+1-60+27)))</f>
        <v>#N/A</v>
      </c>
      <c r="AC73" s="2" t="e">
        <f>IF(ISERROR(INDEX(宏观数据!$F$148:$TN$148,1,LOOKUP(2,1/(宏观数据!$F$148:$TN$148&lt;&gt;""),COLUMN(宏观数据!$F$148:$TN$148))-COLUMN(宏观数据!$F$148)+1-60+28)),NA(),IF(INDEX(宏观数据!$F$148:$TN$148,1,LOOKUP(2,1/(宏观数据!$F$148:$TN$148&lt;&gt;""),COLUMN(宏观数据!$F$148:$TN$148))-COLUMN(宏观数据!$F$148)+1-60+28)=0,NA(),INDEX(宏观数据!$F$148:$TN$148,1,LOOKUP(2,1/(宏观数据!$F$148:$TN$148&lt;&gt;""),COLUMN(宏观数据!$F$148:$TN$148))-COLUMN(宏观数据!$F$148)+1-60+28)))</f>
        <v>#N/A</v>
      </c>
      <c r="AD73" s="2">
        <f>IF(ISERROR(INDEX(宏观数据!$F$148:$TN$148,1,LOOKUP(2,1/(宏观数据!$F$148:$TN$148&lt;&gt;""),COLUMN(宏观数据!$F$148:$TN$148))-COLUMN(宏观数据!$F$148)+1-60+29)),NA(),IF(INDEX(宏观数据!$F$148:$TN$148,1,LOOKUP(2,1/(宏观数据!$F$148:$TN$148&lt;&gt;""),COLUMN(宏观数据!$F$148:$TN$148))-COLUMN(宏观数据!$F$148)+1-60+29)=0,NA(),INDEX(宏观数据!$F$148:$TN$148,1,LOOKUP(2,1/(宏观数据!$F$148:$TN$148&lt;&gt;""),COLUMN(宏观数据!$F$148:$TN$148))-COLUMN(宏观数据!$F$148)+1-60+29)))</f>
        <v>2.7</v>
      </c>
      <c r="AE73" s="2" t="e">
        <f>IF(ISERROR(INDEX(宏观数据!$F$148:$TN$148,1,LOOKUP(2,1/(宏观数据!$F$148:$TN$148&lt;&gt;""),COLUMN(宏观数据!$F$148:$TN$148))-COLUMN(宏观数据!$F$148)+1-60+30)),NA(),IF(INDEX(宏观数据!$F$148:$TN$148,1,LOOKUP(2,1/(宏观数据!$F$148:$TN$148&lt;&gt;""),COLUMN(宏观数据!$F$148:$TN$148))-COLUMN(宏观数据!$F$148)+1-60+30)=0,NA(),INDEX(宏观数据!$F$148:$TN$148,1,LOOKUP(2,1/(宏观数据!$F$148:$TN$148&lt;&gt;""),COLUMN(宏观数据!$F$148:$TN$148))-COLUMN(宏观数据!$F$148)+1-60+30)))</f>
        <v>#N/A</v>
      </c>
      <c r="AF73" s="2" t="e">
        <f>IF(ISERROR(INDEX(宏观数据!$F$148:$TN$148,1,LOOKUP(2,1/(宏观数据!$F$148:$TN$148&lt;&gt;""),COLUMN(宏观数据!$F$148:$TN$148))-COLUMN(宏观数据!$F$148)+1-60+31)),NA(),IF(INDEX(宏观数据!$F$148:$TN$148,1,LOOKUP(2,1/(宏观数据!$F$148:$TN$148&lt;&gt;""),COLUMN(宏观数据!$F$148:$TN$148))-COLUMN(宏观数据!$F$148)+1-60+31)=0,NA(),INDEX(宏观数据!$F$148:$TN$148,1,LOOKUP(2,1/(宏观数据!$F$148:$TN$148&lt;&gt;""),COLUMN(宏观数据!$F$148:$TN$148))-COLUMN(宏观数据!$F$148)+1-60+31)))</f>
        <v>#N/A</v>
      </c>
      <c r="AG73" s="2" t="e">
        <f>IF(ISERROR(INDEX(宏观数据!$F$148:$TN$148,1,LOOKUP(2,1/(宏观数据!$F$148:$TN$148&lt;&gt;""),COLUMN(宏观数据!$F$148:$TN$148))-COLUMN(宏观数据!$F$148)+1-60+32)),NA(),IF(INDEX(宏观数据!$F$148:$TN$148,1,LOOKUP(2,1/(宏观数据!$F$148:$TN$148&lt;&gt;""),COLUMN(宏观数据!$F$148:$TN$148))-COLUMN(宏观数据!$F$148)+1-60+32)=0,NA(),INDEX(宏观数据!$F$148:$TN$148,1,LOOKUP(2,1/(宏观数据!$F$148:$TN$148&lt;&gt;""),COLUMN(宏观数据!$F$148:$TN$148))-COLUMN(宏观数据!$F$148)+1-60+32)))</f>
        <v>#N/A</v>
      </c>
      <c r="AH73" s="2" t="e">
        <f>IF(ISERROR(INDEX(宏观数据!$F$148:$TN$148,1,LOOKUP(2,1/(宏观数据!$F$148:$TN$148&lt;&gt;""),COLUMN(宏观数据!$F$148:$TN$148))-COLUMN(宏观数据!$F$148)+1-60+33)),NA(),IF(INDEX(宏观数据!$F$148:$TN$148,1,LOOKUP(2,1/(宏观数据!$F$148:$TN$148&lt;&gt;""),COLUMN(宏观数据!$F$148:$TN$148))-COLUMN(宏观数据!$F$148)+1-60+33)=0,NA(),INDEX(宏观数据!$F$148:$TN$148,1,LOOKUP(2,1/(宏观数据!$F$148:$TN$148&lt;&gt;""),COLUMN(宏观数据!$F$148:$TN$148))-COLUMN(宏观数据!$F$148)+1-60+33)))</f>
        <v>#N/A</v>
      </c>
      <c r="AI73" s="2" t="e">
        <f>IF(ISERROR(INDEX(宏观数据!$F$148:$TN$148,1,LOOKUP(2,1/(宏观数据!$F$148:$TN$148&lt;&gt;""),COLUMN(宏观数据!$F$148:$TN$148))-COLUMN(宏观数据!$F$148)+1-60+34)),NA(),IF(INDEX(宏观数据!$F$148:$TN$148,1,LOOKUP(2,1/(宏观数据!$F$148:$TN$148&lt;&gt;""),COLUMN(宏观数据!$F$148:$TN$148))-COLUMN(宏观数据!$F$148)+1-60+34)=0,NA(),INDEX(宏观数据!$F$148:$TN$148,1,LOOKUP(2,1/(宏观数据!$F$148:$TN$148&lt;&gt;""),COLUMN(宏观数据!$F$148:$TN$148))-COLUMN(宏观数据!$F$148)+1-60+34)))</f>
        <v>#N/A</v>
      </c>
      <c r="AJ73" s="2" t="e">
        <f>IF(ISERROR(INDEX(宏观数据!$F$148:$TN$148,1,LOOKUP(2,1/(宏观数据!$F$148:$TN$148&lt;&gt;""),COLUMN(宏观数据!$F$148:$TN$148))-COLUMN(宏观数据!$F$148)+1-60+35)),NA(),IF(INDEX(宏观数据!$F$148:$TN$148,1,LOOKUP(2,1/(宏观数据!$F$148:$TN$148&lt;&gt;""),COLUMN(宏观数据!$F$148:$TN$148))-COLUMN(宏观数据!$F$148)+1-60+35)=0,NA(),INDEX(宏观数据!$F$148:$TN$148,1,LOOKUP(2,1/(宏观数据!$F$148:$TN$148&lt;&gt;""),COLUMN(宏观数据!$F$148:$TN$148))-COLUMN(宏观数据!$F$148)+1-60+35)))</f>
        <v>#N/A</v>
      </c>
      <c r="AK73" s="2" t="e">
        <f>IF(ISERROR(INDEX(宏观数据!$F$148:$TN$148,1,LOOKUP(2,1/(宏观数据!$F$148:$TN$148&lt;&gt;""),COLUMN(宏观数据!$F$148:$TN$148))-COLUMN(宏观数据!$F$148)+1-60+36)),NA(),IF(INDEX(宏观数据!$F$148:$TN$148,1,LOOKUP(2,1/(宏观数据!$F$148:$TN$148&lt;&gt;""),COLUMN(宏观数据!$F$148:$TN$148))-COLUMN(宏观数据!$F$148)+1-60+36)=0,NA(),INDEX(宏观数据!$F$148:$TN$148,1,LOOKUP(2,1/(宏观数据!$F$148:$TN$148&lt;&gt;""),COLUMN(宏观数据!$F$148:$TN$148))-COLUMN(宏观数据!$F$148)+1-60+36)))</f>
        <v>#N/A</v>
      </c>
      <c r="AL73" s="2" t="e">
        <f>IF(ISERROR(INDEX(宏观数据!$F$148:$TN$148,1,LOOKUP(2,1/(宏观数据!$F$148:$TN$148&lt;&gt;""),COLUMN(宏观数据!$F$148:$TN$148))-COLUMN(宏观数据!$F$148)+1-60+37)),NA(),IF(INDEX(宏观数据!$F$148:$TN$148,1,LOOKUP(2,1/(宏观数据!$F$148:$TN$148&lt;&gt;""),COLUMN(宏观数据!$F$148:$TN$148))-COLUMN(宏观数据!$F$148)+1-60+37)=0,NA(),INDEX(宏观数据!$F$148:$TN$148,1,LOOKUP(2,1/(宏观数据!$F$148:$TN$148&lt;&gt;""),COLUMN(宏观数据!$F$148:$TN$148))-COLUMN(宏观数据!$F$148)+1-60+37)))</f>
        <v>#N/A</v>
      </c>
      <c r="AM73" s="2" t="e">
        <f>IF(ISERROR(INDEX(宏观数据!$F$148:$TN$148,1,LOOKUP(2,1/(宏观数据!$F$148:$TN$148&lt;&gt;""),COLUMN(宏观数据!$F$148:$TN$148))-COLUMN(宏观数据!$F$148)+1-60+38)),NA(),IF(INDEX(宏观数据!$F$148:$TN$148,1,LOOKUP(2,1/(宏观数据!$F$148:$TN$148&lt;&gt;""),COLUMN(宏观数据!$F$148:$TN$148))-COLUMN(宏观数据!$F$148)+1-60+38)=0,NA(),INDEX(宏观数据!$F$148:$TN$148,1,LOOKUP(2,1/(宏观数据!$F$148:$TN$148&lt;&gt;""),COLUMN(宏观数据!$F$148:$TN$148))-COLUMN(宏观数据!$F$148)+1-60+38)))</f>
        <v>#N/A</v>
      </c>
      <c r="AN73" s="2" t="e">
        <f>IF(ISERROR(INDEX(宏观数据!$F$148:$TN$148,1,LOOKUP(2,1/(宏观数据!$F$148:$TN$148&lt;&gt;""),COLUMN(宏观数据!$F$148:$TN$148))-COLUMN(宏观数据!$F$148)+1-60+39)),NA(),IF(INDEX(宏观数据!$F$148:$TN$148,1,LOOKUP(2,1/(宏观数据!$F$148:$TN$148&lt;&gt;""),COLUMN(宏观数据!$F$148:$TN$148))-COLUMN(宏观数据!$F$148)+1-60+39)=0,NA(),INDEX(宏观数据!$F$148:$TN$148,1,LOOKUP(2,1/(宏观数据!$F$148:$TN$148&lt;&gt;""),COLUMN(宏观数据!$F$148:$TN$148))-COLUMN(宏观数据!$F$148)+1-60+39)))</f>
        <v>#N/A</v>
      </c>
      <c r="AO73" s="2" t="e">
        <f>IF(ISERROR(INDEX(宏观数据!$F$148:$TN$148,1,LOOKUP(2,1/(宏观数据!$F$148:$TN$148&lt;&gt;""),COLUMN(宏观数据!$F$148:$TN$148))-COLUMN(宏观数据!$F$148)+1-60+40)),NA(),IF(INDEX(宏观数据!$F$148:$TN$148,1,LOOKUP(2,1/(宏观数据!$F$148:$TN$148&lt;&gt;""),COLUMN(宏观数据!$F$148:$TN$148))-COLUMN(宏观数据!$F$148)+1-60+40)=0,NA(),INDEX(宏观数据!$F$148:$TN$148,1,LOOKUP(2,1/(宏观数据!$F$148:$TN$148&lt;&gt;""),COLUMN(宏观数据!$F$148:$TN$148))-COLUMN(宏观数据!$F$148)+1-60+40)))</f>
        <v>#N/A</v>
      </c>
      <c r="AP73" s="2" t="e">
        <f>IF(ISERROR(INDEX(宏观数据!$F$148:$TN$148,1,LOOKUP(2,1/(宏观数据!$F$148:$TN$148&lt;&gt;""),COLUMN(宏观数据!$F$148:$TN$148))-COLUMN(宏观数据!$F$148)+1-60+41)),NA(),IF(INDEX(宏观数据!$F$148:$TN$148,1,LOOKUP(2,1/(宏观数据!$F$148:$TN$148&lt;&gt;""),COLUMN(宏观数据!$F$148:$TN$148))-COLUMN(宏观数据!$F$148)+1-60+41)=0,NA(),INDEX(宏观数据!$F$148:$TN$148,1,LOOKUP(2,1/(宏观数据!$F$148:$TN$148&lt;&gt;""),COLUMN(宏观数据!$F$148:$TN$148))-COLUMN(宏观数据!$F$148)+1-60+41)))</f>
        <v>#N/A</v>
      </c>
      <c r="AQ73" s="2" t="e">
        <f>IF(ISERROR(INDEX(宏观数据!$F$148:$TN$148,1,LOOKUP(2,1/(宏观数据!$F$148:$TN$148&lt;&gt;""),COLUMN(宏观数据!$F$148:$TN$148))-COLUMN(宏观数据!$F$148)+1-60+42)),NA(),IF(INDEX(宏观数据!$F$148:$TN$148,1,LOOKUP(2,1/(宏观数据!$F$148:$TN$148&lt;&gt;""),COLUMN(宏观数据!$F$148:$TN$148))-COLUMN(宏观数据!$F$148)+1-60+42)=0,NA(),INDEX(宏观数据!$F$148:$TN$148,1,LOOKUP(2,1/(宏观数据!$F$148:$TN$148&lt;&gt;""),COLUMN(宏观数据!$F$148:$TN$148))-COLUMN(宏观数据!$F$148)+1-60+42)))</f>
        <v>#N/A</v>
      </c>
      <c r="AR73" s="2" t="e">
        <f>IF(ISERROR(INDEX(宏观数据!$F$148:$TN$148,1,LOOKUP(2,1/(宏观数据!$F$148:$TN$148&lt;&gt;""),COLUMN(宏观数据!$F$148:$TN$148))-COLUMN(宏观数据!$F$148)+1-60+43)),NA(),IF(INDEX(宏观数据!$F$148:$TN$148,1,LOOKUP(2,1/(宏观数据!$F$148:$TN$148&lt;&gt;""),COLUMN(宏观数据!$F$148:$TN$148))-COLUMN(宏观数据!$F$148)+1-60+43)=0,NA(),INDEX(宏观数据!$F$148:$TN$148,1,LOOKUP(2,1/(宏观数据!$F$148:$TN$148&lt;&gt;""),COLUMN(宏观数据!$F$148:$TN$148))-COLUMN(宏观数据!$F$148)+1-60+43)))</f>
        <v>#N/A</v>
      </c>
      <c r="AS73" s="2" t="e">
        <f>IF(ISERROR(INDEX(宏观数据!$F$148:$TN$148,1,LOOKUP(2,1/(宏观数据!$F$148:$TN$148&lt;&gt;""),COLUMN(宏观数据!$F$148:$TN$148))-COLUMN(宏观数据!$F$148)+1-60+44)),NA(),IF(INDEX(宏观数据!$F$148:$TN$148,1,LOOKUP(2,1/(宏观数据!$F$148:$TN$148&lt;&gt;""),COLUMN(宏观数据!$F$148:$TN$148))-COLUMN(宏观数据!$F$148)+1-60+44)=0,NA(),INDEX(宏观数据!$F$148:$TN$148,1,LOOKUP(2,1/(宏观数据!$F$148:$TN$148&lt;&gt;""),COLUMN(宏观数据!$F$148:$TN$148))-COLUMN(宏观数据!$F$148)+1-60+44)))</f>
        <v>#N/A</v>
      </c>
      <c r="AT73" s="2" t="e">
        <f>IF(ISERROR(INDEX(宏观数据!$F$148:$TN$148,1,LOOKUP(2,1/(宏观数据!$F$148:$TN$148&lt;&gt;""),COLUMN(宏观数据!$F$148:$TN$148))-COLUMN(宏观数据!$F$148)+1-60+45)),NA(),IF(INDEX(宏观数据!$F$148:$TN$148,1,LOOKUP(2,1/(宏观数据!$F$148:$TN$148&lt;&gt;""),COLUMN(宏观数据!$F$148:$TN$148))-COLUMN(宏观数据!$F$148)+1-60+45)=0,NA(),INDEX(宏观数据!$F$148:$TN$148,1,LOOKUP(2,1/(宏观数据!$F$148:$TN$148&lt;&gt;""),COLUMN(宏观数据!$F$148:$TN$148))-COLUMN(宏观数据!$F$148)+1-60+45)))</f>
        <v>#N/A</v>
      </c>
      <c r="AU73" s="2" t="e">
        <f>IF(ISERROR(INDEX(宏观数据!$F$148:$TN$148,1,LOOKUP(2,1/(宏观数据!$F$148:$TN$148&lt;&gt;""),COLUMN(宏观数据!$F$148:$TN$148))-COLUMN(宏观数据!$F$148)+1-60+46)),NA(),IF(INDEX(宏观数据!$F$148:$TN$148,1,LOOKUP(2,1/(宏观数据!$F$148:$TN$148&lt;&gt;""),COLUMN(宏观数据!$F$148:$TN$148))-COLUMN(宏观数据!$F$148)+1-60+46)=0,NA(),INDEX(宏观数据!$F$148:$TN$148,1,LOOKUP(2,1/(宏观数据!$F$148:$TN$148&lt;&gt;""),COLUMN(宏观数据!$F$148:$TN$148))-COLUMN(宏观数据!$F$148)+1-60+46)))</f>
        <v>#N/A</v>
      </c>
      <c r="AV73" s="2" t="e">
        <f>IF(ISERROR(INDEX(宏观数据!$F$148:$TN$148,1,LOOKUP(2,1/(宏观数据!$F$148:$TN$148&lt;&gt;""),COLUMN(宏观数据!$F$148:$TN$148))-COLUMN(宏观数据!$F$148)+1-60+47)),NA(),IF(INDEX(宏观数据!$F$148:$TN$148,1,LOOKUP(2,1/(宏观数据!$F$148:$TN$148&lt;&gt;""),COLUMN(宏观数据!$F$148:$TN$148))-COLUMN(宏观数据!$F$148)+1-60+47)=0,NA(),INDEX(宏观数据!$F$148:$TN$148,1,LOOKUP(2,1/(宏观数据!$F$148:$TN$148&lt;&gt;""),COLUMN(宏观数据!$F$148:$TN$148))-COLUMN(宏观数据!$F$148)+1-60+47)))</f>
        <v>#N/A</v>
      </c>
      <c r="AW73" s="2" t="e">
        <f>IF(ISERROR(INDEX(宏观数据!$F$148:$TN$148,1,LOOKUP(2,1/(宏观数据!$F$148:$TN$148&lt;&gt;""),COLUMN(宏观数据!$F$148:$TN$148))-COLUMN(宏观数据!$F$148)+1-60+48)),NA(),IF(INDEX(宏观数据!$F$148:$TN$148,1,LOOKUP(2,1/(宏观数据!$F$148:$TN$148&lt;&gt;""),COLUMN(宏观数据!$F$148:$TN$148))-COLUMN(宏观数据!$F$148)+1-60+48)=0,NA(),INDEX(宏观数据!$F$148:$TN$148,1,LOOKUP(2,1/(宏观数据!$F$148:$TN$148&lt;&gt;""),COLUMN(宏观数据!$F$148:$TN$148))-COLUMN(宏观数据!$F$148)+1-60+48)))</f>
        <v>#N/A</v>
      </c>
      <c r="AX73" s="2" t="e">
        <f>IF(ISERROR(INDEX(宏观数据!$F$148:$TN$148,1,LOOKUP(2,1/(宏观数据!$F$148:$TN$148&lt;&gt;""),COLUMN(宏观数据!$F$148:$TN$148))-COLUMN(宏观数据!$F$148)+1-60+49)),NA(),IF(INDEX(宏观数据!$F$148:$TN$148,1,LOOKUP(2,1/(宏观数据!$F$148:$TN$148&lt;&gt;""),COLUMN(宏观数据!$F$148:$TN$148))-COLUMN(宏观数据!$F$148)+1-60+49)=0,NA(),INDEX(宏观数据!$F$148:$TN$148,1,LOOKUP(2,1/(宏观数据!$F$148:$TN$148&lt;&gt;""),COLUMN(宏观数据!$F$148:$TN$148))-COLUMN(宏观数据!$F$148)+1-60+49)))</f>
        <v>#N/A</v>
      </c>
      <c r="AY73" s="2" t="e">
        <f>IF(ISERROR(INDEX(宏观数据!$F$148:$TN$148,1,LOOKUP(2,1/(宏观数据!$F$148:$TN$148&lt;&gt;""),COLUMN(宏观数据!$F$148:$TN$148))-COLUMN(宏观数据!$F$148)+1-60+50)),NA(),IF(INDEX(宏观数据!$F$148:$TN$148,1,LOOKUP(2,1/(宏观数据!$F$148:$TN$148&lt;&gt;""),COLUMN(宏观数据!$F$148:$TN$148))-COLUMN(宏观数据!$F$148)+1-60+50)=0,NA(),INDEX(宏观数据!$F$148:$TN$148,1,LOOKUP(2,1/(宏观数据!$F$148:$TN$148&lt;&gt;""),COLUMN(宏观数据!$F$148:$TN$148))-COLUMN(宏观数据!$F$148)+1-60+50)))</f>
        <v>#N/A</v>
      </c>
      <c r="AZ73" s="2" t="e">
        <f>IF(ISERROR(INDEX(宏观数据!$F$148:$TN$148,1,LOOKUP(2,1/(宏观数据!$F$148:$TN$148&lt;&gt;""),COLUMN(宏观数据!$F$148:$TN$148))-COLUMN(宏观数据!$F$148)+1-60+51)),NA(),IF(INDEX(宏观数据!$F$148:$TN$148,1,LOOKUP(2,1/(宏观数据!$F$148:$TN$148&lt;&gt;""),COLUMN(宏观数据!$F$148:$TN$148))-COLUMN(宏观数据!$F$148)+1-60+51)=0,NA(),INDEX(宏观数据!$F$148:$TN$148,1,LOOKUP(2,1/(宏观数据!$F$148:$TN$148&lt;&gt;""),COLUMN(宏观数据!$F$148:$TN$148))-COLUMN(宏观数据!$F$148)+1-60+51)))</f>
        <v>#N/A</v>
      </c>
      <c r="BA73" s="2" t="e">
        <f>IF(ISERROR(INDEX(宏观数据!$F$148:$TN$148,1,LOOKUP(2,1/(宏观数据!$F$148:$TN$148&lt;&gt;""),COLUMN(宏观数据!$F$148:$TN$148))-COLUMN(宏观数据!$F$148)+1-60+52)),NA(),IF(INDEX(宏观数据!$F$148:$TN$148,1,LOOKUP(2,1/(宏观数据!$F$148:$TN$148&lt;&gt;""),COLUMN(宏观数据!$F$148:$TN$148))-COLUMN(宏观数据!$F$148)+1-60+52)=0,NA(),INDEX(宏观数据!$F$148:$TN$148,1,LOOKUP(2,1/(宏观数据!$F$148:$TN$148&lt;&gt;""),COLUMN(宏观数据!$F$148:$TN$148))-COLUMN(宏观数据!$F$148)+1-60+52)))</f>
        <v>#N/A</v>
      </c>
      <c r="BB73" s="2" t="e">
        <f>IF(ISERROR(INDEX(宏观数据!$F$148:$TN$148,1,LOOKUP(2,1/(宏观数据!$F$148:$TN$148&lt;&gt;""),COLUMN(宏观数据!$F$148:$TN$148))-COLUMN(宏观数据!$F$148)+1-60+53)),NA(),IF(INDEX(宏观数据!$F$148:$TN$148,1,LOOKUP(2,1/(宏观数据!$F$148:$TN$148&lt;&gt;""),COLUMN(宏观数据!$F$148:$TN$148))-COLUMN(宏观数据!$F$148)+1-60+53)=0,NA(),INDEX(宏观数据!$F$148:$TN$148,1,LOOKUP(2,1/(宏观数据!$F$148:$TN$148&lt;&gt;""),COLUMN(宏观数据!$F$148:$TN$148))-COLUMN(宏观数据!$F$148)+1-60+53)))</f>
        <v>#N/A</v>
      </c>
      <c r="BC73" s="2" t="e">
        <f>IF(ISERROR(INDEX(宏观数据!$F$148:$TN$148,1,LOOKUP(2,1/(宏观数据!$F$148:$TN$148&lt;&gt;""),COLUMN(宏观数据!$F$148:$TN$148))-COLUMN(宏观数据!$F$148)+1-60+54)),NA(),IF(INDEX(宏观数据!$F$148:$TN$148,1,LOOKUP(2,1/(宏观数据!$F$148:$TN$148&lt;&gt;""),COLUMN(宏观数据!$F$148:$TN$148))-COLUMN(宏观数据!$F$148)+1-60+54)=0,NA(),INDEX(宏观数据!$F$148:$TN$148,1,LOOKUP(2,1/(宏观数据!$F$148:$TN$148&lt;&gt;""),COLUMN(宏观数据!$F$148:$TN$148))-COLUMN(宏观数据!$F$148)+1-60+54)))</f>
        <v>#N/A</v>
      </c>
      <c r="BD73" s="2" t="e">
        <f>IF(ISERROR(INDEX(宏观数据!$F$148:$TN$148,1,LOOKUP(2,1/(宏观数据!$F$148:$TN$148&lt;&gt;""),COLUMN(宏观数据!$F$148:$TN$148))-COLUMN(宏观数据!$F$148)+1-60+55)),NA(),IF(INDEX(宏观数据!$F$148:$TN$148,1,LOOKUP(2,1/(宏观数据!$F$148:$TN$148&lt;&gt;""),COLUMN(宏观数据!$F$148:$TN$148))-COLUMN(宏观数据!$F$148)+1-60+55)=0,NA(),INDEX(宏观数据!$F$148:$TN$148,1,LOOKUP(2,1/(宏观数据!$F$148:$TN$148&lt;&gt;""),COLUMN(宏观数据!$F$148:$TN$148))-COLUMN(宏观数据!$F$148)+1-60+55)))</f>
        <v>#N/A</v>
      </c>
      <c r="BE73" s="2" t="e">
        <f>IF(ISERROR(INDEX(宏观数据!$F$148:$TN$148,1,LOOKUP(2,1/(宏观数据!$F$148:$TN$148&lt;&gt;""),COLUMN(宏观数据!$F$148:$TN$148))-COLUMN(宏观数据!$F$148)+1-60+56)),NA(),IF(INDEX(宏观数据!$F$148:$TN$148,1,LOOKUP(2,1/(宏观数据!$F$148:$TN$148&lt;&gt;""),COLUMN(宏观数据!$F$148:$TN$148))-COLUMN(宏观数据!$F$148)+1-60+56)=0,NA(),INDEX(宏观数据!$F$148:$TN$148,1,LOOKUP(2,1/(宏观数据!$F$148:$TN$148&lt;&gt;""),COLUMN(宏观数据!$F$148:$TN$148))-COLUMN(宏观数据!$F$148)+1-60+56)))</f>
        <v>#N/A</v>
      </c>
      <c r="BF73" s="2" t="e">
        <f>IF(ISERROR(INDEX(宏观数据!$F$148:$TN$148,1,LOOKUP(2,1/(宏观数据!$F$148:$TN$148&lt;&gt;""),COLUMN(宏观数据!$F$148:$TN$148))-COLUMN(宏观数据!$F$148)+1-60+57)),NA(),IF(INDEX(宏观数据!$F$148:$TN$148,1,LOOKUP(2,1/(宏观数据!$F$148:$TN$148&lt;&gt;""),COLUMN(宏观数据!$F$148:$TN$148))-COLUMN(宏观数据!$F$148)+1-60+57)=0,NA(),INDEX(宏观数据!$F$148:$TN$148,1,LOOKUP(2,1/(宏观数据!$F$148:$TN$148&lt;&gt;""),COLUMN(宏观数据!$F$148:$TN$148))-COLUMN(宏观数据!$F$148)+1-60+57)))</f>
        <v>#N/A</v>
      </c>
      <c r="BG73" s="2" t="e">
        <f>IF(ISERROR(INDEX(宏观数据!$F$148:$TN$148,1,LOOKUP(2,1/(宏观数据!$F$148:$TN$148&lt;&gt;""),COLUMN(宏观数据!$F$148:$TN$148))-COLUMN(宏观数据!$F$148)+1-60+58)),NA(),IF(INDEX(宏观数据!$F$148:$TN$148,1,LOOKUP(2,1/(宏观数据!$F$148:$TN$148&lt;&gt;""),COLUMN(宏观数据!$F$148:$TN$148))-COLUMN(宏观数据!$F$148)+1-60+58)=0,NA(),INDEX(宏观数据!$F$148:$TN$148,1,LOOKUP(2,1/(宏观数据!$F$148:$TN$148&lt;&gt;""),COLUMN(宏观数据!$F$148:$TN$148))-COLUMN(宏观数据!$F$148)+1-60+58)))</f>
        <v>#N/A</v>
      </c>
      <c r="BH73" s="2" t="e">
        <f>IF(ISERROR(INDEX(宏观数据!$F$148:$TN$148,1,LOOKUP(2,1/(宏观数据!$F$148:$TN$148&lt;&gt;""),COLUMN(宏观数据!$F$148:$TN$148))-COLUMN(宏观数据!$F$148)+1-60+59)),NA(),IF(INDEX(宏观数据!$F$148:$TN$148,1,LOOKUP(2,1/(宏观数据!$F$148:$TN$148&lt;&gt;""),COLUMN(宏观数据!$F$148:$TN$148))-COLUMN(宏观数据!$F$148)+1-60+59)=0,NA(),INDEX(宏观数据!$F$148:$TN$148,1,LOOKUP(2,1/(宏观数据!$F$148:$TN$148&lt;&gt;""),COLUMN(宏观数据!$F$148:$TN$148))-COLUMN(宏观数据!$F$148)+1-60+59)))</f>
        <v>#N/A</v>
      </c>
      <c r="BI73">
        <f>IF(ISERROR(INDEX(宏观数据!$F$148:$TN$148,1,LOOKUP(2,1/(宏观数据!$F$148:$TN$148&lt;&gt;""),COLUMN(宏观数据!$F$148:$TN$148))-COLUMN(宏观数据!$F$148)+1-60+60)),NA(),IF(INDEX(宏观数据!$F$148:$TN$148,1,LOOKUP(2,1/(宏观数据!$F$148:$TN$148&lt;&gt;""),COLUMN(宏观数据!$F$148:$TN$148))-COLUMN(宏观数据!$F$148)+1-60+60)=0,NA(),INDEX(宏观数据!$F$148:$TN$148,1,LOOKUP(2,1/(宏观数据!$F$148:$TN$148&lt;&gt;""),COLUMN(宏观数据!$F$148:$TN$148))-COLUMN(宏观数据!$F$148)+1-60+60)))</f>
        <v>2.8</v>
      </c>
    </row>
    <row r="74" ht="15" customHeight="1" spans="1:61">
      <c r="A74" s="1" t="s">
        <v>393</v>
      </c>
      <c r="B74" s="2" t="e">
        <f>IF(ISERROR(INDEX(宏观数据!$F$149:$TN$149,1,LOOKUP(2,1/(宏观数据!$F$149:$TN$149&lt;&gt;""),COLUMN(宏观数据!$F$149:$TN$149))-COLUMN(宏观数据!$F$149)+1-60+1)),NA(),IF(INDEX(宏观数据!$F$149:$TN$149,1,LOOKUP(2,1/(宏观数据!$F$149:$TN$149&lt;&gt;""),COLUMN(宏观数据!$F$149:$TN$149))-COLUMN(宏观数据!$F$149)+1-60+1)=0,NA(),INDEX(宏观数据!$F$149:$TN$149,1,LOOKUP(2,1/(宏观数据!$F$149:$TN$149&lt;&gt;""),COLUMN(宏观数据!$F$149:$TN$149))-COLUMN(宏观数据!$F$149)+1-60+1)))</f>
        <v>#N/A</v>
      </c>
      <c r="C74" s="2" t="e">
        <f>IF(ISERROR(INDEX(宏观数据!$F$149:$TN$149,1,LOOKUP(2,1/(宏观数据!$F$149:$TN$149&lt;&gt;""),COLUMN(宏观数据!$F$149:$TN$149))-COLUMN(宏观数据!$F$149)+1-60+2)),NA(),IF(INDEX(宏观数据!$F$149:$TN$149,1,LOOKUP(2,1/(宏观数据!$F$149:$TN$149&lt;&gt;""),COLUMN(宏观数据!$F$149:$TN$149))-COLUMN(宏观数据!$F$149)+1-60+2)=0,NA(),INDEX(宏观数据!$F$149:$TN$149,1,LOOKUP(2,1/(宏观数据!$F$149:$TN$149&lt;&gt;""),COLUMN(宏观数据!$F$149:$TN$149))-COLUMN(宏观数据!$F$149)+1-60+2)))</f>
        <v>#N/A</v>
      </c>
      <c r="D74" s="2" t="e">
        <f>IF(ISERROR(INDEX(宏观数据!$F$149:$TN$149,1,LOOKUP(2,1/(宏观数据!$F$149:$TN$149&lt;&gt;""),COLUMN(宏观数据!$F$149:$TN$149))-COLUMN(宏观数据!$F$149)+1-60+3)),NA(),IF(INDEX(宏观数据!$F$149:$TN$149,1,LOOKUP(2,1/(宏观数据!$F$149:$TN$149&lt;&gt;""),COLUMN(宏观数据!$F$149:$TN$149))-COLUMN(宏观数据!$F$149)+1-60+3)=0,NA(),INDEX(宏观数据!$F$149:$TN$149,1,LOOKUP(2,1/(宏观数据!$F$149:$TN$149&lt;&gt;""),COLUMN(宏观数据!$F$149:$TN$149))-COLUMN(宏观数据!$F$149)+1-60+3)))</f>
        <v>#N/A</v>
      </c>
      <c r="E74" s="2" t="e">
        <f>IF(ISERROR(INDEX(宏观数据!$F$149:$TN$149,1,LOOKUP(2,1/(宏观数据!$F$149:$TN$149&lt;&gt;""),COLUMN(宏观数据!$F$149:$TN$149))-COLUMN(宏观数据!$F$149)+1-60+4)),NA(),IF(INDEX(宏观数据!$F$149:$TN$149,1,LOOKUP(2,1/(宏观数据!$F$149:$TN$149&lt;&gt;""),COLUMN(宏观数据!$F$149:$TN$149))-COLUMN(宏观数据!$F$149)+1-60+4)=0,NA(),INDEX(宏观数据!$F$149:$TN$149,1,LOOKUP(2,1/(宏观数据!$F$149:$TN$149&lt;&gt;""),COLUMN(宏观数据!$F$149:$TN$149))-COLUMN(宏观数据!$F$149)+1-60+4)))</f>
        <v>#N/A</v>
      </c>
      <c r="F74" s="2" t="e">
        <f>IF(ISERROR(INDEX(宏观数据!$F$149:$TN$149,1,LOOKUP(2,1/(宏观数据!$F$149:$TN$149&lt;&gt;""),COLUMN(宏观数据!$F$149:$TN$149))-COLUMN(宏观数据!$F$149)+1-60+5)),NA(),IF(INDEX(宏观数据!$F$149:$TN$149,1,LOOKUP(2,1/(宏观数据!$F$149:$TN$149&lt;&gt;""),COLUMN(宏观数据!$F$149:$TN$149))-COLUMN(宏观数据!$F$149)+1-60+5)=0,NA(),INDEX(宏观数据!$F$149:$TN$149,1,LOOKUP(2,1/(宏观数据!$F$149:$TN$149&lt;&gt;""),COLUMN(宏观数据!$F$149:$TN$149))-COLUMN(宏观数据!$F$149)+1-60+5)))</f>
        <v>#N/A</v>
      </c>
      <c r="G74" s="2" t="e">
        <f>IF(ISERROR(INDEX(宏观数据!$F$149:$TN$149,1,LOOKUP(2,1/(宏观数据!$F$149:$TN$149&lt;&gt;""),COLUMN(宏观数据!$F$149:$TN$149))-COLUMN(宏观数据!$F$149)+1-60+6)),NA(),IF(INDEX(宏观数据!$F$149:$TN$149,1,LOOKUP(2,1/(宏观数据!$F$149:$TN$149&lt;&gt;""),COLUMN(宏观数据!$F$149:$TN$149))-COLUMN(宏观数据!$F$149)+1-60+6)=0,NA(),INDEX(宏观数据!$F$149:$TN$149,1,LOOKUP(2,1/(宏观数据!$F$149:$TN$149&lt;&gt;""),COLUMN(宏观数据!$F$149:$TN$149))-COLUMN(宏观数据!$F$149)+1-60+6)))</f>
        <v>#N/A</v>
      </c>
      <c r="H74" s="2" t="e">
        <f>IF(ISERROR(INDEX(宏观数据!$F$149:$TN$149,1,LOOKUP(2,1/(宏观数据!$F$149:$TN$149&lt;&gt;""),COLUMN(宏观数据!$F$149:$TN$149))-COLUMN(宏观数据!$F$149)+1-60+7)),NA(),IF(INDEX(宏观数据!$F$149:$TN$149,1,LOOKUP(2,1/(宏观数据!$F$149:$TN$149&lt;&gt;""),COLUMN(宏观数据!$F$149:$TN$149))-COLUMN(宏观数据!$F$149)+1-60+7)=0,NA(),INDEX(宏观数据!$F$149:$TN$149,1,LOOKUP(2,1/(宏观数据!$F$149:$TN$149&lt;&gt;""),COLUMN(宏观数据!$F$149:$TN$149))-COLUMN(宏观数据!$F$149)+1-60+7)))</f>
        <v>#N/A</v>
      </c>
      <c r="I74" s="2" t="e">
        <f>IF(ISERROR(INDEX(宏观数据!$F$149:$TN$149,1,LOOKUP(2,1/(宏观数据!$F$149:$TN$149&lt;&gt;""),COLUMN(宏观数据!$F$149:$TN$149))-COLUMN(宏观数据!$F$149)+1-60+8)),NA(),IF(INDEX(宏观数据!$F$149:$TN$149,1,LOOKUP(2,1/(宏观数据!$F$149:$TN$149&lt;&gt;""),COLUMN(宏观数据!$F$149:$TN$149))-COLUMN(宏观数据!$F$149)+1-60+8)=0,NA(),INDEX(宏观数据!$F$149:$TN$149,1,LOOKUP(2,1/(宏观数据!$F$149:$TN$149&lt;&gt;""),COLUMN(宏观数据!$F$149:$TN$149))-COLUMN(宏观数据!$F$149)+1-60+8)))</f>
        <v>#N/A</v>
      </c>
      <c r="J74" s="2" t="e">
        <f>IF(ISERROR(INDEX(宏观数据!$F$149:$TN$149,1,LOOKUP(2,1/(宏观数据!$F$149:$TN$149&lt;&gt;""),COLUMN(宏观数据!$F$149:$TN$149))-COLUMN(宏观数据!$F$149)+1-60+9)),NA(),IF(INDEX(宏观数据!$F$149:$TN$149,1,LOOKUP(2,1/(宏观数据!$F$149:$TN$149&lt;&gt;""),COLUMN(宏观数据!$F$149:$TN$149))-COLUMN(宏观数据!$F$149)+1-60+9)=0,NA(),INDEX(宏观数据!$F$149:$TN$149,1,LOOKUP(2,1/(宏观数据!$F$149:$TN$149&lt;&gt;""),COLUMN(宏观数据!$F$149:$TN$149))-COLUMN(宏观数据!$F$149)+1-60+9)))</f>
        <v>#N/A</v>
      </c>
      <c r="K74" s="2" t="e">
        <f>IF(ISERROR(INDEX(宏观数据!$F$149:$TN$149,1,LOOKUP(2,1/(宏观数据!$F$149:$TN$149&lt;&gt;""),COLUMN(宏观数据!$F$149:$TN$149))-COLUMN(宏观数据!$F$149)+1-60+10)),NA(),IF(INDEX(宏观数据!$F$149:$TN$149,1,LOOKUP(2,1/(宏观数据!$F$149:$TN$149&lt;&gt;""),COLUMN(宏观数据!$F$149:$TN$149))-COLUMN(宏观数据!$F$149)+1-60+10)=0,NA(),INDEX(宏观数据!$F$149:$TN$149,1,LOOKUP(2,1/(宏观数据!$F$149:$TN$149&lt;&gt;""),COLUMN(宏观数据!$F$149:$TN$149))-COLUMN(宏观数据!$F$149)+1-60+10)))</f>
        <v>#N/A</v>
      </c>
      <c r="L74" s="2" t="e">
        <f>IF(ISERROR(INDEX(宏观数据!$F$149:$TN$149,1,LOOKUP(2,1/(宏观数据!$F$149:$TN$149&lt;&gt;""),COLUMN(宏观数据!$F$149:$TN$149))-COLUMN(宏观数据!$F$149)+1-60+11)),NA(),IF(INDEX(宏观数据!$F$149:$TN$149,1,LOOKUP(2,1/(宏观数据!$F$149:$TN$149&lt;&gt;""),COLUMN(宏观数据!$F$149:$TN$149))-COLUMN(宏观数据!$F$149)+1-60+11)=0,NA(),INDEX(宏观数据!$F$149:$TN$149,1,LOOKUP(2,1/(宏观数据!$F$149:$TN$149&lt;&gt;""),COLUMN(宏观数据!$F$149:$TN$149))-COLUMN(宏观数据!$F$149)+1-60+11)))</f>
        <v>#N/A</v>
      </c>
      <c r="M74" s="2" t="e">
        <f>IF(ISERROR(INDEX(宏观数据!$F$149:$TN$149,1,LOOKUP(2,1/(宏观数据!$F$149:$TN$149&lt;&gt;""),COLUMN(宏观数据!$F$149:$TN$149))-COLUMN(宏观数据!$F$149)+1-60+12)),NA(),IF(INDEX(宏观数据!$F$149:$TN$149,1,LOOKUP(2,1/(宏观数据!$F$149:$TN$149&lt;&gt;""),COLUMN(宏观数据!$F$149:$TN$149))-COLUMN(宏观数据!$F$149)+1-60+12)=0,NA(),INDEX(宏观数据!$F$149:$TN$149,1,LOOKUP(2,1/(宏观数据!$F$149:$TN$149&lt;&gt;""),COLUMN(宏观数据!$F$149:$TN$149))-COLUMN(宏观数据!$F$149)+1-60+12)))</f>
        <v>#N/A</v>
      </c>
      <c r="N74" s="2" t="e">
        <f>IF(ISERROR(INDEX(宏观数据!$F$149:$TN$149,1,LOOKUP(2,1/(宏观数据!$F$149:$TN$149&lt;&gt;""),COLUMN(宏观数据!$F$149:$TN$149))-COLUMN(宏观数据!$F$149)+1-60+13)),NA(),IF(INDEX(宏观数据!$F$149:$TN$149,1,LOOKUP(2,1/(宏观数据!$F$149:$TN$149&lt;&gt;""),COLUMN(宏观数据!$F$149:$TN$149))-COLUMN(宏观数据!$F$149)+1-60+13)=0,NA(),INDEX(宏观数据!$F$149:$TN$149,1,LOOKUP(2,1/(宏观数据!$F$149:$TN$149&lt;&gt;""),COLUMN(宏观数据!$F$149:$TN$149))-COLUMN(宏观数据!$F$149)+1-60+13)))</f>
        <v>#N/A</v>
      </c>
      <c r="O74" s="2" t="e">
        <f>IF(ISERROR(INDEX(宏观数据!$F$149:$TN$149,1,LOOKUP(2,1/(宏观数据!$F$149:$TN$149&lt;&gt;""),COLUMN(宏观数据!$F$149:$TN$149))-COLUMN(宏观数据!$F$149)+1-60+14)),NA(),IF(INDEX(宏观数据!$F$149:$TN$149,1,LOOKUP(2,1/(宏观数据!$F$149:$TN$149&lt;&gt;""),COLUMN(宏观数据!$F$149:$TN$149))-COLUMN(宏观数据!$F$149)+1-60+14)=0,NA(),INDEX(宏观数据!$F$149:$TN$149,1,LOOKUP(2,1/(宏观数据!$F$149:$TN$149&lt;&gt;""),COLUMN(宏观数据!$F$149:$TN$149))-COLUMN(宏观数据!$F$149)+1-60+14)))</f>
        <v>#N/A</v>
      </c>
      <c r="P74" s="2" t="e">
        <f>IF(ISERROR(INDEX(宏观数据!$F$149:$TN$149,1,LOOKUP(2,1/(宏观数据!$F$149:$TN$149&lt;&gt;""),COLUMN(宏观数据!$F$149:$TN$149))-COLUMN(宏观数据!$F$149)+1-60+15)),NA(),IF(INDEX(宏观数据!$F$149:$TN$149,1,LOOKUP(2,1/(宏观数据!$F$149:$TN$149&lt;&gt;""),COLUMN(宏观数据!$F$149:$TN$149))-COLUMN(宏观数据!$F$149)+1-60+15)=0,NA(),INDEX(宏观数据!$F$149:$TN$149,1,LOOKUP(2,1/(宏观数据!$F$149:$TN$149&lt;&gt;""),COLUMN(宏观数据!$F$149:$TN$149))-COLUMN(宏观数据!$F$149)+1-60+15)))</f>
        <v>#N/A</v>
      </c>
      <c r="Q74" s="2" t="e">
        <f>IF(ISERROR(INDEX(宏观数据!$F$149:$TN$149,1,LOOKUP(2,1/(宏观数据!$F$149:$TN$149&lt;&gt;""),COLUMN(宏观数据!$F$149:$TN$149))-COLUMN(宏观数据!$F$149)+1-60+16)),NA(),IF(INDEX(宏观数据!$F$149:$TN$149,1,LOOKUP(2,1/(宏观数据!$F$149:$TN$149&lt;&gt;""),COLUMN(宏观数据!$F$149:$TN$149))-COLUMN(宏观数据!$F$149)+1-60+16)=0,NA(),INDEX(宏观数据!$F$149:$TN$149,1,LOOKUP(2,1/(宏观数据!$F$149:$TN$149&lt;&gt;""),COLUMN(宏观数据!$F$149:$TN$149))-COLUMN(宏观数据!$F$149)+1-60+16)))</f>
        <v>#N/A</v>
      </c>
      <c r="R74" s="2" t="e">
        <f>IF(ISERROR(INDEX(宏观数据!$F$149:$TN$149,1,LOOKUP(2,1/(宏观数据!$F$149:$TN$149&lt;&gt;""),COLUMN(宏观数据!$F$149:$TN$149))-COLUMN(宏观数据!$F$149)+1-60+17)),NA(),IF(INDEX(宏观数据!$F$149:$TN$149,1,LOOKUP(2,1/(宏观数据!$F$149:$TN$149&lt;&gt;""),COLUMN(宏观数据!$F$149:$TN$149))-COLUMN(宏观数据!$F$149)+1-60+17)=0,NA(),INDEX(宏观数据!$F$149:$TN$149,1,LOOKUP(2,1/(宏观数据!$F$149:$TN$149&lt;&gt;""),COLUMN(宏观数据!$F$149:$TN$149))-COLUMN(宏观数据!$F$149)+1-60+17)))</f>
        <v>#N/A</v>
      </c>
      <c r="S74" s="2" t="e">
        <f>IF(ISERROR(INDEX(宏观数据!$F$149:$TN$149,1,LOOKUP(2,1/(宏观数据!$F$149:$TN$149&lt;&gt;""),COLUMN(宏观数据!$F$149:$TN$149))-COLUMN(宏观数据!$F$149)+1-60+18)),NA(),IF(INDEX(宏观数据!$F$149:$TN$149,1,LOOKUP(2,1/(宏观数据!$F$149:$TN$149&lt;&gt;""),COLUMN(宏观数据!$F$149:$TN$149))-COLUMN(宏观数据!$F$149)+1-60+18)=0,NA(),INDEX(宏观数据!$F$149:$TN$149,1,LOOKUP(2,1/(宏观数据!$F$149:$TN$149&lt;&gt;""),COLUMN(宏观数据!$F$149:$TN$149))-COLUMN(宏观数据!$F$149)+1-60+18)))</f>
        <v>#N/A</v>
      </c>
      <c r="T74" s="2" t="e">
        <f>IF(ISERROR(INDEX(宏观数据!$F$149:$TN$149,1,LOOKUP(2,1/(宏观数据!$F$149:$TN$149&lt;&gt;""),COLUMN(宏观数据!$F$149:$TN$149))-COLUMN(宏观数据!$F$149)+1-60+19)),NA(),IF(INDEX(宏观数据!$F$149:$TN$149,1,LOOKUP(2,1/(宏观数据!$F$149:$TN$149&lt;&gt;""),COLUMN(宏观数据!$F$149:$TN$149))-COLUMN(宏观数据!$F$149)+1-60+19)=0,NA(),INDEX(宏观数据!$F$149:$TN$149,1,LOOKUP(2,1/(宏观数据!$F$149:$TN$149&lt;&gt;""),COLUMN(宏观数据!$F$149:$TN$149))-COLUMN(宏观数据!$F$149)+1-60+19)))</f>
        <v>#N/A</v>
      </c>
      <c r="U74" s="2" t="e">
        <f>IF(ISERROR(INDEX(宏观数据!$F$149:$TN$149,1,LOOKUP(2,1/(宏观数据!$F$149:$TN$149&lt;&gt;""),COLUMN(宏观数据!$F$149:$TN$149))-COLUMN(宏观数据!$F$149)+1-60+20)),NA(),IF(INDEX(宏观数据!$F$149:$TN$149,1,LOOKUP(2,1/(宏观数据!$F$149:$TN$149&lt;&gt;""),COLUMN(宏观数据!$F$149:$TN$149))-COLUMN(宏观数据!$F$149)+1-60+20)=0,NA(),INDEX(宏观数据!$F$149:$TN$149,1,LOOKUP(2,1/(宏观数据!$F$149:$TN$149&lt;&gt;""),COLUMN(宏观数据!$F$149:$TN$149))-COLUMN(宏观数据!$F$149)+1-60+20)))</f>
        <v>#N/A</v>
      </c>
      <c r="V74" s="2" t="e">
        <f>IF(ISERROR(INDEX(宏观数据!$F$149:$TN$149,1,LOOKUP(2,1/(宏观数据!$F$149:$TN$149&lt;&gt;""),COLUMN(宏观数据!$F$149:$TN$149))-COLUMN(宏观数据!$F$149)+1-60+21)),NA(),IF(INDEX(宏观数据!$F$149:$TN$149,1,LOOKUP(2,1/(宏观数据!$F$149:$TN$149&lt;&gt;""),COLUMN(宏观数据!$F$149:$TN$149))-COLUMN(宏观数据!$F$149)+1-60+21)=0,NA(),INDEX(宏观数据!$F$149:$TN$149,1,LOOKUP(2,1/(宏观数据!$F$149:$TN$149&lt;&gt;""),COLUMN(宏观数据!$F$149:$TN$149))-COLUMN(宏观数据!$F$149)+1-60+21)))</f>
        <v>#N/A</v>
      </c>
      <c r="W74" s="2" t="e">
        <f>IF(ISERROR(INDEX(宏观数据!$F$149:$TN$149,1,LOOKUP(2,1/(宏观数据!$F$149:$TN$149&lt;&gt;""),COLUMN(宏观数据!$F$149:$TN$149))-COLUMN(宏观数据!$F$149)+1-60+22)),NA(),IF(INDEX(宏观数据!$F$149:$TN$149,1,LOOKUP(2,1/(宏观数据!$F$149:$TN$149&lt;&gt;""),COLUMN(宏观数据!$F$149:$TN$149))-COLUMN(宏观数据!$F$149)+1-60+22)=0,NA(),INDEX(宏观数据!$F$149:$TN$149,1,LOOKUP(2,1/(宏观数据!$F$149:$TN$149&lt;&gt;""),COLUMN(宏观数据!$F$149:$TN$149))-COLUMN(宏观数据!$F$149)+1-60+22)))</f>
        <v>#N/A</v>
      </c>
      <c r="X74" s="2" t="e">
        <f>IF(ISERROR(INDEX(宏观数据!$F$149:$TN$149,1,LOOKUP(2,1/(宏观数据!$F$149:$TN$149&lt;&gt;""),COLUMN(宏观数据!$F$149:$TN$149))-COLUMN(宏观数据!$F$149)+1-60+23)),NA(),IF(INDEX(宏观数据!$F$149:$TN$149,1,LOOKUP(2,1/(宏观数据!$F$149:$TN$149&lt;&gt;""),COLUMN(宏观数据!$F$149:$TN$149))-COLUMN(宏观数据!$F$149)+1-60+23)=0,NA(),INDEX(宏观数据!$F$149:$TN$149,1,LOOKUP(2,1/(宏观数据!$F$149:$TN$149&lt;&gt;""),COLUMN(宏观数据!$F$149:$TN$149))-COLUMN(宏观数据!$F$149)+1-60+23)))</f>
        <v>#N/A</v>
      </c>
      <c r="Y74" s="2" t="e">
        <f>IF(ISERROR(INDEX(宏观数据!$F$149:$TN$149,1,LOOKUP(2,1/(宏观数据!$F$149:$TN$149&lt;&gt;""),COLUMN(宏观数据!$F$149:$TN$149))-COLUMN(宏观数据!$F$149)+1-60+24)),NA(),IF(INDEX(宏观数据!$F$149:$TN$149,1,LOOKUP(2,1/(宏观数据!$F$149:$TN$149&lt;&gt;""),COLUMN(宏观数据!$F$149:$TN$149))-COLUMN(宏观数据!$F$149)+1-60+24)=0,NA(),INDEX(宏观数据!$F$149:$TN$149,1,LOOKUP(2,1/(宏观数据!$F$149:$TN$149&lt;&gt;""),COLUMN(宏观数据!$F$149:$TN$149))-COLUMN(宏观数据!$F$149)+1-60+24)))</f>
        <v>#N/A</v>
      </c>
      <c r="Z74" s="2" t="e">
        <f>IF(ISERROR(INDEX(宏观数据!$F$149:$TN$149,1,LOOKUP(2,1/(宏观数据!$F$149:$TN$149&lt;&gt;""),COLUMN(宏观数据!$F$149:$TN$149))-COLUMN(宏观数据!$F$149)+1-60+25)),NA(),IF(INDEX(宏观数据!$F$149:$TN$149,1,LOOKUP(2,1/(宏观数据!$F$149:$TN$149&lt;&gt;""),COLUMN(宏观数据!$F$149:$TN$149))-COLUMN(宏观数据!$F$149)+1-60+25)=0,NA(),INDEX(宏观数据!$F$149:$TN$149,1,LOOKUP(2,1/(宏观数据!$F$149:$TN$149&lt;&gt;""),COLUMN(宏观数据!$F$149:$TN$149))-COLUMN(宏观数据!$F$149)+1-60+25)))</f>
        <v>#N/A</v>
      </c>
      <c r="AA74" s="2" t="e">
        <f>IF(ISERROR(INDEX(宏观数据!$F$149:$TN$149,1,LOOKUP(2,1/(宏观数据!$F$149:$TN$149&lt;&gt;""),COLUMN(宏观数据!$F$149:$TN$149))-COLUMN(宏观数据!$F$149)+1-60+26)),NA(),IF(INDEX(宏观数据!$F$149:$TN$149,1,LOOKUP(2,1/(宏观数据!$F$149:$TN$149&lt;&gt;""),COLUMN(宏观数据!$F$149:$TN$149))-COLUMN(宏观数据!$F$149)+1-60+26)=0,NA(),INDEX(宏观数据!$F$149:$TN$149,1,LOOKUP(2,1/(宏观数据!$F$149:$TN$149&lt;&gt;""),COLUMN(宏观数据!$F$149:$TN$149))-COLUMN(宏观数据!$F$149)+1-60+26)))</f>
        <v>#N/A</v>
      </c>
      <c r="AB74" s="2" t="e">
        <f>IF(ISERROR(INDEX(宏观数据!$F$149:$TN$149,1,LOOKUP(2,1/(宏观数据!$F$149:$TN$149&lt;&gt;""),COLUMN(宏观数据!$F$149:$TN$149))-COLUMN(宏观数据!$F$149)+1-60+27)),NA(),IF(INDEX(宏观数据!$F$149:$TN$149,1,LOOKUP(2,1/(宏观数据!$F$149:$TN$149&lt;&gt;""),COLUMN(宏观数据!$F$149:$TN$149))-COLUMN(宏观数据!$F$149)+1-60+27)=0,NA(),INDEX(宏观数据!$F$149:$TN$149,1,LOOKUP(2,1/(宏观数据!$F$149:$TN$149&lt;&gt;""),COLUMN(宏观数据!$F$149:$TN$149))-COLUMN(宏观数据!$F$149)+1-60+27)))</f>
        <v>#N/A</v>
      </c>
      <c r="AC74" s="2" t="e">
        <f>IF(ISERROR(INDEX(宏观数据!$F$149:$TN$149,1,LOOKUP(2,1/(宏观数据!$F$149:$TN$149&lt;&gt;""),COLUMN(宏观数据!$F$149:$TN$149))-COLUMN(宏观数据!$F$149)+1-60+28)),NA(),IF(INDEX(宏观数据!$F$149:$TN$149,1,LOOKUP(2,1/(宏观数据!$F$149:$TN$149&lt;&gt;""),COLUMN(宏观数据!$F$149:$TN$149))-COLUMN(宏观数据!$F$149)+1-60+28)=0,NA(),INDEX(宏观数据!$F$149:$TN$149,1,LOOKUP(2,1/(宏观数据!$F$149:$TN$149&lt;&gt;""),COLUMN(宏观数据!$F$149:$TN$149))-COLUMN(宏观数据!$F$149)+1-60+28)))</f>
        <v>#N/A</v>
      </c>
      <c r="AD74" s="2">
        <f>IF(ISERROR(INDEX(宏观数据!$F$149:$TN$149,1,LOOKUP(2,1/(宏观数据!$F$149:$TN$149&lt;&gt;""),COLUMN(宏观数据!$F$149:$TN$149))-COLUMN(宏观数据!$F$149)+1-60+29)),NA(),IF(INDEX(宏观数据!$F$149:$TN$149,1,LOOKUP(2,1/(宏观数据!$F$149:$TN$149&lt;&gt;""),COLUMN(宏观数据!$F$149:$TN$149))-COLUMN(宏观数据!$F$149)+1-60+29)=0,NA(),INDEX(宏观数据!$F$149:$TN$149,1,LOOKUP(2,1/(宏观数据!$F$149:$TN$149&lt;&gt;""),COLUMN(宏观数据!$F$149:$TN$149))-COLUMN(宏观数据!$F$149)+1-60+29)))</f>
        <v>254.429504</v>
      </c>
      <c r="AE74" s="2" t="e">
        <f>IF(ISERROR(INDEX(宏观数据!$F$149:$TN$149,1,LOOKUP(2,1/(宏观数据!$F$149:$TN$149&lt;&gt;""),COLUMN(宏观数据!$F$149:$TN$149))-COLUMN(宏观数据!$F$149)+1-60+30)),NA(),IF(INDEX(宏观数据!$F$149:$TN$149,1,LOOKUP(2,1/(宏观数据!$F$149:$TN$149&lt;&gt;""),COLUMN(宏观数据!$F$149:$TN$149))-COLUMN(宏观数据!$F$149)+1-60+30)=0,NA(),INDEX(宏观数据!$F$149:$TN$149,1,LOOKUP(2,1/(宏观数据!$F$149:$TN$149&lt;&gt;""),COLUMN(宏观数据!$F$149:$TN$149))-COLUMN(宏观数据!$F$149)+1-60+30)))</f>
        <v>#N/A</v>
      </c>
      <c r="AF74" s="2" t="e">
        <f>IF(ISERROR(INDEX(宏观数据!$F$149:$TN$149,1,LOOKUP(2,1/(宏观数据!$F$149:$TN$149&lt;&gt;""),COLUMN(宏观数据!$F$149:$TN$149))-COLUMN(宏观数据!$F$149)+1-60+31)),NA(),IF(INDEX(宏观数据!$F$149:$TN$149,1,LOOKUP(2,1/(宏观数据!$F$149:$TN$149&lt;&gt;""),COLUMN(宏观数据!$F$149:$TN$149))-COLUMN(宏观数据!$F$149)+1-60+31)=0,NA(),INDEX(宏观数据!$F$149:$TN$149,1,LOOKUP(2,1/(宏观数据!$F$149:$TN$149&lt;&gt;""),COLUMN(宏观数据!$F$149:$TN$149))-COLUMN(宏观数据!$F$149)+1-60+31)))</f>
        <v>#N/A</v>
      </c>
      <c r="AG74" s="2" t="e">
        <f>IF(ISERROR(INDEX(宏观数据!$F$149:$TN$149,1,LOOKUP(2,1/(宏观数据!$F$149:$TN$149&lt;&gt;""),COLUMN(宏观数据!$F$149:$TN$149))-COLUMN(宏观数据!$F$149)+1-60+32)),NA(),IF(INDEX(宏观数据!$F$149:$TN$149,1,LOOKUP(2,1/(宏观数据!$F$149:$TN$149&lt;&gt;""),COLUMN(宏观数据!$F$149:$TN$149))-COLUMN(宏观数据!$F$149)+1-60+32)=0,NA(),INDEX(宏观数据!$F$149:$TN$149,1,LOOKUP(2,1/(宏观数据!$F$149:$TN$149&lt;&gt;""),COLUMN(宏观数据!$F$149:$TN$149))-COLUMN(宏观数据!$F$149)+1-60+32)))</f>
        <v>#N/A</v>
      </c>
      <c r="AH74" s="2" t="e">
        <f>IF(ISERROR(INDEX(宏观数据!$F$149:$TN$149,1,LOOKUP(2,1/(宏观数据!$F$149:$TN$149&lt;&gt;""),COLUMN(宏观数据!$F$149:$TN$149))-COLUMN(宏观数据!$F$149)+1-60+33)),NA(),IF(INDEX(宏观数据!$F$149:$TN$149,1,LOOKUP(2,1/(宏观数据!$F$149:$TN$149&lt;&gt;""),COLUMN(宏观数据!$F$149:$TN$149))-COLUMN(宏观数据!$F$149)+1-60+33)=0,NA(),INDEX(宏观数据!$F$149:$TN$149,1,LOOKUP(2,1/(宏观数据!$F$149:$TN$149&lt;&gt;""),COLUMN(宏观数据!$F$149:$TN$149))-COLUMN(宏观数据!$F$149)+1-60+33)))</f>
        <v>#N/A</v>
      </c>
      <c r="AI74" s="2" t="e">
        <f>IF(ISERROR(INDEX(宏观数据!$F$149:$TN$149,1,LOOKUP(2,1/(宏观数据!$F$149:$TN$149&lt;&gt;""),COLUMN(宏观数据!$F$149:$TN$149))-COLUMN(宏观数据!$F$149)+1-60+34)),NA(),IF(INDEX(宏观数据!$F$149:$TN$149,1,LOOKUP(2,1/(宏观数据!$F$149:$TN$149&lt;&gt;""),COLUMN(宏观数据!$F$149:$TN$149))-COLUMN(宏观数据!$F$149)+1-60+34)=0,NA(),INDEX(宏观数据!$F$149:$TN$149,1,LOOKUP(2,1/(宏观数据!$F$149:$TN$149&lt;&gt;""),COLUMN(宏观数据!$F$149:$TN$149))-COLUMN(宏观数据!$F$149)+1-60+34)))</f>
        <v>#N/A</v>
      </c>
      <c r="AJ74" s="2" t="e">
        <f>IF(ISERROR(INDEX(宏观数据!$F$149:$TN$149,1,LOOKUP(2,1/(宏观数据!$F$149:$TN$149&lt;&gt;""),COLUMN(宏观数据!$F$149:$TN$149))-COLUMN(宏观数据!$F$149)+1-60+35)),NA(),IF(INDEX(宏观数据!$F$149:$TN$149,1,LOOKUP(2,1/(宏观数据!$F$149:$TN$149&lt;&gt;""),COLUMN(宏观数据!$F$149:$TN$149))-COLUMN(宏观数据!$F$149)+1-60+35)=0,NA(),INDEX(宏观数据!$F$149:$TN$149,1,LOOKUP(2,1/(宏观数据!$F$149:$TN$149&lt;&gt;""),COLUMN(宏观数据!$F$149:$TN$149))-COLUMN(宏观数据!$F$149)+1-60+35)))</f>
        <v>#N/A</v>
      </c>
      <c r="AK74" s="2" t="e">
        <f>IF(ISERROR(INDEX(宏观数据!$F$149:$TN$149,1,LOOKUP(2,1/(宏观数据!$F$149:$TN$149&lt;&gt;""),COLUMN(宏观数据!$F$149:$TN$149))-COLUMN(宏观数据!$F$149)+1-60+36)),NA(),IF(INDEX(宏观数据!$F$149:$TN$149,1,LOOKUP(2,1/(宏观数据!$F$149:$TN$149&lt;&gt;""),COLUMN(宏观数据!$F$149:$TN$149))-COLUMN(宏观数据!$F$149)+1-60+36)=0,NA(),INDEX(宏观数据!$F$149:$TN$149,1,LOOKUP(2,1/(宏观数据!$F$149:$TN$149&lt;&gt;""),COLUMN(宏观数据!$F$149:$TN$149))-COLUMN(宏观数据!$F$149)+1-60+36)))</f>
        <v>#N/A</v>
      </c>
      <c r="AL74" s="2" t="e">
        <f>IF(ISERROR(INDEX(宏观数据!$F$149:$TN$149,1,LOOKUP(2,1/(宏观数据!$F$149:$TN$149&lt;&gt;""),COLUMN(宏观数据!$F$149:$TN$149))-COLUMN(宏观数据!$F$149)+1-60+37)),NA(),IF(INDEX(宏观数据!$F$149:$TN$149,1,LOOKUP(2,1/(宏观数据!$F$149:$TN$149&lt;&gt;""),COLUMN(宏观数据!$F$149:$TN$149))-COLUMN(宏观数据!$F$149)+1-60+37)=0,NA(),INDEX(宏观数据!$F$149:$TN$149,1,LOOKUP(2,1/(宏观数据!$F$149:$TN$149&lt;&gt;""),COLUMN(宏观数据!$F$149:$TN$149))-COLUMN(宏观数据!$F$149)+1-60+37)))</f>
        <v>#N/A</v>
      </c>
      <c r="AM74" s="2" t="e">
        <f>IF(ISERROR(INDEX(宏观数据!$F$149:$TN$149,1,LOOKUP(2,1/(宏观数据!$F$149:$TN$149&lt;&gt;""),COLUMN(宏观数据!$F$149:$TN$149))-COLUMN(宏观数据!$F$149)+1-60+38)),NA(),IF(INDEX(宏观数据!$F$149:$TN$149,1,LOOKUP(2,1/(宏观数据!$F$149:$TN$149&lt;&gt;""),COLUMN(宏观数据!$F$149:$TN$149))-COLUMN(宏观数据!$F$149)+1-60+38)=0,NA(),INDEX(宏观数据!$F$149:$TN$149,1,LOOKUP(2,1/(宏观数据!$F$149:$TN$149&lt;&gt;""),COLUMN(宏观数据!$F$149:$TN$149))-COLUMN(宏观数据!$F$149)+1-60+38)))</f>
        <v>#N/A</v>
      </c>
      <c r="AN74" s="2" t="e">
        <f>IF(ISERROR(INDEX(宏观数据!$F$149:$TN$149,1,LOOKUP(2,1/(宏观数据!$F$149:$TN$149&lt;&gt;""),COLUMN(宏观数据!$F$149:$TN$149))-COLUMN(宏观数据!$F$149)+1-60+39)),NA(),IF(INDEX(宏观数据!$F$149:$TN$149,1,LOOKUP(2,1/(宏观数据!$F$149:$TN$149&lt;&gt;""),COLUMN(宏观数据!$F$149:$TN$149))-COLUMN(宏观数据!$F$149)+1-60+39)=0,NA(),INDEX(宏观数据!$F$149:$TN$149,1,LOOKUP(2,1/(宏观数据!$F$149:$TN$149&lt;&gt;""),COLUMN(宏观数据!$F$149:$TN$149))-COLUMN(宏观数据!$F$149)+1-60+39)))</f>
        <v>#N/A</v>
      </c>
      <c r="AO74" s="2" t="e">
        <f>IF(ISERROR(INDEX(宏观数据!$F$149:$TN$149,1,LOOKUP(2,1/(宏观数据!$F$149:$TN$149&lt;&gt;""),COLUMN(宏观数据!$F$149:$TN$149))-COLUMN(宏观数据!$F$149)+1-60+40)),NA(),IF(INDEX(宏观数据!$F$149:$TN$149,1,LOOKUP(2,1/(宏观数据!$F$149:$TN$149&lt;&gt;""),COLUMN(宏观数据!$F$149:$TN$149))-COLUMN(宏观数据!$F$149)+1-60+40)=0,NA(),INDEX(宏观数据!$F$149:$TN$149,1,LOOKUP(2,1/(宏观数据!$F$149:$TN$149&lt;&gt;""),COLUMN(宏观数据!$F$149:$TN$149))-COLUMN(宏观数据!$F$149)+1-60+40)))</f>
        <v>#N/A</v>
      </c>
      <c r="AP74" s="2" t="e">
        <f>IF(ISERROR(INDEX(宏观数据!$F$149:$TN$149,1,LOOKUP(2,1/(宏观数据!$F$149:$TN$149&lt;&gt;""),COLUMN(宏观数据!$F$149:$TN$149))-COLUMN(宏观数据!$F$149)+1-60+41)),NA(),IF(INDEX(宏观数据!$F$149:$TN$149,1,LOOKUP(2,1/(宏观数据!$F$149:$TN$149&lt;&gt;""),COLUMN(宏观数据!$F$149:$TN$149))-COLUMN(宏观数据!$F$149)+1-60+41)=0,NA(),INDEX(宏观数据!$F$149:$TN$149,1,LOOKUP(2,1/(宏观数据!$F$149:$TN$149&lt;&gt;""),COLUMN(宏观数据!$F$149:$TN$149))-COLUMN(宏观数据!$F$149)+1-60+41)))</f>
        <v>#N/A</v>
      </c>
      <c r="AQ74" s="2" t="e">
        <f>IF(ISERROR(INDEX(宏观数据!$F$149:$TN$149,1,LOOKUP(2,1/(宏观数据!$F$149:$TN$149&lt;&gt;""),COLUMN(宏观数据!$F$149:$TN$149))-COLUMN(宏观数据!$F$149)+1-60+42)),NA(),IF(INDEX(宏观数据!$F$149:$TN$149,1,LOOKUP(2,1/(宏观数据!$F$149:$TN$149&lt;&gt;""),COLUMN(宏观数据!$F$149:$TN$149))-COLUMN(宏观数据!$F$149)+1-60+42)=0,NA(),INDEX(宏观数据!$F$149:$TN$149,1,LOOKUP(2,1/(宏观数据!$F$149:$TN$149&lt;&gt;""),COLUMN(宏观数据!$F$149:$TN$149))-COLUMN(宏观数据!$F$149)+1-60+42)))</f>
        <v>#N/A</v>
      </c>
      <c r="AR74" s="2" t="e">
        <f>IF(ISERROR(INDEX(宏观数据!$F$149:$TN$149,1,LOOKUP(2,1/(宏观数据!$F$149:$TN$149&lt;&gt;""),COLUMN(宏观数据!$F$149:$TN$149))-COLUMN(宏观数据!$F$149)+1-60+43)),NA(),IF(INDEX(宏观数据!$F$149:$TN$149,1,LOOKUP(2,1/(宏观数据!$F$149:$TN$149&lt;&gt;""),COLUMN(宏观数据!$F$149:$TN$149))-COLUMN(宏观数据!$F$149)+1-60+43)=0,NA(),INDEX(宏观数据!$F$149:$TN$149,1,LOOKUP(2,1/(宏观数据!$F$149:$TN$149&lt;&gt;""),COLUMN(宏观数据!$F$149:$TN$149))-COLUMN(宏观数据!$F$149)+1-60+43)))</f>
        <v>#N/A</v>
      </c>
      <c r="AS74" s="2" t="e">
        <f>IF(ISERROR(INDEX(宏观数据!$F$149:$TN$149,1,LOOKUP(2,1/(宏观数据!$F$149:$TN$149&lt;&gt;""),COLUMN(宏观数据!$F$149:$TN$149))-COLUMN(宏观数据!$F$149)+1-60+44)),NA(),IF(INDEX(宏观数据!$F$149:$TN$149,1,LOOKUP(2,1/(宏观数据!$F$149:$TN$149&lt;&gt;""),COLUMN(宏观数据!$F$149:$TN$149))-COLUMN(宏观数据!$F$149)+1-60+44)=0,NA(),INDEX(宏观数据!$F$149:$TN$149,1,LOOKUP(2,1/(宏观数据!$F$149:$TN$149&lt;&gt;""),COLUMN(宏观数据!$F$149:$TN$149))-COLUMN(宏观数据!$F$149)+1-60+44)))</f>
        <v>#N/A</v>
      </c>
      <c r="AT74" s="2" t="e">
        <f>IF(ISERROR(INDEX(宏观数据!$F$149:$TN$149,1,LOOKUP(2,1/(宏观数据!$F$149:$TN$149&lt;&gt;""),COLUMN(宏观数据!$F$149:$TN$149))-COLUMN(宏观数据!$F$149)+1-60+45)),NA(),IF(INDEX(宏观数据!$F$149:$TN$149,1,LOOKUP(2,1/(宏观数据!$F$149:$TN$149&lt;&gt;""),COLUMN(宏观数据!$F$149:$TN$149))-COLUMN(宏观数据!$F$149)+1-60+45)=0,NA(),INDEX(宏观数据!$F$149:$TN$149,1,LOOKUP(2,1/(宏观数据!$F$149:$TN$149&lt;&gt;""),COLUMN(宏观数据!$F$149:$TN$149))-COLUMN(宏观数据!$F$149)+1-60+45)))</f>
        <v>#N/A</v>
      </c>
      <c r="AU74" s="2" t="e">
        <f>IF(ISERROR(INDEX(宏观数据!$F$149:$TN$149,1,LOOKUP(2,1/(宏观数据!$F$149:$TN$149&lt;&gt;""),COLUMN(宏观数据!$F$149:$TN$149))-COLUMN(宏观数据!$F$149)+1-60+46)),NA(),IF(INDEX(宏观数据!$F$149:$TN$149,1,LOOKUP(2,1/(宏观数据!$F$149:$TN$149&lt;&gt;""),COLUMN(宏观数据!$F$149:$TN$149))-COLUMN(宏观数据!$F$149)+1-60+46)=0,NA(),INDEX(宏观数据!$F$149:$TN$149,1,LOOKUP(2,1/(宏观数据!$F$149:$TN$149&lt;&gt;""),COLUMN(宏观数据!$F$149:$TN$149))-COLUMN(宏观数据!$F$149)+1-60+46)))</f>
        <v>#N/A</v>
      </c>
      <c r="AV74" s="2" t="e">
        <f>IF(ISERROR(INDEX(宏观数据!$F$149:$TN$149,1,LOOKUP(2,1/(宏观数据!$F$149:$TN$149&lt;&gt;""),COLUMN(宏观数据!$F$149:$TN$149))-COLUMN(宏观数据!$F$149)+1-60+47)),NA(),IF(INDEX(宏观数据!$F$149:$TN$149,1,LOOKUP(2,1/(宏观数据!$F$149:$TN$149&lt;&gt;""),COLUMN(宏观数据!$F$149:$TN$149))-COLUMN(宏观数据!$F$149)+1-60+47)=0,NA(),INDEX(宏观数据!$F$149:$TN$149,1,LOOKUP(2,1/(宏观数据!$F$149:$TN$149&lt;&gt;""),COLUMN(宏观数据!$F$149:$TN$149))-COLUMN(宏观数据!$F$149)+1-60+47)))</f>
        <v>#N/A</v>
      </c>
      <c r="AW74" s="2" t="e">
        <f>IF(ISERROR(INDEX(宏观数据!$F$149:$TN$149,1,LOOKUP(2,1/(宏观数据!$F$149:$TN$149&lt;&gt;""),COLUMN(宏观数据!$F$149:$TN$149))-COLUMN(宏观数据!$F$149)+1-60+48)),NA(),IF(INDEX(宏观数据!$F$149:$TN$149,1,LOOKUP(2,1/(宏观数据!$F$149:$TN$149&lt;&gt;""),COLUMN(宏观数据!$F$149:$TN$149))-COLUMN(宏观数据!$F$149)+1-60+48)=0,NA(),INDEX(宏观数据!$F$149:$TN$149,1,LOOKUP(2,1/(宏观数据!$F$149:$TN$149&lt;&gt;""),COLUMN(宏观数据!$F$149:$TN$149))-COLUMN(宏观数据!$F$149)+1-60+48)))</f>
        <v>#N/A</v>
      </c>
      <c r="AX74" s="2" t="e">
        <f>IF(ISERROR(INDEX(宏观数据!$F$149:$TN$149,1,LOOKUP(2,1/(宏观数据!$F$149:$TN$149&lt;&gt;""),COLUMN(宏观数据!$F$149:$TN$149))-COLUMN(宏观数据!$F$149)+1-60+49)),NA(),IF(INDEX(宏观数据!$F$149:$TN$149,1,LOOKUP(2,1/(宏观数据!$F$149:$TN$149&lt;&gt;""),COLUMN(宏观数据!$F$149:$TN$149))-COLUMN(宏观数据!$F$149)+1-60+49)=0,NA(),INDEX(宏观数据!$F$149:$TN$149,1,LOOKUP(2,1/(宏观数据!$F$149:$TN$149&lt;&gt;""),COLUMN(宏观数据!$F$149:$TN$149))-COLUMN(宏观数据!$F$149)+1-60+49)))</f>
        <v>#N/A</v>
      </c>
      <c r="AY74" s="2" t="e">
        <f>IF(ISERROR(INDEX(宏观数据!$F$149:$TN$149,1,LOOKUP(2,1/(宏观数据!$F$149:$TN$149&lt;&gt;""),COLUMN(宏观数据!$F$149:$TN$149))-COLUMN(宏观数据!$F$149)+1-60+50)),NA(),IF(INDEX(宏观数据!$F$149:$TN$149,1,LOOKUP(2,1/(宏观数据!$F$149:$TN$149&lt;&gt;""),COLUMN(宏观数据!$F$149:$TN$149))-COLUMN(宏观数据!$F$149)+1-60+50)=0,NA(),INDEX(宏观数据!$F$149:$TN$149,1,LOOKUP(2,1/(宏观数据!$F$149:$TN$149&lt;&gt;""),COLUMN(宏观数据!$F$149:$TN$149))-COLUMN(宏观数据!$F$149)+1-60+50)))</f>
        <v>#N/A</v>
      </c>
      <c r="AZ74" s="2" t="e">
        <f>IF(ISERROR(INDEX(宏观数据!$F$149:$TN$149,1,LOOKUP(2,1/(宏观数据!$F$149:$TN$149&lt;&gt;""),COLUMN(宏观数据!$F$149:$TN$149))-COLUMN(宏观数据!$F$149)+1-60+51)),NA(),IF(INDEX(宏观数据!$F$149:$TN$149,1,LOOKUP(2,1/(宏观数据!$F$149:$TN$149&lt;&gt;""),COLUMN(宏观数据!$F$149:$TN$149))-COLUMN(宏观数据!$F$149)+1-60+51)=0,NA(),INDEX(宏观数据!$F$149:$TN$149,1,LOOKUP(2,1/(宏观数据!$F$149:$TN$149&lt;&gt;""),COLUMN(宏观数据!$F$149:$TN$149))-COLUMN(宏观数据!$F$149)+1-60+51)))</f>
        <v>#N/A</v>
      </c>
      <c r="BA74" s="2" t="e">
        <f>IF(ISERROR(INDEX(宏观数据!$F$149:$TN$149,1,LOOKUP(2,1/(宏观数据!$F$149:$TN$149&lt;&gt;""),COLUMN(宏观数据!$F$149:$TN$149))-COLUMN(宏观数据!$F$149)+1-60+52)),NA(),IF(INDEX(宏观数据!$F$149:$TN$149,1,LOOKUP(2,1/(宏观数据!$F$149:$TN$149&lt;&gt;""),COLUMN(宏观数据!$F$149:$TN$149))-COLUMN(宏观数据!$F$149)+1-60+52)=0,NA(),INDEX(宏观数据!$F$149:$TN$149,1,LOOKUP(2,1/(宏观数据!$F$149:$TN$149&lt;&gt;""),COLUMN(宏观数据!$F$149:$TN$149))-COLUMN(宏观数据!$F$149)+1-60+52)))</f>
        <v>#N/A</v>
      </c>
      <c r="BB74" s="2" t="e">
        <f>IF(ISERROR(INDEX(宏观数据!$F$149:$TN$149,1,LOOKUP(2,1/(宏观数据!$F$149:$TN$149&lt;&gt;""),COLUMN(宏观数据!$F$149:$TN$149))-COLUMN(宏观数据!$F$149)+1-60+53)),NA(),IF(INDEX(宏观数据!$F$149:$TN$149,1,LOOKUP(2,1/(宏观数据!$F$149:$TN$149&lt;&gt;""),COLUMN(宏观数据!$F$149:$TN$149))-COLUMN(宏观数据!$F$149)+1-60+53)=0,NA(),INDEX(宏观数据!$F$149:$TN$149,1,LOOKUP(2,1/(宏观数据!$F$149:$TN$149&lt;&gt;""),COLUMN(宏观数据!$F$149:$TN$149))-COLUMN(宏观数据!$F$149)+1-60+53)))</f>
        <v>#N/A</v>
      </c>
      <c r="BC74" s="2" t="e">
        <f>IF(ISERROR(INDEX(宏观数据!$F$149:$TN$149,1,LOOKUP(2,1/(宏观数据!$F$149:$TN$149&lt;&gt;""),COLUMN(宏观数据!$F$149:$TN$149))-COLUMN(宏观数据!$F$149)+1-60+54)),NA(),IF(INDEX(宏观数据!$F$149:$TN$149,1,LOOKUP(2,1/(宏观数据!$F$149:$TN$149&lt;&gt;""),COLUMN(宏观数据!$F$149:$TN$149))-COLUMN(宏观数据!$F$149)+1-60+54)=0,NA(),INDEX(宏观数据!$F$149:$TN$149,1,LOOKUP(2,1/(宏观数据!$F$149:$TN$149&lt;&gt;""),COLUMN(宏观数据!$F$149:$TN$149))-COLUMN(宏观数据!$F$149)+1-60+54)))</f>
        <v>#N/A</v>
      </c>
      <c r="BD74" s="2" t="e">
        <f>IF(ISERROR(INDEX(宏观数据!$F$149:$TN$149,1,LOOKUP(2,1/(宏观数据!$F$149:$TN$149&lt;&gt;""),COLUMN(宏观数据!$F$149:$TN$149))-COLUMN(宏观数据!$F$149)+1-60+55)),NA(),IF(INDEX(宏观数据!$F$149:$TN$149,1,LOOKUP(2,1/(宏观数据!$F$149:$TN$149&lt;&gt;""),COLUMN(宏观数据!$F$149:$TN$149))-COLUMN(宏观数据!$F$149)+1-60+55)=0,NA(),INDEX(宏观数据!$F$149:$TN$149,1,LOOKUP(2,1/(宏观数据!$F$149:$TN$149&lt;&gt;""),COLUMN(宏观数据!$F$149:$TN$149))-COLUMN(宏观数据!$F$149)+1-60+55)))</f>
        <v>#N/A</v>
      </c>
      <c r="BE74" s="2" t="e">
        <f>IF(ISERROR(INDEX(宏观数据!$F$149:$TN$149,1,LOOKUP(2,1/(宏观数据!$F$149:$TN$149&lt;&gt;""),COLUMN(宏观数据!$F$149:$TN$149))-COLUMN(宏观数据!$F$149)+1-60+56)),NA(),IF(INDEX(宏观数据!$F$149:$TN$149,1,LOOKUP(2,1/(宏观数据!$F$149:$TN$149&lt;&gt;""),COLUMN(宏观数据!$F$149:$TN$149))-COLUMN(宏观数据!$F$149)+1-60+56)=0,NA(),INDEX(宏观数据!$F$149:$TN$149,1,LOOKUP(2,1/(宏观数据!$F$149:$TN$149&lt;&gt;""),COLUMN(宏观数据!$F$149:$TN$149))-COLUMN(宏观数据!$F$149)+1-60+56)))</f>
        <v>#N/A</v>
      </c>
      <c r="BF74" s="2" t="e">
        <f>IF(ISERROR(INDEX(宏观数据!$F$149:$TN$149,1,LOOKUP(2,1/(宏观数据!$F$149:$TN$149&lt;&gt;""),COLUMN(宏观数据!$F$149:$TN$149))-COLUMN(宏观数据!$F$149)+1-60+57)),NA(),IF(INDEX(宏观数据!$F$149:$TN$149,1,LOOKUP(2,1/(宏观数据!$F$149:$TN$149&lt;&gt;""),COLUMN(宏观数据!$F$149:$TN$149))-COLUMN(宏观数据!$F$149)+1-60+57)=0,NA(),INDEX(宏观数据!$F$149:$TN$149,1,LOOKUP(2,1/(宏观数据!$F$149:$TN$149&lt;&gt;""),COLUMN(宏观数据!$F$149:$TN$149))-COLUMN(宏观数据!$F$149)+1-60+57)))</f>
        <v>#N/A</v>
      </c>
      <c r="BG74" s="2" t="e">
        <f>IF(ISERROR(INDEX(宏观数据!$F$149:$TN$149,1,LOOKUP(2,1/(宏观数据!$F$149:$TN$149&lt;&gt;""),COLUMN(宏观数据!$F$149:$TN$149))-COLUMN(宏观数据!$F$149)+1-60+58)),NA(),IF(INDEX(宏观数据!$F$149:$TN$149,1,LOOKUP(2,1/(宏观数据!$F$149:$TN$149&lt;&gt;""),COLUMN(宏观数据!$F$149:$TN$149))-COLUMN(宏观数据!$F$149)+1-60+58)=0,NA(),INDEX(宏观数据!$F$149:$TN$149,1,LOOKUP(2,1/(宏观数据!$F$149:$TN$149&lt;&gt;""),COLUMN(宏观数据!$F$149:$TN$149))-COLUMN(宏观数据!$F$149)+1-60+58)))</f>
        <v>#N/A</v>
      </c>
      <c r="BH74" s="2" t="e">
        <f>IF(ISERROR(INDEX(宏观数据!$F$149:$TN$149,1,LOOKUP(2,1/(宏观数据!$F$149:$TN$149&lt;&gt;""),COLUMN(宏观数据!$F$149:$TN$149))-COLUMN(宏观数据!$F$149)+1-60+59)),NA(),IF(INDEX(宏观数据!$F$149:$TN$149,1,LOOKUP(2,1/(宏观数据!$F$149:$TN$149&lt;&gt;""),COLUMN(宏观数据!$F$149:$TN$149))-COLUMN(宏观数据!$F$149)+1-60+59)=0,NA(),INDEX(宏观数据!$F$149:$TN$149,1,LOOKUP(2,1/(宏观数据!$F$149:$TN$149&lt;&gt;""),COLUMN(宏观数据!$F$149:$TN$149))-COLUMN(宏观数据!$F$149)+1-60+59)))</f>
        <v>#N/A</v>
      </c>
      <c r="BI74">
        <f>IF(ISERROR(INDEX(宏观数据!$F$149:$TN$149,1,LOOKUP(2,1/(宏观数据!$F$149:$TN$149&lt;&gt;""),COLUMN(宏观数据!$F$149:$TN$149))-COLUMN(宏观数据!$F$149)+1-60+60)),NA(),IF(INDEX(宏观数据!$F$149:$TN$149,1,LOOKUP(2,1/(宏观数据!$F$149:$TN$149&lt;&gt;""),COLUMN(宏观数据!$F$149:$TN$149))-COLUMN(宏观数据!$F$149)+1-60+60)=0,NA(),INDEX(宏观数据!$F$149:$TN$149,1,LOOKUP(2,1/(宏观数据!$F$149:$TN$149&lt;&gt;""),COLUMN(宏观数据!$F$149:$TN$149))-COLUMN(宏观数据!$F$149)+1-60+60)))</f>
        <v>203.556671</v>
      </c>
    </row>
    <row r="75" ht="15" customHeight="1" spans="1:61">
      <c r="A75" s="1" t="s">
        <v>395</v>
      </c>
      <c r="B75" s="2" t="e">
        <f>IF(ISERROR(INDEX(宏观数据!$F$150:$TN$150,1,LOOKUP(2,1/(宏观数据!$F$150:$TN$150&lt;&gt;""),COLUMN(宏观数据!$F$150:$TN$150))-COLUMN(宏观数据!$F$150)+1-60+1)),NA(),IF(INDEX(宏观数据!$F$150:$TN$150,1,LOOKUP(2,1/(宏观数据!$F$150:$TN$150&lt;&gt;""),COLUMN(宏观数据!$F$150:$TN$150))-COLUMN(宏观数据!$F$150)+1-60+1)=0,NA(),INDEX(宏观数据!$F$150:$TN$150,1,LOOKUP(2,1/(宏观数据!$F$150:$TN$150&lt;&gt;""),COLUMN(宏观数据!$F$150:$TN$150))-COLUMN(宏观数据!$F$150)+1-60+1)))</f>
        <v>#N/A</v>
      </c>
      <c r="C75" s="2" t="e">
        <f>IF(ISERROR(INDEX(宏观数据!$F$150:$TN$150,1,LOOKUP(2,1/(宏观数据!$F$150:$TN$150&lt;&gt;""),COLUMN(宏观数据!$F$150:$TN$150))-COLUMN(宏观数据!$F$150)+1-60+2)),NA(),IF(INDEX(宏观数据!$F$150:$TN$150,1,LOOKUP(2,1/(宏观数据!$F$150:$TN$150&lt;&gt;""),COLUMN(宏观数据!$F$150:$TN$150))-COLUMN(宏观数据!$F$150)+1-60+2)=0,NA(),INDEX(宏观数据!$F$150:$TN$150,1,LOOKUP(2,1/(宏观数据!$F$150:$TN$150&lt;&gt;""),COLUMN(宏观数据!$F$150:$TN$150))-COLUMN(宏观数据!$F$150)+1-60+2)))</f>
        <v>#N/A</v>
      </c>
      <c r="D75" s="2" t="e">
        <f>IF(ISERROR(INDEX(宏观数据!$F$150:$TN$150,1,LOOKUP(2,1/(宏观数据!$F$150:$TN$150&lt;&gt;""),COLUMN(宏观数据!$F$150:$TN$150))-COLUMN(宏观数据!$F$150)+1-60+3)),NA(),IF(INDEX(宏观数据!$F$150:$TN$150,1,LOOKUP(2,1/(宏观数据!$F$150:$TN$150&lt;&gt;""),COLUMN(宏观数据!$F$150:$TN$150))-COLUMN(宏观数据!$F$150)+1-60+3)=0,NA(),INDEX(宏观数据!$F$150:$TN$150,1,LOOKUP(2,1/(宏观数据!$F$150:$TN$150&lt;&gt;""),COLUMN(宏观数据!$F$150:$TN$150))-COLUMN(宏观数据!$F$150)+1-60+3)))</f>
        <v>#N/A</v>
      </c>
      <c r="E75" s="2" t="e">
        <f>IF(ISERROR(INDEX(宏观数据!$F$150:$TN$150,1,LOOKUP(2,1/(宏观数据!$F$150:$TN$150&lt;&gt;""),COLUMN(宏观数据!$F$150:$TN$150))-COLUMN(宏观数据!$F$150)+1-60+4)),NA(),IF(INDEX(宏观数据!$F$150:$TN$150,1,LOOKUP(2,1/(宏观数据!$F$150:$TN$150&lt;&gt;""),COLUMN(宏观数据!$F$150:$TN$150))-COLUMN(宏观数据!$F$150)+1-60+4)=0,NA(),INDEX(宏观数据!$F$150:$TN$150,1,LOOKUP(2,1/(宏观数据!$F$150:$TN$150&lt;&gt;""),COLUMN(宏观数据!$F$150:$TN$150))-COLUMN(宏观数据!$F$150)+1-60+4)))</f>
        <v>#N/A</v>
      </c>
      <c r="F75" s="2" t="e">
        <f>IF(ISERROR(INDEX(宏观数据!$F$150:$TN$150,1,LOOKUP(2,1/(宏观数据!$F$150:$TN$150&lt;&gt;""),COLUMN(宏观数据!$F$150:$TN$150))-COLUMN(宏观数据!$F$150)+1-60+5)),NA(),IF(INDEX(宏观数据!$F$150:$TN$150,1,LOOKUP(2,1/(宏观数据!$F$150:$TN$150&lt;&gt;""),COLUMN(宏观数据!$F$150:$TN$150))-COLUMN(宏观数据!$F$150)+1-60+5)=0,NA(),INDEX(宏观数据!$F$150:$TN$150,1,LOOKUP(2,1/(宏观数据!$F$150:$TN$150&lt;&gt;""),COLUMN(宏观数据!$F$150:$TN$150))-COLUMN(宏观数据!$F$150)+1-60+5)))</f>
        <v>#N/A</v>
      </c>
      <c r="G75" s="2" t="e">
        <f>IF(ISERROR(INDEX(宏观数据!$F$150:$TN$150,1,LOOKUP(2,1/(宏观数据!$F$150:$TN$150&lt;&gt;""),COLUMN(宏观数据!$F$150:$TN$150))-COLUMN(宏观数据!$F$150)+1-60+6)),NA(),IF(INDEX(宏观数据!$F$150:$TN$150,1,LOOKUP(2,1/(宏观数据!$F$150:$TN$150&lt;&gt;""),COLUMN(宏观数据!$F$150:$TN$150))-COLUMN(宏观数据!$F$150)+1-60+6)=0,NA(),INDEX(宏观数据!$F$150:$TN$150,1,LOOKUP(2,1/(宏观数据!$F$150:$TN$150&lt;&gt;""),COLUMN(宏观数据!$F$150:$TN$150))-COLUMN(宏观数据!$F$150)+1-60+6)))</f>
        <v>#N/A</v>
      </c>
      <c r="H75" s="2" t="e">
        <f>IF(ISERROR(INDEX(宏观数据!$F$150:$TN$150,1,LOOKUP(2,1/(宏观数据!$F$150:$TN$150&lt;&gt;""),COLUMN(宏观数据!$F$150:$TN$150))-COLUMN(宏观数据!$F$150)+1-60+7)),NA(),IF(INDEX(宏观数据!$F$150:$TN$150,1,LOOKUP(2,1/(宏观数据!$F$150:$TN$150&lt;&gt;""),COLUMN(宏观数据!$F$150:$TN$150))-COLUMN(宏观数据!$F$150)+1-60+7)=0,NA(),INDEX(宏观数据!$F$150:$TN$150,1,LOOKUP(2,1/(宏观数据!$F$150:$TN$150&lt;&gt;""),COLUMN(宏观数据!$F$150:$TN$150))-COLUMN(宏观数据!$F$150)+1-60+7)))</f>
        <v>#N/A</v>
      </c>
      <c r="I75" s="2" t="e">
        <f>IF(ISERROR(INDEX(宏观数据!$F$150:$TN$150,1,LOOKUP(2,1/(宏观数据!$F$150:$TN$150&lt;&gt;""),COLUMN(宏观数据!$F$150:$TN$150))-COLUMN(宏观数据!$F$150)+1-60+8)),NA(),IF(INDEX(宏观数据!$F$150:$TN$150,1,LOOKUP(2,1/(宏观数据!$F$150:$TN$150&lt;&gt;""),COLUMN(宏观数据!$F$150:$TN$150))-COLUMN(宏观数据!$F$150)+1-60+8)=0,NA(),INDEX(宏观数据!$F$150:$TN$150,1,LOOKUP(2,1/(宏观数据!$F$150:$TN$150&lt;&gt;""),COLUMN(宏观数据!$F$150:$TN$150))-COLUMN(宏观数据!$F$150)+1-60+8)))</f>
        <v>#N/A</v>
      </c>
      <c r="J75" s="2" t="e">
        <f>IF(ISERROR(INDEX(宏观数据!$F$150:$TN$150,1,LOOKUP(2,1/(宏观数据!$F$150:$TN$150&lt;&gt;""),COLUMN(宏观数据!$F$150:$TN$150))-COLUMN(宏观数据!$F$150)+1-60+9)),NA(),IF(INDEX(宏观数据!$F$150:$TN$150,1,LOOKUP(2,1/(宏观数据!$F$150:$TN$150&lt;&gt;""),COLUMN(宏观数据!$F$150:$TN$150))-COLUMN(宏观数据!$F$150)+1-60+9)=0,NA(),INDEX(宏观数据!$F$150:$TN$150,1,LOOKUP(2,1/(宏观数据!$F$150:$TN$150&lt;&gt;""),COLUMN(宏观数据!$F$150:$TN$150))-COLUMN(宏观数据!$F$150)+1-60+9)))</f>
        <v>#N/A</v>
      </c>
      <c r="K75" s="2" t="e">
        <f>IF(ISERROR(INDEX(宏观数据!$F$150:$TN$150,1,LOOKUP(2,1/(宏观数据!$F$150:$TN$150&lt;&gt;""),COLUMN(宏观数据!$F$150:$TN$150))-COLUMN(宏观数据!$F$150)+1-60+10)),NA(),IF(INDEX(宏观数据!$F$150:$TN$150,1,LOOKUP(2,1/(宏观数据!$F$150:$TN$150&lt;&gt;""),COLUMN(宏观数据!$F$150:$TN$150))-COLUMN(宏观数据!$F$150)+1-60+10)=0,NA(),INDEX(宏观数据!$F$150:$TN$150,1,LOOKUP(2,1/(宏观数据!$F$150:$TN$150&lt;&gt;""),COLUMN(宏观数据!$F$150:$TN$150))-COLUMN(宏观数据!$F$150)+1-60+10)))</f>
        <v>#N/A</v>
      </c>
      <c r="L75" s="2" t="e">
        <f>IF(ISERROR(INDEX(宏观数据!$F$150:$TN$150,1,LOOKUP(2,1/(宏观数据!$F$150:$TN$150&lt;&gt;""),COLUMN(宏观数据!$F$150:$TN$150))-COLUMN(宏观数据!$F$150)+1-60+11)),NA(),IF(INDEX(宏观数据!$F$150:$TN$150,1,LOOKUP(2,1/(宏观数据!$F$150:$TN$150&lt;&gt;""),COLUMN(宏观数据!$F$150:$TN$150))-COLUMN(宏观数据!$F$150)+1-60+11)=0,NA(),INDEX(宏观数据!$F$150:$TN$150,1,LOOKUP(2,1/(宏观数据!$F$150:$TN$150&lt;&gt;""),COLUMN(宏观数据!$F$150:$TN$150))-COLUMN(宏观数据!$F$150)+1-60+11)))</f>
        <v>#N/A</v>
      </c>
      <c r="M75" s="2" t="e">
        <f>IF(ISERROR(INDEX(宏观数据!$F$150:$TN$150,1,LOOKUP(2,1/(宏观数据!$F$150:$TN$150&lt;&gt;""),COLUMN(宏观数据!$F$150:$TN$150))-COLUMN(宏观数据!$F$150)+1-60+12)),NA(),IF(INDEX(宏观数据!$F$150:$TN$150,1,LOOKUP(2,1/(宏观数据!$F$150:$TN$150&lt;&gt;""),COLUMN(宏观数据!$F$150:$TN$150))-COLUMN(宏观数据!$F$150)+1-60+12)=0,NA(),INDEX(宏观数据!$F$150:$TN$150,1,LOOKUP(2,1/(宏观数据!$F$150:$TN$150&lt;&gt;""),COLUMN(宏观数据!$F$150:$TN$150))-COLUMN(宏观数据!$F$150)+1-60+12)))</f>
        <v>#N/A</v>
      </c>
      <c r="N75" s="2" t="e">
        <f>IF(ISERROR(INDEX(宏观数据!$F$150:$TN$150,1,LOOKUP(2,1/(宏观数据!$F$150:$TN$150&lt;&gt;""),COLUMN(宏观数据!$F$150:$TN$150))-COLUMN(宏观数据!$F$150)+1-60+13)),NA(),IF(INDEX(宏观数据!$F$150:$TN$150,1,LOOKUP(2,1/(宏观数据!$F$150:$TN$150&lt;&gt;""),COLUMN(宏观数据!$F$150:$TN$150))-COLUMN(宏观数据!$F$150)+1-60+13)=0,NA(),INDEX(宏观数据!$F$150:$TN$150,1,LOOKUP(2,1/(宏观数据!$F$150:$TN$150&lt;&gt;""),COLUMN(宏观数据!$F$150:$TN$150))-COLUMN(宏观数据!$F$150)+1-60+13)))</f>
        <v>#N/A</v>
      </c>
      <c r="O75" s="2" t="e">
        <f>IF(ISERROR(INDEX(宏观数据!$F$150:$TN$150,1,LOOKUP(2,1/(宏观数据!$F$150:$TN$150&lt;&gt;""),COLUMN(宏观数据!$F$150:$TN$150))-COLUMN(宏观数据!$F$150)+1-60+14)),NA(),IF(INDEX(宏观数据!$F$150:$TN$150,1,LOOKUP(2,1/(宏观数据!$F$150:$TN$150&lt;&gt;""),COLUMN(宏观数据!$F$150:$TN$150))-COLUMN(宏观数据!$F$150)+1-60+14)=0,NA(),INDEX(宏观数据!$F$150:$TN$150,1,LOOKUP(2,1/(宏观数据!$F$150:$TN$150&lt;&gt;""),COLUMN(宏观数据!$F$150:$TN$150))-COLUMN(宏观数据!$F$150)+1-60+14)))</f>
        <v>#N/A</v>
      </c>
      <c r="P75" s="2" t="e">
        <f>IF(ISERROR(INDEX(宏观数据!$F$150:$TN$150,1,LOOKUP(2,1/(宏观数据!$F$150:$TN$150&lt;&gt;""),COLUMN(宏观数据!$F$150:$TN$150))-COLUMN(宏观数据!$F$150)+1-60+15)),NA(),IF(INDEX(宏观数据!$F$150:$TN$150,1,LOOKUP(2,1/(宏观数据!$F$150:$TN$150&lt;&gt;""),COLUMN(宏观数据!$F$150:$TN$150))-COLUMN(宏观数据!$F$150)+1-60+15)=0,NA(),INDEX(宏观数据!$F$150:$TN$150,1,LOOKUP(2,1/(宏观数据!$F$150:$TN$150&lt;&gt;""),COLUMN(宏观数据!$F$150:$TN$150))-COLUMN(宏观数据!$F$150)+1-60+15)))</f>
        <v>#N/A</v>
      </c>
      <c r="Q75" s="2" t="e">
        <f>IF(ISERROR(INDEX(宏观数据!$F$150:$TN$150,1,LOOKUP(2,1/(宏观数据!$F$150:$TN$150&lt;&gt;""),COLUMN(宏观数据!$F$150:$TN$150))-COLUMN(宏观数据!$F$150)+1-60+16)),NA(),IF(INDEX(宏观数据!$F$150:$TN$150,1,LOOKUP(2,1/(宏观数据!$F$150:$TN$150&lt;&gt;""),COLUMN(宏观数据!$F$150:$TN$150))-COLUMN(宏观数据!$F$150)+1-60+16)=0,NA(),INDEX(宏观数据!$F$150:$TN$150,1,LOOKUP(2,1/(宏观数据!$F$150:$TN$150&lt;&gt;""),COLUMN(宏观数据!$F$150:$TN$150))-COLUMN(宏观数据!$F$150)+1-60+16)))</f>
        <v>#N/A</v>
      </c>
      <c r="R75" s="2" t="e">
        <f>IF(ISERROR(INDEX(宏观数据!$F$150:$TN$150,1,LOOKUP(2,1/(宏观数据!$F$150:$TN$150&lt;&gt;""),COLUMN(宏观数据!$F$150:$TN$150))-COLUMN(宏观数据!$F$150)+1-60+17)),NA(),IF(INDEX(宏观数据!$F$150:$TN$150,1,LOOKUP(2,1/(宏观数据!$F$150:$TN$150&lt;&gt;""),COLUMN(宏观数据!$F$150:$TN$150))-COLUMN(宏观数据!$F$150)+1-60+17)=0,NA(),INDEX(宏观数据!$F$150:$TN$150,1,LOOKUP(2,1/(宏观数据!$F$150:$TN$150&lt;&gt;""),COLUMN(宏观数据!$F$150:$TN$150))-COLUMN(宏观数据!$F$150)+1-60+17)))</f>
        <v>#N/A</v>
      </c>
      <c r="S75" s="2" t="e">
        <f>IF(ISERROR(INDEX(宏观数据!$F$150:$TN$150,1,LOOKUP(2,1/(宏观数据!$F$150:$TN$150&lt;&gt;""),COLUMN(宏观数据!$F$150:$TN$150))-COLUMN(宏观数据!$F$150)+1-60+18)),NA(),IF(INDEX(宏观数据!$F$150:$TN$150,1,LOOKUP(2,1/(宏观数据!$F$150:$TN$150&lt;&gt;""),COLUMN(宏观数据!$F$150:$TN$150))-COLUMN(宏观数据!$F$150)+1-60+18)=0,NA(),INDEX(宏观数据!$F$150:$TN$150,1,LOOKUP(2,1/(宏观数据!$F$150:$TN$150&lt;&gt;""),COLUMN(宏观数据!$F$150:$TN$150))-COLUMN(宏观数据!$F$150)+1-60+18)))</f>
        <v>#N/A</v>
      </c>
      <c r="T75" s="2" t="e">
        <f>IF(ISERROR(INDEX(宏观数据!$F$150:$TN$150,1,LOOKUP(2,1/(宏观数据!$F$150:$TN$150&lt;&gt;""),COLUMN(宏观数据!$F$150:$TN$150))-COLUMN(宏观数据!$F$150)+1-60+19)),NA(),IF(INDEX(宏观数据!$F$150:$TN$150,1,LOOKUP(2,1/(宏观数据!$F$150:$TN$150&lt;&gt;""),COLUMN(宏观数据!$F$150:$TN$150))-COLUMN(宏观数据!$F$150)+1-60+19)=0,NA(),INDEX(宏观数据!$F$150:$TN$150,1,LOOKUP(2,1/(宏观数据!$F$150:$TN$150&lt;&gt;""),COLUMN(宏观数据!$F$150:$TN$150))-COLUMN(宏观数据!$F$150)+1-60+19)))</f>
        <v>#N/A</v>
      </c>
      <c r="U75" s="2" t="e">
        <f>IF(ISERROR(INDEX(宏观数据!$F$150:$TN$150,1,LOOKUP(2,1/(宏观数据!$F$150:$TN$150&lt;&gt;""),COLUMN(宏观数据!$F$150:$TN$150))-COLUMN(宏观数据!$F$150)+1-60+20)),NA(),IF(INDEX(宏观数据!$F$150:$TN$150,1,LOOKUP(2,1/(宏观数据!$F$150:$TN$150&lt;&gt;""),COLUMN(宏观数据!$F$150:$TN$150))-COLUMN(宏观数据!$F$150)+1-60+20)=0,NA(),INDEX(宏观数据!$F$150:$TN$150,1,LOOKUP(2,1/(宏观数据!$F$150:$TN$150&lt;&gt;""),COLUMN(宏观数据!$F$150:$TN$150))-COLUMN(宏观数据!$F$150)+1-60+20)))</f>
        <v>#N/A</v>
      </c>
      <c r="V75" s="2" t="e">
        <f>IF(ISERROR(INDEX(宏观数据!$F$150:$TN$150,1,LOOKUP(2,1/(宏观数据!$F$150:$TN$150&lt;&gt;""),COLUMN(宏观数据!$F$150:$TN$150))-COLUMN(宏观数据!$F$150)+1-60+21)),NA(),IF(INDEX(宏观数据!$F$150:$TN$150,1,LOOKUP(2,1/(宏观数据!$F$150:$TN$150&lt;&gt;""),COLUMN(宏观数据!$F$150:$TN$150))-COLUMN(宏观数据!$F$150)+1-60+21)=0,NA(),INDEX(宏观数据!$F$150:$TN$150,1,LOOKUP(2,1/(宏观数据!$F$150:$TN$150&lt;&gt;""),COLUMN(宏观数据!$F$150:$TN$150))-COLUMN(宏观数据!$F$150)+1-60+21)))</f>
        <v>#N/A</v>
      </c>
      <c r="W75" s="2" t="e">
        <f>IF(ISERROR(INDEX(宏观数据!$F$150:$TN$150,1,LOOKUP(2,1/(宏观数据!$F$150:$TN$150&lt;&gt;""),COLUMN(宏观数据!$F$150:$TN$150))-COLUMN(宏观数据!$F$150)+1-60+22)),NA(),IF(INDEX(宏观数据!$F$150:$TN$150,1,LOOKUP(2,1/(宏观数据!$F$150:$TN$150&lt;&gt;""),COLUMN(宏观数据!$F$150:$TN$150))-COLUMN(宏观数据!$F$150)+1-60+22)=0,NA(),INDEX(宏观数据!$F$150:$TN$150,1,LOOKUP(2,1/(宏观数据!$F$150:$TN$150&lt;&gt;""),COLUMN(宏观数据!$F$150:$TN$150))-COLUMN(宏观数据!$F$150)+1-60+22)))</f>
        <v>#N/A</v>
      </c>
      <c r="X75" s="2" t="e">
        <f>IF(ISERROR(INDEX(宏观数据!$F$150:$TN$150,1,LOOKUP(2,1/(宏观数据!$F$150:$TN$150&lt;&gt;""),COLUMN(宏观数据!$F$150:$TN$150))-COLUMN(宏观数据!$F$150)+1-60+23)),NA(),IF(INDEX(宏观数据!$F$150:$TN$150,1,LOOKUP(2,1/(宏观数据!$F$150:$TN$150&lt;&gt;""),COLUMN(宏观数据!$F$150:$TN$150))-COLUMN(宏观数据!$F$150)+1-60+23)=0,NA(),INDEX(宏观数据!$F$150:$TN$150,1,LOOKUP(2,1/(宏观数据!$F$150:$TN$150&lt;&gt;""),COLUMN(宏观数据!$F$150:$TN$150))-COLUMN(宏观数据!$F$150)+1-60+23)))</f>
        <v>#N/A</v>
      </c>
      <c r="Y75" s="2" t="e">
        <f>IF(ISERROR(INDEX(宏观数据!$F$150:$TN$150,1,LOOKUP(2,1/(宏观数据!$F$150:$TN$150&lt;&gt;""),COLUMN(宏观数据!$F$150:$TN$150))-COLUMN(宏观数据!$F$150)+1-60+24)),NA(),IF(INDEX(宏观数据!$F$150:$TN$150,1,LOOKUP(2,1/(宏观数据!$F$150:$TN$150&lt;&gt;""),COLUMN(宏观数据!$F$150:$TN$150))-COLUMN(宏观数据!$F$150)+1-60+24)=0,NA(),INDEX(宏观数据!$F$150:$TN$150,1,LOOKUP(2,1/(宏观数据!$F$150:$TN$150&lt;&gt;""),COLUMN(宏观数据!$F$150:$TN$150))-COLUMN(宏观数据!$F$150)+1-60+24)))</f>
        <v>#N/A</v>
      </c>
      <c r="Z75" s="2" t="e">
        <f>IF(ISERROR(INDEX(宏观数据!$F$150:$TN$150,1,LOOKUP(2,1/(宏观数据!$F$150:$TN$150&lt;&gt;""),COLUMN(宏观数据!$F$150:$TN$150))-COLUMN(宏观数据!$F$150)+1-60+25)),NA(),IF(INDEX(宏观数据!$F$150:$TN$150,1,LOOKUP(2,1/(宏观数据!$F$150:$TN$150&lt;&gt;""),COLUMN(宏观数据!$F$150:$TN$150))-COLUMN(宏观数据!$F$150)+1-60+25)=0,NA(),INDEX(宏观数据!$F$150:$TN$150,1,LOOKUP(2,1/(宏观数据!$F$150:$TN$150&lt;&gt;""),COLUMN(宏观数据!$F$150:$TN$150))-COLUMN(宏观数据!$F$150)+1-60+25)))</f>
        <v>#N/A</v>
      </c>
      <c r="AA75" s="2" t="e">
        <f>IF(ISERROR(INDEX(宏观数据!$F$150:$TN$150,1,LOOKUP(2,1/(宏观数据!$F$150:$TN$150&lt;&gt;""),COLUMN(宏观数据!$F$150:$TN$150))-COLUMN(宏观数据!$F$150)+1-60+26)),NA(),IF(INDEX(宏观数据!$F$150:$TN$150,1,LOOKUP(2,1/(宏观数据!$F$150:$TN$150&lt;&gt;""),COLUMN(宏观数据!$F$150:$TN$150))-COLUMN(宏观数据!$F$150)+1-60+26)=0,NA(),INDEX(宏观数据!$F$150:$TN$150,1,LOOKUP(2,1/(宏观数据!$F$150:$TN$150&lt;&gt;""),COLUMN(宏观数据!$F$150:$TN$150))-COLUMN(宏观数据!$F$150)+1-60+26)))</f>
        <v>#N/A</v>
      </c>
      <c r="AB75" s="2" t="e">
        <f>IF(ISERROR(INDEX(宏观数据!$F$150:$TN$150,1,LOOKUP(2,1/(宏观数据!$F$150:$TN$150&lt;&gt;""),COLUMN(宏观数据!$F$150:$TN$150))-COLUMN(宏观数据!$F$150)+1-60+27)),NA(),IF(INDEX(宏观数据!$F$150:$TN$150,1,LOOKUP(2,1/(宏观数据!$F$150:$TN$150&lt;&gt;""),COLUMN(宏观数据!$F$150:$TN$150))-COLUMN(宏观数据!$F$150)+1-60+27)=0,NA(),INDEX(宏观数据!$F$150:$TN$150,1,LOOKUP(2,1/(宏观数据!$F$150:$TN$150&lt;&gt;""),COLUMN(宏观数据!$F$150:$TN$150))-COLUMN(宏观数据!$F$150)+1-60+27)))</f>
        <v>#N/A</v>
      </c>
      <c r="AC75" s="2" t="e">
        <f>IF(ISERROR(INDEX(宏观数据!$F$150:$TN$150,1,LOOKUP(2,1/(宏观数据!$F$150:$TN$150&lt;&gt;""),COLUMN(宏观数据!$F$150:$TN$150))-COLUMN(宏观数据!$F$150)+1-60+28)),NA(),IF(INDEX(宏观数据!$F$150:$TN$150,1,LOOKUP(2,1/(宏观数据!$F$150:$TN$150&lt;&gt;""),COLUMN(宏观数据!$F$150:$TN$150))-COLUMN(宏观数据!$F$150)+1-60+28)=0,NA(),INDEX(宏观数据!$F$150:$TN$150,1,LOOKUP(2,1/(宏观数据!$F$150:$TN$150&lt;&gt;""),COLUMN(宏观数据!$F$150:$TN$150))-COLUMN(宏观数据!$F$150)+1-60+28)))</f>
        <v>#N/A</v>
      </c>
      <c r="AD75" s="2">
        <f>IF(ISERROR(INDEX(宏观数据!$F$150:$TN$150,1,LOOKUP(2,1/(宏观数据!$F$150:$TN$150&lt;&gt;""),COLUMN(宏观数据!$F$150:$TN$150))-COLUMN(宏观数据!$F$150)+1-60+29)),NA(),IF(INDEX(宏观数据!$F$150:$TN$150,1,LOOKUP(2,1/(宏观数据!$F$150:$TN$150&lt;&gt;""),COLUMN(宏观数据!$F$150:$TN$150))-COLUMN(宏观数据!$F$150)+1-60+29)=0,NA(),INDEX(宏观数据!$F$150:$TN$150,1,LOOKUP(2,1/(宏观数据!$F$150:$TN$150&lt;&gt;""),COLUMN(宏观数据!$F$150:$TN$150))-COLUMN(宏观数据!$F$150)+1-60+29)))</f>
        <v>95.9</v>
      </c>
      <c r="AE75" s="2" t="e">
        <f>IF(ISERROR(INDEX(宏观数据!$F$150:$TN$150,1,LOOKUP(2,1/(宏观数据!$F$150:$TN$150&lt;&gt;""),COLUMN(宏观数据!$F$150:$TN$150))-COLUMN(宏观数据!$F$150)+1-60+30)),NA(),IF(INDEX(宏观数据!$F$150:$TN$150,1,LOOKUP(2,1/(宏观数据!$F$150:$TN$150&lt;&gt;""),COLUMN(宏观数据!$F$150:$TN$150))-COLUMN(宏观数据!$F$150)+1-60+30)=0,NA(),INDEX(宏观数据!$F$150:$TN$150,1,LOOKUP(2,1/(宏观数据!$F$150:$TN$150&lt;&gt;""),COLUMN(宏观数据!$F$150:$TN$150))-COLUMN(宏观数据!$F$150)+1-60+30)))</f>
        <v>#N/A</v>
      </c>
      <c r="AF75" s="2" t="e">
        <f>IF(ISERROR(INDEX(宏观数据!$F$150:$TN$150,1,LOOKUP(2,1/(宏观数据!$F$150:$TN$150&lt;&gt;""),COLUMN(宏观数据!$F$150:$TN$150))-COLUMN(宏观数据!$F$150)+1-60+31)),NA(),IF(INDEX(宏观数据!$F$150:$TN$150,1,LOOKUP(2,1/(宏观数据!$F$150:$TN$150&lt;&gt;""),COLUMN(宏观数据!$F$150:$TN$150))-COLUMN(宏观数据!$F$150)+1-60+31)=0,NA(),INDEX(宏观数据!$F$150:$TN$150,1,LOOKUP(2,1/(宏观数据!$F$150:$TN$150&lt;&gt;""),COLUMN(宏观数据!$F$150:$TN$150))-COLUMN(宏观数据!$F$150)+1-60+31)))</f>
        <v>#N/A</v>
      </c>
      <c r="AG75" s="2" t="e">
        <f>IF(ISERROR(INDEX(宏观数据!$F$150:$TN$150,1,LOOKUP(2,1/(宏观数据!$F$150:$TN$150&lt;&gt;""),COLUMN(宏观数据!$F$150:$TN$150))-COLUMN(宏观数据!$F$150)+1-60+32)),NA(),IF(INDEX(宏观数据!$F$150:$TN$150,1,LOOKUP(2,1/(宏观数据!$F$150:$TN$150&lt;&gt;""),COLUMN(宏观数据!$F$150:$TN$150))-COLUMN(宏观数据!$F$150)+1-60+32)=0,NA(),INDEX(宏观数据!$F$150:$TN$150,1,LOOKUP(2,1/(宏观数据!$F$150:$TN$150&lt;&gt;""),COLUMN(宏观数据!$F$150:$TN$150))-COLUMN(宏观数据!$F$150)+1-60+32)))</f>
        <v>#N/A</v>
      </c>
      <c r="AH75" s="2" t="e">
        <f>IF(ISERROR(INDEX(宏观数据!$F$150:$TN$150,1,LOOKUP(2,1/(宏观数据!$F$150:$TN$150&lt;&gt;""),COLUMN(宏观数据!$F$150:$TN$150))-COLUMN(宏观数据!$F$150)+1-60+33)),NA(),IF(INDEX(宏观数据!$F$150:$TN$150,1,LOOKUP(2,1/(宏观数据!$F$150:$TN$150&lt;&gt;""),COLUMN(宏观数据!$F$150:$TN$150))-COLUMN(宏观数据!$F$150)+1-60+33)=0,NA(),INDEX(宏观数据!$F$150:$TN$150,1,LOOKUP(2,1/(宏观数据!$F$150:$TN$150&lt;&gt;""),COLUMN(宏观数据!$F$150:$TN$150))-COLUMN(宏观数据!$F$150)+1-60+33)))</f>
        <v>#N/A</v>
      </c>
      <c r="AI75" s="2" t="e">
        <f>IF(ISERROR(INDEX(宏观数据!$F$150:$TN$150,1,LOOKUP(2,1/(宏观数据!$F$150:$TN$150&lt;&gt;""),COLUMN(宏观数据!$F$150:$TN$150))-COLUMN(宏观数据!$F$150)+1-60+34)),NA(),IF(INDEX(宏观数据!$F$150:$TN$150,1,LOOKUP(2,1/(宏观数据!$F$150:$TN$150&lt;&gt;""),COLUMN(宏观数据!$F$150:$TN$150))-COLUMN(宏观数据!$F$150)+1-60+34)=0,NA(),INDEX(宏观数据!$F$150:$TN$150,1,LOOKUP(2,1/(宏观数据!$F$150:$TN$150&lt;&gt;""),COLUMN(宏观数据!$F$150:$TN$150))-COLUMN(宏观数据!$F$150)+1-60+34)))</f>
        <v>#N/A</v>
      </c>
      <c r="AJ75" s="2" t="e">
        <f>IF(ISERROR(INDEX(宏观数据!$F$150:$TN$150,1,LOOKUP(2,1/(宏观数据!$F$150:$TN$150&lt;&gt;""),COLUMN(宏观数据!$F$150:$TN$150))-COLUMN(宏观数据!$F$150)+1-60+35)),NA(),IF(INDEX(宏观数据!$F$150:$TN$150,1,LOOKUP(2,1/(宏观数据!$F$150:$TN$150&lt;&gt;""),COLUMN(宏观数据!$F$150:$TN$150))-COLUMN(宏观数据!$F$150)+1-60+35)=0,NA(),INDEX(宏观数据!$F$150:$TN$150,1,LOOKUP(2,1/(宏观数据!$F$150:$TN$150&lt;&gt;""),COLUMN(宏观数据!$F$150:$TN$150))-COLUMN(宏观数据!$F$150)+1-60+35)))</f>
        <v>#N/A</v>
      </c>
      <c r="AK75" s="2" t="e">
        <f>IF(ISERROR(INDEX(宏观数据!$F$150:$TN$150,1,LOOKUP(2,1/(宏观数据!$F$150:$TN$150&lt;&gt;""),COLUMN(宏观数据!$F$150:$TN$150))-COLUMN(宏观数据!$F$150)+1-60+36)),NA(),IF(INDEX(宏观数据!$F$150:$TN$150,1,LOOKUP(2,1/(宏观数据!$F$150:$TN$150&lt;&gt;""),COLUMN(宏观数据!$F$150:$TN$150))-COLUMN(宏观数据!$F$150)+1-60+36)=0,NA(),INDEX(宏观数据!$F$150:$TN$150,1,LOOKUP(2,1/(宏观数据!$F$150:$TN$150&lt;&gt;""),COLUMN(宏观数据!$F$150:$TN$150))-COLUMN(宏观数据!$F$150)+1-60+36)))</f>
        <v>#N/A</v>
      </c>
      <c r="AL75" s="2" t="e">
        <f>IF(ISERROR(INDEX(宏观数据!$F$150:$TN$150,1,LOOKUP(2,1/(宏观数据!$F$150:$TN$150&lt;&gt;""),COLUMN(宏观数据!$F$150:$TN$150))-COLUMN(宏观数据!$F$150)+1-60+37)),NA(),IF(INDEX(宏观数据!$F$150:$TN$150,1,LOOKUP(2,1/(宏观数据!$F$150:$TN$150&lt;&gt;""),COLUMN(宏观数据!$F$150:$TN$150))-COLUMN(宏观数据!$F$150)+1-60+37)=0,NA(),INDEX(宏观数据!$F$150:$TN$150,1,LOOKUP(2,1/(宏观数据!$F$150:$TN$150&lt;&gt;""),COLUMN(宏观数据!$F$150:$TN$150))-COLUMN(宏观数据!$F$150)+1-60+37)))</f>
        <v>#N/A</v>
      </c>
      <c r="AM75" s="2" t="e">
        <f>IF(ISERROR(INDEX(宏观数据!$F$150:$TN$150,1,LOOKUP(2,1/(宏观数据!$F$150:$TN$150&lt;&gt;""),COLUMN(宏观数据!$F$150:$TN$150))-COLUMN(宏观数据!$F$150)+1-60+38)),NA(),IF(INDEX(宏观数据!$F$150:$TN$150,1,LOOKUP(2,1/(宏观数据!$F$150:$TN$150&lt;&gt;""),COLUMN(宏观数据!$F$150:$TN$150))-COLUMN(宏观数据!$F$150)+1-60+38)=0,NA(),INDEX(宏观数据!$F$150:$TN$150,1,LOOKUP(2,1/(宏观数据!$F$150:$TN$150&lt;&gt;""),COLUMN(宏观数据!$F$150:$TN$150))-COLUMN(宏观数据!$F$150)+1-60+38)))</f>
        <v>#N/A</v>
      </c>
      <c r="AN75" s="2" t="e">
        <f>IF(ISERROR(INDEX(宏观数据!$F$150:$TN$150,1,LOOKUP(2,1/(宏观数据!$F$150:$TN$150&lt;&gt;""),COLUMN(宏观数据!$F$150:$TN$150))-COLUMN(宏观数据!$F$150)+1-60+39)),NA(),IF(INDEX(宏观数据!$F$150:$TN$150,1,LOOKUP(2,1/(宏观数据!$F$150:$TN$150&lt;&gt;""),COLUMN(宏观数据!$F$150:$TN$150))-COLUMN(宏观数据!$F$150)+1-60+39)=0,NA(),INDEX(宏观数据!$F$150:$TN$150,1,LOOKUP(2,1/(宏观数据!$F$150:$TN$150&lt;&gt;""),COLUMN(宏观数据!$F$150:$TN$150))-COLUMN(宏观数据!$F$150)+1-60+39)))</f>
        <v>#N/A</v>
      </c>
      <c r="AO75" s="2" t="e">
        <f>IF(ISERROR(INDEX(宏观数据!$F$150:$TN$150,1,LOOKUP(2,1/(宏观数据!$F$150:$TN$150&lt;&gt;""),COLUMN(宏观数据!$F$150:$TN$150))-COLUMN(宏观数据!$F$150)+1-60+40)),NA(),IF(INDEX(宏观数据!$F$150:$TN$150,1,LOOKUP(2,1/(宏观数据!$F$150:$TN$150&lt;&gt;""),COLUMN(宏观数据!$F$150:$TN$150))-COLUMN(宏观数据!$F$150)+1-60+40)=0,NA(),INDEX(宏观数据!$F$150:$TN$150,1,LOOKUP(2,1/(宏观数据!$F$150:$TN$150&lt;&gt;""),COLUMN(宏观数据!$F$150:$TN$150))-COLUMN(宏观数据!$F$150)+1-60+40)))</f>
        <v>#N/A</v>
      </c>
      <c r="AP75" s="2" t="e">
        <f>IF(ISERROR(INDEX(宏观数据!$F$150:$TN$150,1,LOOKUP(2,1/(宏观数据!$F$150:$TN$150&lt;&gt;""),COLUMN(宏观数据!$F$150:$TN$150))-COLUMN(宏观数据!$F$150)+1-60+41)),NA(),IF(INDEX(宏观数据!$F$150:$TN$150,1,LOOKUP(2,1/(宏观数据!$F$150:$TN$150&lt;&gt;""),COLUMN(宏观数据!$F$150:$TN$150))-COLUMN(宏观数据!$F$150)+1-60+41)=0,NA(),INDEX(宏观数据!$F$150:$TN$150,1,LOOKUP(2,1/(宏观数据!$F$150:$TN$150&lt;&gt;""),COLUMN(宏观数据!$F$150:$TN$150))-COLUMN(宏观数据!$F$150)+1-60+41)))</f>
        <v>#N/A</v>
      </c>
      <c r="AQ75" s="2" t="e">
        <f>IF(ISERROR(INDEX(宏观数据!$F$150:$TN$150,1,LOOKUP(2,1/(宏观数据!$F$150:$TN$150&lt;&gt;""),COLUMN(宏观数据!$F$150:$TN$150))-COLUMN(宏观数据!$F$150)+1-60+42)),NA(),IF(INDEX(宏观数据!$F$150:$TN$150,1,LOOKUP(2,1/(宏观数据!$F$150:$TN$150&lt;&gt;""),COLUMN(宏观数据!$F$150:$TN$150))-COLUMN(宏观数据!$F$150)+1-60+42)=0,NA(),INDEX(宏观数据!$F$150:$TN$150,1,LOOKUP(2,1/(宏观数据!$F$150:$TN$150&lt;&gt;""),COLUMN(宏观数据!$F$150:$TN$150))-COLUMN(宏观数据!$F$150)+1-60+42)))</f>
        <v>#N/A</v>
      </c>
      <c r="AR75" s="2" t="e">
        <f>IF(ISERROR(INDEX(宏观数据!$F$150:$TN$150,1,LOOKUP(2,1/(宏观数据!$F$150:$TN$150&lt;&gt;""),COLUMN(宏观数据!$F$150:$TN$150))-COLUMN(宏观数据!$F$150)+1-60+43)),NA(),IF(INDEX(宏观数据!$F$150:$TN$150,1,LOOKUP(2,1/(宏观数据!$F$150:$TN$150&lt;&gt;""),COLUMN(宏观数据!$F$150:$TN$150))-COLUMN(宏观数据!$F$150)+1-60+43)=0,NA(),INDEX(宏观数据!$F$150:$TN$150,1,LOOKUP(2,1/(宏观数据!$F$150:$TN$150&lt;&gt;""),COLUMN(宏观数据!$F$150:$TN$150))-COLUMN(宏观数据!$F$150)+1-60+43)))</f>
        <v>#N/A</v>
      </c>
      <c r="AS75" s="2" t="e">
        <f>IF(ISERROR(INDEX(宏观数据!$F$150:$TN$150,1,LOOKUP(2,1/(宏观数据!$F$150:$TN$150&lt;&gt;""),COLUMN(宏观数据!$F$150:$TN$150))-COLUMN(宏观数据!$F$150)+1-60+44)),NA(),IF(INDEX(宏观数据!$F$150:$TN$150,1,LOOKUP(2,1/(宏观数据!$F$150:$TN$150&lt;&gt;""),COLUMN(宏观数据!$F$150:$TN$150))-COLUMN(宏观数据!$F$150)+1-60+44)=0,NA(),INDEX(宏观数据!$F$150:$TN$150,1,LOOKUP(2,1/(宏观数据!$F$150:$TN$150&lt;&gt;""),COLUMN(宏观数据!$F$150:$TN$150))-COLUMN(宏观数据!$F$150)+1-60+44)))</f>
        <v>#N/A</v>
      </c>
      <c r="AT75" s="2" t="e">
        <f>IF(ISERROR(INDEX(宏观数据!$F$150:$TN$150,1,LOOKUP(2,1/(宏观数据!$F$150:$TN$150&lt;&gt;""),COLUMN(宏观数据!$F$150:$TN$150))-COLUMN(宏观数据!$F$150)+1-60+45)),NA(),IF(INDEX(宏观数据!$F$150:$TN$150,1,LOOKUP(2,1/(宏观数据!$F$150:$TN$150&lt;&gt;""),COLUMN(宏观数据!$F$150:$TN$150))-COLUMN(宏观数据!$F$150)+1-60+45)=0,NA(),INDEX(宏观数据!$F$150:$TN$150,1,LOOKUP(2,1/(宏观数据!$F$150:$TN$150&lt;&gt;""),COLUMN(宏观数据!$F$150:$TN$150))-COLUMN(宏观数据!$F$150)+1-60+45)))</f>
        <v>#N/A</v>
      </c>
      <c r="AU75" s="2" t="e">
        <f>IF(ISERROR(INDEX(宏观数据!$F$150:$TN$150,1,LOOKUP(2,1/(宏观数据!$F$150:$TN$150&lt;&gt;""),COLUMN(宏观数据!$F$150:$TN$150))-COLUMN(宏观数据!$F$150)+1-60+46)),NA(),IF(INDEX(宏观数据!$F$150:$TN$150,1,LOOKUP(2,1/(宏观数据!$F$150:$TN$150&lt;&gt;""),COLUMN(宏观数据!$F$150:$TN$150))-COLUMN(宏观数据!$F$150)+1-60+46)=0,NA(),INDEX(宏观数据!$F$150:$TN$150,1,LOOKUP(2,1/(宏观数据!$F$150:$TN$150&lt;&gt;""),COLUMN(宏观数据!$F$150:$TN$150))-COLUMN(宏观数据!$F$150)+1-60+46)))</f>
        <v>#N/A</v>
      </c>
      <c r="AV75" s="2" t="e">
        <f>IF(ISERROR(INDEX(宏观数据!$F$150:$TN$150,1,LOOKUP(2,1/(宏观数据!$F$150:$TN$150&lt;&gt;""),COLUMN(宏观数据!$F$150:$TN$150))-COLUMN(宏观数据!$F$150)+1-60+47)),NA(),IF(INDEX(宏观数据!$F$150:$TN$150,1,LOOKUP(2,1/(宏观数据!$F$150:$TN$150&lt;&gt;""),COLUMN(宏观数据!$F$150:$TN$150))-COLUMN(宏观数据!$F$150)+1-60+47)=0,NA(),INDEX(宏观数据!$F$150:$TN$150,1,LOOKUP(2,1/(宏观数据!$F$150:$TN$150&lt;&gt;""),COLUMN(宏观数据!$F$150:$TN$150))-COLUMN(宏观数据!$F$150)+1-60+47)))</f>
        <v>#N/A</v>
      </c>
      <c r="AW75" s="2" t="e">
        <f>IF(ISERROR(INDEX(宏观数据!$F$150:$TN$150,1,LOOKUP(2,1/(宏观数据!$F$150:$TN$150&lt;&gt;""),COLUMN(宏观数据!$F$150:$TN$150))-COLUMN(宏观数据!$F$150)+1-60+48)),NA(),IF(INDEX(宏观数据!$F$150:$TN$150,1,LOOKUP(2,1/(宏观数据!$F$150:$TN$150&lt;&gt;""),COLUMN(宏观数据!$F$150:$TN$150))-COLUMN(宏观数据!$F$150)+1-60+48)=0,NA(),INDEX(宏观数据!$F$150:$TN$150,1,LOOKUP(2,1/(宏观数据!$F$150:$TN$150&lt;&gt;""),COLUMN(宏观数据!$F$150:$TN$150))-COLUMN(宏观数据!$F$150)+1-60+48)))</f>
        <v>#N/A</v>
      </c>
      <c r="AX75" s="2" t="e">
        <f>IF(ISERROR(INDEX(宏观数据!$F$150:$TN$150,1,LOOKUP(2,1/(宏观数据!$F$150:$TN$150&lt;&gt;""),COLUMN(宏观数据!$F$150:$TN$150))-COLUMN(宏观数据!$F$150)+1-60+49)),NA(),IF(INDEX(宏观数据!$F$150:$TN$150,1,LOOKUP(2,1/(宏观数据!$F$150:$TN$150&lt;&gt;""),COLUMN(宏观数据!$F$150:$TN$150))-COLUMN(宏观数据!$F$150)+1-60+49)=0,NA(),INDEX(宏观数据!$F$150:$TN$150,1,LOOKUP(2,1/(宏观数据!$F$150:$TN$150&lt;&gt;""),COLUMN(宏观数据!$F$150:$TN$150))-COLUMN(宏观数据!$F$150)+1-60+49)))</f>
        <v>#N/A</v>
      </c>
      <c r="AY75" s="2" t="e">
        <f>IF(ISERROR(INDEX(宏观数据!$F$150:$TN$150,1,LOOKUP(2,1/(宏观数据!$F$150:$TN$150&lt;&gt;""),COLUMN(宏观数据!$F$150:$TN$150))-COLUMN(宏观数据!$F$150)+1-60+50)),NA(),IF(INDEX(宏观数据!$F$150:$TN$150,1,LOOKUP(2,1/(宏观数据!$F$150:$TN$150&lt;&gt;""),COLUMN(宏观数据!$F$150:$TN$150))-COLUMN(宏观数据!$F$150)+1-60+50)=0,NA(),INDEX(宏观数据!$F$150:$TN$150,1,LOOKUP(2,1/(宏观数据!$F$150:$TN$150&lt;&gt;""),COLUMN(宏观数据!$F$150:$TN$150))-COLUMN(宏观数据!$F$150)+1-60+50)))</f>
        <v>#N/A</v>
      </c>
      <c r="AZ75" s="2" t="e">
        <f>IF(ISERROR(INDEX(宏观数据!$F$150:$TN$150,1,LOOKUP(2,1/(宏观数据!$F$150:$TN$150&lt;&gt;""),COLUMN(宏观数据!$F$150:$TN$150))-COLUMN(宏观数据!$F$150)+1-60+51)),NA(),IF(INDEX(宏观数据!$F$150:$TN$150,1,LOOKUP(2,1/(宏观数据!$F$150:$TN$150&lt;&gt;""),COLUMN(宏观数据!$F$150:$TN$150))-COLUMN(宏观数据!$F$150)+1-60+51)=0,NA(),INDEX(宏观数据!$F$150:$TN$150,1,LOOKUP(2,1/(宏观数据!$F$150:$TN$150&lt;&gt;""),COLUMN(宏观数据!$F$150:$TN$150))-COLUMN(宏观数据!$F$150)+1-60+51)))</f>
        <v>#N/A</v>
      </c>
      <c r="BA75" s="2" t="e">
        <f>IF(ISERROR(INDEX(宏观数据!$F$150:$TN$150,1,LOOKUP(2,1/(宏观数据!$F$150:$TN$150&lt;&gt;""),COLUMN(宏观数据!$F$150:$TN$150))-COLUMN(宏观数据!$F$150)+1-60+52)),NA(),IF(INDEX(宏观数据!$F$150:$TN$150,1,LOOKUP(2,1/(宏观数据!$F$150:$TN$150&lt;&gt;""),COLUMN(宏观数据!$F$150:$TN$150))-COLUMN(宏观数据!$F$150)+1-60+52)=0,NA(),INDEX(宏观数据!$F$150:$TN$150,1,LOOKUP(2,1/(宏观数据!$F$150:$TN$150&lt;&gt;""),COLUMN(宏观数据!$F$150:$TN$150))-COLUMN(宏观数据!$F$150)+1-60+52)))</f>
        <v>#N/A</v>
      </c>
      <c r="BB75" s="2" t="e">
        <f>IF(ISERROR(INDEX(宏观数据!$F$150:$TN$150,1,LOOKUP(2,1/(宏观数据!$F$150:$TN$150&lt;&gt;""),COLUMN(宏观数据!$F$150:$TN$150))-COLUMN(宏观数据!$F$150)+1-60+53)),NA(),IF(INDEX(宏观数据!$F$150:$TN$150,1,LOOKUP(2,1/(宏观数据!$F$150:$TN$150&lt;&gt;""),COLUMN(宏观数据!$F$150:$TN$150))-COLUMN(宏观数据!$F$150)+1-60+53)=0,NA(),INDEX(宏观数据!$F$150:$TN$150,1,LOOKUP(2,1/(宏观数据!$F$150:$TN$150&lt;&gt;""),COLUMN(宏观数据!$F$150:$TN$150))-COLUMN(宏观数据!$F$150)+1-60+53)))</f>
        <v>#N/A</v>
      </c>
      <c r="BC75" s="2" t="e">
        <f>IF(ISERROR(INDEX(宏观数据!$F$150:$TN$150,1,LOOKUP(2,1/(宏观数据!$F$150:$TN$150&lt;&gt;""),COLUMN(宏观数据!$F$150:$TN$150))-COLUMN(宏观数据!$F$150)+1-60+54)),NA(),IF(INDEX(宏观数据!$F$150:$TN$150,1,LOOKUP(2,1/(宏观数据!$F$150:$TN$150&lt;&gt;""),COLUMN(宏观数据!$F$150:$TN$150))-COLUMN(宏观数据!$F$150)+1-60+54)=0,NA(),INDEX(宏观数据!$F$150:$TN$150,1,LOOKUP(2,1/(宏观数据!$F$150:$TN$150&lt;&gt;""),COLUMN(宏观数据!$F$150:$TN$150))-COLUMN(宏观数据!$F$150)+1-60+54)))</f>
        <v>#N/A</v>
      </c>
      <c r="BD75" s="2" t="e">
        <f>IF(ISERROR(INDEX(宏观数据!$F$150:$TN$150,1,LOOKUP(2,1/(宏观数据!$F$150:$TN$150&lt;&gt;""),COLUMN(宏观数据!$F$150:$TN$150))-COLUMN(宏观数据!$F$150)+1-60+55)),NA(),IF(INDEX(宏观数据!$F$150:$TN$150,1,LOOKUP(2,1/(宏观数据!$F$150:$TN$150&lt;&gt;""),COLUMN(宏观数据!$F$150:$TN$150))-COLUMN(宏观数据!$F$150)+1-60+55)=0,NA(),INDEX(宏观数据!$F$150:$TN$150,1,LOOKUP(2,1/(宏观数据!$F$150:$TN$150&lt;&gt;""),COLUMN(宏观数据!$F$150:$TN$150))-COLUMN(宏观数据!$F$150)+1-60+55)))</f>
        <v>#N/A</v>
      </c>
      <c r="BE75" s="2" t="e">
        <f>IF(ISERROR(INDEX(宏观数据!$F$150:$TN$150,1,LOOKUP(2,1/(宏观数据!$F$150:$TN$150&lt;&gt;""),COLUMN(宏观数据!$F$150:$TN$150))-COLUMN(宏观数据!$F$150)+1-60+56)),NA(),IF(INDEX(宏观数据!$F$150:$TN$150,1,LOOKUP(2,1/(宏观数据!$F$150:$TN$150&lt;&gt;""),COLUMN(宏观数据!$F$150:$TN$150))-COLUMN(宏观数据!$F$150)+1-60+56)=0,NA(),INDEX(宏观数据!$F$150:$TN$150,1,LOOKUP(2,1/(宏观数据!$F$150:$TN$150&lt;&gt;""),COLUMN(宏观数据!$F$150:$TN$150))-COLUMN(宏观数据!$F$150)+1-60+56)))</f>
        <v>#N/A</v>
      </c>
      <c r="BF75" s="2" t="e">
        <f>IF(ISERROR(INDEX(宏观数据!$F$150:$TN$150,1,LOOKUP(2,1/(宏观数据!$F$150:$TN$150&lt;&gt;""),COLUMN(宏观数据!$F$150:$TN$150))-COLUMN(宏观数据!$F$150)+1-60+57)),NA(),IF(INDEX(宏观数据!$F$150:$TN$150,1,LOOKUP(2,1/(宏观数据!$F$150:$TN$150&lt;&gt;""),COLUMN(宏观数据!$F$150:$TN$150))-COLUMN(宏观数据!$F$150)+1-60+57)=0,NA(),INDEX(宏观数据!$F$150:$TN$150,1,LOOKUP(2,1/(宏观数据!$F$150:$TN$150&lt;&gt;""),COLUMN(宏观数据!$F$150:$TN$150))-COLUMN(宏观数据!$F$150)+1-60+57)))</f>
        <v>#N/A</v>
      </c>
      <c r="BG75" s="2" t="e">
        <f>IF(ISERROR(INDEX(宏观数据!$F$150:$TN$150,1,LOOKUP(2,1/(宏观数据!$F$150:$TN$150&lt;&gt;""),COLUMN(宏观数据!$F$150:$TN$150))-COLUMN(宏观数据!$F$150)+1-60+58)),NA(),IF(INDEX(宏观数据!$F$150:$TN$150,1,LOOKUP(2,1/(宏观数据!$F$150:$TN$150&lt;&gt;""),COLUMN(宏观数据!$F$150:$TN$150))-COLUMN(宏观数据!$F$150)+1-60+58)=0,NA(),INDEX(宏观数据!$F$150:$TN$150,1,LOOKUP(2,1/(宏观数据!$F$150:$TN$150&lt;&gt;""),COLUMN(宏观数据!$F$150:$TN$150))-COLUMN(宏观数据!$F$150)+1-60+58)))</f>
        <v>#N/A</v>
      </c>
      <c r="BH75" s="2" t="e">
        <f>IF(ISERROR(INDEX(宏观数据!$F$150:$TN$150,1,LOOKUP(2,1/(宏观数据!$F$150:$TN$150&lt;&gt;""),COLUMN(宏观数据!$F$150:$TN$150))-COLUMN(宏观数据!$F$150)+1-60+59)),NA(),IF(INDEX(宏观数据!$F$150:$TN$150,1,LOOKUP(2,1/(宏观数据!$F$150:$TN$150&lt;&gt;""),COLUMN(宏观数据!$F$150:$TN$150))-COLUMN(宏观数据!$F$150)+1-60+59)=0,NA(),INDEX(宏观数据!$F$150:$TN$150,1,LOOKUP(2,1/(宏观数据!$F$150:$TN$150&lt;&gt;""),COLUMN(宏观数据!$F$150:$TN$150))-COLUMN(宏观数据!$F$150)+1-60+59)))</f>
        <v>#N/A</v>
      </c>
      <c r="BI75">
        <f>IF(ISERROR(INDEX(宏观数据!$F$150:$TN$150,1,LOOKUP(2,1/(宏观数据!$F$150:$TN$150&lt;&gt;""),COLUMN(宏观数据!$F$150:$TN$150))-COLUMN(宏观数据!$F$150)+1-60+60)),NA(),IF(INDEX(宏观数据!$F$150:$TN$150,1,LOOKUP(2,1/(宏观数据!$F$150:$TN$150&lt;&gt;""),COLUMN(宏观数据!$F$150:$TN$150))-COLUMN(宏观数据!$F$150)+1-60+60)=0,NA(),INDEX(宏观数据!$F$150:$TN$150,1,LOOKUP(2,1/(宏观数据!$F$150:$TN$150&lt;&gt;""),COLUMN(宏观数据!$F$150:$TN$150))-COLUMN(宏观数据!$F$150)+1-60+60)))</f>
        <v>95.3</v>
      </c>
    </row>
    <row r="76" ht="15" customHeight="1" spans="1:61">
      <c r="A76" s="1" t="s">
        <v>38</v>
      </c>
      <c r="B76" s="2">
        <f ca="1">IF(ISERROR(INDEX(指数走势!$F$9:$IV$9,1,MATCH(TODAY(),指数走势!$F$1:$IV$1,1)-60+1)),NA(),IF(INDEX(指数走势!$F$9:$IV$9,1,MATCH(TODAY(),指数走势!$F$1:$IV$1,1)-60+1)=0,NA(),INDEX(指数走势!$F$9:$IV$9,1,MATCH(TODAY(),指数走势!$F$1:$IV$1,1)-60+1)))</f>
        <v>130.0563</v>
      </c>
      <c r="C76" s="2">
        <f ca="1">IF(ISERROR(INDEX(指数走势!$F$9:$IV$9,1,MATCH(TODAY(),指数走势!$F$1:$IV$1,1)-60+2)),NA(),IF(INDEX(指数走势!$F$9:$IV$9,1,MATCH(TODAY(),指数走势!$F$1:$IV$1,1)-60+2)=0,NA(),INDEX(指数走势!$F$9:$IV$9,1,MATCH(TODAY(),指数走势!$F$1:$IV$1,1)-60+2)))</f>
        <v>129.2322</v>
      </c>
      <c r="D76" s="2">
        <f ca="1">IF(ISERROR(INDEX(指数走势!$F$9:$IV$9,1,MATCH(TODAY(),指数走势!$F$1:$IV$1,1)-60+3)),NA(),IF(INDEX(指数走势!$F$9:$IV$9,1,MATCH(TODAY(),指数走势!$F$1:$IV$1,1)-60+3)=0,NA(),INDEX(指数走势!$F$9:$IV$9,1,MATCH(TODAY(),指数走势!$F$1:$IV$1,1)-60+3)))</f>
        <v>128.7452</v>
      </c>
      <c r="E76" s="2">
        <f ca="1">IF(ISERROR(INDEX(指数走势!$F$9:$IV$9,1,MATCH(TODAY(),指数走势!$F$1:$IV$1,1)-60+4)),NA(),IF(INDEX(指数走势!$F$9:$IV$9,1,MATCH(TODAY(),指数走势!$F$1:$IV$1,1)-60+4)=0,NA(),INDEX(指数走势!$F$9:$IV$9,1,MATCH(TODAY(),指数走势!$F$1:$IV$1,1)-60+4)))</f>
        <v>129.0304</v>
      </c>
      <c r="F76" s="2">
        <f ca="1">IF(ISERROR(INDEX(指数走势!$F$9:$IV$9,1,MATCH(TODAY(),指数走势!$F$1:$IV$1,1)-60+5)),NA(),IF(INDEX(指数走势!$F$9:$IV$9,1,MATCH(TODAY(),指数走势!$F$1:$IV$1,1)-60+5)=0,NA(),INDEX(指数走势!$F$9:$IV$9,1,MATCH(TODAY(),指数走势!$F$1:$IV$1,1)-60+5)))</f>
        <v>128.9585</v>
      </c>
      <c r="G76" s="2">
        <f ca="1">IF(ISERROR(INDEX(指数走势!$F$9:$IV$9,1,MATCH(TODAY(),指数走势!$F$1:$IV$1,1)-60+6)),NA(),IF(INDEX(指数走势!$F$9:$IV$9,1,MATCH(TODAY(),指数走势!$F$1:$IV$1,1)-60+6)=0,NA(),INDEX(指数走势!$F$9:$IV$9,1,MATCH(TODAY(),指数走势!$F$1:$IV$1,1)-60+6)))</f>
        <v>129.3723</v>
      </c>
      <c r="H76" s="2">
        <f ca="1">IF(ISERROR(INDEX(指数走势!$F$9:$IV$9,1,MATCH(TODAY(),指数走势!$F$1:$IV$1,1)-60+7)),NA(),IF(INDEX(指数走势!$F$9:$IV$9,1,MATCH(TODAY(),指数走势!$F$1:$IV$1,1)-60+7)=0,NA(),INDEX(指数走势!$F$9:$IV$9,1,MATCH(TODAY(),指数走势!$F$1:$IV$1,1)-60+7)))</f>
        <v>128.5488</v>
      </c>
      <c r="I76" s="2">
        <f ca="1">IF(ISERROR(INDEX(指数走势!$F$9:$IV$9,1,MATCH(TODAY(),指数走势!$F$1:$IV$1,1)-60+8)),NA(),IF(INDEX(指数走势!$F$9:$IV$9,1,MATCH(TODAY(),指数走势!$F$1:$IV$1,1)-60+8)=0,NA(),INDEX(指数走势!$F$9:$IV$9,1,MATCH(TODAY(),指数走势!$F$1:$IV$1,1)-60+8)))</f>
        <v>128.8366</v>
      </c>
      <c r="J76" s="2">
        <f ca="1">IF(ISERROR(INDEX(指数走势!$F$9:$IV$9,1,MATCH(TODAY(),指数走势!$F$1:$IV$1,1)-60+9)),NA(),IF(INDEX(指数走势!$F$9:$IV$9,1,MATCH(TODAY(),指数走势!$F$1:$IV$1,1)-60+9)=0,NA(),INDEX(指数走势!$F$9:$IV$9,1,MATCH(TODAY(),指数走势!$F$1:$IV$1,1)-60+9)))</f>
        <v>129.0868</v>
      </c>
      <c r="K76" s="2">
        <f ca="1">IF(ISERROR(INDEX(指数走势!$F$9:$IV$9,1,MATCH(TODAY(),指数走势!$F$1:$IV$1,1)-60+10)),NA(),IF(INDEX(指数走势!$F$9:$IV$9,1,MATCH(TODAY(),指数走势!$F$1:$IV$1,1)-60+10)=0,NA(),INDEX(指数走势!$F$9:$IV$9,1,MATCH(TODAY(),指数走势!$F$1:$IV$1,1)-60+10)))</f>
        <v>128.6041</v>
      </c>
      <c r="L76" s="2">
        <f ca="1">IF(ISERROR(INDEX(指数走势!$F$9:$IV$9,1,MATCH(TODAY(),指数走势!$F$1:$IV$1,1)-60+11)),NA(),IF(INDEX(指数走势!$F$9:$IV$9,1,MATCH(TODAY(),指数走势!$F$1:$IV$1,1)-60+11)=0,NA(),INDEX(指数走势!$F$9:$IV$9,1,MATCH(TODAY(),指数走势!$F$1:$IV$1,1)-60+11)))</f>
        <v>128.8627</v>
      </c>
      <c r="M76" s="2">
        <f ca="1">IF(ISERROR(INDEX(指数走势!$F$9:$IV$9,1,MATCH(TODAY(),指数走势!$F$1:$IV$1,1)-60+12)),NA(),IF(INDEX(指数走势!$F$9:$IV$9,1,MATCH(TODAY(),指数走势!$F$1:$IV$1,1)-60+12)=0,NA(),INDEX(指数走势!$F$9:$IV$9,1,MATCH(TODAY(),指数走势!$F$1:$IV$1,1)-60+12)))</f>
        <v>128.4882</v>
      </c>
      <c r="N76" s="2">
        <f ca="1">IF(ISERROR(INDEX(指数走势!$F$9:$IV$9,1,MATCH(TODAY(),指数走势!$F$1:$IV$1,1)-60+13)),NA(),IF(INDEX(指数走势!$F$9:$IV$9,1,MATCH(TODAY(),指数走势!$F$1:$IV$1,1)-60+13)=0,NA(),INDEX(指数走势!$F$9:$IV$9,1,MATCH(TODAY(),指数走势!$F$1:$IV$1,1)-60+13)))</f>
        <v>127.7357</v>
      </c>
      <c r="O76" s="2">
        <f ca="1">IF(ISERROR(INDEX(指数走势!$F$9:$IV$9,1,MATCH(TODAY(),指数走势!$F$1:$IV$1,1)-60+14)),NA(),IF(INDEX(指数走势!$F$9:$IV$9,1,MATCH(TODAY(),指数走势!$F$1:$IV$1,1)-60+14)=0,NA(),INDEX(指数走势!$F$9:$IV$9,1,MATCH(TODAY(),指数走势!$F$1:$IV$1,1)-60+14)))</f>
        <v>127.8198</v>
      </c>
      <c r="P76" s="2">
        <f ca="1">IF(ISERROR(INDEX(指数走势!$F$9:$IV$9,1,MATCH(TODAY(),指数走势!$F$1:$IV$1,1)-60+15)),NA(),IF(INDEX(指数走势!$F$9:$IV$9,1,MATCH(TODAY(),指数走势!$F$1:$IV$1,1)-60+15)=0,NA(),INDEX(指数走势!$F$9:$IV$9,1,MATCH(TODAY(),指数走势!$F$1:$IV$1,1)-60+15)))</f>
        <v>128.2981</v>
      </c>
      <c r="Q76" s="2">
        <f ca="1">IF(ISERROR(INDEX(指数走势!$F$9:$IV$9,1,MATCH(TODAY(),指数走势!$F$1:$IV$1,1)-60+16)),NA(),IF(INDEX(指数走势!$F$9:$IV$9,1,MATCH(TODAY(),指数走势!$F$1:$IV$1,1)-60+16)=0,NA(),INDEX(指数走势!$F$9:$IV$9,1,MATCH(TODAY(),指数走势!$F$1:$IV$1,1)-60+16)))</f>
        <v>127.3357</v>
      </c>
      <c r="R76" s="2">
        <f ca="1">IF(ISERROR(INDEX(指数走势!$F$9:$IV$9,1,MATCH(TODAY(),指数走势!$F$1:$IV$1,1)-60+17)),NA(),IF(INDEX(指数走势!$F$9:$IV$9,1,MATCH(TODAY(),指数走势!$F$1:$IV$1,1)-60+17)=0,NA(),INDEX(指数走势!$F$9:$IV$9,1,MATCH(TODAY(),指数走势!$F$1:$IV$1,1)-60+17)))</f>
        <v>128.9011</v>
      </c>
      <c r="S76" s="2">
        <f ca="1">IF(ISERROR(INDEX(指数走势!$F$9:$IV$9,1,MATCH(TODAY(),指数走势!$F$1:$IV$1,1)-60+18)),NA(),IF(INDEX(指数走势!$F$9:$IV$9,1,MATCH(TODAY(),指数走势!$F$1:$IV$1,1)-60+18)=0,NA(),INDEX(指数走势!$F$9:$IV$9,1,MATCH(TODAY(),指数走势!$F$1:$IV$1,1)-60+18)))</f>
        <v>127.8423</v>
      </c>
      <c r="T76" s="2">
        <f ca="1">IF(ISERROR(INDEX(指数走势!$F$9:$IV$9,1,MATCH(TODAY(),指数走势!$F$1:$IV$1,1)-60+19)),NA(),IF(INDEX(指数走势!$F$9:$IV$9,1,MATCH(TODAY(),指数走势!$F$1:$IV$1,1)-60+19)=0,NA(),INDEX(指数走势!$F$9:$IV$9,1,MATCH(TODAY(),指数走势!$F$1:$IV$1,1)-60+19)))</f>
        <v>127.177</v>
      </c>
      <c r="U76" s="2">
        <f ca="1">IF(ISERROR(INDEX(指数走势!$F$9:$IV$9,1,MATCH(TODAY(),指数走势!$F$1:$IV$1,1)-60+20)),NA(),IF(INDEX(指数走势!$F$9:$IV$9,1,MATCH(TODAY(),指数走势!$F$1:$IV$1,1)-60+20)=0,NA(),INDEX(指数走势!$F$9:$IV$9,1,MATCH(TODAY(),指数走势!$F$1:$IV$1,1)-60+20)))</f>
        <v>127.521</v>
      </c>
      <c r="V76" s="2">
        <f ca="1">IF(ISERROR(INDEX(指数走势!$F$9:$IV$9,1,MATCH(TODAY(),指数走势!$F$1:$IV$1,1)-60+21)),NA(),IF(INDEX(指数走势!$F$9:$IV$9,1,MATCH(TODAY(),指数走势!$F$1:$IV$1,1)-60+21)=0,NA(),INDEX(指数走势!$F$9:$IV$9,1,MATCH(TODAY(),指数走势!$F$1:$IV$1,1)-60+21)))</f>
        <v>127.6766</v>
      </c>
      <c r="W76" s="2">
        <f ca="1">IF(ISERROR(INDEX(指数走势!$F$9:$IV$9,1,MATCH(TODAY(),指数走势!$F$1:$IV$1,1)-60+22)),NA(),IF(INDEX(指数走势!$F$9:$IV$9,1,MATCH(TODAY(),指数走势!$F$1:$IV$1,1)-60+22)=0,NA(),INDEX(指数走势!$F$9:$IV$9,1,MATCH(TODAY(),指数走势!$F$1:$IV$1,1)-60+22)))</f>
        <v>127.0022</v>
      </c>
      <c r="X76" s="2">
        <f ca="1">IF(ISERROR(INDEX(指数走势!$F$9:$IV$9,1,MATCH(TODAY(),指数走势!$F$1:$IV$1,1)-60+23)),NA(),IF(INDEX(指数走势!$F$9:$IV$9,1,MATCH(TODAY(),指数走势!$F$1:$IV$1,1)-60+23)=0,NA(),INDEX(指数走势!$F$9:$IV$9,1,MATCH(TODAY(),指数走势!$F$1:$IV$1,1)-60+23)))</f>
        <v>127.1228</v>
      </c>
      <c r="Y76" s="2">
        <f ca="1">IF(ISERROR(INDEX(指数走势!$F$9:$IV$9,1,MATCH(TODAY(),指数走势!$F$1:$IV$1,1)-60+24)),NA(),IF(INDEX(指数走势!$F$9:$IV$9,1,MATCH(TODAY(),指数走势!$F$1:$IV$1,1)-60+24)=0,NA(),INDEX(指数走势!$F$9:$IV$9,1,MATCH(TODAY(),指数走势!$F$1:$IV$1,1)-60+24)))</f>
        <v>127.4035</v>
      </c>
      <c r="Z76" s="2">
        <f ca="1">IF(ISERROR(INDEX(指数走势!$F$9:$IV$9,1,MATCH(TODAY(),指数走势!$F$1:$IV$1,1)-60+25)),NA(),IF(INDEX(指数走势!$F$9:$IV$9,1,MATCH(TODAY(),指数走势!$F$1:$IV$1,1)-60+25)=0,NA(),INDEX(指数走势!$F$9:$IV$9,1,MATCH(TODAY(),指数走势!$F$1:$IV$1,1)-60+25)))</f>
        <v>128.0928</v>
      </c>
      <c r="AA76" s="2">
        <f ca="1">IF(ISERROR(INDEX(指数走势!$F$9:$IV$9,1,MATCH(TODAY(),指数走势!$F$1:$IV$1,1)-60+26)),NA(),IF(INDEX(指数走势!$F$9:$IV$9,1,MATCH(TODAY(),指数走势!$F$1:$IV$1,1)-60+26)=0,NA(),INDEX(指数走势!$F$9:$IV$9,1,MATCH(TODAY(),指数走势!$F$1:$IV$1,1)-60+26)))</f>
        <v>128.476</v>
      </c>
      <c r="AB76" s="2">
        <f ca="1">IF(ISERROR(INDEX(指数走势!$F$9:$IV$9,1,MATCH(TODAY(),指数走势!$F$1:$IV$1,1)-60+27)),NA(),IF(INDEX(指数走势!$F$9:$IV$9,1,MATCH(TODAY(),指数走势!$F$1:$IV$1,1)-60+27)=0,NA(),INDEX(指数走势!$F$9:$IV$9,1,MATCH(TODAY(),指数走势!$F$1:$IV$1,1)-60+27)))</f>
        <v>129.021</v>
      </c>
      <c r="AC76" s="2">
        <f ca="1">IF(ISERROR(INDEX(指数走势!$F$9:$IV$9,1,MATCH(TODAY(),指数走势!$F$1:$IV$1,1)-60+28)),NA(),IF(INDEX(指数走势!$F$9:$IV$9,1,MATCH(TODAY(),指数走势!$F$1:$IV$1,1)-60+28)=0,NA(),INDEX(指数走势!$F$9:$IV$9,1,MATCH(TODAY(),指数走势!$F$1:$IV$1,1)-60+28)))</f>
        <v>129.1123</v>
      </c>
      <c r="AD76" s="2">
        <f ca="1">IF(ISERROR(INDEX(指数走势!$F$9:$IV$9,1,MATCH(TODAY(),指数走势!$F$1:$IV$1,1)-60+29)),NA(),IF(INDEX(指数走势!$F$9:$IV$9,1,MATCH(TODAY(),指数走势!$F$1:$IV$1,1)-60+29)=0,NA(),INDEX(指数走势!$F$9:$IV$9,1,MATCH(TODAY(),指数走势!$F$1:$IV$1,1)-60+29)))</f>
        <v>128.9802</v>
      </c>
      <c r="AE76" s="2">
        <f ca="1">IF(ISERROR(INDEX(指数走势!$F$9:$IV$9,1,MATCH(TODAY(),指数走势!$F$1:$IV$1,1)-60+30)),NA(),IF(INDEX(指数走势!$F$9:$IV$9,1,MATCH(TODAY(),指数走势!$F$1:$IV$1,1)-60+30)=0,NA(),INDEX(指数走势!$F$9:$IV$9,1,MATCH(TODAY(),指数走势!$F$1:$IV$1,1)-60+30)))</f>
        <v>128.4422</v>
      </c>
      <c r="AF76" s="2">
        <f ca="1">IF(ISERROR(INDEX(指数走势!$F$9:$IV$9,1,MATCH(TODAY(),指数走势!$F$1:$IV$1,1)-60+31)),NA(),IF(INDEX(指数走势!$F$9:$IV$9,1,MATCH(TODAY(),指数走势!$F$1:$IV$1,1)-60+31)=0,NA(),INDEX(指数走势!$F$9:$IV$9,1,MATCH(TODAY(),指数走势!$F$1:$IV$1,1)-60+31)))</f>
        <v>130.5077</v>
      </c>
      <c r="AG76" s="2">
        <f ca="1">IF(ISERROR(INDEX(指数走势!$F$9:$IV$9,1,MATCH(TODAY(),指数走势!$F$1:$IV$1,1)-60+32)),NA(),IF(INDEX(指数走势!$F$9:$IV$9,1,MATCH(TODAY(),指数走势!$F$1:$IV$1,1)-60+32)=0,NA(),INDEX(指数走势!$F$9:$IV$9,1,MATCH(TODAY(),指数走势!$F$1:$IV$1,1)-60+32)))</f>
        <v>130.3377</v>
      </c>
      <c r="AH76" s="2">
        <f ca="1">IF(ISERROR(INDEX(指数走势!$F$9:$IV$9,1,MATCH(TODAY(),指数走势!$F$1:$IV$1,1)-60+33)),NA(),IF(INDEX(指数走势!$F$9:$IV$9,1,MATCH(TODAY(),指数走势!$F$1:$IV$1,1)-60+33)=0,NA(),INDEX(指数走势!$F$9:$IV$9,1,MATCH(TODAY(),指数走势!$F$1:$IV$1,1)-60+33)))</f>
        <v>130.1325</v>
      </c>
      <c r="AI76" s="2">
        <f ca="1">IF(ISERROR(INDEX(指数走势!$F$9:$IV$9,1,MATCH(TODAY(),指数走势!$F$1:$IV$1,1)-60+34)),NA(),IF(INDEX(指数走势!$F$9:$IV$9,1,MATCH(TODAY(),指数走势!$F$1:$IV$1,1)-60+34)=0,NA(),INDEX(指数走势!$F$9:$IV$9,1,MATCH(TODAY(),指数走势!$F$1:$IV$1,1)-60+34)))</f>
        <v>131.3163</v>
      </c>
      <c r="AJ76" s="2">
        <f ca="1">IF(ISERROR(INDEX(指数走势!$F$9:$IV$9,1,MATCH(TODAY(),指数走势!$F$1:$IV$1,1)-60+35)),NA(),IF(INDEX(指数走势!$F$9:$IV$9,1,MATCH(TODAY(),指数走势!$F$1:$IV$1,1)-60+35)=0,NA(),INDEX(指数走势!$F$9:$IV$9,1,MATCH(TODAY(),指数走势!$F$1:$IV$1,1)-60+35)))</f>
        <v>131.0884</v>
      </c>
      <c r="AK76" s="2">
        <f ca="1">IF(ISERROR(INDEX(指数走势!$F$9:$IV$9,1,MATCH(TODAY(),指数走势!$F$1:$IV$1,1)-60+36)),NA(),IF(INDEX(指数走势!$F$9:$IV$9,1,MATCH(TODAY(),指数走势!$F$1:$IV$1,1)-60+36)=0,NA(),INDEX(指数走势!$F$9:$IV$9,1,MATCH(TODAY(),指数走势!$F$1:$IV$1,1)-60+36)))</f>
        <v>130.8766</v>
      </c>
      <c r="AL76" s="2">
        <f ca="1">IF(ISERROR(INDEX(指数走势!$F$9:$IV$9,1,MATCH(TODAY(),指数走势!$F$1:$IV$1,1)-60+37)),NA(),IF(INDEX(指数走势!$F$9:$IV$9,1,MATCH(TODAY(),指数走势!$F$1:$IV$1,1)-60+37)=0,NA(),INDEX(指数走势!$F$9:$IV$9,1,MATCH(TODAY(),指数走势!$F$1:$IV$1,1)-60+37)))</f>
        <v>130.1975</v>
      </c>
      <c r="AM76" s="2">
        <f ca="1">IF(ISERROR(INDEX(指数走势!$F$9:$IV$9,1,MATCH(TODAY(),指数走势!$F$1:$IV$1,1)-60+38)),NA(),IF(INDEX(指数走势!$F$9:$IV$9,1,MATCH(TODAY(),指数走势!$F$1:$IV$1,1)-60+38)=0,NA(),INDEX(指数走势!$F$9:$IV$9,1,MATCH(TODAY(),指数走势!$F$1:$IV$1,1)-60+38)))</f>
        <v>130.8496</v>
      </c>
      <c r="AN76" s="2">
        <f ca="1">IF(ISERROR(INDEX(指数走势!$F$9:$IV$9,1,MATCH(TODAY(),指数走势!$F$1:$IV$1,1)-60+39)),NA(),IF(INDEX(指数走势!$F$9:$IV$9,1,MATCH(TODAY(),指数走势!$F$1:$IV$1,1)-60+39)=0,NA(),INDEX(指数走势!$F$9:$IV$9,1,MATCH(TODAY(),指数走势!$F$1:$IV$1,1)-60+39)))</f>
        <v>131.0392</v>
      </c>
      <c r="AO76" s="2">
        <f ca="1">IF(ISERROR(INDEX(指数走势!$F$9:$IV$9,1,MATCH(TODAY(),指数走势!$F$1:$IV$1,1)-60+40)),NA(),IF(INDEX(指数走势!$F$9:$IV$9,1,MATCH(TODAY(),指数走势!$F$1:$IV$1,1)-60+40)=0,NA(),INDEX(指数走势!$F$9:$IV$9,1,MATCH(TODAY(),指数走势!$F$1:$IV$1,1)-60+40)))</f>
        <v>131.1315</v>
      </c>
      <c r="AP76" s="2">
        <f ca="1">IF(ISERROR(INDEX(指数走势!$F$9:$IV$9,1,MATCH(TODAY(),指数走势!$F$1:$IV$1,1)-60+41)),NA(),IF(INDEX(指数走势!$F$9:$IV$9,1,MATCH(TODAY(),指数走势!$F$1:$IV$1,1)-60+41)=0,NA(),INDEX(指数走势!$F$9:$IV$9,1,MATCH(TODAY(),指数走势!$F$1:$IV$1,1)-60+41)))</f>
        <v>131.186</v>
      </c>
      <c r="AQ76" s="2">
        <f ca="1">IF(ISERROR(INDEX(指数走势!$F$9:$IV$9,1,MATCH(TODAY(),指数走势!$F$1:$IV$1,1)-60+42)),NA(),IF(INDEX(指数走势!$F$9:$IV$9,1,MATCH(TODAY(),指数走势!$F$1:$IV$1,1)-60+42)=0,NA(),INDEX(指数走势!$F$9:$IV$9,1,MATCH(TODAY(),指数走势!$F$1:$IV$1,1)-60+42)))</f>
        <v>132.2689</v>
      </c>
      <c r="AR76" s="2">
        <f ca="1">IF(ISERROR(INDEX(指数走势!$F$9:$IV$9,1,MATCH(TODAY(),指数走势!$F$1:$IV$1,1)-60+43)),NA(),IF(INDEX(指数走势!$F$9:$IV$9,1,MATCH(TODAY(),指数走势!$F$1:$IV$1,1)-60+43)=0,NA(),INDEX(指数走势!$F$9:$IV$9,1,MATCH(TODAY(),指数走势!$F$1:$IV$1,1)-60+43)))</f>
        <v>132.4181</v>
      </c>
      <c r="AS76" s="2">
        <f ca="1">IF(ISERROR(INDEX(指数走势!$F$9:$IV$9,1,MATCH(TODAY(),指数走势!$F$1:$IV$1,1)-60+44)),NA(),IF(INDEX(指数走势!$F$9:$IV$9,1,MATCH(TODAY(),指数走势!$F$1:$IV$1,1)-60+44)=0,NA(),INDEX(指数走势!$F$9:$IV$9,1,MATCH(TODAY(),指数走势!$F$1:$IV$1,1)-60+44)))</f>
        <v>132.9087</v>
      </c>
      <c r="AT76" s="2">
        <f ca="1">IF(ISERROR(INDEX(指数走势!$F$9:$IV$9,1,MATCH(TODAY(),指数走势!$F$1:$IV$1,1)-60+45)),NA(),IF(INDEX(指数走势!$F$9:$IV$9,1,MATCH(TODAY(),指数走势!$F$1:$IV$1,1)-60+45)=0,NA(),INDEX(指数走势!$F$9:$IV$9,1,MATCH(TODAY(),指数走势!$F$1:$IV$1,1)-60+45)))</f>
        <v>131.9219</v>
      </c>
      <c r="AU76" s="2">
        <f ca="1">IF(ISERROR(INDEX(指数走势!$F$9:$IV$9,1,MATCH(TODAY(),指数走势!$F$1:$IV$1,1)-60+46)),NA(),IF(INDEX(指数走势!$F$9:$IV$9,1,MATCH(TODAY(),指数走势!$F$1:$IV$1,1)-60+46)=0,NA(),INDEX(指数走势!$F$9:$IV$9,1,MATCH(TODAY(),指数走势!$F$1:$IV$1,1)-60+46)))</f>
        <v>128.1684</v>
      </c>
      <c r="AV76" s="2">
        <f ca="1">IF(ISERROR(INDEX(指数走势!$F$9:$IV$9,1,MATCH(TODAY(),指数走势!$F$1:$IV$1,1)-60+47)),NA(),IF(INDEX(指数走势!$F$9:$IV$9,1,MATCH(TODAY(),指数走势!$F$1:$IV$1,1)-60+47)=0,NA(),INDEX(指数走势!$F$9:$IV$9,1,MATCH(TODAY(),指数走势!$F$1:$IV$1,1)-60+47)))</f>
        <v>127.8453</v>
      </c>
      <c r="AW76" s="2">
        <f ca="1">IF(ISERROR(INDEX(指数走势!$F$9:$IV$9,1,MATCH(TODAY(),指数走势!$F$1:$IV$1,1)-60+48)),NA(),IF(INDEX(指数走势!$F$9:$IV$9,1,MATCH(TODAY(),指数走势!$F$1:$IV$1,1)-60+48)=0,NA(),INDEX(指数走势!$F$9:$IV$9,1,MATCH(TODAY(),指数走势!$F$1:$IV$1,1)-60+48)))</f>
        <v>128.7458</v>
      </c>
      <c r="AX76" s="2">
        <f ca="1">IF(ISERROR(INDEX(指数走势!$F$9:$IV$9,1,MATCH(TODAY(),指数走势!$F$1:$IV$1,1)-60+49)),NA(),IF(INDEX(指数走势!$F$9:$IV$9,1,MATCH(TODAY(),指数走势!$F$1:$IV$1,1)-60+49)=0,NA(),INDEX(指数走势!$F$9:$IV$9,1,MATCH(TODAY(),指数走势!$F$1:$IV$1,1)-60+49)))</f>
        <v>128.3873</v>
      </c>
      <c r="AY76" s="2">
        <f ca="1">IF(ISERROR(INDEX(指数走势!$F$9:$IV$9,1,MATCH(TODAY(),指数走势!$F$1:$IV$1,1)-60+50)),NA(),IF(INDEX(指数走势!$F$9:$IV$9,1,MATCH(TODAY(),指数走势!$F$1:$IV$1,1)-60+50)=0,NA(),INDEX(指数走势!$F$9:$IV$9,1,MATCH(TODAY(),指数走势!$F$1:$IV$1,1)-60+50)))</f>
        <v>129.6829</v>
      </c>
      <c r="AZ76" s="2">
        <f ca="1">IF(ISERROR(INDEX(指数走势!$F$9:$IV$9,1,MATCH(TODAY(),指数走势!$F$1:$IV$1,1)-60+51)),NA(),IF(INDEX(指数走势!$F$9:$IV$9,1,MATCH(TODAY(),指数走势!$F$1:$IV$1,1)-60+51)=0,NA(),INDEX(指数走势!$F$9:$IV$9,1,MATCH(TODAY(),指数走势!$F$1:$IV$1,1)-60+51)))</f>
        <v>130.8873</v>
      </c>
      <c r="BA76" s="2">
        <f ca="1">IF(ISERROR(INDEX(指数走势!$F$9:$IV$9,1,MATCH(TODAY(),指数走势!$F$1:$IV$1,1)-60+52)),NA(),IF(INDEX(指数走势!$F$9:$IV$9,1,MATCH(TODAY(),指数走势!$F$1:$IV$1,1)-60+52)=0,NA(),INDEX(指数走势!$F$9:$IV$9,1,MATCH(TODAY(),指数走势!$F$1:$IV$1,1)-60+52)))</f>
        <v>130.5562</v>
      </c>
      <c r="BB76" s="2">
        <f ca="1">IF(ISERROR(INDEX(指数走势!$F$9:$IV$9,1,MATCH(TODAY(),指数走势!$F$1:$IV$1,1)-60+53)),NA(),IF(INDEX(指数走势!$F$9:$IV$9,1,MATCH(TODAY(),指数走势!$F$1:$IV$1,1)-60+53)=0,NA(),INDEX(指数走势!$F$9:$IV$9,1,MATCH(TODAY(),指数走势!$F$1:$IV$1,1)-60+53)))</f>
        <v>131.2789</v>
      </c>
      <c r="BC76" s="2">
        <f ca="1">IF(ISERROR(INDEX(指数走势!$F$9:$IV$9,1,MATCH(TODAY(),指数走势!$F$1:$IV$1,1)-60+54)),NA(),IF(INDEX(指数走势!$F$9:$IV$9,1,MATCH(TODAY(),指数走势!$F$1:$IV$1,1)-60+54)=0,NA(),INDEX(指数走势!$F$9:$IV$9,1,MATCH(TODAY(),指数走势!$F$1:$IV$1,1)-60+54)))</f>
        <v>130.8769</v>
      </c>
      <c r="BD76" s="2">
        <f ca="1">IF(ISERROR(INDEX(指数走势!$F$9:$IV$9,1,MATCH(TODAY(),指数走势!$F$1:$IV$1,1)-60+55)),NA(),IF(INDEX(指数走势!$F$9:$IV$9,1,MATCH(TODAY(),指数走势!$F$1:$IV$1,1)-60+55)=0,NA(),INDEX(指数走势!$F$9:$IV$9,1,MATCH(TODAY(),指数走势!$F$1:$IV$1,1)-60+55)))</f>
        <v>131.055</v>
      </c>
      <c r="BE76" s="2">
        <f ca="1">IF(ISERROR(INDEX(指数走势!$F$9:$IV$9,1,MATCH(TODAY(),指数走势!$F$1:$IV$1,1)-60+56)),NA(),IF(INDEX(指数走势!$F$9:$IV$9,1,MATCH(TODAY(),指数走势!$F$1:$IV$1,1)-60+56)=0,NA(),INDEX(指数走势!$F$9:$IV$9,1,MATCH(TODAY(),指数走势!$F$1:$IV$1,1)-60+56)))</f>
        <v>131.3736</v>
      </c>
      <c r="BF76" s="2">
        <f ca="1">IF(ISERROR(INDEX(指数走势!$F$9:$IV$9,1,MATCH(TODAY(),指数走势!$F$1:$IV$1,1)-60+57)),NA(),IF(INDEX(指数走势!$F$9:$IV$9,1,MATCH(TODAY(),指数走势!$F$1:$IV$1,1)-60+57)=0,NA(),INDEX(指数走势!$F$9:$IV$9,1,MATCH(TODAY(),指数走势!$F$1:$IV$1,1)-60+57)))</f>
        <v>131.9368</v>
      </c>
      <c r="BG76" s="2">
        <f ca="1">IF(ISERROR(INDEX(指数走势!$F$9:$IV$9,1,MATCH(TODAY(),指数走势!$F$1:$IV$1,1)-60+58)),NA(),IF(INDEX(指数走势!$F$9:$IV$9,1,MATCH(TODAY(),指数走势!$F$1:$IV$1,1)-60+58)=0,NA(),INDEX(指数走势!$F$9:$IV$9,1,MATCH(TODAY(),指数走势!$F$1:$IV$1,1)-60+58)))</f>
        <v>133.242</v>
      </c>
      <c r="BH76" s="2">
        <f ca="1">IF(ISERROR(INDEX(指数走势!$F$9:$IV$9,1,MATCH(TODAY(),指数走势!$F$1:$IV$1,1)-60+59)),NA(),IF(INDEX(指数走势!$F$9:$IV$9,1,MATCH(TODAY(),指数走势!$F$1:$IV$1,1)-60+59)=0,NA(),INDEX(指数走势!$F$9:$IV$9,1,MATCH(TODAY(),指数走势!$F$1:$IV$1,1)-60+59)))</f>
        <v>132.836</v>
      </c>
      <c r="BI76" t="e">
        <f ca="1">IF(ISERROR(INDEX(指数走势!$F$9:$IV$9,1,MATCH(TODAY(),指数走势!$F$1:$IV$1,1)-60+60)),NA(),IF(INDEX(指数走势!$F$9:$IV$9,1,MATCH(TODAY(),指数走势!$F$1:$IV$1,1)-60+60)=0,NA(),INDEX(指数走势!$F$9:$IV$9,1,MATCH(TODAY(),指数走势!$F$1:$IV$1,1)-60+60)))</f>
        <v>#N/A</v>
      </c>
    </row>
    <row r="77" spans="1:61">
      <c r="B77">
        <f ca="1">IF(B76=-1,NA(),INDEX(宏观数据!$F$116:$TN$116,1,B76-COLUMN(宏观数据!$F$116)+1))</f>
        <v>0</v>
      </c>
      <c r="C77">
        <f ca="1">IF(C76=-1,NA(),INDEX(宏观数据!$F$116:$TN$116,1,C76-COLUMN(宏观数据!$F$116)+1))</f>
        <v>0</v>
      </c>
      <c r="D77">
        <f ca="1">IF(D76=-1,NA(),INDEX(宏观数据!$F$116:$TN$116,1,D76-COLUMN(宏观数据!$F$116)+1))</f>
        <v>0</v>
      </c>
      <c r="E77">
        <f ca="1">IF(E76=-1,NA(),INDEX(宏观数据!$F$116:$TN$116,1,E76-COLUMN(宏观数据!$F$116)+1))</f>
        <v>0</v>
      </c>
      <c r="F77">
        <f ca="1">IF(F76=-1,NA(),INDEX(宏观数据!$F$116:$TN$116,1,F76-COLUMN(宏观数据!$F$116)+1))</f>
        <v>0</v>
      </c>
      <c r="G77">
        <f ca="1">IF(G76=-1,NA(),INDEX(宏观数据!$F$116:$TN$116,1,G76-COLUMN(宏观数据!$F$116)+1))</f>
        <v>0</v>
      </c>
    </row>
    <row r="78" spans="1:61">
      <c r="B78">
        <f ca="1">IFERROR(IF(C78&lt;=COLUMN(宏观数据!$F$117),-1,LOOKUP(2,1/(OFFSET(宏观数据!$F$117,0,0,1,C78-COLUMN(宏观数据!$F$117))&lt;&gt;""),COLUMN(OFFSET(宏观数据!$F$117,0,0,1,C78-COLUMN(宏观数据!$F$117))))),-1)</f>
        <v>371</v>
      </c>
      <c r="C78">
        <f ca="1">IFERROR(IF(D78&lt;=COLUMN(宏观数据!$F$117),-1,LOOKUP(2,1/(OFFSET(宏观数据!$F$117,0,0,1,D78-COLUMN(宏观数据!$F$117))&lt;&gt;""),COLUMN(OFFSET(宏观数据!$F$117,0,0,1,D78-COLUMN(宏观数据!$F$117))))),-1)</f>
        <v>402</v>
      </c>
      <c r="D78">
        <f ca="1">IFERROR(IF(E78&lt;=COLUMN(宏观数据!$F$117),-1,LOOKUP(2,1/(OFFSET(宏观数据!$F$117,0,0,1,E78-COLUMN(宏观数据!$F$117))&lt;&gt;""),COLUMN(OFFSET(宏观数据!$F$117,0,0,1,E78-COLUMN(宏观数据!$F$117))))),-1)</f>
        <v>430</v>
      </c>
      <c r="E78">
        <f ca="1">IFERROR(IF(F78&lt;=COLUMN(宏观数据!$F$117),-1,LOOKUP(2,1/(OFFSET(宏观数据!$F$117,0,0,1,F78-COLUMN(宏观数据!$F$117))&lt;&gt;""),COLUMN(OFFSET(宏观数据!$F$117,0,0,1,F78-COLUMN(宏观数据!$F$117))))),-1)</f>
        <v>461</v>
      </c>
      <c r="F78">
        <f ca="1">IFERROR(IF(G78&lt;=COLUMN(宏观数据!$F$117),-1,LOOKUP(2,1/(OFFSET(宏观数据!$F$117,0,0,1,G78-COLUMN(宏观数据!$F$117))&lt;&gt;""),COLUMN(OFFSET(宏观数据!$F$117,0,0,1,G78-COLUMN(宏观数据!$F$117))))),-1)</f>
        <v>491</v>
      </c>
      <c r="G78">
        <f>IFERROR(LOOKUP(2,1/(宏观数据!$F$117:$TN$117&lt;&gt;""),COLUMN(宏观数据!$F$117:$TN$117)),-1)</f>
        <v>522</v>
      </c>
    </row>
    <row r="79" spans="1:61">
      <c r="B79">
        <f ca="1">IF(B78=-1,NA(),INDEX(宏观数据!$F$117:$TN$117,1,B78-COLUMN(宏观数据!$F$117)+1))</f>
        <v>1541</v>
      </c>
      <c r="C79">
        <f ca="1">IF(C78=-1,NA(),INDEX(宏观数据!$F$117:$TN$117,1,C78-COLUMN(宏观数据!$F$117)+1))</f>
        <v>5033</v>
      </c>
      <c r="D79">
        <f ca="1">IF(D78=-1,NA(),INDEX(宏观数据!$F$117:$TN$117,1,D78-COLUMN(宏观数据!$F$117)+1))</f>
        <v>1522</v>
      </c>
      <c r="E79">
        <f ca="1">IF(E78=-1,NA(),INDEX(宏观数据!$F$117:$TN$117,1,E78-COLUMN(宏观数据!$F$117)+1))</f>
        <v>3910</v>
      </c>
      <c r="F79">
        <f ca="1">IF(F78=-1,NA(),INDEX(宏观数据!$F$117:$TN$117,1,F78-COLUMN(宏观数据!$F$117)+1))</f>
        <v>4520</v>
      </c>
      <c r="G79">
        <f>IF(G78=-1,NA(),INDEX(宏观数据!$F$117:$TN$117,1,G78-COLUMN(宏观数据!$F$117)+1))</f>
        <v>1680</v>
      </c>
    </row>
    <row r="80" spans="1:61">
      <c r="B80">
        <f ca="1">IFERROR(IF(C80&lt;=COLUMN(宏观数据!$F$118),-1,LOOKUP(2,1/(OFFSET(宏观数据!$F$118,0,0,1,C80-COLUMN(宏观数据!$F$118))&lt;&gt;""),COLUMN(OFFSET(宏观数据!$F$118,0,0,1,C80-COLUMN(宏观数据!$F$118))))),-1)</f>
        <v>371</v>
      </c>
      <c r="C80">
        <f ca="1">IFERROR(IF(D80&lt;=COLUMN(宏观数据!$F$118),-1,LOOKUP(2,1/(OFFSET(宏观数据!$F$118,0,0,1,D80-COLUMN(宏观数据!$F$118))&lt;&gt;""),COLUMN(OFFSET(宏观数据!$F$118,0,0,1,D80-COLUMN(宏观数据!$F$118))))),-1)</f>
        <v>402</v>
      </c>
      <c r="D80">
        <f ca="1">IFERROR(IF(E80&lt;=COLUMN(宏观数据!$F$118),-1,LOOKUP(2,1/(OFFSET(宏观数据!$F$118,0,0,1,E80-COLUMN(宏观数据!$F$118))&lt;&gt;""),COLUMN(OFFSET(宏观数据!$F$118,0,0,1,E80-COLUMN(宏观数据!$F$118))))),-1)</f>
        <v>430</v>
      </c>
      <c r="E80">
        <f ca="1">IFERROR(IF(F80&lt;=COLUMN(宏观数据!$F$118),-1,LOOKUP(2,1/(OFFSET(宏观数据!$F$118,0,0,1,F80-COLUMN(宏观数据!$F$118))&lt;&gt;""),COLUMN(OFFSET(宏观数据!$F$118,0,0,1,F80-COLUMN(宏观数据!$F$118))))),-1)</f>
        <v>461</v>
      </c>
      <c r="F80">
        <f ca="1">IFERROR(IF(G80&lt;=COLUMN(宏观数据!$F$118),-1,LOOKUP(2,1/(OFFSET(宏观数据!$F$118,0,0,1,G80-COLUMN(宏观数据!$F$118))&lt;&gt;""),COLUMN(OFFSET(宏观数据!$F$118,0,0,1,G80-COLUMN(宏观数据!$F$118))))),-1)</f>
        <v>491</v>
      </c>
      <c r="G80">
        <f>IFERROR(LOOKUP(2,1/(宏观数据!$F$118:$TN$118&lt;&gt;""),COLUMN(宏观数据!$F$118:$TN$118)),-1)</f>
        <v>522</v>
      </c>
    </row>
    <row r="81" spans="1:61">
      <c r="B81">
        <f ca="1">IF(B80=-1,NA(),INDEX(宏观数据!$F$118:$TN$118,1,B80-COLUMN(宏观数据!$F$118)+1))</f>
        <v>-1492</v>
      </c>
      <c r="C81">
        <f ca="1">IF(C80=-1,NA(),INDEX(宏观数据!$F$118:$TN$118,1,C80-COLUMN(宏观数据!$F$118)+1))</f>
        <v>6293</v>
      </c>
      <c r="D81">
        <f ca="1">IF(D80=-1,NA(),INDEX(宏观数据!$F$118:$TN$118,1,D80-COLUMN(宏观数据!$F$118)+1))</f>
        <v>-1755</v>
      </c>
      <c r="E81">
        <f ca="1">IF(E80=-1,NA(),INDEX(宏观数据!$F$118:$TN$118,1,E80-COLUMN(宏观数据!$F$118)+1))</f>
        <v>1258</v>
      </c>
      <c r="F81">
        <f ca="1">IF(F80=-1,NA(),INDEX(宏观数据!$F$118:$TN$118,1,F80-COLUMN(宏观数据!$F$118)+1))</f>
        <v>-5284</v>
      </c>
      <c r="G81">
        <f>IF(G80=-1,NA(),INDEX(宏观数据!$F$118:$TN$118,1,G80-COLUMN(宏观数据!$F$118)+1))</f>
        <v>-685</v>
      </c>
    </row>
    <row r="82" spans="1:61">
      <c r="B82">
        <f ca="1">IFERROR(IF(C82&lt;=COLUMN(宏观数据!$F$119),-1,LOOKUP(2,1/(OFFSET(宏观数据!$F$119,0,0,1,C82-COLUMN(宏观数据!$F$119))&lt;&gt;""),COLUMN(OFFSET(宏观数据!$F$119,0,0,1,C82-COLUMN(宏观数据!$F$119))))),-1)</f>
        <v>371</v>
      </c>
      <c r="C82">
        <f ca="1">IFERROR(IF(D82&lt;=COLUMN(宏观数据!$F$119),-1,LOOKUP(2,1/(OFFSET(宏观数据!$F$119,0,0,1,D82-COLUMN(宏观数据!$F$119))&lt;&gt;""),COLUMN(OFFSET(宏观数据!$F$119,0,0,1,D82-COLUMN(宏观数据!$F$119))))),-1)</f>
        <v>402</v>
      </c>
      <c r="D82">
        <f ca="1">IFERROR(IF(E82&lt;=COLUMN(宏观数据!$F$119),-1,LOOKUP(2,1/(OFFSET(宏观数据!$F$119,0,0,1,E82-COLUMN(宏观数据!$F$119))&lt;&gt;""),COLUMN(OFFSET(宏观数据!$F$119,0,0,1,E82-COLUMN(宏观数据!$F$119))))),-1)</f>
        <v>430</v>
      </c>
      <c r="E82">
        <f ca="1">IFERROR(IF(F82&lt;=COLUMN(宏观数据!$F$119),-1,LOOKUP(2,1/(OFFSET(宏观数据!$F$119,0,0,1,F82-COLUMN(宏观数据!$F$119))&lt;&gt;""),COLUMN(OFFSET(宏观数据!$F$119,0,0,1,F82-COLUMN(宏观数据!$F$119))))),-1)</f>
        <v>461</v>
      </c>
      <c r="F82">
        <f ca="1">IFERROR(IF(G82&lt;=COLUMN(宏观数据!$F$119),-1,LOOKUP(2,1/(OFFSET(宏观数据!$F$119,0,0,1,G82-COLUMN(宏观数据!$F$119))&lt;&gt;""),COLUMN(OFFSET(宏观数据!$F$119,0,0,1,G82-COLUMN(宏观数据!$F$119))))),-1)</f>
        <v>491</v>
      </c>
      <c r="G82">
        <f>IFERROR(LOOKUP(2,1/(宏观数据!$F$119:$TN$119&lt;&gt;""),COLUMN(宏观数据!$F$119:$TN$119)),-1)</f>
        <v>522</v>
      </c>
    </row>
    <row r="83" spans="1:61">
      <c r="B83">
        <f ca="1">IF(B82=-1,NA(),INDEX(宏观数据!$F$119:$TN$119,1,B82-COLUMN(宏观数据!$F$119)+1))</f>
        <v>-675</v>
      </c>
      <c r="C83">
        <f ca="1">IF(C82=-1,NA(),INDEX(宏观数据!$F$119:$TN$119,1,C82-COLUMN(宏观数据!$F$119)+1))</f>
        <v>468</v>
      </c>
      <c r="D83">
        <f ca="1">IF(D82=-1,NA(),INDEX(宏观数据!$F$119:$TN$119,1,D82-COLUMN(宏观数据!$F$119)+1))</f>
        <v>-36</v>
      </c>
      <c r="E83">
        <f ca="1">IF(E82=-1,NA(),INDEX(宏观数据!$F$119:$TN$119,1,E82-COLUMN(宏观数据!$F$119)+1))</f>
        <v>420</v>
      </c>
      <c r="F83">
        <f ca="1">IF(F82=-1,NA(),INDEX(宏观数据!$F$119:$TN$119,1,F82-COLUMN(宏观数据!$F$119)+1))</f>
        <v>184</v>
      </c>
      <c r="G83">
        <f>IF(G82=-1,NA(),INDEX(宏观数据!$F$119:$TN$119,1,G82-COLUMN(宏观数据!$F$119)+1))</f>
        <v>117</v>
      </c>
    </row>
    <row r="84" spans="1:61">
      <c r="B84">
        <f ca="1">IFERROR(IF(C84&lt;=COLUMN(宏观数据!$F$120),-1,LOOKUP(2,1/(OFFSET(宏观数据!$F$120,0,0,1,C84-COLUMN(宏观数据!$F$120))&lt;&gt;""),COLUMN(OFFSET(宏观数据!$F$120,0,0,1,C84-COLUMN(宏观数据!$F$120))))),-1)</f>
        <v>371</v>
      </c>
      <c r="C84">
        <f ca="1">IFERROR(IF(D84&lt;=COLUMN(宏观数据!$F$120),-1,LOOKUP(2,1/(OFFSET(宏观数据!$F$120,0,0,1,D84-COLUMN(宏观数据!$F$120))&lt;&gt;""),COLUMN(OFFSET(宏观数据!$F$120,0,0,1,D84-COLUMN(宏观数据!$F$120))))),-1)</f>
        <v>402</v>
      </c>
      <c r="D84">
        <f ca="1">IFERROR(IF(E84&lt;=COLUMN(宏观数据!$F$120),-1,LOOKUP(2,1/(OFFSET(宏观数据!$F$120,0,0,1,E84-COLUMN(宏观数据!$F$120))&lt;&gt;""),COLUMN(OFFSET(宏观数据!$F$120,0,0,1,E84-COLUMN(宏观数据!$F$120))))),-1)</f>
        <v>430</v>
      </c>
      <c r="E84">
        <f ca="1">IFERROR(IF(F84&lt;=COLUMN(宏观数据!$F$120),-1,LOOKUP(2,1/(OFFSET(宏观数据!$F$120,0,0,1,F84-COLUMN(宏观数据!$F$120))&lt;&gt;""),COLUMN(OFFSET(宏观数据!$F$120,0,0,1,F84-COLUMN(宏观数据!$F$120))))),-1)</f>
        <v>461</v>
      </c>
      <c r="F84">
        <f ca="1">IFERROR(IF(G84&lt;=COLUMN(宏观数据!$F$120),-1,LOOKUP(2,1/(OFFSET(宏观数据!$F$120,0,0,1,G84-COLUMN(宏观数据!$F$120))&lt;&gt;""),COLUMN(OFFSET(宏观数据!$F$120,0,0,1,G84-COLUMN(宏观数据!$F$120))))),-1)</f>
        <v>491</v>
      </c>
      <c r="G84">
        <f>IFERROR(LOOKUP(2,1/(宏观数据!$F$120:$TN$120&lt;&gt;""),COLUMN(宏观数据!$F$120:$TN$120)),-1)</f>
        <v>522</v>
      </c>
    </row>
    <row r="85" spans="1:61">
      <c r="B85">
        <f ca="1">IF(B84=-1,NA(),INDEX(宏观数据!$F$120:$TN$120,1,B84-COLUMN(宏观数据!$F$120)+1))</f>
        <v>-13821</v>
      </c>
      <c r="C85">
        <f ca="1">IF(C84=-1,NA(),INDEX(宏观数据!$F$120:$TN$120,1,C84-COLUMN(宏观数据!$F$120)+1))</f>
        <v>15500</v>
      </c>
      <c r="D85">
        <f ca="1">IF(D84=-1,NA(),INDEX(宏观数据!$F$120:$TN$120,1,D84-COLUMN(宏观数据!$F$120)+1))</f>
        <v>-3500</v>
      </c>
      <c r="E85">
        <f ca="1">IF(E84=-1,NA(),INDEX(宏观数据!$F$120:$TN$120,1,E84-COLUMN(宏观数据!$F$120)+1))</f>
        <v>-7394</v>
      </c>
      <c r="F85">
        <f ca="1">IF(F84=-1,NA(),INDEX(宏观数据!$F$120:$TN$120,1,F84-COLUMN(宏观数据!$F$120)+1))</f>
        <v>7394</v>
      </c>
      <c r="G85">
        <f>IF(G84=-1,NA(),INDEX(宏观数据!$F$120:$TN$120,1,G84-COLUMN(宏观数据!$F$120)+1))</f>
        <v>7100</v>
      </c>
    </row>
    <row r="86" spans="1:61">
      <c r="B86">
        <f ca="1">IFERROR(IF(C86&lt;=COLUMN(宏观数据!$F$121),-1,LOOKUP(2,1/(OFFSET(宏观数据!$F$121,0,0,1,C86-COLUMN(宏观数据!$F$121))&lt;&gt;""),COLUMN(OFFSET(宏观数据!$F$121,0,0,1,C86-COLUMN(宏观数据!$F$121))))),-1)</f>
        <v>371</v>
      </c>
      <c r="C86">
        <f ca="1">IFERROR(IF(D86&lt;=COLUMN(宏观数据!$F$121),-1,LOOKUP(2,1/(OFFSET(宏观数据!$F$121,0,0,1,D86-COLUMN(宏观数据!$F$121))&lt;&gt;""),COLUMN(OFFSET(宏观数据!$F$121,0,0,1,D86-COLUMN(宏观数据!$F$121))))),-1)</f>
        <v>402</v>
      </c>
      <c r="D86">
        <f ca="1">IFERROR(IF(E86&lt;=COLUMN(宏观数据!$F$121),-1,LOOKUP(2,1/(OFFSET(宏观数据!$F$121,0,0,1,E86-COLUMN(宏观数据!$F$121))&lt;&gt;""),COLUMN(OFFSET(宏观数据!$F$121,0,0,1,E86-COLUMN(宏观数据!$F$121))))),-1)</f>
        <v>430</v>
      </c>
      <c r="E86">
        <f ca="1">IFERROR(IF(F86&lt;=COLUMN(宏观数据!$F$121),-1,LOOKUP(2,1/(OFFSET(宏观数据!$F$121,0,0,1,F86-COLUMN(宏观数据!$F$121))&lt;&gt;""),COLUMN(OFFSET(宏观数据!$F$121,0,0,1,F86-COLUMN(宏观数据!$F$121))))),-1)</f>
        <v>461</v>
      </c>
      <c r="F86">
        <f ca="1">IFERROR(IF(G86&lt;=COLUMN(宏观数据!$F$121),-1,LOOKUP(2,1/(OFFSET(宏观数据!$F$121,0,0,1,G86-COLUMN(宏观数据!$F$121))&lt;&gt;""),COLUMN(OFFSET(宏观数据!$F$121,0,0,1,G86-COLUMN(宏观数据!$F$121))))),-1)</f>
        <v>491</v>
      </c>
      <c r="G86">
        <f>IFERROR(LOOKUP(2,1/(宏观数据!$F$121:$TN$121&lt;&gt;""),COLUMN(宏观数据!$F$121:$TN$121)),-1)</f>
        <v>522</v>
      </c>
    </row>
    <row r="87" spans="1:61">
      <c r="B87">
        <f ca="1">IF(B86=-1,NA(),INDEX(宏观数据!$F$121:$TN$121,1,B86-COLUMN(宏观数据!$F$121)+1))</f>
        <v>-6.1</v>
      </c>
      <c r="C87">
        <f ca="1">IF(C86=-1,NA(),INDEX(宏观数据!$F$121:$TN$121,1,C86-COLUMN(宏观数据!$F$121)+1))</f>
        <v>-6.2</v>
      </c>
      <c r="D87">
        <f ca="1">IF(D86=-1,NA(),INDEX(宏观数据!$F$121:$TN$121,1,D86-COLUMN(宏观数据!$F$121)+1))</f>
        <v>-6.3</v>
      </c>
      <c r="E87">
        <f ca="1">IF(E86=-1,NA(),INDEX(宏观数据!$F$121:$TN$121,1,E86-COLUMN(宏观数据!$F$121)+1))</f>
        <v>-6.3</v>
      </c>
      <c r="F87">
        <f ca="1">IF(F86=-1,NA(),INDEX(宏观数据!$F$121:$TN$121,1,F86-COLUMN(宏观数据!$F$121)+1))</f>
        <v>-6.2</v>
      </c>
      <c r="G87">
        <f>IF(G86=-1,NA(),INDEX(宏观数据!$F$121:$TN$121,1,G86-COLUMN(宏观数据!$F$121)+1))</f>
        <v>-5.9</v>
      </c>
    </row>
    <row r="88" spans="1:61">
      <c r="B88">
        <f ca="1">IFERROR(IF(C88&lt;=COLUMN(宏观数据!$F$122),-1,LOOKUP(2,1/(OFFSET(宏观数据!$F$122,0,0,1,C88-COLUMN(宏观数据!$F$122))&lt;&gt;""),COLUMN(OFFSET(宏观数据!$F$122,0,0,1,C88-COLUMN(宏观数据!$F$122))))),-1)</f>
        <v>371</v>
      </c>
      <c r="C88">
        <f ca="1">IFERROR(IF(D88&lt;=COLUMN(宏观数据!$F$122),-1,LOOKUP(2,1/(OFFSET(宏观数据!$F$122,0,0,1,D88-COLUMN(宏观数据!$F$122))&lt;&gt;""),COLUMN(OFFSET(宏观数据!$F$122,0,0,1,D88-COLUMN(宏观数据!$F$122))))),-1)</f>
        <v>402</v>
      </c>
      <c r="D88">
        <f ca="1">IFERROR(IF(E88&lt;=COLUMN(宏观数据!$F$122),-1,LOOKUP(2,1/(OFFSET(宏观数据!$F$122,0,0,1,E88-COLUMN(宏观数据!$F$122))&lt;&gt;""),COLUMN(OFFSET(宏观数据!$F$122,0,0,1,E88-COLUMN(宏观数据!$F$122))))),-1)</f>
        <v>430</v>
      </c>
      <c r="E88">
        <f ca="1">IFERROR(IF(F88&lt;=COLUMN(宏观数据!$F$122),-1,LOOKUP(2,1/(OFFSET(宏观数据!$F$122,0,0,1,F88-COLUMN(宏观数据!$F$122))&lt;&gt;""),COLUMN(OFFSET(宏观数据!$F$122,0,0,1,F88-COLUMN(宏观数据!$F$122))))),-1)</f>
        <v>461</v>
      </c>
      <c r="F88">
        <f ca="1">IFERROR(IF(G88&lt;=COLUMN(宏观数据!$F$122),-1,LOOKUP(2,1/(OFFSET(宏观数据!$F$122,0,0,1,G88-COLUMN(宏观数据!$F$122))&lt;&gt;""),COLUMN(OFFSET(宏观数据!$F$122,0,0,1,G88-COLUMN(宏观数据!$F$122))))),-1)</f>
        <v>491</v>
      </c>
      <c r="G88">
        <f>IFERROR(LOOKUP(2,1/(宏观数据!$F$122:$TN$122&lt;&gt;""),COLUMN(宏观数据!$F$122:$TN$122)),-1)</f>
        <v>522</v>
      </c>
    </row>
    <row r="89" spans="1:61">
      <c r="B89">
        <f ca="1">IF(B88=-1,NA(),INDEX(宏观数据!$F$122:$TN$122,1,B88-COLUMN(宏观数据!$F$122)+1))</f>
        <v>50.8</v>
      </c>
      <c r="C89">
        <f ca="1">IF(C88=-1,NA(),INDEX(宏观数据!$F$122:$TN$122,1,C88-COLUMN(宏观数据!$F$122)+1))</f>
        <v>49.2</v>
      </c>
      <c r="D89">
        <f ca="1">IF(D88=-1,NA(),INDEX(宏观数据!$F$122:$TN$122,1,D88-COLUMN(宏观数据!$F$122)+1))</f>
        <v>48.6</v>
      </c>
      <c r="E89">
        <f ca="1">IF(E88=-1,NA(),INDEX(宏观数据!$F$122:$TN$122,1,E88-COLUMN(宏观数据!$F$122)+1))</f>
        <v>51.6</v>
      </c>
      <c r="F89">
        <f ca="1">IF(F88=-1,NA(),INDEX(宏观数据!$F$122:$TN$122,1,F88-COLUMN(宏观数据!$F$122)+1))</f>
        <v>50.6</v>
      </c>
      <c r="G89">
        <f>IF(G88=-1,NA(),INDEX(宏观数据!$F$122:$TN$122,1,G88-COLUMN(宏观数据!$F$122)+1))</f>
        <v>49.9</v>
      </c>
    </row>
    <row r="90" spans="1:61">
      <c r="B90">
        <f ca="1">IFERROR(IF(C90&lt;=COLUMN(宏观数据!$F$123),-1,LOOKUP(2,1/(OFFSET(宏观数据!$F$123,0,0,1,C90-COLUMN(宏观数据!$F$123))&lt;&gt;""),COLUMN(OFFSET(宏观数据!$F$123,0,0,1,C90-COLUMN(宏观数据!$F$123))))),-1)</f>
        <v>371</v>
      </c>
      <c r="C90">
        <f ca="1">IFERROR(IF(D90&lt;=COLUMN(宏观数据!$F$123),-1,LOOKUP(2,1/(OFFSET(宏观数据!$F$123,0,0,1,D90-COLUMN(宏观数据!$F$123))&lt;&gt;""),COLUMN(OFFSET(宏观数据!$F$123,0,0,1,D90-COLUMN(宏观数据!$F$123))))),-1)</f>
        <v>402</v>
      </c>
      <c r="D90">
        <f ca="1">IFERROR(IF(E90&lt;=COLUMN(宏观数据!$F$123),-1,LOOKUP(2,1/(OFFSET(宏观数据!$F$123,0,0,1,E90-COLUMN(宏观数据!$F$123))&lt;&gt;""),COLUMN(OFFSET(宏观数据!$F$123,0,0,1,E90-COLUMN(宏观数据!$F$123))))),-1)</f>
        <v>430</v>
      </c>
      <c r="E90">
        <f ca="1">IFERROR(IF(F90&lt;=COLUMN(宏观数据!$F$123),-1,LOOKUP(2,1/(OFFSET(宏观数据!$F$123,0,0,1,F90-COLUMN(宏观数据!$F$123))&lt;&gt;""),COLUMN(OFFSET(宏观数据!$F$123,0,0,1,F90-COLUMN(宏观数据!$F$123))))),-1)</f>
        <v>461</v>
      </c>
      <c r="F90">
        <f ca="1">IFERROR(IF(G90&lt;=COLUMN(宏观数据!$F$123),-1,LOOKUP(2,1/(OFFSET(宏观数据!$F$123,0,0,1,G90-COLUMN(宏观数据!$F$123))&lt;&gt;""),COLUMN(OFFSET(宏观数据!$F$123,0,0,1,G90-COLUMN(宏观数据!$F$123))))),-1)</f>
        <v>491</v>
      </c>
      <c r="G90">
        <f>IFERROR(LOOKUP(2,1/(宏观数据!$F$123:$TN$123&lt;&gt;""),COLUMN(宏观数据!$F$123:$TN$123)),-1)</f>
        <v>522</v>
      </c>
    </row>
    <row r="91" spans="1:61">
      <c r="B91">
        <f ca="1">IF(B90=-1,NA(),INDEX(宏观数据!$F$123:$TN$123,1,B90-COLUMN(宏观数据!$F$123)+1))</f>
        <v>51.7</v>
      </c>
      <c r="C91">
        <f ca="1">IF(C90=-1,NA(),INDEX(宏观数据!$F$123:$TN$123,1,C90-COLUMN(宏观数据!$F$123)+1))</f>
        <v>50.6</v>
      </c>
      <c r="D91">
        <f ca="1">IF(D90=-1,NA(),INDEX(宏观数据!$F$123:$TN$123,1,D90-COLUMN(宏观数据!$F$123)+1))</f>
        <v>49.6</v>
      </c>
      <c r="E91">
        <f ca="1">IF(E90=-1,NA(),INDEX(宏观数据!$F$123:$TN$123,1,E90-COLUMN(宏观数据!$F$123)+1))</f>
        <v>51.4</v>
      </c>
      <c r="F91">
        <f ca="1">IF(F90=-1,NA(),INDEX(宏观数据!$F$123:$TN$123,1,F90-COLUMN(宏观数据!$F$123)+1))</f>
        <v>51.5</v>
      </c>
      <c r="G91">
        <f>IF(G90=-1,NA(),INDEX(宏观数据!$F$123:$TN$123,1,G90-COLUMN(宏观数据!$F$123)+1))</f>
        <v>51.2</v>
      </c>
    </row>
    <row r="92" spans="1:61">
      <c r="B92">
        <f ca="1">IFERROR(IF(C92&lt;=COLUMN(宏观数据!$F$124),-1,LOOKUP(2,1/(OFFSET(宏观数据!$F$124,0,0,1,C92-COLUMN(宏观数据!$F$124))&lt;&gt;""),COLUMN(OFFSET(宏观数据!$F$124,0,0,1,C92-COLUMN(宏观数据!$F$124))))),-1)</f>
        <v>340</v>
      </c>
      <c r="C92">
        <f ca="1">IFERROR(IF(D92&lt;=COLUMN(宏观数据!$F$124),-1,LOOKUP(2,1/(OFFSET(宏观数据!$F$124,0,0,1,D92-COLUMN(宏观数据!$F$124))&lt;&gt;""),COLUMN(OFFSET(宏观数据!$F$124,0,0,1,D92-COLUMN(宏观数据!$F$124))))),-1)</f>
        <v>371</v>
      </c>
      <c r="D92">
        <f ca="1">IFERROR(IF(E92&lt;=COLUMN(宏观数据!$F$124),-1,LOOKUP(2,1/(OFFSET(宏观数据!$F$124,0,0,1,E92-COLUMN(宏观数据!$F$124))&lt;&gt;""),COLUMN(OFFSET(宏观数据!$F$124,0,0,1,E92-COLUMN(宏观数据!$F$124))))),-1)</f>
        <v>430</v>
      </c>
      <c r="E92">
        <f ca="1">IFERROR(IF(F92&lt;=COLUMN(宏观数据!$F$124),-1,LOOKUP(2,1/(OFFSET(宏观数据!$F$124,0,0,1,F92-COLUMN(宏观数据!$F$124))&lt;&gt;""),COLUMN(OFFSET(宏观数据!$F$124,0,0,1,F92-COLUMN(宏观数据!$F$124))))),-1)</f>
        <v>461</v>
      </c>
      <c r="F92">
        <f ca="1">IFERROR(IF(G92&lt;=COLUMN(宏观数据!$F$124),-1,LOOKUP(2,1/(OFFSET(宏观数据!$F$124,0,0,1,G92-COLUMN(宏观数据!$F$124))&lt;&gt;""),COLUMN(OFFSET(宏观数据!$F$124,0,0,1,G92-COLUMN(宏观数据!$F$124))))),-1)</f>
        <v>491</v>
      </c>
      <c r="G92">
        <f>IFERROR(LOOKUP(2,1/(宏观数据!$F$124:$TN$124&lt;&gt;""),COLUMN(宏观数据!$F$124:$TN$124)),-1)</f>
        <v>522</v>
      </c>
    </row>
    <row r="93" spans="1:61">
      <c r="B93">
        <f ca="1">IF(B92=-1,NA(),INDEX(宏观数据!$F$124:$TN$124,1,B92-COLUMN(宏观数据!$F$124)+1))</f>
        <v>5.29</v>
      </c>
      <c r="C93">
        <f ca="1">IF(C92=-1,NA(),INDEX(宏观数据!$F$124:$TN$124,1,C92-COLUMN(宏观数据!$F$124)+1))</f>
        <v>5.31</v>
      </c>
      <c r="D93">
        <f ca="1">IF(D92=-1,NA(),INDEX(宏观数据!$F$124:$TN$124,1,D92-COLUMN(宏观数据!$F$124)+1))</f>
        <v>4.92</v>
      </c>
      <c r="E93">
        <f ca="1">IF(E92=-1,NA(),INDEX(宏观数据!$F$124:$TN$124,1,E92-COLUMN(宏观数据!$F$124)+1))</f>
        <v>5.11</v>
      </c>
      <c r="F93">
        <f ca="1">IF(F92=-1,NA(),INDEX(宏观数据!$F$124:$TN$124,1,F92-COLUMN(宏观数据!$F$124)+1))</f>
        <v>5.43</v>
      </c>
      <c r="G93">
        <f>IF(G92=-1,NA(),INDEX(宏观数据!$F$124:$TN$124,1,G92-COLUMN(宏观数据!$F$124)+1))</f>
        <v>5.56</v>
      </c>
    </row>
    <row r="94" spans="1:61">
      <c r="B94">
        <f ca="1">IFERROR(IF(C94&lt;=COLUMN(宏观数据!$F$125),-1,LOOKUP(2,1/(OFFSET(宏观数据!$F$125,0,0,1,C94-COLUMN(宏观数据!$F$125))&lt;&gt;""),COLUMN(OFFSET(宏观数据!$F$125,0,0,1,C94-COLUMN(宏观数据!$F$125))))),-1)</f>
        <v>340</v>
      </c>
      <c r="C94">
        <f ca="1">IFERROR(IF(D94&lt;=COLUMN(宏观数据!$F$125),-1,LOOKUP(2,1/(OFFSET(宏观数据!$F$125,0,0,1,D94-COLUMN(宏观数据!$F$125))&lt;&gt;""),COLUMN(OFFSET(宏观数据!$F$125,0,0,1,D94-COLUMN(宏观数据!$F$125))))),-1)</f>
        <v>371</v>
      </c>
      <c r="D94">
        <f ca="1">IFERROR(IF(E94&lt;=COLUMN(宏观数据!$F$125),-1,LOOKUP(2,1/(OFFSET(宏观数据!$F$125,0,0,1,E94-COLUMN(宏观数据!$F$125))&lt;&gt;""),COLUMN(OFFSET(宏观数据!$F$125,0,0,1,E94-COLUMN(宏观数据!$F$125))))),-1)</f>
        <v>430</v>
      </c>
      <c r="E94">
        <f ca="1">IFERROR(IF(F94&lt;=COLUMN(宏观数据!$F$125),-1,LOOKUP(2,1/(OFFSET(宏观数据!$F$125,0,0,1,F94-COLUMN(宏观数据!$F$125))&lt;&gt;""),COLUMN(OFFSET(宏观数据!$F$125,0,0,1,F94-COLUMN(宏观数据!$F$125))))),-1)</f>
        <v>461</v>
      </c>
      <c r="F94">
        <f ca="1">IFERROR(IF(G94&lt;=COLUMN(宏观数据!$F$125),-1,LOOKUP(2,1/(OFFSET(宏观数据!$F$125,0,0,1,G94-COLUMN(宏观数据!$F$125))&lt;&gt;""),COLUMN(OFFSET(宏观数据!$F$125,0,0,1,G94-COLUMN(宏观数据!$F$125))))),-1)</f>
        <v>491</v>
      </c>
      <c r="G94">
        <f>IFERROR(LOOKUP(2,1/(宏观数据!$F$125:$TN$125&lt;&gt;""),COLUMN(宏观数据!$F$125:$TN$125)),-1)</f>
        <v>522</v>
      </c>
    </row>
    <row r="95" spans="1:61">
      <c r="B95">
        <f ca="1">IF(B94=-1,NA(),INDEX(宏观数据!$F$125:$TN$125,1,B94-COLUMN(宏观数据!$F$125)+1))</f>
        <v>0.1</v>
      </c>
      <c r="C95">
        <f ca="1">IF(C94=-1,NA(),INDEX(宏观数据!$F$125:$TN$125,1,C94-COLUMN(宏观数据!$F$125)+1))</f>
        <v>0.6</v>
      </c>
      <c r="D95">
        <f ca="1">IF(D94=-1,NA(),INDEX(宏观数据!$F$125:$TN$125,1,D94-COLUMN(宏观数据!$F$125)+1))</f>
        <v>15.2</v>
      </c>
      <c r="E95">
        <f ca="1">IF(E94=-1,NA(),INDEX(宏观数据!$F$125:$TN$125,1,E94-COLUMN(宏观数据!$F$125)+1))</f>
        <v>15.5</v>
      </c>
      <c r="F95">
        <f ca="1">IF(F94=-1,NA(),INDEX(宏观数据!$F$125:$TN$125,1,F94-COLUMN(宏观数据!$F$125)+1))</f>
        <v>18.2</v>
      </c>
      <c r="G95">
        <f>IF(G94=-1,NA(),INDEX(宏观数据!$F$125:$TN$125,1,G94-COLUMN(宏观数据!$F$125)+1))</f>
        <v>18.8</v>
      </c>
    </row>
    <row r="96" ht="15" customHeight="1" spans="1:61">
      <c r="A96" s="1" t="s">
        <v>40</v>
      </c>
      <c r="B96" s="2">
        <f>IFERROR(IF(INDEX(A股成交额换手率测试1!$AD$7:$AD$400,LOOKUP(2,1/(A股成交额换手率测试1!$AD$7:$AD$400&lt;&gt;""),ROW(A股成交额换手率测试1!$AD$7:$AD$400))-ROW(A股成交额换手率测试1!$AD$7)+1-60+1)=0,NA(),INDEX(A股成交额换手率测试1!$AD$7:$AD$400,LOOKUP(2,1/(A股成交额换手率测试1!$AD$7:$AD$400&lt;&gt;""),ROW(A股成交额换手率测试1!$AD$7:$AD$400))-ROW(A股成交额换手率测试1!$AD$7)+1-60+1)/100000000),NA())</f>
        <v>18.5013746799154</v>
      </c>
      <c r="C96" s="2">
        <f>IFERROR(IF(INDEX(A股成交额换手率测试1!$AD$7:$AD$400,LOOKUP(2,1/(A股成交额换手率测试1!$AD$7:$AD$400&lt;&gt;""),ROW(A股成交额换手率测试1!$AD$7:$AD$400))-ROW(A股成交额换手率测试1!$AD$7)+1-60+2)=0,NA(),INDEX(A股成交额换手率测试1!$AD$7:$AD$400,LOOKUP(2,1/(A股成交额换手率测试1!$AD$7:$AD$400&lt;&gt;""),ROW(A股成交额换手率测试1!$AD$7:$AD$400))-ROW(A股成交额换手率测试1!$AD$7)+1-60+2)/100000000),NA())</f>
        <v>73.2156462239929</v>
      </c>
      <c r="D96" s="2">
        <f>IFERROR(IF(INDEX(A股成交额换手率测试1!$AD$7:$AD$400,LOOKUP(2,1/(A股成交额换手率测试1!$AD$7:$AD$400&lt;&gt;""),ROW(A股成交额换手率测试1!$AD$7:$AD$400))-ROW(A股成交额换手率测试1!$AD$7)+1-60+3)=0,NA(),INDEX(A股成交额换手率测试1!$AD$7:$AD$400,LOOKUP(2,1/(A股成交额换手率测试1!$AD$7:$AD$400&lt;&gt;""),ROW(A股成交额换手率测试1!$AD$7:$AD$400))-ROW(A股成交额换手率测试1!$AD$7)+1-60+3)/100000000),NA())</f>
        <v>-220.220097241402</v>
      </c>
      <c r="E96" s="2">
        <f>IFERROR(IF(INDEX(A股成交额换手率测试1!$AD$7:$AD$400,LOOKUP(2,1/(A股成交额换手率测试1!$AD$7:$AD$400&lt;&gt;""),ROW(A股成交额换手率测试1!$AD$7:$AD$400))-ROW(A股成交额换手率测试1!$AD$7)+1-60+4)=0,NA(),INDEX(A股成交额换手率测试1!$AD$7:$AD$400,LOOKUP(2,1/(A股成交额换手率测试1!$AD$7:$AD$400&lt;&gt;""),ROW(A股成交额换手率测试1!$AD$7:$AD$400))-ROW(A股成交额换手率测试1!$AD$7)+1-60+4)/100000000),NA())</f>
        <v>-227.112971918071</v>
      </c>
      <c r="F96" s="2">
        <f>IFERROR(IF(INDEX(A股成交额换手率测试1!$AD$7:$AD$400,LOOKUP(2,1/(A股成交额换手率测试1!$AD$7:$AD$400&lt;&gt;""),ROW(A股成交额换手率测试1!$AD$7:$AD$400))-ROW(A股成交额换手率测试1!$AD$7)+1-60+5)=0,NA(),INDEX(A股成交额换手率测试1!$AD$7:$AD$400,LOOKUP(2,1/(A股成交额换手率测试1!$AD$7:$AD$400&lt;&gt;""),ROW(A股成交额换手率测试1!$AD$7:$AD$400))-ROW(A股成交额换手率测试1!$AD$7)+1-60+5)/100000000),NA())</f>
        <v>-163.192982290231</v>
      </c>
      <c r="G96" s="2">
        <f>IFERROR(IF(INDEX(A股成交额换手率测试1!$AD$7:$AD$400,LOOKUP(2,1/(A股成交额换手率测试1!$AD$7:$AD$400&lt;&gt;""),ROW(A股成交额换手率测试1!$AD$7:$AD$400))-ROW(A股成交额换手率测试1!$AD$7)+1-60+6)=0,NA(),INDEX(A股成交额换手率测试1!$AD$7:$AD$400,LOOKUP(2,1/(A股成交额换手率测试1!$AD$7:$AD$400&lt;&gt;""),ROW(A股成交额换手率测试1!$AD$7:$AD$400))-ROW(A股成交额换手率测试1!$AD$7)+1-60+6)/100000000),NA())</f>
        <v>-80.3024836926217</v>
      </c>
      <c r="H96" s="2">
        <f>IFERROR(IF(INDEX(A股成交额换手率测试1!$AD$7:$AD$400,LOOKUP(2,1/(A股成交额换手率测试1!$AD$7:$AD$400&lt;&gt;""),ROW(A股成交额换手率测试1!$AD$7:$AD$400))-ROW(A股成交额换手率测试1!$AD$7)+1-60+7)=0,NA(),INDEX(A股成交额换手率测试1!$AD$7:$AD$400,LOOKUP(2,1/(A股成交额换手率测试1!$AD$7:$AD$400&lt;&gt;""),ROW(A股成交额换手率测试1!$AD$7:$AD$400))-ROW(A股成交额换手率测试1!$AD$7)+1-60+7)/100000000),NA())</f>
        <v>20.7283285009327</v>
      </c>
      <c r="I96" s="2">
        <f>IFERROR(IF(INDEX(A股成交额换手率测试1!$AD$7:$AD$400,LOOKUP(2,1/(A股成交额换手率测试1!$AD$7:$AD$400&lt;&gt;""),ROW(A股成交额换手率测试1!$AD$7:$AD$400))-ROW(A股成交额换手率测试1!$AD$7)+1-60+8)=0,NA(),INDEX(A股成交额换手率测试1!$AD$7:$AD$400,LOOKUP(2,1/(A股成交额换手率测试1!$AD$7:$AD$400&lt;&gt;""),ROW(A股成交额换手率测试1!$AD$7:$AD$400))-ROW(A股成交额换手率测试1!$AD$7)+1-60+8)/100000000),NA())</f>
        <v>-15.7782734016932</v>
      </c>
      <c r="J96" s="2">
        <f>IFERROR(IF(INDEX(A股成交额换手率测试1!$AD$7:$AD$400,LOOKUP(2,1/(A股成交额换手率测试1!$AD$7:$AD$400&lt;&gt;""),ROW(A股成交额换手率测试1!$AD$7:$AD$400))-ROW(A股成交额换手率测试1!$AD$7)+1-60+9)=0,NA(),INDEX(A股成交额换手率测试1!$AD$7:$AD$400,LOOKUP(2,1/(A股成交额换手率测试1!$AD$7:$AD$400&lt;&gt;""),ROW(A股成交额换手率测试1!$AD$7:$AD$400))-ROW(A股成交额换手率测试1!$AD$7)+1-60+9)/100000000),NA())</f>
        <v>-70.4757158862166</v>
      </c>
      <c r="K96" s="2">
        <f>IFERROR(IF(INDEX(A股成交额换手率测试1!$AD$7:$AD$400,LOOKUP(2,1/(A股成交额换手率测试1!$AD$7:$AD$400&lt;&gt;""),ROW(A股成交额换手率测试1!$AD$7:$AD$400))-ROW(A股成交额换手率测试1!$AD$7)+1-60+10)=0,NA(),INDEX(A股成交额换手率测试1!$AD$7:$AD$400,LOOKUP(2,1/(A股成交额换手率测试1!$AD$7:$AD$400&lt;&gt;""),ROW(A股成交额换手率测试1!$AD$7:$AD$400))-ROW(A股成交额换手率测试1!$AD$7)+1-60+10)/100000000),NA())</f>
        <v>-124.302386803006</v>
      </c>
      <c r="L96" s="2">
        <f>IFERROR(IF(INDEX(A股成交额换手率测试1!$AD$7:$AD$400,LOOKUP(2,1/(A股成交额换手率测试1!$AD$7:$AD$400&lt;&gt;""),ROW(A股成交额换手率测试1!$AD$7:$AD$400))-ROW(A股成交额换手率测试1!$AD$7)+1-60+11)=0,NA(),INDEX(A股成交额换手率测试1!$AD$7:$AD$400,LOOKUP(2,1/(A股成交额换手率测试1!$AD$7:$AD$400&lt;&gt;""),ROW(A股成交额换手率测试1!$AD$7:$AD$400))-ROW(A股成交额换手率测试1!$AD$7)+1-60+11)/100000000),NA())</f>
        <v>-92.6139269768907</v>
      </c>
      <c r="M96" s="2">
        <f>IFERROR(IF(INDEX(A股成交额换手率测试1!$AD$7:$AD$400,LOOKUP(2,1/(A股成交额换手率测试1!$AD$7:$AD$400&lt;&gt;""),ROW(A股成交额换手率测试1!$AD$7:$AD$400))-ROW(A股成交额换手率测试1!$AD$7)+1-60+12)=0,NA(),INDEX(A股成交额换手率测试1!$AD$7:$AD$400,LOOKUP(2,1/(A股成交额换手率测试1!$AD$7:$AD$400&lt;&gt;""),ROW(A股成交额换手率测试1!$AD$7:$AD$400))-ROW(A股成交额换手率测试1!$AD$7)+1-60+12)/100000000),NA())</f>
        <v>-124.345185906268</v>
      </c>
      <c r="N96" s="2">
        <f>IFERROR(IF(INDEX(A股成交额换手率测试1!$AD$7:$AD$400,LOOKUP(2,1/(A股成交额换手率测试1!$AD$7:$AD$400&lt;&gt;""),ROW(A股成交额换手率测试1!$AD$7:$AD$400))-ROW(A股成交额换手率测试1!$AD$7)+1-60+13)=0,NA(),INDEX(A股成交额换手率测试1!$AD$7:$AD$400,LOOKUP(2,1/(A股成交额换手率测试1!$AD$7:$AD$400&lt;&gt;""),ROW(A股成交额换手率测试1!$AD$7:$AD$400))-ROW(A股成交额换手率测试1!$AD$7)+1-60+13)/100000000),NA())</f>
        <v>-225.81003066434</v>
      </c>
      <c r="O96" s="2">
        <f>IFERROR(IF(INDEX(A股成交额换手率测试1!$AD$7:$AD$400,LOOKUP(2,1/(A股成交额换手率测试1!$AD$7:$AD$400&lt;&gt;""),ROW(A股成交额换手率测试1!$AD$7:$AD$400))-ROW(A股成交额换手率测试1!$AD$7)+1-60+14)=0,NA(),INDEX(A股成交额换手率测试1!$AD$7:$AD$400,LOOKUP(2,1/(A股成交额换手率测试1!$AD$7:$AD$400&lt;&gt;""),ROW(A股成交额换手率测试1!$AD$7:$AD$400))-ROW(A股成交额换手率测试1!$AD$7)+1-60+14)/100000000),NA())</f>
        <v>-72.0936661051698</v>
      </c>
      <c r="P96" s="2">
        <f>IFERROR(IF(INDEX(A股成交额换手率测试1!$AD$7:$AD$400,LOOKUP(2,1/(A股成交额换手率测试1!$AD$7:$AD$400&lt;&gt;""),ROW(A股成交额换手率测试1!$AD$7:$AD$400))-ROW(A股成交额换手率测试1!$AD$7)+1-60+15)=0,NA(),INDEX(A股成交额换手率测试1!$AD$7:$AD$400,LOOKUP(2,1/(A股成交额换手率测试1!$AD$7:$AD$400&lt;&gt;""),ROW(A股成交额换手率测试1!$AD$7:$AD$400))-ROW(A股成交额换手率测试1!$AD$7)+1-60+15)/100000000),NA())</f>
        <v>-242.178991676306</v>
      </c>
      <c r="Q96" s="2">
        <f>IFERROR(IF(INDEX(A股成交额换手率测试1!$AD$7:$AD$400,LOOKUP(2,1/(A股成交额换手率测试1!$AD$7:$AD$400&lt;&gt;""),ROW(A股成交额换手率测试1!$AD$7:$AD$400))-ROW(A股成交额换手率测试1!$AD$7)+1-60+16)=0,NA(),INDEX(A股成交额换手率测试1!$AD$7:$AD$400,LOOKUP(2,1/(A股成交额换手率测试1!$AD$7:$AD$400&lt;&gt;""),ROW(A股成交额换手率测试1!$AD$7:$AD$400))-ROW(A股成交额换手率测试1!$AD$7)+1-60+16)/100000000),NA())</f>
        <v>-222.905202258463</v>
      </c>
      <c r="R96" s="2">
        <f>IFERROR(IF(INDEX(A股成交额换手率测试1!$AD$7:$AD$400,LOOKUP(2,1/(A股成交额换手率测试1!$AD$7:$AD$400&lt;&gt;""),ROW(A股成交额换手率测试1!$AD$7:$AD$400))-ROW(A股成交额换手率测试1!$AD$7)+1-60+17)=0,NA(),INDEX(A股成交额换手率测试1!$AD$7:$AD$400,LOOKUP(2,1/(A股成交额换手率测试1!$AD$7:$AD$400&lt;&gt;""),ROW(A股成交额换手率测试1!$AD$7:$AD$400))-ROW(A股成交额换手率测试1!$AD$7)+1-60+17)/100000000),NA())</f>
        <v>9.63980165709305</v>
      </c>
      <c r="S96" s="2">
        <f>IFERROR(IF(INDEX(A股成交额换手率测试1!$AD$7:$AD$400,LOOKUP(2,1/(A股成交额换手率测试1!$AD$7:$AD$400&lt;&gt;""),ROW(A股成交额换手率测试1!$AD$7:$AD$400))-ROW(A股成交额换手率测试1!$AD$7)+1-60+18)=0,NA(),INDEX(A股成交额换手率测试1!$AD$7:$AD$400,LOOKUP(2,1/(A股成交额换手率测试1!$AD$7:$AD$400&lt;&gt;""),ROW(A股成交额换手率测试1!$AD$7:$AD$400))-ROW(A股成交额换手率测试1!$AD$7)+1-60+18)/100000000),NA())</f>
        <v>-345.251139343808</v>
      </c>
      <c r="T96" s="2">
        <f>IFERROR(IF(INDEX(A股成交额换手率测试1!$AD$7:$AD$400,LOOKUP(2,1/(A股成交额换手率测试1!$AD$7:$AD$400&lt;&gt;""),ROW(A股成交额换手率测试1!$AD$7:$AD$400))-ROW(A股成交额换手率测试1!$AD$7)+1-60+19)=0,NA(),INDEX(A股成交额换手率测试1!$AD$7:$AD$400,LOOKUP(2,1/(A股成交额换手率测试1!$AD$7:$AD$400&lt;&gt;""),ROW(A股成交额换手率测试1!$AD$7:$AD$400))-ROW(A股成交额换手率测试1!$AD$7)+1-60+19)/100000000),NA())</f>
        <v>-211.610866551999</v>
      </c>
      <c r="U96" s="2">
        <f>IFERROR(IF(INDEX(A股成交额换手率测试1!$AD$7:$AD$400,LOOKUP(2,1/(A股成交额换手率测试1!$AD$7:$AD$400&lt;&gt;""),ROW(A股成交额换手率测试1!$AD$7:$AD$400))-ROW(A股成交额换手率测试1!$AD$7)+1-60+20)=0,NA(),INDEX(A股成交额换手率测试1!$AD$7:$AD$400,LOOKUP(2,1/(A股成交额换手率测试1!$AD$7:$AD$400&lt;&gt;""),ROW(A股成交额换手率测试1!$AD$7:$AD$400))-ROW(A股成交额换手率测试1!$AD$7)+1-60+20)/100000000),NA())</f>
        <v>-386.152267494928</v>
      </c>
      <c r="V96" s="2">
        <f>IFERROR(IF(INDEX(A股成交额换手率测试1!$AD$7:$AD$400,LOOKUP(2,1/(A股成交额换手率测试1!$AD$7:$AD$400&lt;&gt;""),ROW(A股成交额换手率测试1!$AD$7:$AD$400))-ROW(A股成交额换手率测试1!$AD$7)+1-60+21)=0,NA(),INDEX(A股成交额换手率测试1!$AD$7:$AD$400,LOOKUP(2,1/(A股成交额换手率测试1!$AD$7:$AD$400&lt;&gt;""),ROW(A股成交额换手率测试1!$AD$7:$AD$400))-ROW(A股成交额换手率测试1!$AD$7)+1-60+21)/100000000),NA())</f>
        <v>-273.814978067087</v>
      </c>
      <c r="W96" s="2">
        <f>IFERROR(IF(INDEX(A股成交额换手率测试1!$AD$7:$AD$400,LOOKUP(2,1/(A股成交额换手率测试1!$AD$7:$AD$400&lt;&gt;""),ROW(A股成交额换手率测试1!$AD$7:$AD$400))-ROW(A股成交额换手率测试1!$AD$7)+1-60+22)=0,NA(),INDEX(A股成交额换手率测试1!$AD$7:$AD$400,LOOKUP(2,1/(A股成交额换手率测试1!$AD$7:$AD$400&lt;&gt;""),ROW(A股成交额换手率测试1!$AD$7:$AD$400))-ROW(A股成交额换手率测试1!$AD$7)+1-60+22)/100000000),NA())</f>
        <v>-509.234760572598</v>
      </c>
      <c r="X96" s="2">
        <f>IFERROR(IF(INDEX(A股成交额换手率测试1!$AD$7:$AD$400,LOOKUP(2,1/(A股成交额换手率测试1!$AD$7:$AD$400&lt;&gt;""),ROW(A股成交额换手率测试1!$AD$7:$AD$400))-ROW(A股成交额换手率测试1!$AD$7)+1-60+23)=0,NA(),INDEX(A股成交额换手率测试1!$AD$7:$AD$400,LOOKUP(2,1/(A股成交额换手率测试1!$AD$7:$AD$400&lt;&gt;""),ROW(A股成交额换手率测试1!$AD$7:$AD$400))-ROW(A股成交额换手率测试1!$AD$7)+1-60+23)/100000000),NA())</f>
        <v>-271.571332991609</v>
      </c>
      <c r="Y96" s="2">
        <f>IFERROR(IF(INDEX(A股成交额换手率测试1!$AD$7:$AD$400,LOOKUP(2,1/(A股成交额换手率测试1!$AD$7:$AD$400&lt;&gt;""),ROW(A股成交额换手率测试1!$AD$7:$AD$400))-ROW(A股成交额换手率测试1!$AD$7)+1-60+24)=0,NA(),INDEX(A股成交额换手率测试1!$AD$7:$AD$400,LOOKUP(2,1/(A股成交额换手率测试1!$AD$7:$AD$400&lt;&gt;""),ROW(A股成交额换手率测试1!$AD$7:$AD$400))-ROW(A股成交额换手率测试1!$AD$7)+1-60+24)/100000000),NA())</f>
        <v>-177.241159333359</v>
      </c>
      <c r="Z96" s="2">
        <f>IFERROR(IF(INDEX(A股成交额换手率测试1!$AD$7:$AD$400,LOOKUP(2,1/(A股成交额换手率测试1!$AD$7:$AD$400&lt;&gt;""),ROW(A股成交额换手率测试1!$AD$7:$AD$400))-ROW(A股成交额换手率测试1!$AD$7)+1-60+25)=0,NA(),INDEX(A股成交额换手率测试1!$AD$7:$AD$400,LOOKUP(2,1/(A股成交额换手率测试1!$AD$7:$AD$400&lt;&gt;""),ROW(A股成交额换手率测试1!$AD$7:$AD$400))-ROW(A股成交额换手率测试1!$AD$7)+1-60+25)/100000000),NA())</f>
        <v>-227.592177651692</v>
      </c>
      <c r="AA96" s="2">
        <f>IFERROR(IF(INDEX(A股成交额换手率测试1!$AD$7:$AD$400,LOOKUP(2,1/(A股成交额换手率测试1!$AD$7:$AD$400&lt;&gt;""),ROW(A股成交额换手率测试1!$AD$7:$AD$400))-ROW(A股成交额换手率测试1!$AD$7)+1-60+26)=0,NA(),INDEX(A股成交额换手率测试1!$AD$7:$AD$400,LOOKUP(2,1/(A股成交额换手率测试1!$AD$7:$AD$400&lt;&gt;""),ROW(A股成交额换手率测试1!$AD$7:$AD$400))-ROW(A股成交额换手率测试1!$AD$7)+1-60+26)/100000000),NA())</f>
        <v>-60.3345174410078</v>
      </c>
      <c r="AB96" s="2">
        <f>IFERROR(IF(INDEX(A股成交额换手率测试1!$AD$7:$AD$400,LOOKUP(2,1/(A股成交额换手率测试1!$AD$7:$AD$400&lt;&gt;""),ROW(A股成交额换手率测试1!$AD$7:$AD$400))-ROW(A股成交额换手率测试1!$AD$7)+1-60+27)=0,NA(),INDEX(A股成交额换手率测试1!$AD$7:$AD$400,LOOKUP(2,1/(A股成交额换手率测试1!$AD$7:$AD$400&lt;&gt;""),ROW(A股成交额换手率测试1!$AD$7:$AD$400))-ROW(A股成交额换手率测试1!$AD$7)+1-60+27)/100000000),NA())</f>
        <v>-118.690011816867</v>
      </c>
      <c r="AC96" s="2">
        <f>IFERROR(IF(INDEX(A股成交额换手率测试1!$AD$7:$AD$400,LOOKUP(2,1/(A股成交额换手率测试1!$AD$7:$AD$400&lt;&gt;""),ROW(A股成交额换手率测试1!$AD$7:$AD$400))-ROW(A股成交额换手率测试1!$AD$7)+1-60+28)=0,NA(),INDEX(A股成交额换手率测试1!$AD$7:$AD$400,LOOKUP(2,1/(A股成交额换手率测试1!$AD$7:$AD$400&lt;&gt;""),ROW(A股成交额换手率测试1!$AD$7:$AD$400))-ROW(A股成交额换手率测试1!$AD$7)+1-60+28)/100000000),NA())</f>
        <v>-159.783105502573</v>
      </c>
      <c r="AD96" s="2">
        <f>IFERROR(IF(INDEX(A股成交额换手率测试1!$AD$7:$AD$400,LOOKUP(2,1/(A股成交额换手率测试1!$AD$7:$AD$400&lt;&gt;""),ROW(A股成交额换手率测试1!$AD$7:$AD$400))-ROW(A股成交额换手率测试1!$AD$7)+1-60+29)=0,NA(),INDEX(A股成交额换手率测试1!$AD$7:$AD$400,LOOKUP(2,1/(A股成交额换手率测试1!$AD$7:$AD$400&lt;&gt;""),ROW(A股成交额换手率测试1!$AD$7:$AD$400))-ROW(A股成交额换手率测试1!$AD$7)+1-60+29)/100000000),NA())</f>
        <v>-194.384505111565</v>
      </c>
      <c r="AE96" s="2">
        <f>IFERROR(IF(INDEX(A股成交额换手率测试1!$AD$7:$AD$400,LOOKUP(2,1/(A股成交额换手率测试1!$AD$7:$AD$400&lt;&gt;""),ROW(A股成交额换手率测试1!$AD$7:$AD$400))-ROW(A股成交额换手率测试1!$AD$7)+1-60+30)=0,NA(),INDEX(A股成交额换手率测试1!$AD$7:$AD$400,LOOKUP(2,1/(A股成交额换手率测试1!$AD$7:$AD$400&lt;&gt;""),ROW(A股成交额换手率测试1!$AD$7:$AD$400))-ROW(A股成交额换手率测试1!$AD$7)+1-60+30)/100000000),NA())</f>
        <v>-32.2611114189485</v>
      </c>
      <c r="AF96" s="2">
        <f>IFERROR(IF(INDEX(A股成交额换手率测试1!$AD$7:$AD$400,LOOKUP(2,1/(A股成交额换手率测试1!$AD$7:$AD$400&lt;&gt;""),ROW(A股成交额换手率测试1!$AD$7:$AD$400))-ROW(A股成交额换手率测试1!$AD$7)+1-60+31)=0,NA(),INDEX(A股成交额换手率测试1!$AD$7:$AD$400,LOOKUP(2,1/(A股成交额换手率测试1!$AD$7:$AD$400&lt;&gt;""),ROW(A股成交额换手率测试1!$AD$7:$AD$400))-ROW(A股成交额换手率测试1!$AD$7)+1-60+31)/100000000),NA())</f>
        <v>-86.2898117033686</v>
      </c>
      <c r="AG96" s="2">
        <f>IFERROR(IF(INDEX(A股成交额换手率测试1!$AD$7:$AD$400,LOOKUP(2,1/(A股成交额换手率测试1!$AD$7:$AD$400&lt;&gt;""),ROW(A股成交额换手率测试1!$AD$7:$AD$400))-ROW(A股成交额换手率测试1!$AD$7)+1-60+32)=0,NA(),INDEX(A股成交额换手率测试1!$AD$7:$AD$400,LOOKUP(2,1/(A股成交额换手率测试1!$AD$7:$AD$400&lt;&gt;""),ROW(A股成交额换手率测试1!$AD$7:$AD$400))-ROW(A股成交额换手率测试1!$AD$7)+1-60+32)/100000000),NA())</f>
        <v>-437.990623388892</v>
      </c>
      <c r="AH96" s="2">
        <f>IFERROR(IF(INDEX(A股成交额换手率测试1!$AD$7:$AD$400,LOOKUP(2,1/(A股成交额换手率测试1!$AD$7:$AD$400&lt;&gt;""),ROW(A股成交额换手率测试1!$AD$7:$AD$400))-ROW(A股成交额换手率测试1!$AD$7)+1-60+33)=0,NA(),INDEX(A股成交额换手率测试1!$AD$7:$AD$400,LOOKUP(2,1/(A股成交额换手率测试1!$AD$7:$AD$400&lt;&gt;""),ROW(A股成交额换手率测试1!$AD$7:$AD$400))-ROW(A股成交额换手率测试1!$AD$7)+1-60+33)/100000000),NA())</f>
        <v>23.5058167427767</v>
      </c>
      <c r="AI96" s="2">
        <f>IFERROR(IF(INDEX(A股成交额换手率测试1!$AD$7:$AD$400,LOOKUP(2,1/(A股成交额换手率测试1!$AD$7:$AD$400&lt;&gt;""),ROW(A股成交额换手率测试1!$AD$7:$AD$400))-ROW(A股成交额换手率测试1!$AD$7)+1-60+34)=0,NA(),INDEX(A股成交额换手率测试1!$AD$7:$AD$400,LOOKUP(2,1/(A股成交额换手率测试1!$AD$7:$AD$400&lt;&gt;""),ROW(A股成交额换手率测试1!$AD$7:$AD$400))-ROW(A股成交额换手率测试1!$AD$7)+1-60+34)/100000000),NA())</f>
        <v>-51.7102161274731</v>
      </c>
      <c r="AJ96" s="2">
        <f>IFERROR(IF(INDEX(A股成交额换手率测试1!$AD$7:$AD$400,LOOKUP(2,1/(A股成交额换手率测试1!$AD$7:$AD$400&lt;&gt;""),ROW(A股成交额换手率测试1!$AD$7:$AD$400))-ROW(A股成交额换手率测试1!$AD$7)+1-60+35)=0,NA(),INDEX(A股成交额换手率测试1!$AD$7:$AD$400,LOOKUP(2,1/(A股成交额换手率测试1!$AD$7:$AD$400&lt;&gt;""),ROW(A股成交额换手率测试1!$AD$7:$AD$400))-ROW(A股成交额换手率测试1!$AD$7)+1-60+35)/100000000),NA())</f>
        <v>-144.176888942883</v>
      </c>
      <c r="AK96" s="2">
        <f>IFERROR(IF(INDEX(A股成交额换手率测试1!$AD$7:$AD$400,LOOKUP(2,1/(A股成交额换手率测试1!$AD$7:$AD$400&lt;&gt;""),ROW(A股成交额换手率测试1!$AD$7:$AD$400))-ROW(A股成交额换手率测试1!$AD$7)+1-60+36)=0,NA(),INDEX(A股成交额换手率测试1!$AD$7:$AD$400,LOOKUP(2,1/(A股成交额换手率测试1!$AD$7:$AD$400&lt;&gt;""),ROW(A股成交额换手率测试1!$AD$7:$AD$400))-ROW(A股成交额换手率测试1!$AD$7)+1-60+36)/100000000),NA())</f>
        <v>9.3123028144868</v>
      </c>
      <c r="AL96" s="2">
        <f>IFERROR(IF(INDEX(A股成交额换手率测试1!$AD$7:$AD$400,LOOKUP(2,1/(A股成交额换手率测试1!$AD$7:$AD$400&lt;&gt;""),ROW(A股成交额换手率测试1!$AD$7:$AD$400))-ROW(A股成交额换手率测试1!$AD$7)+1-60+37)=0,NA(),INDEX(A股成交额换手率测试1!$AD$7:$AD$400,LOOKUP(2,1/(A股成交额换手率测试1!$AD$7:$AD$400&lt;&gt;""),ROW(A股成交额换手率测试1!$AD$7:$AD$400))-ROW(A股成交额换手率测试1!$AD$7)+1-60+37)/100000000),NA())</f>
        <v>155.709964762391</v>
      </c>
      <c r="AM96" s="2">
        <f>IFERROR(IF(INDEX(A股成交额换手率测试1!$AD$7:$AD$400,LOOKUP(2,1/(A股成交额换手率测试1!$AD$7:$AD$400&lt;&gt;""),ROW(A股成交额换手率测试1!$AD$7:$AD$400))-ROW(A股成交额换手率测试1!$AD$7)+1-60+38)=0,NA(),INDEX(A股成交额换手率测试1!$AD$7:$AD$400,LOOKUP(2,1/(A股成交额换手率测试1!$AD$7:$AD$400&lt;&gt;""),ROW(A股成交额换手率测试1!$AD$7:$AD$400))-ROW(A股成交额换手率测试1!$AD$7)+1-60+38)/100000000),NA())</f>
        <v>-87.9071285614039</v>
      </c>
      <c r="AN96" s="2">
        <f>IFERROR(IF(INDEX(A股成交额换手率测试1!$AD$7:$AD$400,LOOKUP(2,1/(A股成交额换手率测试1!$AD$7:$AD$400&lt;&gt;""),ROW(A股成交额换手率测试1!$AD$7:$AD$400))-ROW(A股成交额换手率测试1!$AD$7)+1-60+39)=0,NA(),INDEX(A股成交额换手率测试1!$AD$7:$AD$400,LOOKUP(2,1/(A股成交额换手率测试1!$AD$7:$AD$400&lt;&gt;""),ROW(A股成交额换手率测试1!$AD$7:$AD$400))-ROW(A股成交额换手率测试1!$AD$7)+1-60+39)/100000000),NA())</f>
        <v>-175.523440420225</v>
      </c>
      <c r="AO96" s="2">
        <f>IFERROR(IF(INDEX(A股成交额换手率测试1!$AD$7:$AD$400,LOOKUP(2,1/(A股成交额换手率测试1!$AD$7:$AD$400&lt;&gt;""),ROW(A股成交额换手率测试1!$AD$7:$AD$400))-ROW(A股成交额换手率测试1!$AD$7)+1-60+40)=0,NA(),INDEX(A股成交额换手率测试1!$AD$7:$AD$400,LOOKUP(2,1/(A股成交额换手率测试1!$AD$7:$AD$400&lt;&gt;""),ROW(A股成交额换手率测试1!$AD$7:$AD$400))-ROW(A股成交额换手率测试1!$AD$7)+1-60+40)/100000000),NA())</f>
        <v>4.56203822251003</v>
      </c>
      <c r="AP96" s="2">
        <f>IFERROR(IF(INDEX(A股成交额换手率测试1!$AD$7:$AD$400,LOOKUP(2,1/(A股成交额换手率测试1!$AD$7:$AD$400&lt;&gt;""),ROW(A股成交额换手率测试1!$AD$7:$AD$400))-ROW(A股成交额换手率测试1!$AD$7)+1-60+41)=0,NA(),INDEX(A股成交额换手率测试1!$AD$7:$AD$400,LOOKUP(2,1/(A股成交额换手率测试1!$AD$7:$AD$400&lt;&gt;""),ROW(A股成交额换手率测试1!$AD$7:$AD$400))-ROW(A股成交额换手率测试1!$AD$7)+1-60+41)/100000000),NA())</f>
        <v>143.225438025917</v>
      </c>
      <c r="AQ96" s="2">
        <f>IFERROR(IF(INDEX(A股成交额换手率测试1!$AD$7:$AD$400,LOOKUP(2,1/(A股成交额换手率测试1!$AD$7:$AD$400&lt;&gt;""),ROW(A股成交额换手率测试1!$AD$7:$AD$400))-ROW(A股成交额换手率测试1!$AD$7)+1-60+42)=0,NA(),INDEX(A股成交额换手率测试1!$AD$7:$AD$400,LOOKUP(2,1/(A股成交额换手率测试1!$AD$7:$AD$400&lt;&gt;""),ROW(A股成交额换手率测试1!$AD$7:$AD$400))-ROW(A股成交额换手率测试1!$AD$7)+1-60+42)/100000000),NA())</f>
        <v>331.140502362918</v>
      </c>
      <c r="AR96" s="2">
        <f>IFERROR(IF(INDEX(A股成交额换手率测试1!$AD$7:$AD$400,LOOKUP(2,1/(A股成交额换手率测试1!$AD$7:$AD$400&lt;&gt;""),ROW(A股成交额换手率测试1!$AD$7:$AD$400))-ROW(A股成交额换手率测试1!$AD$7)+1-60+43)=0,NA(),INDEX(A股成交额换手率测试1!$AD$7:$AD$400,LOOKUP(2,1/(A股成交额换手率测试1!$AD$7:$AD$400&lt;&gt;""),ROW(A股成交额换手率测试1!$AD$7:$AD$400))-ROW(A股成交额换手率测试1!$AD$7)+1-60+43)/100000000),NA())</f>
        <v>-272.982211134395</v>
      </c>
      <c r="AS96" s="2">
        <f>IFERROR(IF(INDEX(A股成交额换手率测试1!$AD$7:$AD$400,LOOKUP(2,1/(A股成交额换手率测试1!$AD$7:$AD$400&lt;&gt;""),ROW(A股成交额换手率测试1!$AD$7:$AD$400))-ROW(A股成交额换手率测试1!$AD$7)+1-60+44)=0,NA(),INDEX(A股成交额换手率测试1!$AD$7:$AD$400,LOOKUP(2,1/(A股成交额换手率测试1!$AD$7:$AD$400&lt;&gt;""),ROW(A股成交额换手率测试1!$AD$7:$AD$400))-ROW(A股成交额换手率测试1!$AD$7)+1-60+44)/100000000),NA())</f>
        <v>-50.6421162896817</v>
      </c>
      <c r="AT96" s="2">
        <f>IFERROR(IF(INDEX(A股成交额换手率测试1!$AD$7:$AD$400,LOOKUP(2,1/(A股成交额换手率测试1!$AD$7:$AD$400&lt;&gt;""),ROW(A股成交额换手率测试1!$AD$7:$AD$400))-ROW(A股成交额换手率测试1!$AD$7)+1-60+45)=0,NA(),INDEX(A股成交额换手率测试1!$AD$7:$AD$400,LOOKUP(2,1/(A股成交额换手率测试1!$AD$7:$AD$400&lt;&gt;""),ROW(A股成交额换手率测试1!$AD$7:$AD$400))-ROW(A股成交额换手率测试1!$AD$7)+1-60+45)/100000000),NA())</f>
        <v>52.9423377422656</v>
      </c>
      <c r="AU96" s="2">
        <f>IFERROR(IF(INDEX(A股成交额换手率测试1!$AD$7:$AD$400,LOOKUP(2,1/(A股成交额换手率测试1!$AD$7:$AD$400&lt;&gt;""),ROW(A股成交额换手率测试1!$AD$7:$AD$400))-ROW(A股成交额换手率测试1!$AD$7)+1-60+46)=0,NA(),INDEX(A股成交额换手率测试1!$AD$7:$AD$400,LOOKUP(2,1/(A股成交额换手率测试1!$AD$7:$AD$400&lt;&gt;""),ROW(A股成交额换手率测试1!$AD$7:$AD$400))-ROW(A股成交额换手率测试1!$AD$7)+1-60+46)/100000000),NA())</f>
        <v>-70.9111199317449</v>
      </c>
      <c r="AV96" s="2">
        <f>IFERROR(IF(INDEX(A股成交额换手率测试1!$AD$7:$AD$400,LOOKUP(2,1/(A股成交额换手率测试1!$AD$7:$AD$400&lt;&gt;""),ROW(A股成交额换手率测试1!$AD$7:$AD$400))-ROW(A股成交额换手率测试1!$AD$7)+1-60+47)=0,NA(),INDEX(A股成交额换手率测试1!$AD$7:$AD$400,LOOKUP(2,1/(A股成交额换手率测试1!$AD$7:$AD$400&lt;&gt;""),ROW(A股成交额换手率测试1!$AD$7:$AD$400))-ROW(A股成交额换手率测试1!$AD$7)+1-60+47)/100000000),NA())</f>
        <v>-161.98260610567</v>
      </c>
      <c r="AW96" s="2">
        <f>IFERROR(IF(INDEX(A股成交额换手率测试1!$AD$7:$AD$400,LOOKUP(2,1/(A股成交额换手率测试1!$AD$7:$AD$400&lt;&gt;""),ROW(A股成交额换手率测试1!$AD$7:$AD$400))-ROW(A股成交额换手率测试1!$AD$7)+1-60+48)=0,NA(),INDEX(A股成交额换手率测试1!$AD$7:$AD$400,LOOKUP(2,1/(A股成交额换手率测试1!$AD$7:$AD$400&lt;&gt;""),ROW(A股成交额换手率测试1!$AD$7:$AD$400))-ROW(A股成交额换手率测试1!$AD$7)+1-60+48)/100000000),NA())</f>
        <v>-201.425755062008</v>
      </c>
      <c r="AX96" s="2">
        <f>IFERROR(IF(INDEX(A股成交额换手率测试1!$AD$7:$AD$400,LOOKUP(2,1/(A股成交额换手率测试1!$AD$7:$AD$400&lt;&gt;""),ROW(A股成交额换手率测试1!$AD$7:$AD$400))-ROW(A股成交额换手率测试1!$AD$7)+1-60+49)=0,NA(),INDEX(A股成交额换手率测试1!$AD$7:$AD$400,LOOKUP(2,1/(A股成交额换手率测试1!$AD$7:$AD$400&lt;&gt;""),ROW(A股成交额换手率测试1!$AD$7:$AD$400))-ROW(A股成交额换手率测试1!$AD$7)+1-60+49)/100000000),NA())</f>
        <v>-226.759758210975</v>
      </c>
      <c r="AY96" s="2">
        <f>IFERROR(IF(INDEX(A股成交额换手率测试1!$AD$7:$AD$400,LOOKUP(2,1/(A股成交额换手率测试1!$AD$7:$AD$400&lt;&gt;""),ROW(A股成交额换手率测试1!$AD$7:$AD$400))-ROW(A股成交额换手率测试1!$AD$7)+1-60+50)=0,NA(),INDEX(A股成交额换手率测试1!$AD$7:$AD$400,LOOKUP(2,1/(A股成交额换手率测试1!$AD$7:$AD$400&lt;&gt;""),ROW(A股成交额换手率测试1!$AD$7:$AD$400))-ROW(A股成交额换手率测试1!$AD$7)+1-60+50)/100000000),NA())</f>
        <v>-162.492649746231</v>
      </c>
      <c r="AZ96" s="2">
        <f>IFERROR(IF(INDEX(A股成交额换手率测试1!$AD$7:$AD$400,LOOKUP(2,1/(A股成交额换手率测试1!$AD$7:$AD$400&lt;&gt;""),ROW(A股成交额换手率测试1!$AD$7:$AD$400))-ROW(A股成交额换手率测试1!$AD$7)+1-60+51)=0,NA(),INDEX(A股成交额换手率测试1!$AD$7:$AD$400,LOOKUP(2,1/(A股成交额换手率测试1!$AD$7:$AD$400&lt;&gt;""),ROW(A股成交额换手率测试1!$AD$7:$AD$400))-ROW(A股成交额换手率测试1!$AD$7)+1-60+51)/100000000),NA())</f>
        <v>-102.987394642363</v>
      </c>
      <c r="BA96" s="2">
        <f>IFERROR(IF(INDEX(A股成交额换手率测试1!$AD$7:$AD$400,LOOKUP(2,1/(A股成交额换手率测试1!$AD$7:$AD$400&lt;&gt;""),ROW(A股成交额换手率测试1!$AD$7:$AD$400))-ROW(A股成交额换手率测试1!$AD$7)+1-60+52)=0,NA(),INDEX(A股成交额换手率测试1!$AD$7:$AD$400,LOOKUP(2,1/(A股成交额换手率测试1!$AD$7:$AD$400&lt;&gt;""),ROW(A股成交额换手率测试1!$AD$7:$AD$400))-ROW(A股成交额换手率测试1!$AD$7)+1-60+52)/100000000),NA())</f>
        <v>-260.021651675587</v>
      </c>
      <c r="BB96" s="2">
        <f>IFERROR(IF(INDEX(A股成交额换手率测试1!$AD$7:$AD$400,LOOKUP(2,1/(A股成交额换手率测试1!$AD$7:$AD$400&lt;&gt;""),ROW(A股成交额换手率测试1!$AD$7:$AD$400))-ROW(A股成交额换手率测试1!$AD$7)+1-60+53)=0,NA(),INDEX(A股成交额换手率测试1!$AD$7:$AD$400,LOOKUP(2,1/(A股成交额换手率测试1!$AD$7:$AD$400&lt;&gt;""),ROW(A股成交额换手率测试1!$AD$7:$AD$400))-ROW(A股成交额换手率测试1!$AD$7)+1-60+53)/100000000),NA())</f>
        <v>-237.103161764023</v>
      </c>
      <c r="BC96" s="2">
        <f>IFERROR(IF(INDEX(A股成交额换手率测试1!$AD$7:$AD$400,LOOKUP(2,1/(A股成交额换手率测试1!$AD$7:$AD$400&lt;&gt;""),ROW(A股成交额换手率测试1!$AD$7:$AD$400))-ROW(A股成交额换手率测试1!$AD$7)+1-60+54)=0,NA(),INDEX(A股成交额换手率测试1!$AD$7:$AD$400,LOOKUP(2,1/(A股成交额换手率测试1!$AD$7:$AD$400&lt;&gt;""),ROW(A股成交额换手率测试1!$AD$7:$AD$400))-ROW(A股成交额换手率测试1!$AD$7)+1-60+54)/100000000),NA())</f>
        <v>-253.607152562414</v>
      </c>
      <c r="BD96" s="2">
        <f>IFERROR(IF(INDEX(A股成交额换手率测试1!$AD$7:$AD$400,LOOKUP(2,1/(A股成交额换手率测试1!$AD$7:$AD$400&lt;&gt;""),ROW(A股成交额换手率测试1!$AD$7:$AD$400))-ROW(A股成交额换手率测试1!$AD$7)+1-60+55)=0,NA(),INDEX(A股成交额换手率测试1!$AD$7:$AD$400,LOOKUP(2,1/(A股成交额换手率测试1!$AD$7:$AD$400&lt;&gt;""),ROW(A股成交额换手率测试1!$AD$7:$AD$400))-ROW(A股成交额换手率测试1!$AD$7)+1-60+55)/100000000),NA())</f>
        <v>200.884520059887</v>
      </c>
      <c r="BE96" s="2">
        <f>IFERROR(IF(INDEX(A股成交额换手率测试1!$AD$7:$AD$400,LOOKUP(2,1/(A股成交额换手率测试1!$AD$7:$AD$400&lt;&gt;""),ROW(A股成交额换手率测试1!$AD$7:$AD$400))-ROW(A股成交额换手率测试1!$AD$7)+1-60+56)=0,NA(),INDEX(A股成交额换手率测试1!$AD$7:$AD$400,LOOKUP(2,1/(A股成交额换手率测试1!$AD$7:$AD$400&lt;&gt;""),ROW(A股成交额换手率测试1!$AD$7:$AD$400))-ROW(A股成交额换手率测试1!$AD$7)+1-60+56)/100000000),NA())</f>
        <v>-11.3803256420757</v>
      </c>
      <c r="BF96" s="2">
        <f>IFERROR(IF(INDEX(A股成交额换手率测试1!$AD$7:$AD$400,LOOKUP(2,1/(A股成交额换手率测试1!$AD$7:$AD$400&lt;&gt;""),ROW(A股成交额换手率测试1!$AD$7:$AD$400))-ROW(A股成交额换手率测试1!$AD$7)+1-60+57)=0,NA(),INDEX(A股成交额换手率测试1!$AD$7:$AD$400,LOOKUP(2,1/(A股成交额换手率测试1!$AD$7:$AD$400&lt;&gt;""),ROW(A股成交额换手率测试1!$AD$7:$AD$400))-ROW(A股成交额换手率测试1!$AD$7)+1-60+57)/100000000),NA())</f>
        <v>-126.782254507067</v>
      </c>
      <c r="BG96" s="2">
        <f>IFERROR(IF(INDEX(A股成交额换手率测试1!$AD$7:$AD$400,LOOKUP(2,1/(A股成交额换手率测试1!$AD$7:$AD$400&lt;&gt;""),ROW(A股成交额换手率测试1!$AD$7:$AD$400))-ROW(A股成交额换手率测试1!$AD$7)+1-60+58)=0,NA(),INDEX(A股成交额换手率测试1!$AD$7:$AD$400,LOOKUP(2,1/(A股成交额换手率测试1!$AD$7:$AD$400&lt;&gt;""),ROW(A股成交额换手率测试1!$AD$7:$AD$400))-ROW(A股成交额换手率测试1!$AD$7)+1-60+58)/100000000),NA())</f>
        <v>-180.432782049273</v>
      </c>
      <c r="BH96" s="2">
        <f>IFERROR(IF(INDEX(A股成交额换手率测试1!$AD$7:$AD$400,LOOKUP(2,1/(A股成交额换手率测试1!$AD$7:$AD$400&lt;&gt;""),ROW(A股成交额换手率测试1!$AD$7:$AD$400))-ROW(A股成交额换手率测试1!$AD$7)+1-60+59)=0,NA(),INDEX(A股成交额换手率测试1!$AD$7:$AD$400,LOOKUP(2,1/(A股成交额换手率测试1!$AD$7:$AD$400&lt;&gt;""),ROW(A股成交额换手率测试1!$AD$7:$AD$400))-ROW(A股成交额换手率测试1!$AD$7)+1-60+59)/100000000),NA())</f>
        <v>288.753616796778</v>
      </c>
      <c r="BI96">
        <f>IFERROR(IF(INDEX(A股成交额换手率测试1!$AD$7:$AD$400,LOOKUP(2,1/(A股成交额换手率测试1!$AD$7:$AD$400&lt;&gt;""),ROW(A股成交额换手率测试1!$AD$7:$AD$400))-ROW(A股成交额换手率测试1!$AD$7)+1-60+60)=0,NA(),INDEX(A股成交额换手率测试1!$AD$7:$AD$400,LOOKUP(2,1/(A股成交额换手率测试1!$AD$7:$AD$400&lt;&gt;""),ROW(A股成交额换手率测试1!$AD$7:$AD$400))-ROW(A股成交额换手率测试1!$AD$7)+1-60+60)/100000000),NA())</f>
        <v>-81.4420325301452</v>
      </c>
    </row>
    <row r="97" ht="15" customHeight="1" spans="1:761">
      <c r="A97" s="1" t="s">
        <v>42</v>
      </c>
      <c r="B97" s="2" t="e">
        <f ca="1">IF(ISERROR(INDEX(指数走势!$F$33:$ACK$33,1,LOOKUP(2,1/(指数走势!$F$33:$ACK$33&lt;&gt;""),COLUMN(指数走势!$F$33:$ACK$33))-COLUMN(指数走势!$F$33)+1-760+1)),NA(),IF(INDEX(指数走势!$F$33:$ACK$33,1,LOOKUP(2,1/(指数走势!$F$33:$ACK$33&lt;&gt;""),COLUMN(指数走势!$F$33:$ACK$33))-COLUMN(指数走势!$F$33)+1-760+1)=0,NA(),INDEX(指数走势!$F$33:$ACK$33,1,LOOKUP(2,1/(指数走势!$F$33:$ACK$33&lt;&gt;""),COLUMN(指数走势!$F$33:$ACK$33))-COLUMN(指数走势!$F$33)+1-760+1)))</f>
        <v>#N/A</v>
      </c>
      <c r="C97" s="2" t="e">
        <f ca="1">IF(ISERROR(INDEX(指数走势!$F$33:$ACK$33,1,LOOKUP(2,1/(指数走势!$F$33:$ACK$33&lt;&gt;""),COLUMN(指数走势!$F$33:$ACK$33))-COLUMN(指数走势!$F$33)+1-760+2)),NA(),IF(INDEX(指数走势!$F$33:$ACK$33,1,LOOKUP(2,1/(指数走势!$F$33:$ACK$33&lt;&gt;""),COLUMN(指数走势!$F$33:$ACK$33))-COLUMN(指数走势!$F$33)+1-760+2)=0,NA(),INDEX(指数走势!$F$33:$ACK$33,1,LOOKUP(2,1/(指数走势!$F$33:$ACK$33&lt;&gt;""),COLUMN(指数走势!$F$33:$ACK$33))-COLUMN(指数走势!$F$33)+1-760+2)))</f>
        <v>#N/A</v>
      </c>
      <c r="D97" s="2" t="e">
        <f ca="1">IF(ISERROR(INDEX(指数走势!$F$33:$ACK$33,1,LOOKUP(2,1/(指数走势!$F$33:$ACK$33&lt;&gt;""),COLUMN(指数走势!$F$33:$ACK$33))-COLUMN(指数走势!$F$33)+1-760+3)),NA(),IF(INDEX(指数走势!$F$33:$ACK$33,1,LOOKUP(2,1/(指数走势!$F$33:$ACK$33&lt;&gt;""),COLUMN(指数走势!$F$33:$ACK$33))-COLUMN(指数走势!$F$33)+1-760+3)=0,NA(),INDEX(指数走势!$F$33:$ACK$33,1,LOOKUP(2,1/(指数走势!$F$33:$ACK$33&lt;&gt;""),COLUMN(指数走势!$F$33:$ACK$33))-COLUMN(指数走势!$F$33)+1-760+3)))</f>
        <v>#N/A</v>
      </c>
      <c r="E97" s="2" t="e">
        <f ca="1">IF(ISERROR(INDEX(指数走势!$F$33:$ACK$33,1,LOOKUP(2,1/(指数走势!$F$33:$ACK$33&lt;&gt;""),COLUMN(指数走势!$F$33:$ACK$33))-COLUMN(指数走势!$F$33)+1-760+4)),NA(),IF(INDEX(指数走势!$F$33:$ACK$33,1,LOOKUP(2,1/(指数走势!$F$33:$ACK$33&lt;&gt;""),COLUMN(指数走势!$F$33:$ACK$33))-COLUMN(指数走势!$F$33)+1-760+4)=0,NA(),INDEX(指数走势!$F$33:$ACK$33,1,LOOKUP(2,1/(指数走势!$F$33:$ACK$33&lt;&gt;""),COLUMN(指数走势!$F$33:$ACK$33))-COLUMN(指数走势!$F$33)+1-760+4)))</f>
        <v>#N/A</v>
      </c>
      <c r="F97" s="2" t="e">
        <f ca="1">IF(ISERROR(INDEX(指数走势!$F$33:$ACK$33,1,LOOKUP(2,1/(指数走势!$F$33:$ACK$33&lt;&gt;""),COLUMN(指数走势!$F$33:$ACK$33))-COLUMN(指数走势!$F$33)+1-760+5)),NA(),IF(INDEX(指数走势!$F$33:$ACK$33,1,LOOKUP(2,1/(指数走势!$F$33:$ACK$33&lt;&gt;""),COLUMN(指数走势!$F$33:$ACK$33))-COLUMN(指数走势!$F$33)+1-760+5)=0,NA(),INDEX(指数走势!$F$33:$ACK$33,1,LOOKUP(2,1/(指数走势!$F$33:$ACK$33&lt;&gt;""),COLUMN(指数走势!$F$33:$ACK$33))-COLUMN(指数走势!$F$33)+1-760+5)))</f>
        <v>#N/A</v>
      </c>
      <c r="G97" s="2" t="e">
        <f ca="1">IF(ISERROR(INDEX(指数走势!$F$33:$ACK$33,1,LOOKUP(2,1/(指数走势!$F$33:$ACK$33&lt;&gt;""),COLUMN(指数走势!$F$33:$ACK$33))-COLUMN(指数走势!$F$33)+1-760+6)),NA(),IF(INDEX(指数走势!$F$33:$ACK$33,1,LOOKUP(2,1/(指数走势!$F$33:$ACK$33&lt;&gt;""),COLUMN(指数走势!$F$33:$ACK$33))-COLUMN(指数走势!$F$33)+1-760+6)=0,NA(),INDEX(指数走势!$F$33:$ACK$33,1,LOOKUP(2,1/(指数走势!$F$33:$ACK$33&lt;&gt;""),COLUMN(指数走势!$F$33:$ACK$33))-COLUMN(指数走势!$F$33)+1-760+6)))</f>
        <v>#N/A</v>
      </c>
      <c r="H97" s="2" t="e">
        <f ca="1">IF(ISERROR(INDEX(指数走势!$F$33:$ACK$33,1,LOOKUP(2,1/(指数走势!$F$33:$ACK$33&lt;&gt;""),COLUMN(指数走势!$F$33:$ACK$33))-COLUMN(指数走势!$F$33)+1-760+7)),NA(),IF(INDEX(指数走势!$F$33:$ACK$33,1,LOOKUP(2,1/(指数走势!$F$33:$ACK$33&lt;&gt;""),COLUMN(指数走势!$F$33:$ACK$33))-COLUMN(指数走势!$F$33)+1-760+7)=0,NA(),INDEX(指数走势!$F$33:$ACK$33,1,LOOKUP(2,1/(指数走势!$F$33:$ACK$33&lt;&gt;""),COLUMN(指数走势!$F$33:$ACK$33))-COLUMN(指数走势!$F$33)+1-760+7)))</f>
        <v>#N/A</v>
      </c>
      <c r="I97" s="2" t="e">
        <f ca="1">IF(ISERROR(INDEX(指数走势!$F$33:$ACK$33,1,LOOKUP(2,1/(指数走势!$F$33:$ACK$33&lt;&gt;""),COLUMN(指数走势!$F$33:$ACK$33))-COLUMN(指数走势!$F$33)+1-760+8)),NA(),IF(INDEX(指数走势!$F$33:$ACK$33,1,LOOKUP(2,1/(指数走势!$F$33:$ACK$33&lt;&gt;""),COLUMN(指数走势!$F$33:$ACK$33))-COLUMN(指数走势!$F$33)+1-760+8)=0,NA(),INDEX(指数走势!$F$33:$ACK$33,1,LOOKUP(2,1/(指数走势!$F$33:$ACK$33&lt;&gt;""),COLUMN(指数走势!$F$33:$ACK$33))-COLUMN(指数走势!$F$33)+1-760+8)))</f>
        <v>#N/A</v>
      </c>
      <c r="J97" s="2" t="e">
        <f ca="1">IF(ISERROR(INDEX(指数走势!$F$33:$ACK$33,1,LOOKUP(2,1/(指数走势!$F$33:$ACK$33&lt;&gt;""),COLUMN(指数走势!$F$33:$ACK$33))-COLUMN(指数走势!$F$33)+1-760+9)),NA(),IF(INDEX(指数走势!$F$33:$ACK$33,1,LOOKUP(2,1/(指数走势!$F$33:$ACK$33&lt;&gt;""),COLUMN(指数走势!$F$33:$ACK$33))-COLUMN(指数走势!$F$33)+1-760+9)=0,NA(),INDEX(指数走势!$F$33:$ACK$33,1,LOOKUP(2,1/(指数走势!$F$33:$ACK$33&lt;&gt;""),COLUMN(指数走势!$F$33:$ACK$33))-COLUMN(指数走势!$F$33)+1-760+9)))</f>
        <v>#N/A</v>
      </c>
      <c r="K97" s="2" t="e">
        <f ca="1">IF(ISERROR(INDEX(指数走势!$F$33:$ACK$33,1,LOOKUP(2,1/(指数走势!$F$33:$ACK$33&lt;&gt;""),COLUMN(指数走势!$F$33:$ACK$33))-COLUMN(指数走势!$F$33)+1-760+10)),NA(),IF(INDEX(指数走势!$F$33:$ACK$33,1,LOOKUP(2,1/(指数走势!$F$33:$ACK$33&lt;&gt;""),COLUMN(指数走势!$F$33:$ACK$33))-COLUMN(指数走势!$F$33)+1-760+10)=0,NA(),INDEX(指数走势!$F$33:$ACK$33,1,LOOKUP(2,1/(指数走势!$F$33:$ACK$33&lt;&gt;""),COLUMN(指数走势!$F$33:$ACK$33))-COLUMN(指数走势!$F$33)+1-760+10)))</f>
        <v>#N/A</v>
      </c>
      <c r="L97" s="2" t="e">
        <f ca="1">IF(ISERROR(INDEX(指数走势!$F$33:$ACK$33,1,LOOKUP(2,1/(指数走势!$F$33:$ACK$33&lt;&gt;""),COLUMN(指数走势!$F$33:$ACK$33))-COLUMN(指数走势!$F$33)+1-760+11)),NA(),IF(INDEX(指数走势!$F$33:$ACK$33,1,LOOKUP(2,1/(指数走势!$F$33:$ACK$33&lt;&gt;""),COLUMN(指数走势!$F$33:$ACK$33))-COLUMN(指数走势!$F$33)+1-760+11)=0,NA(),INDEX(指数走势!$F$33:$ACK$33,1,LOOKUP(2,1/(指数走势!$F$33:$ACK$33&lt;&gt;""),COLUMN(指数走势!$F$33:$ACK$33))-COLUMN(指数走势!$F$33)+1-760+11)))</f>
        <v>#N/A</v>
      </c>
      <c r="M97" s="2" t="e">
        <f ca="1">IF(ISERROR(INDEX(指数走势!$F$33:$ACK$33,1,LOOKUP(2,1/(指数走势!$F$33:$ACK$33&lt;&gt;""),COLUMN(指数走势!$F$33:$ACK$33))-COLUMN(指数走势!$F$33)+1-760+12)),NA(),IF(INDEX(指数走势!$F$33:$ACK$33,1,LOOKUP(2,1/(指数走势!$F$33:$ACK$33&lt;&gt;""),COLUMN(指数走势!$F$33:$ACK$33))-COLUMN(指数走势!$F$33)+1-760+12)=0,NA(),INDEX(指数走势!$F$33:$ACK$33,1,LOOKUP(2,1/(指数走势!$F$33:$ACK$33&lt;&gt;""),COLUMN(指数走势!$F$33:$ACK$33))-COLUMN(指数走势!$F$33)+1-760+12)))</f>
        <v>#N/A</v>
      </c>
      <c r="N97" s="2" t="e">
        <f ca="1">IF(ISERROR(INDEX(指数走势!$F$33:$ACK$33,1,LOOKUP(2,1/(指数走势!$F$33:$ACK$33&lt;&gt;""),COLUMN(指数走势!$F$33:$ACK$33))-COLUMN(指数走势!$F$33)+1-760+13)),NA(),IF(INDEX(指数走势!$F$33:$ACK$33,1,LOOKUP(2,1/(指数走势!$F$33:$ACK$33&lt;&gt;""),COLUMN(指数走势!$F$33:$ACK$33))-COLUMN(指数走势!$F$33)+1-760+13)=0,NA(),INDEX(指数走势!$F$33:$ACK$33,1,LOOKUP(2,1/(指数走势!$F$33:$ACK$33&lt;&gt;""),COLUMN(指数走势!$F$33:$ACK$33))-COLUMN(指数走势!$F$33)+1-760+13)))</f>
        <v>#N/A</v>
      </c>
      <c r="O97" s="2" t="e">
        <f ca="1">IF(ISERROR(INDEX(指数走势!$F$33:$ACK$33,1,LOOKUP(2,1/(指数走势!$F$33:$ACK$33&lt;&gt;""),COLUMN(指数走势!$F$33:$ACK$33))-COLUMN(指数走势!$F$33)+1-760+14)),NA(),IF(INDEX(指数走势!$F$33:$ACK$33,1,LOOKUP(2,1/(指数走势!$F$33:$ACK$33&lt;&gt;""),COLUMN(指数走势!$F$33:$ACK$33))-COLUMN(指数走势!$F$33)+1-760+14)=0,NA(),INDEX(指数走势!$F$33:$ACK$33,1,LOOKUP(2,1/(指数走势!$F$33:$ACK$33&lt;&gt;""),COLUMN(指数走势!$F$33:$ACK$33))-COLUMN(指数走势!$F$33)+1-760+14)))</f>
        <v>#N/A</v>
      </c>
      <c r="P97" s="2" t="e">
        <f ca="1">IF(ISERROR(INDEX(指数走势!$F$33:$ACK$33,1,LOOKUP(2,1/(指数走势!$F$33:$ACK$33&lt;&gt;""),COLUMN(指数走势!$F$33:$ACK$33))-COLUMN(指数走势!$F$33)+1-760+15)),NA(),IF(INDEX(指数走势!$F$33:$ACK$33,1,LOOKUP(2,1/(指数走势!$F$33:$ACK$33&lt;&gt;""),COLUMN(指数走势!$F$33:$ACK$33))-COLUMN(指数走势!$F$33)+1-760+15)=0,NA(),INDEX(指数走势!$F$33:$ACK$33,1,LOOKUP(2,1/(指数走势!$F$33:$ACK$33&lt;&gt;""),COLUMN(指数走势!$F$33:$ACK$33))-COLUMN(指数走势!$F$33)+1-760+15)))</f>
        <v>#N/A</v>
      </c>
      <c r="Q97" s="2" t="e">
        <f ca="1">IF(ISERROR(INDEX(指数走势!$F$33:$ACK$33,1,LOOKUP(2,1/(指数走势!$F$33:$ACK$33&lt;&gt;""),COLUMN(指数走势!$F$33:$ACK$33))-COLUMN(指数走势!$F$33)+1-760+16)),NA(),IF(INDEX(指数走势!$F$33:$ACK$33,1,LOOKUP(2,1/(指数走势!$F$33:$ACK$33&lt;&gt;""),COLUMN(指数走势!$F$33:$ACK$33))-COLUMN(指数走势!$F$33)+1-760+16)=0,NA(),INDEX(指数走势!$F$33:$ACK$33,1,LOOKUP(2,1/(指数走势!$F$33:$ACK$33&lt;&gt;""),COLUMN(指数走势!$F$33:$ACK$33))-COLUMN(指数走势!$F$33)+1-760+16)))</f>
        <v>#N/A</v>
      </c>
      <c r="R97" s="2" t="e">
        <f ca="1">IF(ISERROR(INDEX(指数走势!$F$33:$ACK$33,1,LOOKUP(2,1/(指数走势!$F$33:$ACK$33&lt;&gt;""),COLUMN(指数走势!$F$33:$ACK$33))-COLUMN(指数走势!$F$33)+1-760+17)),NA(),IF(INDEX(指数走势!$F$33:$ACK$33,1,LOOKUP(2,1/(指数走势!$F$33:$ACK$33&lt;&gt;""),COLUMN(指数走势!$F$33:$ACK$33))-COLUMN(指数走势!$F$33)+1-760+17)=0,NA(),INDEX(指数走势!$F$33:$ACK$33,1,LOOKUP(2,1/(指数走势!$F$33:$ACK$33&lt;&gt;""),COLUMN(指数走势!$F$33:$ACK$33))-COLUMN(指数走势!$F$33)+1-760+17)))</f>
        <v>#N/A</v>
      </c>
      <c r="S97" s="2" t="e">
        <f ca="1">IF(ISERROR(INDEX(指数走势!$F$33:$ACK$33,1,LOOKUP(2,1/(指数走势!$F$33:$ACK$33&lt;&gt;""),COLUMN(指数走势!$F$33:$ACK$33))-COLUMN(指数走势!$F$33)+1-760+18)),NA(),IF(INDEX(指数走势!$F$33:$ACK$33,1,LOOKUP(2,1/(指数走势!$F$33:$ACK$33&lt;&gt;""),COLUMN(指数走势!$F$33:$ACK$33))-COLUMN(指数走势!$F$33)+1-760+18)=0,NA(),INDEX(指数走势!$F$33:$ACK$33,1,LOOKUP(2,1/(指数走势!$F$33:$ACK$33&lt;&gt;""),COLUMN(指数走势!$F$33:$ACK$33))-COLUMN(指数走势!$F$33)+1-760+18)))</f>
        <v>#N/A</v>
      </c>
      <c r="T97" s="2" t="e">
        <f ca="1">IF(ISERROR(INDEX(指数走势!$F$33:$ACK$33,1,LOOKUP(2,1/(指数走势!$F$33:$ACK$33&lt;&gt;""),COLUMN(指数走势!$F$33:$ACK$33))-COLUMN(指数走势!$F$33)+1-760+19)),NA(),IF(INDEX(指数走势!$F$33:$ACK$33,1,LOOKUP(2,1/(指数走势!$F$33:$ACK$33&lt;&gt;""),COLUMN(指数走势!$F$33:$ACK$33))-COLUMN(指数走势!$F$33)+1-760+19)=0,NA(),INDEX(指数走势!$F$33:$ACK$33,1,LOOKUP(2,1/(指数走势!$F$33:$ACK$33&lt;&gt;""),COLUMN(指数走势!$F$33:$ACK$33))-COLUMN(指数走势!$F$33)+1-760+19)))</f>
        <v>#N/A</v>
      </c>
      <c r="U97" s="2" t="e">
        <f ca="1">IF(ISERROR(INDEX(指数走势!$F$33:$ACK$33,1,LOOKUP(2,1/(指数走势!$F$33:$ACK$33&lt;&gt;""),COLUMN(指数走势!$F$33:$ACK$33))-COLUMN(指数走势!$F$33)+1-760+20)),NA(),IF(INDEX(指数走势!$F$33:$ACK$33,1,LOOKUP(2,1/(指数走势!$F$33:$ACK$33&lt;&gt;""),COLUMN(指数走势!$F$33:$ACK$33))-COLUMN(指数走势!$F$33)+1-760+20)=0,NA(),INDEX(指数走势!$F$33:$ACK$33,1,LOOKUP(2,1/(指数走势!$F$33:$ACK$33&lt;&gt;""),COLUMN(指数走势!$F$33:$ACK$33))-COLUMN(指数走势!$F$33)+1-760+20)))</f>
        <v>#N/A</v>
      </c>
      <c r="V97" s="2" t="e">
        <f ca="1">IF(ISERROR(INDEX(指数走势!$F$33:$ACK$33,1,LOOKUP(2,1/(指数走势!$F$33:$ACK$33&lt;&gt;""),COLUMN(指数走势!$F$33:$ACK$33))-COLUMN(指数走势!$F$33)+1-760+21)),NA(),IF(INDEX(指数走势!$F$33:$ACK$33,1,LOOKUP(2,1/(指数走势!$F$33:$ACK$33&lt;&gt;""),COLUMN(指数走势!$F$33:$ACK$33))-COLUMN(指数走势!$F$33)+1-760+21)=0,NA(),INDEX(指数走势!$F$33:$ACK$33,1,LOOKUP(2,1/(指数走势!$F$33:$ACK$33&lt;&gt;""),COLUMN(指数走势!$F$33:$ACK$33))-COLUMN(指数走势!$F$33)+1-760+21)))</f>
        <v>#N/A</v>
      </c>
      <c r="W97" s="2" t="e">
        <f ca="1">IF(ISERROR(INDEX(指数走势!$F$33:$ACK$33,1,LOOKUP(2,1/(指数走势!$F$33:$ACK$33&lt;&gt;""),COLUMN(指数走势!$F$33:$ACK$33))-COLUMN(指数走势!$F$33)+1-760+22)),NA(),IF(INDEX(指数走势!$F$33:$ACK$33,1,LOOKUP(2,1/(指数走势!$F$33:$ACK$33&lt;&gt;""),COLUMN(指数走势!$F$33:$ACK$33))-COLUMN(指数走势!$F$33)+1-760+22)=0,NA(),INDEX(指数走势!$F$33:$ACK$33,1,LOOKUP(2,1/(指数走势!$F$33:$ACK$33&lt;&gt;""),COLUMN(指数走势!$F$33:$ACK$33))-COLUMN(指数走势!$F$33)+1-760+22)))</f>
        <v>#N/A</v>
      </c>
      <c r="X97" s="2" t="e">
        <f ca="1">IF(ISERROR(INDEX(指数走势!$F$33:$ACK$33,1,LOOKUP(2,1/(指数走势!$F$33:$ACK$33&lt;&gt;""),COLUMN(指数走势!$F$33:$ACK$33))-COLUMN(指数走势!$F$33)+1-760+23)),NA(),IF(INDEX(指数走势!$F$33:$ACK$33,1,LOOKUP(2,1/(指数走势!$F$33:$ACK$33&lt;&gt;""),COLUMN(指数走势!$F$33:$ACK$33))-COLUMN(指数走势!$F$33)+1-760+23)=0,NA(),INDEX(指数走势!$F$33:$ACK$33,1,LOOKUP(2,1/(指数走势!$F$33:$ACK$33&lt;&gt;""),COLUMN(指数走势!$F$33:$ACK$33))-COLUMN(指数走势!$F$33)+1-760+23)))</f>
        <v>#N/A</v>
      </c>
      <c r="Y97" s="2" t="e">
        <f ca="1">IF(ISERROR(INDEX(指数走势!$F$33:$ACK$33,1,LOOKUP(2,1/(指数走势!$F$33:$ACK$33&lt;&gt;""),COLUMN(指数走势!$F$33:$ACK$33))-COLUMN(指数走势!$F$33)+1-760+24)),NA(),IF(INDEX(指数走势!$F$33:$ACK$33,1,LOOKUP(2,1/(指数走势!$F$33:$ACK$33&lt;&gt;""),COLUMN(指数走势!$F$33:$ACK$33))-COLUMN(指数走势!$F$33)+1-760+24)=0,NA(),INDEX(指数走势!$F$33:$ACK$33,1,LOOKUP(2,1/(指数走势!$F$33:$ACK$33&lt;&gt;""),COLUMN(指数走势!$F$33:$ACK$33))-COLUMN(指数走势!$F$33)+1-760+24)))</f>
        <v>#N/A</v>
      </c>
      <c r="Z97" s="2" t="e">
        <f ca="1">IF(ISERROR(INDEX(指数走势!$F$33:$ACK$33,1,LOOKUP(2,1/(指数走势!$F$33:$ACK$33&lt;&gt;""),COLUMN(指数走势!$F$33:$ACK$33))-COLUMN(指数走势!$F$33)+1-760+25)),NA(),IF(INDEX(指数走势!$F$33:$ACK$33,1,LOOKUP(2,1/(指数走势!$F$33:$ACK$33&lt;&gt;""),COLUMN(指数走势!$F$33:$ACK$33))-COLUMN(指数走势!$F$33)+1-760+25)=0,NA(),INDEX(指数走势!$F$33:$ACK$33,1,LOOKUP(2,1/(指数走势!$F$33:$ACK$33&lt;&gt;""),COLUMN(指数走势!$F$33:$ACK$33))-COLUMN(指数走势!$F$33)+1-760+25)))</f>
        <v>#N/A</v>
      </c>
      <c r="AA97" s="2" t="e">
        <f ca="1">IF(ISERROR(INDEX(指数走势!$F$33:$ACK$33,1,LOOKUP(2,1/(指数走势!$F$33:$ACK$33&lt;&gt;""),COLUMN(指数走势!$F$33:$ACK$33))-COLUMN(指数走势!$F$33)+1-760+26)),NA(),IF(INDEX(指数走势!$F$33:$ACK$33,1,LOOKUP(2,1/(指数走势!$F$33:$ACK$33&lt;&gt;""),COLUMN(指数走势!$F$33:$ACK$33))-COLUMN(指数走势!$F$33)+1-760+26)=0,NA(),INDEX(指数走势!$F$33:$ACK$33,1,LOOKUP(2,1/(指数走势!$F$33:$ACK$33&lt;&gt;""),COLUMN(指数走势!$F$33:$ACK$33))-COLUMN(指数走势!$F$33)+1-760+26)))</f>
        <v>#N/A</v>
      </c>
      <c r="AB97" s="2" t="e">
        <f ca="1">IF(ISERROR(INDEX(指数走势!$F$33:$ACK$33,1,LOOKUP(2,1/(指数走势!$F$33:$ACK$33&lt;&gt;""),COLUMN(指数走势!$F$33:$ACK$33))-COLUMN(指数走势!$F$33)+1-760+27)),NA(),IF(INDEX(指数走势!$F$33:$ACK$33,1,LOOKUP(2,1/(指数走势!$F$33:$ACK$33&lt;&gt;""),COLUMN(指数走势!$F$33:$ACK$33))-COLUMN(指数走势!$F$33)+1-760+27)=0,NA(),INDEX(指数走势!$F$33:$ACK$33,1,LOOKUP(2,1/(指数走势!$F$33:$ACK$33&lt;&gt;""),COLUMN(指数走势!$F$33:$ACK$33))-COLUMN(指数走势!$F$33)+1-760+27)))</f>
        <v>#N/A</v>
      </c>
      <c r="AC97" s="2" t="e">
        <f ca="1">IF(ISERROR(INDEX(指数走势!$F$33:$ACK$33,1,LOOKUP(2,1/(指数走势!$F$33:$ACK$33&lt;&gt;""),COLUMN(指数走势!$F$33:$ACK$33))-COLUMN(指数走势!$F$33)+1-760+28)),NA(),IF(INDEX(指数走势!$F$33:$ACK$33,1,LOOKUP(2,1/(指数走势!$F$33:$ACK$33&lt;&gt;""),COLUMN(指数走势!$F$33:$ACK$33))-COLUMN(指数走势!$F$33)+1-760+28)=0,NA(),INDEX(指数走势!$F$33:$ACK$33,1,LOOKUP(2,1/(指数走势!$F$33:$ACK$33&lt;&gt;""),COLUMN(指数走势!$F$33:$ACK$33))-COLUMN(指数走势!$F$33)+1-760+28)))</f>
        <v>#N/A</v>
      </c>
      <c r="AD97" s="2" t="e">
        <f ca="1">IF(ISERROR(INDEX(指数走势!$F$33:$ACK$33,1,LOOKUP(2,1/(指数走势!$F$33:$ACK$33&lt;&gt;""),COLUMN(指数走势!$F$33:$ACK$33))-COLUMN(指数走势!$F$33)+1-760+29)),NA(),IF(INDEX(指数走势!$F$33:$ACK$33,1,LOOKUP(2,1/(指数走势!$F$33:$ACK$33&lt;&gt;""),COLUMN(指数走势!$F$33:$ACK$33))-COLUMN(指数走势!$F$33)+1-760+29)=0,NA(),INDEX(指数走势!$F$33:$ACK$33,1,LOOKUP(2,1/(指数走势!$F$33:$ACK$33&lt;&gt;""),COLUMN(指数走势!$F$33:$ACK$33))-COLUMN(指数走势!$F$33)+1-760+29)))</f>
        <v>#N/A</v>
      </c>
      <c r="AE97" s="2" t="e">
        <f ca="1">IF(ISERROR(INDEX(指数走势!$F$33:$ACK$33,1,LOOKUP(2,1/(指数走势!$F$33:$ACK$33&lt;&gt;""),COLUMN(指数走势!$F$33:$ACK$33))-COLUMN(指数走势!$F$33)+1-760+30)),NA(),IF(INDEX(指数走势!$F$33:$ACK$33,1,LOOKUP(2,1/(指数走势!$F$33:$ACK$33&lt;&gt;""),COLUMN(指数走势!$F$33:$ACK$33))-COLUMN(指数走势!$F$33)+1-760+30)=0,NA(),INDEX(指数走势!$F$33:$ACK$33,1,LOOKUP(2,1/(指数走势!$F$33:$ACK$33&lt;&gt;""),COLUMN(指数走势!$F$33:$ACK$33))-COLUMN(指数走势!$F$33)+1-760+30)))</f>
        <v>#N/A</v>
      </c>
      <c r="AF97" s="2" t="e">
        <f ca="1">IF(ISERROR(INDEX(指数走势!$F$33:$ACK$33,1,LOOKUP(2,1/(指数走势!$F$33:$ACK$33&lt;&gt;""),COLUMN(指数走势!$F$33:$ACK$33))-COLUMN(指数走势!$F$33)+1-760+31)),NA(),IF(INDEX(指数走势!$F$33:$ACK$33,1,LOOKUP(2,1/(指数走势!$F$33:$ACK$33&lt;&gt;""),COLUMN(指数走势!$F$33:$ACK$33))-COLUMN(指数走势!$F$33)+1-760+31)=0,NA(),INDEX(指数走势!$F$33:$ACK$33,1,LOOKUP(2,1/(指数走势!$F$33:$ACK$33&lt;&gt;""),COLUMN(指数走势!$F$33:$ACK$33))-COLUMN(指数走势!$F$33)+1-760+31)))</f>
        <v>#N/A</v>
      </c>
      <c r="AG97" s="2" t="e">
        <f ca="1">IF(ISERROR(INDEX(指数走势!$F$33:$ACK$33,1,LOOKUP(2,1/(指数走势!$F$33:$ACK$33&lt;&gt;""),COLUMN(指数走势!$F$33:$ACK$33))-COLUMN(指数走势!$F$33)+1-760+32)),NA(),IF(INDEX(指数走势!$F$33:$ACK$33,1,LOOKUP(2,1/(指数走势!$F$33:$ACK$33&lt;&gt;""),COLUMN(指数走势!$F$33:$ACK$33))-COLUMN(指数走势!$F$33)+1-760+32)=0,NA(),INDEX(指数走势!$F$33:$ACK$33,1,LOOKUP(2,1/(指数走势!$F$33:$ACK$33&lt;&gt;""),COLUMN(指数走势!$F$33:$ACK$33))-COLUMN(指数走势!$F$33)+1-760+32)))</f>
        <v>#N/A</v>
      </c>
      <c r="AH97" s="2" t="e">
        <f ca="1">IF(ISERROR(INDEX(指数走势!$F$33:$ACK$33,1,LOOKUP(2,1/(指数走势!$F$33:$ACK$33&lt;&gt;""),COLUMN(指数走势!$F$33:$ACK$33))-COLUMN(指数走势!$F$33)+1-760+33)),NA(),IF(INDEX(指数走势!$F$33:$ACK$33,1,LOOKUP(2,1/(指数走势!$F$33:$ACK$33&lt;&gt;""),COLUMN(指数走势!$F$33:$ACK$33))-COLUMN(指数走势!$F$33)+1-760+33)=0,NA(),INDEX(指数走势!$F$33:$ACK$33,1,LOOKUP(2,1/(指数走势!$F$33:$ACK$33&lt;&gt;""),COLUMN(指数走势!$F$33:$ACK$33))-COLUMN(指数走势!$F$33)+1-760+33)))</f>
        <v>#N/A</v>
      </c>
      <c r="AI97" s="2">
        <f ca="1">IF(ISERROR(INDEX(指数走势!$F$33:$ACK$33,1,LOOKUP(2,1/(指数走势!$F$33:$ACK$33&lt;&gt;""),COLUMN(指数走势!$F$33:$ACK$33))-COLUMN(指数走势!$F$33)+1-760+34)),NA(),IF(INDEX(指数走势!$F$33:$ACK$33,1,LOOKUP(2,1/(指数走势!$F$33:$ACK$33&lt;&gt;""),COLUMN(指数走势!$F$33:$ACK$33))-COLUMN(指数走势!$F$33)+1-760+34)=0,NA(),INDEX(指数走势!$F$33:$ACK$33,1,LOOKUP(2,1/(指数走势!$F$33:$ACK$33&lt;&gt;""),COLUMN(指数走势!$F$33:$ACK$33))-COLUMN(指数走势!$F$33)+1-760+34)))</f>
        <v>12.8281002044678</v>
      </c>
      <c r="AJ97" s="2">
        <f ca="1">IF(ISERROR(INDEX(指数走势!$F$33:$ACK$33,1,LOOKUP(2,1/(指数走势!$F$33:$ACK$33&lt;&gt;""),COLUMN(指数走势!$F$33:$ACK$33))-COLUMN(指数走势!$F$33)+1-760+35)),NA(),IF(INDEX(指数走势!$F$33:$ACK$33,1,LOOKUP(2,1/(指数走势!$F$33:$ACK$33&lt;&gt;""),COLUMN(指数走势!$F$33:$ACK$33))-COLUMN(指数走势!$F$33)+1-760+35)=0,NA(),INDEX(指数走势!$F$33:$ACK$33,1,LOOKUP(2,1/(指数走势!$F$33:$ACK$33&lt;&gt;""),COLUMN(指数走势!$F$33:$ACK$33))-COLUMN(指数走势!$F$33)+1-760+35)))</f>
        <v>12.9730997085571</v>
      </c>
      <c r="AK97" s="2">
        <f ca="1">IF(ISERROR(INDEX(指数走势!$F$33:$ACK$33,1,LOOKUP(2,1/(指数走势!$F$33:$ACK$33&lt;&gt;""),COLUMN(指数走势!$F$33:$ACK$33))-COLUMN(指数走势!$F$33)+1-760+36)),NA(),IF(INDEX(指数走势!$F$33:$ACK$33,1,LOOKUP(2,1/(指数走势!$F$33:$ACK$33&lt;&gt;""),COLUMN(指数走势!$F$33:$ACK$33))-COLUMN(指数走势!$F$33)+1-760+36)=0,NA(),INDEX(指数走势!$F$33:$ACK$33,1,LOOKUP(2,1/(指数走势!$F$33:$ACK$33&lt;&gt;""),COLUMN(指数走势!$F$33:$ACK$33))-COLUMN(指数走势!$F$33)+1-760+36)))</f>
        <v>12.9398002624512</v>
      </c>
      <c r="AL97" s="2">
        <f ca="1">IF(ISERROR(INDEX(指数走势!$F$33:$ACK$33,1,LOOKUP(2,1/(指数走势!$F$33:$ACK$33&lt;&gt;""),COLUMN(指数走势!$F$33:$ACK$33))-COLUMN(指数走势!$F$33)+1-760+37)),NA(),IF(INDEX(指数走势!$F$33:$ACK$33,1,LOOKUP(2,1/(指数走势!$F$33:$ACK$33&lt;&gt;""),COLUMN(指数走势!$F$33:$ACK$33))-COLUMN(指数走势!$F$33)+1-760+37)=0,NA(),INDEX(指数走势!$F$33:$ACK$33,1,LOOKUP(2,1/(指数走势!$F$33:$ACK$33&lt;&gt;""),COLUMN(指数走势!$F$33:$ACK$33))-COLUMN(指数走势!$F$33)+1-760+37)))</f>
        <v>12.9630002975464</v>
      </c>
      <c r="AM97" s="2">
        <f ca="1">IF(ISERROR(INDEX(指数走势!$F$33:$ACK$33,1,LOOKUP(2,1/(指数走势!$F$33:$ACK$33&lt;&gt;""),COLUMN(指数走势!$F$33:$ACK$33))-COLUMN(指数走势!$F$33)+1-760+38)),NA(),IF(INDEX(指数走势!$F$33:$ACK$33,1,LOOKUP(2,1/(指数走势!$F$33:$ACK$33&lt;&gt;""),COLUMN(指数走势!$F$33:$ACK$33))-COLUMN(指数走势!$F$33)+1-760+38)=0,NA(),INDEX(指数走势!$F$33:$ACK$33,1,LOOKUP(2,1/(指数走势!$F$33:$ACK$33&lt;&gt;""),COLUMN(指数走势!$F$33:$ACK$33))-COLUMN(指数走势!$F$33)+1-760+38)))</f>
        <v>13.0349998474121</v>
      </c>
      <c r="AN97" s="2">
        <f ca="1">IF(ISERROR(INDEX(指数走势!$F$33:$ACK$33,1,LOOKUP(2,1/(指数走势!$F$33:$ACK$33&lt;&gt;""),COLUMN(指数走势!$F$33:$ACK$33))-COLUMN(指数走势!$F$33)+1-760+39)),NA(),IF(INDEX(指数走势!$F$33:$ACK$33,1,LOOKUP(2,1/(指数走势!$F$33:$ACK$33&lt;&gt;""),COLUMN(指数走势!$F$33:$ACK$33))-COLUMN(指数走势!$F$33)+1-760+39)=0,NA(),INDEX(指数走势!$F$33:$ACK$33,1,LOOKUP(2,1/(指数走势!$F$33:$ACK$33&lt;&gt;""),COLUMN(指数走势!$F$33:$ACK$33))-COLUMN(指数走势!$F$33)+1-760+39)))</f>
        <v>12.930100440979</v>
      </c>
      <c r="AO97" s="2">
        <f ca="1">IF(ISERROR(INDEX(指数走势!$F$33:$ACK$33,1,LOOKUP(2,1/(指数走势!$F$33:$ACK$33&lt;&gt;""),COLUMN(指数走势!$F$33:$ACK$33))-COLUMN(指数走势!$F$33)+1-760+40)),NA(),IF(INDEX(指数走势!$F$33:$ACK$33,1,LOOKUP(2,1/(指数走势!$F$33:$ACK$33&lt;&gt;""),COLUMN(指数走势!$F$33:$ACK$33))-COLUMN(指数走势!$F$33)+1-760+40)=0,NA(),INDEX(指数走势!$F$33:$ACK$33,1,LOOKUP(2,1/(指数走势!$F$33:$ACK$33&lt;&gt;""),COLUMN(指数走势!$F$33:$ACK$33))-COLUMN(指数走势!$F$33)+1-760+40)))</f>
        <v>13.1022996902466</v>
      </c>
      <c r="AP97" s="2">
        <f ca="1">IF(ISERROR(INDEX(指数走势!$F$33:$ACK$33,1,LOOKUP(2,1/(指数走势!$F$33:$ACK$33&lt;&gt;""),COLUMN(指数走势!$F$33:$ACK$33))-COLUMN(指数走势!$F$33)+1-760+41)),NA(),IF(INDEX(指数走势!$F$33:$ACK$33,1,LOOKUP(2,1/(指数走势!$F$33:$ACK$33&lt;&gt;""),COLUMN(指数走势!$F$33:$ACK$33))-COLUMN(指数走势!$F$33)+1-760+41)=0,NA(),INDEX(指数走势!$F$33:$ACK$33,1,LOOKUP(2,1/(指数走势!$F$33:$ACK$33&lt;&gt;""),COLUMN(指数走势!$F$33:$ACK$33))-COLUMN(指数走势!$F$33)+1-760+41)))</f>
        <v>13.0938997268677</v>
      </c>
      <c r="AQ97" s="2">
        <f ca="1">IF(ISERROR(INDEX(指数走势!$F$33:$ACK$33,1,LOOKUP(2,1/(指数走势!$F$33:$ACK$33&lt;&gt;""),COLUMN(指数走势!$F$33:$ACK$33))-COLUMN(指数走势!$F$33)+1-760+42)),NA(),IF(INDEX(指数走势!$F$33:$ACK$33,1,LOOKUP(2,1/(指数走势!$F$33:$ACK$33&lt;&gt;""),COLUMN(指数走势!$F$33:$ACK$33))-COLUMN(指数走势!$F$33)+1-760+42)=0,NA(),INDEX(指数走势!$F$33:$ACK$33,1,LOOKUP(2,1/(指数走势!$F$33:$ACK$33&lt;&gt;""),COLUMN(指数走势!$F$33:$ACK$33))-COLUMN(指数走势!$F$33)+1-760+42)))</f>
        <v>12.9861001968384</v>
      </c>
      <c r="AR97" s="2">
        <f ca="1">IF(ISERROR(INDEX(指数走势!$F$33:$ACK$33,1,LOOKUP(2,1/(指数走势!$F$33:$ACK$33&lt;&gt;""),COLUMN(指数走势!$F$33:$ACK$33))-COLUMN(指数走势!$F$33)+1-760+43)),NA(),IF(INDEX(指数走势!$F$33:$ACK$33,1,LOOKUP(2,1/(指数走势!$F$33:$ACK$33&lt;&gt;""),COLUMN(指数走势!$F$33:$ACK$33))-COLUMN(指数走势!$F$33)+1-760+43)=0,NA(),INDEX(指数走势!$F$33:$ACK$33,1,LOOKUP(2,1/(指数走势!$F$33:$ACK$33&lt;&gt;""),COLUMN(指数走势!$F$33:$ACK$33))-COLUMN(指数走势!$F$33)+1-760+43)))</f>
        <v>12.9351997375488</v>
      </c>
      <c r="AS97" s="2">
        <f ca="1">IF(ISERROR(INDEX(指数走势!$F$33:$ACK$33,1,LOOKUP(2,1/(指数走势!$F$33:$ACK$33&lt;&gt;""),COLUMN(指数走势!$F$33:$ACK$33))-COLUMN(指数走势!$F$33)+1-760+44)),NA(),IF(INDEX(指数走势!$F$33:$ACK$33,1,LOOKUP(2,1/(指数走势!$F$33:$ACK$33&lt;&gt;""),COLUMN(指数走势!$F$33:$ACK$33))-COLUMN(指数走势!$F$33)+1-760+44)=0,NA(),INDEX(指数走势!$F$33:$ACK$33,1,LOOKUP(2,1/(指数走势!$F$33:$ACK$33&lt;&gt;""),COLUMN(指数走势!$F$33:$ACK$33))-COLUMN(指数走势!$F$33)+1-760+44)))</f>
        <v>12.9455995559692</v>
      </c>
      <c r="AT97" s="2">
        <f ca="1">IF(ISERROR(INDEX(指数走势!$F$33:$ACK$33,1,LOOKUP(2,1/(指数走势!$F$33:$ACK$33&lt;&gt;""),COLUMN(指数走势!$F$33:$ACK$33))-COLUMN(指数走势!$F$33)+1-760+45)),NA(),IF(INDEX(指数走势!$F$33:$ACK$33,1,LOOKUP(2,1/(指数走势!$F$33:$ACK$33&lt;&gt;""),COLUMN(指数走势!$F$33:$ACK$33))-COLUMN(指数走势!$F$33)+1-760+45)=0,NA(),INDEX(指数走势!$F$33:$ACK$33,1,LOOKUP(2,1/(指数走势!$F$33:$ACK$33&lt;&gt;""),COLUMN(指数走势!$F$33:$ACK$33))-COLUMN(指数走势!$F$33)+1-760+45)))</f>
        <v>12.831600189209</v>
      </c>
      <c r="AU97" s="2">
        <f ca="1">IF(ISERROR(INDEX(指数走势!$F$33:$ACK$33,1,LOOKUP(2,1/(指数走势!$F$33:$ACK$33&lt;&gt;""),COLUMN(指数走势!$F$33:$ACK$33))-COLUMN(指数走势!$F$33)+1-760+46)),NA(),IF(INDEX(指数走势!$F$33:$ACK$33,1,LOOKUP(2,1/(指数走势!$F$33:$ACK$33&lt;&gt;""),COLUMN(指数走势!$F$33:$ACK$33))-COLUMN(指数走势!$F$33)+1-760+46)=0,NA(),INDEX(指数走势!$F$33:$ACK$33,1,LOOKUP(2,1/(指数走势!$F$33:$ACK$33&lt;&gt;""),COLUMN(指数走势!$F$33:$ACK$33))-COLUMN(指数走势!$F$33)+1-760+46)))</f>
        <v>12.8220996856689</v>
      </c>
      <c r="AV97" s="2">
        <f ca="1">IF(ISERROR(INDEX(指数走势!$F$33:$ACK$33,1,LOOKUP(2,1/(指数走势!$F$33:$ACK$33&lt;&gt;""),COLUMN(指数走势!$F$33:$ACK$33))-COLUMN(指数走势!$F$33)+1-760+47)),NA(),IF(INDEX(指数走势!$F$33:$ACK$33,1,LOOKUP(2,1/(指数走势!$F$33:$ACK$33&lt;&gt;""),COLUMN(指数走势!$F$33:$ACK$33))-COLUMN(指数走势!$F$33)+1-760+47)=0,NA(),INDEX(指数走势!$F$33:$ACK$33,1,LOOKUP(2,1/(指数走势!$F$33:$ACK$33&lt;&gt;""),COLUMN(指数走势!$F$33:$ACK$33))-COLUMN(指数走势!$F$33)+1-760+47)))</f>
        <v>12.8197002410889</v>
      </c>
      <c r="AW97" s="2">
        <f ca="1">IF(ISERROR(INDEX(指数走势!$F$33:$ACK$33,1,LOOKUP(2,1/(指数走势!$F$33:$ACK$33&lt;&gt;""),COLUMN(指数走势!$F$33:$ACK$33))-COLUMN(指数走势!$F$33)+1-760+48)),NA(),IF(INDEX(指数走势!$F$33:$ACK$33,1,LOOKUP(2,1/(指数走势!$F$33:$ACK$33&lt;&gt;""),COLUMN(指数走势!$F$33:$ACK$33))-COLUMN(指数走势!$F$33)+1-760+48)=0,NA(),INDEX(指数走势!$F$33:$ACK$33,1,LOOKUP(2,1/(指数走势!$F$33:$ACK$33&lt;&gt;""),COLUMN(指数走势!$F$33:$ACK$33))-COLUMN(指数走势!$F$33)+1-760+48)))</f>
        <v>13.0901002883911</v>
      </c>
      <c r="AX97" s="2">
        <f ca="1">IF(ISERROR(INDEX(指数走势!$F$33:$ACK$33,1,LOOKUP(2,1/(指数走势!$F$33:$ACK$33&lt;&gt;""),COLUMN(指数走势!$F$33:$ACK$33))-COLUMN(指数走势!$F$33)+1-760+49)),NA(),IF(INDEX(指数走势!$F$33:$ACK$33,1,LOOKUP(2,1/(指数走势!$F$33:$ACK$33&lt;&gt;""),COLUMN(指数走势!$F$33:$ACK$33))-COLUMN(指数走势!$F$33)+1-760+49)=0,NA(),INDEX(指数走势!$F$33:$ACK$33,1,LOOKUP(2,1/(指数走势!$F$33:$ACK$33&lt;&gt;""),COLUMN(指数走势!$F$33:$ACK$33))-COLUMN(指数走势!$F$33)+1-760+49)))</f>
        <v>13.0335998535156</v>
      </c>
      <c r="AY97" s="2">
        <f ca="1">IF(ISERROR(INDEX(指数走势!$F$33:$ACK$33,1,LOOKUP(2,1/(指数走势!$F$33:$ACK$33&lt;&gt;""),COLUMN(指数走势!$F$33:$ACK$33))-COLUMN(指数走势!$F$33)+1-760+50)),NA(),IF(INDEX(指数走势!$F$33:$ACK$33,1,LOOKUP(2,1/(指数走势!$F$33:$ACK$33&lt;&gt;""),COLUMN(指数走势!$F$33:$ACK$33))-COLUMN(指数走势!$F$33)+1-760+50)=0,NA(),INDEX(指数走势!$F$33:$ACK$33,1,LOOKUP(2,1/(指数走势!$F$33:$ACK$33&lt;&gt;""),COLUMN(指数走势!$F$33:$ACK$33))-COLUMN(指数走势!$F$33)+1-760+50)))</f>
        <v>13.0205001831055</v>
      </c>
      <c r="AZ97" s="2">
        <f ca="1">IF(ISERROR(INDEX(指数走势!$F$33:$ACK$33,1,LOOKUP(2,1/(指数走势!$F$33:$ACK$33&lt;&gt;""),COLUMN(指数走势!$F$33:$ACK$33))-COLUMN(指数走势!$F$33)+1-760+51)),NA(),IF(INDEX(指数走势!$F$33:$ACK$33,1,LOOKUP(2,1/(指数走势!$F$33:$ACK$33&lt;&gt;""),COLUMN(指数走势!$F$33:$ACK$33))-COLUMN(指数走势!$F$33)+1-760+51)=0,NA(),INDEX(指数走势!$F$33:$ACK$33,1,LOOKUP(2,1/(指数走势!$F$33:$ACK$33&lt;&gt;""),COLUMN(指数走势!$F$33:$ACK$33))-COLUMN(指数走势!$F$33)+1-760+51)))</f>
        <v>13.2665004730225</v>
      </c>
      <c r="BA97" s="2">
        <f ca="1">IF(ISERROR(INDEX(指数走势!$F$33:$ACK$33,1,LOOKUP(2,1/(指数走势!$F$33:$ACK$33&lt;&gt;""),COLUMN(指数走势!$F$33:$ACK$33))-COLUMN(指数走势!$F$33)+1-760+52)),NA(),IF(INDEX(指数走势!$F$33:$ACK$33,1,LOOKUP(2,1/(指数走势!$F$33:$ACK$33&lt;&gt;""),COLUMN(指数走势!$F$33:$ACK$33))-COLUMN(指数走势!$F$33)+1-760+52)=0,NA(),INDEX(指数走势!$F$33:$ACK$33,1,LOOKUP(2,1/(指数走势!$F$33:$ACK$33&lt;&gt;""),COLUMN(指数走势!$F$33:$ACK$33))-COLUMN(指数走势!$F$33)+1-760+52)))</f>
        <v>13.3245000839233</v>
      </c>
      <c r="BB97" s="2">
        <f ca="1">IF(ISERROR(INDEX(指数走势!$F$33:$ACK$33,1,LOOKUP(2,1/(指数走势!$F$33:$ACK$33&lt;&gt;""),COLUMN(指数走势!$F$33:$ACK$33))-COLUMN(指数走势!$F$33)+1-760+53)),NA(),IF(INDEX(指数走势!$F$33:$ACK$33,1,LOOKUP(2,1/(指数走势!$F$33:$ACK$33&lt;&gt;""),COLUMN(指数走势!$F$33:$ACK$33))-COLUMN(指数走势!$F$33)+1-760+53)=0,NA(),INDEX(指数走势!$F$33:$ACK$33,1,LOOKUP(2,1/(指数走势!$F$33:$ACK$33&lt;&gt;""),COLUMN(指数走势!$F$33:$ACK$33))-COLUMN(指数走势!$F$33)+1-760+53)))</f>
        <v>13.3270998001099</v>
      </c>
      <c r="BC97" s="2">
        <f ca="1">IF(ISERROR(INDEX(指数走势!$F$33:$ACK$33,1,LOOKUP(2,1/(指数走势!$F$33:$ACK$33&lt;&gt;""),COLUMN(指数走势!$F$33:$ACK$33))-COLUMN(指数走势!$F$33)+1-760+54)),NA(),IF(INDEX(指数走势!$F$33:$ACK$33,1,LOOKUP(2,1/(指数走势!$F$33:$ACK$33&lt;&gt;""),COLUMN(指数走势!$F$33:$ACK$33))-COLUMN(指数走势!$F$33)+1-760+54)=0,NA(),INDEX(指数走势!$F$33:$ACK$33,1,LOOKUP(2,1/(指数走势!$F$33:$ACK$33&lt;&gt;""),COLUMN(指数走势!$F$33:$ACK$33))-COLUMN(指数走势!$F$33)+1-760+54)))</f>
        <v>13.1956996917725</v>
      </c>
      <c r="BD97" s="2">
        <f ca="1">IF(ISERROR(INDEX(指数走势!$F$33:$ACK$33,1,LOOKUP(2,1/(指数走势!$F$33:$ACK$33&lt;&gt;""),COLUMN(指数走势!$F$33:$ACK$33))-COLUMN(指数走势!$F$33)+1-760+55)),NA(),IF(INDEX(指数走势!$F$33:$ACK$33,1,LOOKUP(2,1/(指数走势!$F$33:$ACK$33&lt;&gt;""),COLUMN(指数走势!$F$33:$ACK$33))-COLUMN(指数走势!$F$33)+1-760+55)=0,NA(),INDEX(指数走势!$F$33:$ACK$33,1,LOOKUP(2,1/(指数走势!$F$33:$ACK$33&lt;&gt;""),COLUMN(指数走势!$F$33:$ACK$33))-COLUMN(指数走势!$F$33)+1-760+55)))</f>
        <v>13.2516002655029</v>
      </c>
      <c r="BE97" s="2">
        <f ca="1">IF(ISERROR(INDEX(指数走势!$F$33:$ACK$33,1,LOOKUP(2,1/(指数走势!$F$33:$ACK$33&lt;&gt;""),COLUMN(指数走势!$F$33:$ACK$33))-COLUMN(指数走势!$F$33)+1-760+56)),NA(),IF(INDEX(指数走势!$F$33:$ACK$33,1,LOOKUP(2,1/(指数走势!$F$33:$ACK$33&lt;&gt;""),COLUMN(指数走势!$F$33:$ACK$33))-COLUMN(指数走势!$F$33)+1-760+56)=0,NA(),INDEX(指数走势!$F$33:$ACK$33,1,LOOKUP(2,1/(指数走势!$F$33:$ACK$33&lt;&gt;""),COLUMN(指数走势!$F$33:$ACK$33))-COLUMN(指数走势!$F$33)+1-760+56)))</f>
        <v>13.3078002929687</v>
      </c>
      <c r="BF97" s="2">
        <f ca="1">IF(ISERROR(INDEX(指数走势!$F$33:$ACK$33,1,LOOKUP(2,1/(指数走势!$F$33:$ACK$33&lt;&gt;""),COLUMN(指数走势!$F$33:$ACK$33))-COLUMN(指数走势!$F$33)+1-760+57)),NA(),IF(INDEX(指数走势!$F$33:$ACK$33,1,LOOKUP(2,1/(指数走势!$F$33:$ACK$33&lt;&gt;""),COLUMN(指数走势!$F$33:$ACK$33))-COLUMN(指数走势!$F$33)+1-760+57)=0,NA(),INDEX(指数走势!$F$33:$ACK$33,1,LOOKUP(2,1/(指数走势!$F$33:$ACK$33&lt;&gt;""),COLUMN(指数走势!$F$33:$ACK$33))-COLUMN(指数走势!$F$33)+1-760+57)))</f>
        <v>13.2313995361328</v>
      </c>
      <c r="BG97" s="2">
        <f ca="1">IF(ISERROR(INDEX(指数走势!$F$33:$ACK$33,1,LOOKUP(2,1/(指数走势!$F$33:$ACK$33&lt;&gt;""),COLUMN(指数走势!$F$33:$ACK$33))-COLUMN(指数走势!$F$33)+1-760+58)),NA(),IF(INDEX(指数走势!$F$33:$ACK$33,1,LOOKUP(2,1/(指数走势!$F$33:$ACK$33&lt;&gt;""),COLUMN(指数走势!$F$33:$ACK$33))-COLUMN(指数走势!$F$33)+1-760+58)=0,NA(),INDEX(指数走势!$F$33:$ACK$33,1,LOOKUP(2,1/(指数走势!$F$33:$ACK$33&lt;&gt;""),COLUMN(指数走势!$F$33:$ACK$33))-COLUMN(指数走势!$F$33)+1-760+58)))</f>
        <v>13.2037000656128</v>
      </c>
      <c r="BH97" s="2">
        <f ca="1">IF(ISERROR(INDEX(指数走势!$F$33:$ACK$33,1,LOOKUP(2,1/(指数走势!$F$33:$ACK$33&lt;&gt;""),COLUMN(指数走势!$F$33:$ACK$33))-COLUMN(指数走势!$F$33)+1-760+59)),NA(),IF(INDEX(指数走势!$F$33:$ACK$33,1,LOOKUP(2,1/(指数走势!$F$33:$ACK$33&lt;&gt;""),COLUMN(指数走势!$F$33:$ACK$33))-COLUMN(指数走势!$F$33)+1-760+59)=0,NA(),INDEX(指数走势!$F$33:$ACK$33,1,LOOKUP(2,1/(指数走势!$F$33:$ACK$33&lt;&gt;""),COLUMN(指数走势!$F$33:$ACK$33))-COLUMN(指数走势!$F$33)+1-760+59)))</f>
        <v>13.140700340271</v>
      </c>
      <c r="BI97">
        <f ca="1">IF(ISERROR(INDEX(指数走势!$F$33:$ACK$33,1,LOOKUP(2,1/(指数走势!$F$33:$ACK$33&lt;&gt;""),COLUMN(指数走势!$F$33:$ACK$33))-COLUMN(指数走势!$F$33)+1-760+60)),NA(),IF(INDEX(指数走势!$F$33:$ACK$33,1,LOOKUP(2,1/(指数走势!$F$33:$ACK$33&lt;&gt;""),COLUMN(指数走势!$F$33:$ACK$33))-COLUMN(指数走势!$F$33)+1-760+60)=0,NA(),INDEX(指数走势!$F$33:$ACK$33,1,LOOKUP(2,1/(指数走势!$F$33:$ACK$33&lt;&gt;""),COLUMN(指数走势!$F$33:$ACK$33))-COLUMN(指数走势!$F$33)+1-760+60)))</f>
        <v>13.2014999389648</v>
      </c>
      <c r="BJ97">
        <f ca="1">IF(ISERROR(INDEX(指数走势!$F$33:$ACK$33,1,LOOKUP(2,1/(指数走势!$F$33:$ACK$33&lt;&gt;""),COLUMN(指数走势!$F$33:$ACK$33))-COLUMN(指数走势!$F$33)+1-760+61)),NA(),IF(INDEX(指数走势!$F$33:$ACK$33,1,LOOKUP(2,1/(指数走势!$F$33:$ACK$33&lt;&gt;""),COLUMN(指数走势!$F$33:$ACK$33))-COLUMN(指数走势!$F$33)+1-760+61)=0,NA(),INDEX(指数走势!$F$33:$ACK$33,1,LOOKUP(2,1/(指数走势!$F$33:$ACK$33&lt;&gt;""),COLUMN(指数走势!$F$33:$ACK$33))-COLUMN(指数走势!$F$33)+1-760+61)))</f>
        <v>12.9397001266479</v>
      </c>
      <c r="BK97">
        <f ca="1">IF(ISERROR(INDEX(指数走势!$F$33:$ACK$33,1,LOOKUP(2,1/(指数走势!$F$33:$ACK$33&lt;&gt;""),COLUMN(指数走势!$F$33:$ACK$33))-COLUMN(指数走势!$F$33)+1-760+62)),NA(),IF(INDEX(指数走势!$F$33:$ACK$33,1,LOOKUP(2,1/(指数走势!$F$33:$ACK$33&lt;&gt;""),COLUMN(指数走势!$F$33:$ACK$33))-COLUMN(指数走势!$F$33)+1-760+62)=0,NA(),INDEX(指数走势!$F$33:$ACK$33,1,LOOKUP(2,1/(指数走势!$F$33:$ACK$33&lt;&gt;""),COLUMN(指数走势!$F$33:$ACK$33))-COLUMN(指数走势!$F$33)+1-760+62)))</f>
        <v>12.9306001663208</v>
      </c>
      <c r="BL97">
        <f ca="1">IF(ISERROR(INDEX(指数走势!$F$33:$ACK$33,1,LOOKUP(2,1/(指数走势!$F$33:$ACK$33&lt;&gt;""),COLUMN(指数走势!$F$33:$ACK$33))-COLUMN(指数走势!$F$33)+1-760+63)),NA(),IF(INDEX(指数走势!$F$33:$ACK$33,1,LOOKUP(2,1/(指数走势!$F$33:$ACK$33&lt;&gt;""),COLUMN(指数走势!$F$33:$ACK$33))-COLUMN(指数走势!$F$33)+1-760+63)=0,NA(),INDEX(指数走势!$F$33:$ACK$33,1,LOOKUP(2,1/(指数走势!$F$33:$ACK$33&lt;&gt;""),COLUMN(指数走势!$F$33:$ACK$33))-COLUMN(指数走势!$F$33)+1-760+63)))</f>
        <v>12.9419002532959</v>
      </c>
      <c r="BM97">
        <f ca="1">IF(ISERROR(INDEX(指数走势!$F$33:$ACK$33,1,LOOKUP(2,1/(指数走势!$F$33:$ACK$33&lt;&gt;""),COLUMN(指数走势!$F$33:$ACK$33))-COLUMN(指数走势!$F$33)+1-760+64)),NA(),IF(INDEX(指数走势!$F$33:$ACK$33,1,LOOKUP(2,1/(指数走势!$F$33:$ACK$33&lt;&gt;""),COLUMN(指数走势!$F$33:$ACK$33))-COLUMN(指数走势!$F$33)+1-760+64)=0,NA(),INDEX(指数走势!$F$33:$ACK$33,1,LOOKUP(2,1/(指数走势!$F$33:$ACK$33&lt;&gt;""),COLUMN(指数走势!$F$33:$ACK$33))-COLUMN(指数走势!$F$33)+1-760+64)))</f>
        <v>12.8281002044678</v>
      </c>
      <c r="BN97">
        <f ca="1">IF(ISERROR(INDEX(指数走势!$F$33:$ACK$33,1,LOOKUP(2,1/(指数走势!$F$33:$ACK$33&lt;&gt;""),COLUMN(指数走势!$F$33:$ACK$33))-COLUMN(指数走势!$F$33)+1-760+65)),NA(),IF(INDEX(指数走势!$F$33:$ACK$33,1,LOOKUP(2,1/(指数走势!$F$33:$ACK$33&lt;&gt;""),COLUMN(指数走势!$F$33:$ACK$33))-COLUMN(指数走势!$F$33)+1-760+65)=0,NA(),INDEX(指数走势!$F$33:$ACK$33,1,LOOKUP(2,1/(指数走势!$F$33:$ACK$33&lt;&gt;""),COLUMN(指数走势!$F$33:$ACK$33))-COLUMN(指数走势!$F$33)+1-760+65)))</f>
        <v>12.8727998733521</v>
      </c>
      <c r="BO97">
        <f ca="1">IF(ISERROR(INDEX(指数走势!$F$33:$ACK$33,1,LOOKUP(2,1/(指数走势!$F$33:$ACK$33&lt;&gt;""),COLUMN(指数走势!$F$33:$ACK$33))-COLUMN(指数走势!$F$33)+1-760+66)),NA(),IF(INDEX(指数走势!$F$33:$ACK$33,1,LOOKUP(2,1/(指数走势!$F$33:$ACK$33&lt;&gt;""),COLUMN(指数走势!$F$33:$ACK$33))-COLUMN(指数走势!$F$33)+1-760+66)=0,NA(),INDEX(指数走势!$F$33:$ACK$33,1,LOOKUP(2,1/(指数走势!$F$33:$ACK$33&lt;&gt;""),COLUMN(指数走势!$F$33:$ACK$33))-COLUMN(指数走势!$F$33)+1-760+66)))</f>
        <v>12.7931995391846</v>
      </c>
      <c r="BP97">
        <f ca="1">IF(ISERROR(INDEX(指数走势!$F$33:$ACK$33,1,LOOKUP(2,1/(指数走势!$F$33:$ACK$33&lt;&gt;""),COLUMN(指数走势!$F$33:$ACK$33))-COLUMN(指数走势!$F$33)+1-760+67)),NA(),IF(INDEX(指数走势!$F$33:$ACK$33,1,LOOKUP(2,1/(指数走势!$F$33:$ACK$33&lt;&gt;""),COLUMN(指数走势!$F$33:$ACK$33))-COLUMN(指数走势!$F$33)+1-760+67)=0,NA(),INDEX(指数走势!$F$33:$ACK$33,1,LOOKUP(2,1/(指数走势!$F$33:$ACK$33&lt;&gt;""),COLUMN(指数走势!$F$33:$ACK$33))-COLUMN(指数走势!$F$33)+1-760+67)))</f>
        <v>12.6614999771118</v>
      </c>
      <c r="BQ97">
        <f ca="1">IF(ISERROR(INDEX(指数走势!$F$33:$ACK$33,1,LOOKUP(2,1/(指数走势!$F$33:$ACK$33&lt;&gt;""),COLUMN(指数走势!$F$33:$ACK$33))-COLUMN(指数走势!$F$33)+1-760+68)),NA(),IF(INDEX(指数走势!$F$33:$ACK$33,1,LOOKUP(2,1/(指数走势!$F$33:$ACK$33&lt;&gt;""),COLUMN(指数走势!$F$33:$ACK$33))-COLUMN(指数走势!$F$33)+1-760+68)=0,NA(),INDEX(指数走势!$F$33:$ACK$33,1,LOOKUP(2,1/(指数走势!$F$33:$ACK$33&lt;&gt;""),COLUMN(指数走势!$F$33:$ACK$33))-COLUMN(指数走势!$F$33)+1-760+68)))</f>
        <v>12.8309001922607</v>
      </c>
      <c r="BR97">
        <f ca="1">IF(ISERROR(INDEX(指数走势!$F$33:$ACK$33,1,LOOKUP(2,1/(指数走势!$F$33:$ACK$33&lt;&gt;""),COLUMN(指数走势!$F$33:$ACK$33))-COLUMN(指数走势!$F$33)+1-760+69)),NA(),IF(INDEX(指数走势!$F$33:$ACK$33,1,LOOKUP(2,1/(指数走势!$F$33:$ACK$33&lt;&gt;""),COLUMN(指数走势!$F$33:$ACK$33))-COLUMN(指数走势!$F$33)+1-760+69)=0,NA(),INDEX(指数走势!$F$33:$ACK$33,1,LOOKUP(2,1/(指数走势!$F$33:$ACK$33&lt;&gt;""),COLUMN(指数走势!$F$33:$ACK$33))-COLUMN(指数走势!$F$33)+1-760+69)))</f>
        <v>12.6784000396729</v>
      </c>
      <c r="BS97">
        <f ca="1">IF(ISERROR(INDEX(指数走势!$F$33:$ACK$33,1,LOOKUP(2,1/(指数走势!$F$33:$ACK$33&lt;&gt;""),COLUMN(指数走势!$F$33:$ACK$33))-COLUMN(指数走势!$F$33)+1-760+70)),NA(),IF(INDEX(指数走势!$F$33:$ACK$33,1,LOOKUP(2,1/(指数走势!$F$33:$ACK$33&lt;&gt;""),COLUMN(指数走势!$F$33:$ACK$33))-COLUMN(指数走势!$F$33)+1-760+70)=0,NA(),INDEX(指数走势!$F$33:$ACK$33,1,LOOKUP(2,1/(指数走势!$F$33:$ACK$33&lt;&gt;""),COLUMN(指数走势!$F$33:$ACK$33))-COLUMN(指数走势!$F$33)+1-760+70)))</f>
        <v>12.694899559021</v>
      </c>
      <c r="BT97">
        <f ca="1">IF(ISERROR(INDEX(指数走势!$F$33:$ACK$33,1,LOOKUP(2,1/(指数走势!$F$33:$ACK$33&lt;&gt;""),COLUMN(指数走势!$F$33:$ACK$33))-COLUMN(指数走势!$F$33)+1-760+71)),NA(),IF(INDEX(指数走势!$F$33:$ACK$33,1,LOOKUP(2,1/(指数走势!$F$33:$ACK$33&lt;&gt;""),COLUMN(指数走势!$F$33:$ACK$33))-COLUMN(指数走势!$F$33)+1-760+71)=0,NA(),INDEX(指数走势!$F$33:$ACK$33,1,LOOKUP(2,1/(指数走势!$F$33:$ACK$33&lt;&gt;""),COLUMN(指数走势!$F$33:$ACK$33))-COLUMN(指数走势!$F$33)+1-760+71)))</f>
        <v>12.6393995285034</v>
      </c>
      <c r="BU97">
        <f ca="1">IF(ISERROR(INDEX(指数走势!$F$33:$ACK$33,1,LOOKUP(2,1/(指数走势!$F$33:$ACK$33&lt;&gt;""),COLUMN(指数走势!$F$33:$ACK$33))-COLUMN(指数走势!$F$33)+1-760+72)),NA(),IF(INDEX(指数走势!$F$33:$ACK$33,1,LOOKUP(2,1/(指数走势!$F$33:$ACK$33&lt;&gt;""),COLUMN(指数走势!$F$33:$ACK$33))-COLUMN(指数走势!$F$33)+1-760+72)=0,NA(),INDEX(指数走势!$F$33:$ACK$33,1,LOOKUP(2,1/(指数走势!$F$33:$ACK$33&lt;&gt;""),COLUMN(指数走势!$F$33:$ACK$33))-COLUMN(指数走势!$F$33)+1-760+72)))</f>
        <v>12.8765001296997</v>
      </c>
      <c r="BV97">
        <f ca="1">IF(ISERROR(INDEX(指数走势!$F$33:$ACK$33,1,LOOKUP(2,1/(指数走势!$F$33:$ACK$33&lt;&gt;""),COLUMN(指数走势!$F$33:$ACK$33))-COLUMN(指数走势!$F$33)+1-760+73)),NA(),IF(INDEX(指数走势!$F$33:$ACK$33,1,LOOKUP(2,1/(指数走势!$F$33:$ACK$33&lt;&gt;""),COLUMN(指数走势!$F$33:$ACK$33))-COLUMN(指数走势!$F$33)+1-760+73)=0,NA(),INDEX(指数走势!$F$33:$ACK$33,1,LOOKUP(2,1/(指数走势!$F$33:$ACK$33&lt;&gt;""),COLUMN(指数走势!$F$33:$ACK$33))-COLUMN(指数走势!$F$33)+1-760+73)))</f>
        <v>13.002799987793</v>
      </c>
      <c r="BW97">
        <f ca="1">IF(ISERROR(INDEX(指数走势!$F$33:$ACK$33,1,LOOKUP(2,1/(指数走势!$F$33:$ACK$33&lt;&gt;""),COLUMN(指数走势!$F$33:$ACK$33))-COLUMN(指数走势!$F$33)+1-760+74)),NA(),IF(INDEX(指数走势!$F$33:$ACK$33,1,LOOKUP(2,1/(指数走势!$F$33:$ACK$33&lt;&gt;""),COLUMN(指数走势!$F$33:$ACK$33))-COLUMN(指数走势!$F$33)+1-760+74)=0,NA(),INDEX(指数走势!$F$33:$ACK$33,1,LOOKUP(2,1/(指数走势!$F$33:$ACK$33&lt;&gt;""),COLUMN(指数走势!$F$33:$ACK$33))-COLUMN(指数走势!$F$33)+1-760+74)))</f>
        <v>13.1003999710083</v>
      </c>
      <c r="BX97">
        <f ca="1">IF(ISERROR(INDEX(指数走势!$F$33:$ACK$33,1,LOOKUP(2,1/(指数走势!$F$33:$ACK$33&lt;&gt;""),COLUMN(指数走势!$F$33:$ACK$33))-COLUMN(指数走势!$F$33)+1-760+75)),NA(),IF(INDEX(指数走势!$F$33:$ACK$33,1,LOOKUP(2,1/(指数走势!$F$33:$ACK$33&lt;&gt;""),COLUMN(指数走势!$F$33:$ACK$33))-COLUMN(指数走势!$F$33)+1-760+75)=0,NA(),INDEX(指数走势!$F$33:$ACK$33,1,LOOKUP(2,1/(指数走势!$F$33:$ACK$33&lt;&gt;""),COLUMN(指数走势!$F$33:$ACK$33))-COLUMN(指数走势!$F$33)+1-760+75)))</f>
        <v>13.0496997833252</v>
      </c>
      <c r="BY97">
        <f ca="1">IF(ISERROR(INDEX(指数走势!$F$33:$ACK$33,1,LOOKUP(2,1/(指数走势!$F$33:$ACK$33&lt;&gt;""),COLUMN(指数走势!$F$33:$ACK$33))-COLUMN(指数走势!$F$33)+1-760+76)),NA(),IF(INDEX(指数走势!$F$33:$ACK$33,1,LOOKUP(2,1/(指数走势!$F$33:$ACK$33&lt;&gt;""),COLUMN(指数走势!$F$33:$ACK$33))-COLUMN(指数走势!$F$33)+1-760+76)=0,NA(),INDEX(指数走势!$F$33:$ACK$33,1,LOOKUP(2,1/(指数走势!$F$33:$ACK$33&lt;&gt;""),COLUMN(指数走势!$F$33:$ACK$33))-COLUMN(指数走势!$F$33)+1-760+76)))</f>
        <v>13.0909996032715</v>
      </c>
      <c r="BZ97">
        <f ca="1">IF(ISERROR(INDEX(指数走势!$F$33:$ACK$33,1,LOOKUP(2,1/(指数走势!$F$33:$ACK$33&lt;&gt;""),COLUMN(指数走势!$F$33:$ACK$33))-COLUMN(指数走势!$F$33)+1-760+77)),NA(),IF(INDEX(指数走势!$F$33:$ACK$33,1,LOOKUP(2,1/(指数走势!$F$33:$ACK$33&lt;&gt;""),COLUMN(指数走势!$F$33:$ACK$33))-COLUMN(指数走势!$F$33)+1-760+77)=0,NA(),INDEX(指数走势!$F$33:$ACK$33,1,LOOKUP(2,1/(指数走势!$F$33:$ACK$33&lt;&gt;""),COLUMN(指数走势!$F$33:$ACK$33))-COLUMN(指数走势!$F$33)+1-760+77)))</f>
        <v>13.2812995910645</v>
      </c>
      <c r="CA97">
        <f ca="1">IF(ISERROR(INDEX(指数走势!$F$33:$ACK$33,1,LOOKUP(2,1/(指数走势!$F$33:$ACK$33&lt;&gt;""),COLUMN(指数走势!$F$33:$ACK$33))-COLUMN(指数走势!$F$33)+1-760+78)),NA(),IF(INDEX(指数走势!$F$33:$ACK$33,1,LOOKUP(2,1/(指数走势!$F$33:$ACK$33&lt;&gt;""),COLUMN(指数走势!$F$33:$ACK$33))-COLUMN(指数走势!$F$33)+1-760+78)=0,NA(),INDEX(指数走势!$F$33:$ACK$33,1,LOOKUP(2,1/(指数走势!$F$33:$ACK$33&lt;&gt;""),COLUMN(指数走势!$F$33:$ACK$33))-COLUMN(指数走势!$F$33)+1-760+78)))</f>
        <v>13.1829996109009</v>
      </c>
      <c r="CB97">
        <f ca="1">IF(ISERROR(INDEX(指数走势!$F$33:$ACK$33,1,LOOKUP(2,1/(指数走势!$F$33:$ACK$33&lt;&gt;""),COLUMN(指数走势!$F$33:$ACK$33))-COLUMN(指数走势!$F$33)+1-760+79)),NA(),IF(INDEX(指数走势!$F$33:$ACK$33,1,LOOKUP(2,1/(指数走势!$F$33:$ACK$33&lt;&gt;""),COLUMN(指数走势!$F$33:$ACK$33))-COLUMN(指数走势!$F$33)+1-760+79)=0,NA(),INDEX(指数走势!$F$33:$ACK$33,1,LOOKUP(2,1/(指数走势!$F$33:$ACK$33&lt;&gt;""),COLUMN(指数走势!$F$33:$ACK$33))-COLUMN(指数走势!$F$33)+1-760+79)))</f>
        <v>13.1955995559692</v>
      </c>
      <c r="CC97">
        <f ca="1">IF(ISERROR(INDEX(指数走势!$F$33:$ACK$33,1,LOOKUP(2,1/(指数走势!$F$33:$ACK$33&lt;&gt;""),COLUMN(指数走势!$F$33:$ACK$33))-COLUMN(指数走势!$F$33)+1-760+80)),NA(),IF(INDEX(指数走势!$F$33:$ACK$33,1,LOOKUP(2,1/(指数走势!$F$33:$ACK$33&lt;&gt;""),COLUMN(指数走势!$F$33:$ACK$33))-COLUMN(指数走势!$F$33)+1-760+80)=0,NA(),INDEX(指数走势!$F$33:$ACK$33,1,LOOKUP(2,1/(指数走势!$F$33:$ACK$33&lt;&gt;""),COLUMN(指数走势!$F$33:$ACK$33))-COLUMN(指数走势!$F$33)+1-760+80)))</f>
        <v>13.0604000091553</v>
      </c>
      <c r="CD97">
        <f ca="1">IF(ISERROR(INDEX(指数走势!$F$33:$ACK$33,1,LOOKUP(2,1/(指数走势!$F$33:$ACK$33&lt;&gt;""),COLUMN(指数走势!$F$33:$ACK$33))-COLUMN(指数走势!$F$33)+1-760+81)),NA(),IF(INDEX(指数走势!$F$33:$ACK$33,1,LOOKUP(2,1/(指数走势!$F$33:$ACK$33&lt;&gt;""),COLUMN(指数走势!$F$33:$ACK$33))-COLUMN(指数走势!$F$33)+1-760+81)=0,NA(),INDEX(指数走势!$F$33:$ACK$33,1,LOOKUP(2,1/(指数走势!$F$33:$ACK$33&lt;&gt;""),COLUMN(指数走势!$F$33:$ACK$33))-COLUMN(指数走势!$F$33)+1-760+81)))</f>
        <v>13.0425996780396</v>
      </c>
      <c r="CE97">
        <f ca="1">IF(ISERROR(INDEX(指数走势!$F$33:$ACK$33,1,LOOKUP(2,1/(指数走势!$F$33:$ACK$33&lt;&gt;""),COLUMN(指数走势!$F$33:$ACK$33))-COLUMN(指数走势!$F$33)+1-760+82)),NA(),IF(INDEX(指数走势!$F$33:$ACK$33,1,LOOKUP(2,1/(指数走势!$F$33:$ACK$33&lt;&gt;""),COLUMN(指数走势!$F$33:$ACK$33))-COLUMN(指数走势!$F$33)+1-760+82)=0,NA(),INDEX(指数走势!$F$33:$ACK$33,1,LOOKUP(2,1/(指数走势!$F$33:$ACK$33&lt;&gt;""),COLUMN(指数走势!$F$33:$ACK$33))-COLUMN(指数走势!$F$33)+1-760+82)))</f>
        <v>13.1482000350952</v>
      </c>
      <c r="CF97">
        <f ca="1">IF(ISERROR(INDEX(指数走势!$F$33:$ACK$33,1,LOOKUP(2,1/(指数走势!$F$33:$ACK$33&lt;&gt;""),COLUMN(指数走势!$F$33:$ACK$33))-COLUMN(指数走势!$F$33)+1-760+83)),NA(),IF(INDEX(指数走势!$F$33:$ACK$33,1,LOOKUP(2,1/(指数走势!$F$33:$ACK$33&lt;&gt;""),COLUMN(指数走势!$F$33:$ACK$33))-COLUMN(指数走势!$F$33)+1-760+83)=0,NA(),INDEX(指数走势!$F$33:$ACK$33,1,LOOKUP(2,1/(指数走势!$F$33:$ACK$33&lt;&gt;""),COLUMN(指数走势!$F$33:$ACK$33))-COLUMN(指数走势!$F$33)+1-760+83)))</f>
        <v>13.1267004013062</v>
      </c>
      <c r="CG97">
        <f ca="1">IF(ISERROR(INDEX(指数走势!$F$33:$ACK$33,1,LOOKUP(2,1/(指数走势!$F$33:$ACK$33&lt;&gt;""),COLUMN(指数走势!$F$33:$ACK$33))-COLUMN(指数走势!$F$33)+1-760+84)),NA(),IF(INDEX(指数走势!$F$33:$ACK$33,1,LOOKUP(2,1/(指数走势!$F$33:$ACK$33&lt;&gt;""),COLUMN(指数走势!$F$33:$ACK$33))-COLUMN(指数走势!$F$33)+1-760+84)=0,NA(),INDEX(指数走势!$F$33:$ACK$33,1,LOOKUP(2,1/(指数走势!$F$33:$ACK$33&lt;&gt;""),COLUMN(指数走势!$F$33:$ACK$33))-COLUMN(指数走势!$F$33)+1-760+84)))</f>
        <v>13.0820999145508</v>
      </c>
      <c r="CH97">
        <f ca="1">IF(ISERROR(INDEX(指数走势!$F$33:$ACK$33,1,LOOKUP(2,1/(指数走势!$F$33:$ACK$33&lt;&gt;""),COLUMN(指数走势!$F$33:$ACK$33))-COLUMN(指数走势!$F$33)+1-760+85)),NA(),IF(INDEX(指数走势!$F$33:$ACK$33,1,LOOKUP(2,1/(指数走势!$F$33:$ACK$33&lt;&gt;""),COLUMN(指数走势!$F$33:$ACK$33))-COLUMN(指数走势!$F$33)+1-760+85)=0,NA(),INDEX(指数走势!$F$33:$ACK$33,1,LOOKUP(2,1/(指数走势!$F$33:$ACK$33&lt;&gt;""),COLUMN(指数走势!$F$33:$ACK$33))-COLUMN(指数走势!$F$33)+1-760+85)))</f>
        <v>13.1211996078491</v>
      </c>
      <c r="CI97">
        <f ca="1">IF(ISERROR(INDEX(指数走势!$F$33:$ACK$33,1,LOOKUP(2,1/(指数走势!$F$33:$ACK$33&lt;&gt;""),COLUMN(指数走势!$F$33:$ACK$33))-COLUMN(指数走势!$F$33)+1-760+86)),NA(),IF(INDEX(指数走势!$F$33:$ACK$33,1,LOOKUP(2,1/(指数走势!$F$33:$ACK$33&lt;&gt;""),COLUMN(指数走势!$F$33:$ACK$33))-COLUMN(指数走势!$F$33)+1-760+86)=0,NA(),INDEX(指数走势!$F$33:$ACK$33,1,LOOKUP(2,1/(指数走势!$F$33:$ACK$33&lt;&gt;""),COLUMN(指数走势!$F$33:$ACK$33))-COLUMN(指数走势!$F$33)+1-760+86)))</f>
        <v>13.0894002914429</v>
      </c>
      <c r="CJ97">
        <f ca="1">IF(ISERROR(INDEX(指数走势!$F$33:$ACK$33,1,LOOKUP(2,1/(指数走势!$F$33:$ACK$33&lt;&gt;""),COLUMN(指数走势!$F$33:$ACK$33))-COLUMN(指数走势!$F$33)+1-760+87)),NA(),IF(INDEX(指数走势!$F$33:$ACK$33,1,LOOKUP(2,1/(指数走势!$F$33:$ACK$33&lt;&gt;""),COLUMN(指数走势!$F$33:$ACK$33))-COLUMN(指数走势!$F$33)+1-760+87)=0,NA(),INDEX(指数走势!$F$33:$ACK$33,1,LOOKUP(2,1/(指数走势!$F$33:$ACK$33&lt;&gt;""),COLUMN(指数走势!$F$33:$ACK$33))-COLUMN(指数走势!$F$33)+1-760+87)))</f>
        <v>13.1070003509521</v>
      </c>
      <c r="CK97">
        <f ca="1">IF(ISERROR(INDEX(指数走势!$F$33:$ACK$33,1,LOOKUP(2,1/(指数走势!$F$33:$ACK$33&lt;&gt;""),COLUMN(指数走势!$F$33:$ACK$33))-COLUMN(指数走势!$F$33)+1-760+88)),NA(),IF(INDEX(指数走势!$F$33:$ACK$33,1,LOOKUP(2,1/(指数走势!$F$33:$ACK$33&lt;&gt;""),COLUMN(指数走势!$F$33:$ACK$33))-COLUMN(指数走势!$F$33)+1-760+88)=0,NA(),INDEX(指数走势!$F$33:$ACK$33,1,LOOKUP(2,1/(指数走势!$F$33:$ACK$33&lt;&gt;""),COLUMN(指数走势!$F$33:$ACK$33))-COLUMN(指数走势!$F$33)+1-760+88)))</f>
        <v>13.1224002838135</v>
      </c>
      <c r="CL97">
        <f ca="1">IF(ISERROR(INDEX(指数走势!$F$33:$ACK$33,1,LOOKUP(2,1/(指数走势!$F$33:$ACK$33&lt;&gt;""),COLUMN(指数走势!$F$33:$ACK$33))-COLUMN(指数走势!$F$33)+1-760+89)),NA(),IF(INDEX(指数走势!$F$33:$ACK$33,1,LOOKUP(2,1/(指数走势!$F$33:$ACK$33&lt;&gt;""),COLUMN(指数走势!$F$33:$ACK$33))-COLUMN(指数走势!$F$33)+1-760+89)=0,NA(),INDEX(指数走势!$F$33:$ACK$33,1,LOOKUP(2,1/(指数走势!$F$33:$ACK$33&lt;&gt;""),COLUMN(指数走势!$F$33:$ACK$33))-COLUMN(指数走势!$F$33)+1-760+89)))</f>
        <v>13.0640001296997</v>
      </c>
      <c r="CM97">
        <f ca="1">IF(ISERROR(INDEX(指数走势!$F$33:$ACK$33,1,LOOKUP(2,1/(指数走势!$F$33:$ACK$33&lt;&gt;""),COLUMN(指数走势!$F$33:$ACK$33))-COLUMN(指数走势!$F$33)+1-760+90)),NA(),IF(INDEX(指数走势!$F$33:$ACK$33,1,LOOKUP(2,1/(指数走势!$F$33:$ACK$33&lt;&gt;""),COLUMN(指数走势!$F$33:$ACK$33))-COLUMN(指数走势!$F$33)+1-760+90)=0,NA(),INDEX(指数走势!$F$33:$ACK$33,1,LOOKUP(2,1/(指数走势!$F$33:$ACK$33&lt;&gt;""),COLUMN(指数走势!$F$33:$ACK$33))-COLUMN(指数走势!$F$33)+1-760+90)))</f>
        <v>12.981499671936</v>
      </c>
      <c r="CN97">
        <f ca="1">IF(ISERROR(INDEX(指数走势!$F$33:$ACK$33,1,LOOKUP(2,1/(指数走势!$F$33:$ACK$33&lt;&gt;""),COLUMN(指数走势!$F$33:$ACK$33))-COLUMN(指数走势!$F$33)+1-760+91)),NA(),IF(INDEX(指数走势!$F$33:$ACK$33,1,LOOKUP(2,1/(指数走势!$F$33:$ACK$33&lt;&gt;""),COLUMN(指数走势!$F$33:$ACK$33))-COLUMN(指数走势!$F$33)+1-760+91)=0,NA(),INDEX(指数走势!$F$33:$ACK$33,1,LOOKUP(2,1/(指数走势!$F$33:$ACK$33&lt;&gt;""),COLUMN(指数走势!$F$33:$ACK$33))-COLUMN(指数走势!$F$33)+1-760+91)))</f>
        <v>13.1632995605469</v>
      </c>
      <c r="CO97">
        <f ca="1">IF(ISERROR(INDEX(指数走势!$F$33:$ACK$33,1,LOOKUP(2,1/(指数走势!$F$33:$ACK$33&lt;&gt;""),COLUMN(指数走势!$F$33:$ACK$33))-COLUMN(指数走势!$F$33)+1-760+92)),NA(),IF(INDEX(指数走势!$F$33:$ACK$33,1,LOOKUP(2,1/(指数走势!$F$33:$ACK$33&lt;&gt;""),COLUMN(指数走势!$F$33:$ACK$33))-COLUMN(指数走势!$F$33)+1-760+92)=0,NA(),INDEX(指数走势!$F$33:$ACK$33,1,LOOKUP(2,1/(指数走势!$F$33:$ACK$33&lt;&gt;""),COLUMN(指数走势!$F$33:$ACK$33))-COLUMN(指数走势!$F$33)+1-760+92)))</f>
        <v>13.0958003997803</v>
      </c>
      <c r="CP97">
        <f ca="1">IF(ISERROR(INDEX(指数走势!$F$33:$ACK$33,1,LOOKUP(2,1/(指数走势!$F$33:$ACK$33&lt;&gt;""),COLUMN(指数走势!$F$33:$ACK$33))-COLUMN(指数走势!$F$33)+1-760+93)),NA(),IF(INDEX(指数走势!$F$33:$ACK$33,1,LOOKUP(2,1/(指数走势!$F$33:$ACK$33&lt;&gt;""),COLUMN(指数走势!$F$33:$ACK$33))-COLUMN(指数走势!$F$33)+1-760+93)=0,NA(),INDEX(指数走势!$F$33:$ACK$33,1,LOOKUP(2,1/(指数走势!$F$33:$ACK$33&lt;&gt;""),COLUMN(指数走势!$F$33:$ACK$33))-COLUMN(指数走势!$F$33)+1-760+93)))</f>
        <v>13.0411996841431</v>
      </c>
      <c r="CQ97">
        <f ca="1">IF(ISERROR(INDEX(指数走势!$F$33:$ACK$33,1,LOOKUP(2,1/(指数走势!$F$33:$ACK$33&lt;&gt;""),COLUMN(指数走势!$F$33:$ACK$33))-COLUMN(指数走势!$F$33)+1-760+94)),NA(),IF(INDEX(指数走势!$F$33:$ACK$33,1,LOOKUP(2,1/(指数走势!$F$33:$ACK$33&lt;&gt;""),COLUMN(指数走势!$F$33:$ACK$33))-COLUMN(指数走势!$F$33)+1-760+94)=0,NA(),INDEX(指数走势!$F$33:$ACK$33,1,LOOKUP(2,1/(指数走势!$F$33:$ACK$33&lt;&gt;""),COLUMN(指数走势!$F$33:$ACK$33))-COLUMN(指数走势!$F$33)+1-760+94)))</f>
        <v>13.0572004318237</v>
      </c>
      <c r="CR97">
        <f ca="1">IF(ISERROR(INDEX(指数走势!$F$33:$ACK$33,1,LOOKUP(2,1/(指数走势!$F$33:$ACK$33&lt;&gt;""),COLUMN(指数走势!$F$33:$ACK$33))-COLUMN(指数走势!$F$33)+1-760+95)),NA(),IF(INDEX(指数走势!$F$33:$ACK$33,1,LOOKUP(2,1/(指数走势!$F$33:$ACK$33&lt;&gt;""),COLUMN(指数走势!$F$33:$ACK$33))-COLUMN(指数走势!$F$33)+1-760+95)=0,NA(),INDEX(指数走势!$F$33:$ACK$33,1,LOOKUP(2,1/(指数走势!$F$33:$ACK$33&lt;&gt;""),COLUMN(指数走势!$F$33:$ACK$33))-COLUMN(指数走势!$F$33)+1-760+95)))</f>
        <v>13.0745000839233</v>
      </c>
      <c r="CS97">
        <f ca="1">IF(ISERROR(INDEX(指数走势!$F$33:$ACK$33,1,LOOKUP(2,1/(指数走势!$F$33:$ACK$33&lt;&gt;""),COLUMN(指数走势!$F$33:$ACK$33))-COLUMN(指数走势!$F$33)+1-760+96)),NA(),IF(INDEX(指数走势!$F$33:$ACK$33,1,LOOKUP(2,1/(指数走势!$F$33:$ACK$33&lt;&gt;""),COLUMN(指数走势!$F$33:$ACK$33))-COLUMN(指数走势!$F$33)+1-760+96)=0,NA(),INDEX(指数走势!$F$33:$ACK$33,1,LOOKUP(2,1/(指数走势!$F$33:$ACK$33&lt;&gt;""),COLUMN(指数走势!$F$33:$ACK$33))-COLUMN(指数走势!$F$33)+1-760+96)))</f>
        <v>13.0361003875732</v>
      </c>
      <c r="CT97">
        <f ca="1">IF(ISERROR(INDEX(指数走势!$F$33:$ACK$33,1,LOOKUP(2,1/(指数走势!$F$33:$ACK$33&lt;&gt;""),COLUMN(指数走势!$F$33:$ACK$33))-COLUMN(指数走势!$F$33)+1-760+97)),NA(),IF(INDEX(指数走势!$F$33:$ACK$33,1,LOOKUP(2,1/(指数走势!$F$33:$ACK$33&lt;&gt;""),COLUMN(指数走势!$F$33:$ACK$33))-COLUMN(指数走势!$F$33)+1-760+97)=0,NA(),INDEX(指数走势!$F$33:$ACK$33,1,LOOKUP(2,1/(指数走势!$F$33:$ACK$33&lt;&gt;""),COLUMN(指数走势!$F$33:$ACK$33))-COLUMN(指数走势!$F$33)+1-760+97)))</f>
        <v>12.9411001205444</v>
      </c>
      <c r="CU97">
        <f ca="1">IF(ISERROR(INDEX(指数走势!$F$33:$ACK$33,1,LOOKUP(2,1/(指数走势!$F$33:$ACK$33&lt;&gt;""),COLUMN(指数走势!$F$33:$ACK$33))-COLUMN(指数走势!$F$33)+1-760+98)),NA(),IF(INDEX(指数走势!$F$33:$ACK$33,1,LOOKUP(2,1/(指数走势!$F$33:$ACK$33&lt;&gt;""),COLUMN(指数走势!$F$33:$ACK$33))-COLUMN(指数走势!$F$33)+1-760+98)=0,NA(),INDEX(指数走势!$F$33:$ACK$33,1,LOOKUP(2,1/(指数走势!$F$33:$ACK$33&lt;&gt;""),COLUMN(指数走势!$F$33:$ACK$33))-COLUMN(指数走势!$F$33)+1-760+98)))</f>
        <v>12.9661998748779</v>
      </c>
      <c r="CV97">
        <f ca="1">IF(ISERROR(INDEX(指数走势!$F$33:$ACK$33,1,LOOKUP(2,1/(指数走势!$F$33:$ACK$33&lt;&gt;""),COLUMN(指数走势!$F$33:$ACK$33))-COLUMN(指数走势!$F$33)+1-760+99)),NA(),IF(INDEX(指数走势!$F$33:$ACK$33,1,LOOKUP(2,1/(指数走势!$F$33:$ACK$33&lt;&gt;""),COLUMN(指数走势!$F$33:$ACK$33))-COLUMN(指数走势!$F$33)+1-760+99)=0,NA(),INDEX(指数走势!$F$33:$ACK$33,1,LOOKUP(2,1/(指数走势!$F$33:$ACK$33&lt;&gt;""),COLUMN(指数走势!$F$33:$ACK$33))-COLUMN(指数走势!$F$33)+1-760+99)))</f>
        <v>13.0994997024536</v>
      </c>
      <c r="CW97">
        <f ca="1">IF(ISERROR(INDEX(指数走势!$F$33:$ACK$33,1,LOOKUP(2,1/(指数走势!$F$33:$ACK$33&lt;&gt;""),COLUMN(指数走势!$F$33:$ACK$33))-COLUMN(指数走势!$F$33)+1-760+100)),NA(),IF(INDEX(指数走势!$F$33:$ACK$33,1,LOOKUP(2,1/(指数走势!$F$33:$ACK$33&lt;&gt;""),COLUMN(指数走势!$F$33:$ACK$33))-COLUMN(指数走势!$F$33)+1-760+100)=0,NA(),INDEX(指数走势!$F$33:$ACK$33,1,LOOKUP(2,1/(指数走势!$F$33:$ACK$33&lt;&gt;""),COLUMN(指数走势!$F$33:$ACK$33))-COLUMN(指数走势!$F$33)+1-760+100)))</f>
        <v>13.0469999313354</v>
      </c>
      <c r="CX97">
        <f ca="1">IF(ISERROR(INDEX(指数走势!$F$33:$ACK$33,1,LOOKUP(2,1/(指数走势!$F$33:$ACK$33&lt;&gt;""),COLUMN(指数走势!$F$33:$ACK$33))-COLUMN(指数走势!$F$33)+1-760+101)),NA(),IF(INDEX(指数走势!$F$33:$ACK$33,1,LOOKUP(2,1/(指数走势!$F$33:$ACK$33&lt;&gt;""),COLUMN(指数走势!$F$33:$ACK$33))-COLUMN(指数走势!$F$33)+1-760+101)=0,NA(),INDEX(指数走势!$F$33:$ACK$33,1,LOOKUP(2,1/(指数走势!$F$33:$ACK$33&lt;&gt;""),COLUMN(指数走势!$F$33:$ACK$33))-COLUMN(指数走势!$F$33)+1-760+101)))</f>
        <v>12.9934997558594</v>
      </c>
      <c r="CY97">
        <f ca="1">IF(ISERROR(INDEX(指数走势!$F$33:$ACK$33,1,LOOKUP(2,1/(指数走势!$F$33:$ACK$33&lt;&gt;""),COLUMN(指数走势!$F$33:$ACK$33))-COLUMN(指数走势!$F$33)+1-760+102)),NA(),IF(INDEX(指数走势!$F$33:$ACK$33,1,LOOKUP(2,1/(指数走势!$F$33:$ACK$33&lt;&gt;""),COLUMN(指数走势!$F$33:$ACK$33))-COLUMN(指数走势!$F$33)+1-760+102)=0,NA(),INDEX(指数走势!$F$33:$ACK$33,1,LOOKUP(2,1/(指数走势!$F$33:$ACK$33&lt;&gt;""),COLUMN(指数走势!$F$33:$ACK$33))-COLUMN(指数走势!$F$33)+1-760+102)))</f>
        <v>13.0566997528076</v>
      </c>
      <c r="CZ97">
        <f ca="1">IF(ISERROR(INDEX(指数走势!$F$33:$ACK$33,1,LOOKUP(2,1/(指数走势!$F$33:$ACK$33&lt;&gt;""),COLUMN(指数走势!$F$33:$ACK$33))-COLUMN(指数走势!$F$33)+1-760+103)),NA(),IF(INDEX(指数走势!$F$33:$ACK$33,1,LOOKUP(2,1/(指数走势!$F$33:$ACK$33&lt;&gt;""),COLUMN(指数走势!$F$33:$ACK$33))-COLUMN(指数走势!$F$33)+1-760+103)=0,NA(),INDEX(指数走势!$F$33:$ACK$33,1,LOOKUP(2,1/(指数走势!$F$33:$ACK$33&lt;&gt;""),COLUMN(指数走势!$F$33:$ACK$33))-COLUMN(指数走势!$F$33)+1-760+103)))</f>
        <v>12.9500999450684</v>
      </c>
      <c r="DA97">
        <f ca="1">IF(ISERROR(INDEX(指数走势!$F$33:$ACK$33,1,LOOKUP(2,1/(指数走势!$F$33:$ACK$33&lt;&gt;""),COLUMN(指数走势!$F$33:$ACK$33))-COLUMN(指数走势!$F$33)+1-760+104)),NA(),IF(INDEX(指数走势!$F$33:$ACK$33,1,LOOKUP(2,1/(指数走势!$F$33:$ACK$33&lt;&gt;""),COLUMN(指数走势!$F$33:$ACK$33))-COLUMN(指数走势!$F$33)+1-760+104)=0,NA(),INDEX(指数走势!$F$33:$ACK$33,1,LOOKUP(2,1/(指数走势!$F$33:$ACK$33&lt;&gt;""),COLUMN(指数走势!$F$33:$ACK$33))-COLUMN(指数走势!$F$33)+1-760+104)))</f>
        <v>12.722900390625</v>
      </c>
      <c r="DB97">
        <f ca="1">IF(ISERROR(INDEX(指数走势!$F$33:$ACK$33,1,LOOKUP(2,1/(指数走势!$F$33:$ACK$33&lt;&gt;""),COLUMN(指数走势!$F$33:$ACK$33))-COLUMN(指数走势!$F$33)+1-760+105)),NA(),IF(INDEX(指数走势!$F$33:$ACK$33,1,LOOKUP(2,1/(指数走势!$F$33:$ACK$33&lt;&gt;""),COLUMN(指数走势!$F$33:$ACK$33))-COLUMN(指数走势!$F$33)+1-760+105)=0,NA(),INDEX(指数走势!$F$33:$ACK$33,1,LOOKUP(2,1/(指数走势!$F$33:$ACK$33&lt;&gt;""),COLUMN(指数走势!$F$33:$ACK$33))-COLUMN(指数走势!$F$33)+1-760+105)))</f>
        <v>12.6194000244141</v>
      </c>
      <c r="DC97">
        <f ca="1">IF(ISERROR(INDEX(指数走势!$F$33:$ACK$33,1,LOOKUP(2,1/(指数走势!$F$33:$ACK$33&lt;&gt;""),COLUMN(指数走势!$F$33:$ACK$33))-COLUMN(指数走势!$F$33)+1-760+106)),NA(),IF(INDEX(指数走势!$F$33:$ACK$33,1,LOOKUP(2,1/(指数走势!$F$33:$ACK$33&lt;&gt;""),COLUMN(指数走势!$F$33:$ACK$33))-COLUMN(指数走势!$F$33)+1-760+106)=0,NA(),INDEX(指数走势!$F$33:$ACK$33,1,LOOKUP(2,1/(指数走势!$F$33:$ACK$33&lt;&gt;""),COLUMN(指数走势!$F$33:$ACK$33))-COLUMN(指数走势!$F$33)+1-760+106)))</f>
        <v>12.4490995407104</v>
      </c>
      <c r="DD97">
        <f ca="1">IF(ISERROR(INDEX(指数走势!$F$33:$ACK$33,1,LOOKUP(2,1/(指数走势!$F$33:$ACK$33&lt;&gt;""),COLUMN(指数走势!$F$33:$ACK$33))-COLUMN(指数走势!$F$33)+1-760+107)),NA(),IF(INDEX(指数走势!$F$33:$ACK$33,1,LOOKUP(2,1/(指数走势!$F$33:$ACK$33&lt;&gt;""),COLUMN(指数走势!$F$33:$ACK$33))-COLUMN(指数走势!$F$33)+1-760+107)=0,NA(),INDEX(指数走势!$F$33:$ACK$33,1,LOOKUP(2,1/(指数走势!$F$33:$ACK$33&lt;&gt;""),COLUMN(指数走势!$F$33:$ACK$33))-COLUMN(指数走势!$F$33)+1-760+107)))</f>
        <v>12.5155000686646</v>
      </c>
      <c r="DE97">
        <f ca="1">IF(ISERROR(INDEX(指数走势!$F$33:$ACK$33,1,LOOKUP(2,1/(指数走势!$F$33:$ACK$33&lt;&gt;""),COLUMN(指数走势!$F$33:$ACK$33))-COLUMN(指数走势!$F$33)+1-760+108)),NA(),IF(INDEX(指数走势!$F$33:$ACK$33,1,LOOKUP(2,1/(指数走势!$F$33:$ACK$33&lt;&gt;""),COLUMN(指数走势!$F$33:$ACK$33))-COLUMN(指数走势!$F$33)+1-760+108)=0,NA(),INDEX(指数走势!$F$33:$ACK$33,1,LOOKUP(2,1/(指数走势!$F$33:$ACK$33&lt;&gt;""),COLUMN(指数走势!$F$33:$ACK$33))-COLUMN(指数走势!$F$33)+1-760+108)))</f>
        <v>12.5047998428345</v>
      </c>
      <c r="DF97">
        <f ca="1">IF(ISERROR(INDEX(指数走势!$F$33:$ACK$33,1,LOOKUP(2,1/(指数走势!$F$33:$ACK$33&lt;&gt;""),COLUMN(指数走势!$F$33:$ACK$33))-COLUMN(指数走势!$F$33)+1-760+109)),NA(),IF(INDEX(指数走势!$F$33:$ACK$33,1,LOOKUP(2,1/(指数走势!$F$33:$ACK$33&lt;&gt;""),COLUMN(指数走势!$F$33:$ACK$33))-COLUMN(指数走势!$F$33)+1-760+109)=0,NA(),INDEX(指数走势!$F$33:$ACK$33,1,LOOKUP(2,1/(指数走势!$F$33:$ACK$33&lt;&gt;""),COLUMN(指数走势!$F$33:$ACK$33))-COLUMN(指数走势!$F$33)+1-760+109)))</f>
        <v>12.5940999984741</v>
      </c>
      <c r="DG97">
        <f ca="1">IF(ISERROR(INDEX(指数走势!$F$33:$ACK$33,1,LOOKUP(2,1/(指数走势!$F$33:$ACK$33&lt;&gt;""),COLUMN(指数走势!$F$33:$ACK$33))-COLUMN(指数走势!$F$33)+1-760+110)),NA(),IF(INDEX(指数走势!$F$33:$ACK$33,1,LOOKUP(2,1/(指数走势!$F$33:$ACK$33&lt;&gt;""),COLUMN(指数走势!$F$33:$ACK$33))-COLUMN(指数走势!$F$33)+1-760+110)=0,NA(),INDEX(指数走势!$F$33:$ACK$33,1,LOOKUP(2,1/(指数走势!$F$33:$ACK$33&lt;&gt;""),COLUMN(指数走势!$F$33:$ACK$33))-COLUMN(指数走势!$F$33)+1-760+110)))</f>
        <v>12.6528997421265</v>
      </c>
      <c r="DH97">
        <f ca="1">IF(ISERROR(INDEX(指数走势!$F$33:$ACK$33,1,LOOKUP(2,1/(指数走势!$F$33:$ACK$33&lt;&gt;""),COLUMN(指数走势!$F$33:$ACK$33))-COLUMN(指数走势!$F$33)+1-760+111)),NA(),IF(INDEX(指数走势!$F$33:$ACK$33,1,LOOKUP(2,1/(指数走势!$F$33:$ACK$33&lt;&gt;""),COLUMN(指数走势!$F$33:$ACK$33))-COLUMN(指数走势!$F$33)+1-760+111)=0,NA(),INDEX(指数走势!$F$33:$ACK$33,1,LOOKUP(2,1/(指数走势!$F$33:$ACK$33&lt;&gt;""),COLUMN(指数走势!$F$33:$ACK$33))-COLUMN(指数走势!$F$33)+1-760+111)))</f>
        <v>12.6288003921509</v>
      </c>
      <c r="DI97">
        <f ca="1">IF(ISERROR(INDEX(指数走势!$F$33:$ACK$33,1,LOOKUP(2,1/(指数走势!$F$33:$ACK$33&lt;&gt;""),COLUMN(指数走势!$F$33:$ACK$33))-COLUMN(指数走势!$F$33)+1-760+112)),NA(),IF(INDEX(指数走势!$F$33:$ACK$33,1,LOOKUP(2,1/(指数走势!$F$33:$ACK$33&lt;&gt;""),COLUMN(指数走势!$F$33:$ACK$33))-COLUMN(指数走势!$F$33)+1-760+112)=0,NA(),INDEX(指数走势!$F$33:$ACK$33,1,LOOKUP(2,1/(指数走势!$F$33:$ACK$33&lt;&gt;""),COLUMN(指数走势!$F$33:$ACK$33))-COLUMN(指数走势!$F$33)+1-760+112)))</f>
        <v>12.6176996231079</v>
      </c>
      <c r="DJ97">
        <f ca="1">IF(ISERROR(INDEX(指数走势!$F$33:$ACK$33,1,LOOKUP(2,1/(指数走势!$F$33:$ACK$33&lt;&gt;""),COLUMN(指数走势!$F$33:$ACK$33))-COLUMN(指数走势!$F$33)+1-760+113)),NA(),IF(INDEX(指数走势!$F$33:$ACK$33,1,LOOKUP(2,1/(指数走势!$F$33:$ACK$33&lt;&gt;""),COLUMN(指数走势!$F$33:$ACK$33))-COLUMN(指数走势!$F$33)+1-760+113)=0,NA(),INDEX(指数走势!$F$33:$ACK$33,1,LOOKUP(2,1/(指数走势!$F$33:$ACK$33&lt;&gt;""),COLUMN(指数走势!$F$33:$ACK$33))-COLUMN(指数走势!$F$33)+1-760+113)))</f>
        <v>12.6395998001099</v>
      </c>
      <c r="DK97">
        <f ca="1">IF(ISERROR(INDEX(指数走势!$F$33:$ACK$33,1,LOOKUP(2,1/(指数走势!$F$33:$ACK$33&lt;&gt;""),COLUMN(指数走势!$F$33:$ACK$33))-COLUMN(指数走势!$F$33)+1-760+114)),NA(),IF(INDEX(指数走势!$F$33:$ACK$33,1,LOOKUP(2,1/(指数走势!$F$33:$ACK$33&lt;&gt;""),COLUMN(指数走势!$F$33:$ACK$33))-COLUMN(指数走势!$F$33)+1-760+114)=0,NA(),INDEX(指数走势!$F$33:$ACK$33,1,LOOKUP(2,1/(指数走势!$F$33:$ACK$33&lt;&gt;""),COLUMN(指数走势!$F$33:$ACK$33))-COLUMN(指数走势!$F$33)+1-760+114)))</f>
        <v>12.5968999862671</v>
      </c>
      <c r="DL97">
        <f ca="1">IF(ISERROR(INDEX(指数走势!$F$33:$ACK$33,1,LOOKUP(2,1/(指数走势!$F$33:$ACK$33&lt;&gt;""),COLUMN(指数走势!$F$33:$ACK$33))-COLUMN(指数走势!$F$33)+1-760+115)),NA(),IF(INDEX(指数走势!$F$33:$ACK$33,1,LOOKUP(2,1/(指数走势!$F$33:$ACK$33&lt;&gt;""),COLUMN(指数走势!$F$33:$ACK$33))-COLUMN(指数走势!$F$33)+1-760+115)=0,NA(),INDEX(指数走势!$F$33:$ACK$33,1,LOOKUP(2,1/(指数走势!$F$33:$ACK$33&lt;&gt;""),COLUMN(指数走势!$F$33:$ACK$33))-COLUMN(指数走势!$F$33)+1-760+115)))</f>
        <v>12.667799949646</v>
      </c>
      <c r="DM97">
        <f ca="1">IF(ISERROR(INDEX(指数走势!$F$33:$ACK$33,1,LOOKUP(2,1/(指数走势!$F$33:$ACK$33&lt;&gt;""),COLUMN(指数走势!$F$33:$ACK$33))-COLUMN(指数走势!$F$33)+1-760+116)),NA(),IF(INDEX(指数走势!$F$33:$ACK$33,1,LOOKUP(2,1/(指数走势!$F$33:$ACK$33&lt;&gt;""),COLUMN(指数走势!$F$33:$ACK$33))-COLUMN(指数走势!$F$33)+1-760+116)=0,NA(),INDEX(指数走势!$F$33:$ACK$33,1,LOOKUP(2,1/(指数走势!$F$33:$ACK$33&lt;&gt;""),COLUMN(指数走势!$F$33:$ACK$33))-COLUMN(指数走势!$F$33)+1-760+116)))</f>
        <v>12.7431001663208</v>
      </c>
      <c r="DN97">
        <f ca="1">IF(ISERROR(INDEX(指数走势!$F$33:$ACK$33,1,LOOKUP(2,1/(指数走势!$F$33:$ACK$33&lt;&gt;""),COLUMN(指数走势!$F$33:$ACK$33))-COLUMN(指数走势!$F$33)+1-760+117)),NA(),IF(INDEX(指数走势!$F$33:$ACK$33,1,LOOKUP(2,1/(指数走势!$F$33:$ACK$33&lt;&gt;""),COLUMN(指数走势!$F$33:$ACK$33))-COLUMN(指数走势!$F$33)+1-760+117)=0,NA(),INDEX(指数走势!$F$33:$ACK$33,1,LOOKUP(2,1/(指数走势!$F$33:$ACK$33&lt;&gt;""),COLUMN(指数走势!$F$33:$ACK$33))-COLUMN(指数走势!$F$33)+1-760+117)))</f>
        <v>12.7416000366211</v>
      </c>
      <c r="DO97">
        <f ca="1">IF(ISERROR(INDEX(指数走势!$F$33:$ACK$33,1,LOOKUP(2,1/(指数走势!$F$33:$ACK$33&lt;&gt;""),COLUMN(指数走势!$F$33:$ACK$33))-COLUMN(指数走势!$F$33)+1-760+118)),NA(),IF(INDEX(指数走势!$F$33:$ACK$33,1,LOOKUP(2,1/(指数走势!$F$33:$ACK$33&lt;&gt;""),COLUMN(指数走势!$F$33:$ACK$33))-COLUMN(指数走势!$F$33)+1-760+118)=0,NA(),INDEX(指数走势!$F$33:$ACK$33,1,LOOKUP(2,1/(指数走势!$F$33:$ACK$33&lt;&gt;""),COLUMN(指数走势!$F$33:$ACK$33))-COLUMN(指数走势!$F$33)+1-760+118)))</f>
        <v>12.7204999923706</v>
      </c>
      <c r="DP97">
        <f ca="1">IF(ISERROR(INDEX(指数走势!$F$33:$ACK$33,1,LOOKUP(2,1/(指数走势!$F$33:$ACK$33&lt;&gt;""),COLUMN(指数走势!$F$33:$ACK$33))-COLUMN(指数走势!$F$33)+1-760+119)),NA(),IF(INDEX(指数走势!$F$33:$ACK$33,1,LOOKUP(2,1/(指数走势!$F$33:$ACK$33&lt;&gt;""),COLUMN(指数走势!$F$33:$ACK$33))-COLUMN(指数走势!$F$33)+1-760+119)=0,NA(),INDEX(指数走势!$F$33:$ACK$33,1,LOOKUP(2,1/(指数走势!$F$33:$ACK$33&lt;&gt;""),COLUMN(指数走势!$F$33:$ACK$33))-COLUMN(指数走势!$F$33)+1-760+119)))</f>
        <v>12.7295999526978</v>
      </c>
      <c r="DQ97">
        <f ca="1">IF(ISERROR(INDEX(指数走势!$F$33:$ACK$33,1,LOOKUP(2,1/(指数走势!$F$33:$ACK$33&lt;&gt;""),COLUMN(指数走势!$F$33:$ACK$33))-COLUMN(指数走势!$F$33)+1-760+120)),NA(),IF(INDEX(指数走势!$F$33:$ACK$33,1,LOOKUP(2,1/(指数走势!$F$33:$ACK$33&lt;&gt;""),COLUMN(指数走势!$F$33:$ACK$33))-COLUMN(指数走势!$F$33)+1-760+120)=0,NA(),INDEX(指数走势!$F$33:$ACK$33,1,LOOKUP(2,1/(指数走势!$F$33:$ACK$33&lt;&gt;""),COLUMN(指数走势!$F$33:$ACK$33))-COLUMN(指数走势!$F$33)+1-760+120)))</f>
        <v>12.6809997558594</v>
      </c>
      <c r="DR97">
        <f ca="1">IF(ISERROR(INDEX(指数走势!$F$33:$ACK$33,1,LOOKUP(2,1/(指数走势!$F$33:$ACK$33&lt;&gt;""),COLUMN(指数走势!$F$33:$ACK$33))-COLUMN(指数走势!$F$33)+1-760+121)),NA(),IF(INDEX(指数走势!$F$33:$ACK$33,1,LOOKUP(2,1/(指数走势!$F$33:$ACK$33&lt;&gt;""),COLUMN(指数走势!$F$33:$ACK$33))-COLUMN(指数走势!$F$33)+1-760+121)=0,NA(),INDEX(指数走势!$F$33:$ACK$33,1,LOOKUP(2,1/(指数走势!$F$33:$ACK$33&lt;&gt;""),COLUMN(指数走势!$F$33:$ACK$33))-COLUMN(指数走势!$F$33)+1-760+121)))</f>
        <v>12.6934995651245</v>
      </c>
      <c r="DS97">
        <f ca="1">IF(ISERROR(INDEX(指数走势!$F$33:$ACK$33,1,LOOKUP(2,1/(指数走势!$F$33:$ACK$33&lt;&gt;""),COLUMN(指数走势!$F$33:$ACK$33))-COLUMN(指数走势!$F$33)+1-760+122)),NA(),IF(INDEX(指数走势!$F$33:$ACK$33,1,LOOKUP(2,1/(指数走势!$F$33:$ACK$33&lt;&gt;""),COLUMN(指数走势!$F$33:$ACK$33))-COLUMN(指数走势!$F$33)+1-760+122)=0,NA(),INDEX(指数走势!$F$33:$ACK$33,1,LOOKUP(2,1/(指数走势!$F$33:$ACK$33&lt;&gt;""),COLUMN(指数走势!$F$33:$ACK$33))-COLUMN(指数走势!$F$33)+1-760+122)))</f>
        <v>12.7265996932983</v>
      </c>
      <c r="DT97">
        <f ca="1">IF(ISERROR(INDEX(指数走势!$F$33:$ACK$33,1,LOOKUP(2,1/(指数走势!$F$33:$ACK$33&lt;&gt;""),COLUMN(指数走势!$F$33:$ACK$33))-COLUMN(指数走势!$F$33)+1-760+123)),NA(),IF(INDEX(指数走势!$F$33:$ACK$33,1,LOOKUP(2,1/(指数走势!$F$33:$ACK$33&lt;&gt;""),COLUMN(指数走势!$F$33:$ACK$33))-COLUMN(指数走势!$F$33)+1-760+123)=0,NA(),INDEX(指数走势!$F$33:$ACK$33,1,LOOKUP(2,1/(指数走势!$F$33:$ACK$33&lt;&gt;""),COLUMN(指数走势!$F$33:$ACK$33))-COLUMN(指数走势!$F$33)+1-760+123)))</f>
        <v>12.789999961853</v>
      </c>
      <c r="DU97">
        <f ca="1">IF(ISERROR(INDEX(指数走势!$F$33:$ACK$33,1,LOOKUP(2,1/(指数走势!$F$33:$ACK$33&lt;&gt;""),COLUMN(指数走势!$F$33:$ACK$33))-COLUMN(指数走势!$F$33)+1-760+124)),NA(),IF(INDEX(指数走势!$F$33:$ACK$33,1,LOOKUP(2,1/(指数走势!$F$33:$ACK$33&lt;&gt;""),COLUMN(指数走势!$F$33:$ACK$33))-COLUMN(指数走势!$F$33)+1-760+124)=0,NA(),INDEX(指数走势!$F$33:$ACK$33,1,LOOKUP(2,1/(指数走势!$F$33:$ACK$33&lt;&gt;""),COLUMN(指数走势!$F$33:$ACK$33))-COLUMN(指数走势!$F$33)+1-760+124)))</f>
        <v>12.7161998748779</v>
      </c>
      <c r="DV97">
        <f ca="1">IF(ISERROR(INDEX(指数走势!$F$33:$ACK$33,1,LOOKUP(2,1/(指数走势!$F$33:$ACK$33&lt;&gt;""),COLUMN(指数走势!$F$33:$ACK$33))-COLUMN(指数走势!$F$33)+1-760+125)),NA(),IF(INDEX(指数走势!$F$33:$ACK$33,1,LOOKUP(2,1/(指数走势!$F$33:$ACK$33&lt;&gt;""),COLUMN(指数走势!$F$33:$ACK$33))-COLUMN(指数走势!$F$33)+1-760+125)=0,NA(),INDEX(指数走势!$F$33:$ACK$33,1,LOOKUP(2,1/(指数走势!$F$33:$ACK$33&lt;&gt;""),COLUMN(指数走势!$F$33:$ACK$33))-COLUMN(指数走势!$F$33)+1-760+125)))</f>
        <v>12.7171001434326</v>
      </c>
      <c r="DW97">
        <f ca="1">IF(ISERROR(INDEX(指数走势!$F$33:$ACK$33,1,LOOKUP(2,1/(指数走势!$F$33:$ACK$33&lt;&gt;""),COLUMN(指数走势!$F$33:$ACK$33))-COLUMN(指数走势!$F$33)+1-760+126)),NA(),IF(INDEX(指数走势!$F$33:$ACK$33,1,LOOKUP(2,1/(指数走势!$F$33:$ACK$33&lt;&gt;""),COLUMN(指数走势!$F$33:$ACK$33))-COLUMN(指数走势!$F$33)+1-760+126)=0,NA(),INDEX(指数走势!$F$33:$ACK$33,1,LOOKUP(2,1/(指数走势!$F$33:$ACK$33&lt;&gt;""),COLUMN(指数走势!$F$33:$ACK$33))-COLUMN(指数走势!$F$33)+1-760+126)))</f>
        <v>12.7672004699707</v>
      </c>
      <c r="DX97">
        <f ca="1">IF(ISERROR(INDEX(指数走势!$F$33:$ACK$33,1,LOOKUP(2,1/(指数走势!$F$33:$ACK$33&lt;&gt;""),COLUMN(指数走势!$F$33:$ACK$33))-COLUMN(指数走势!$F$33)+1-760+127)),NA(),IF(INDEX(指数走势!$F$33:$ACK$33,1,LOOKUP(2,1/(指数走势!$F$33:$ACK$33&lt;&gt;""),COLUMN(指数走势!$F$33:$ACK$33))-COLUMN(指数走势!$F$33)+1-760+127)=0,NA(),INDEX(指数走势!$F$33:$ACK$33,1,LOOKUP(2,1/(指数走势!$F$33:$ACK$33&lt;&gt;""),COLUMN(指数走势!$F$33:$ACK$33))-COLUMN(指数走势!$F$33)+1-760+127)))</f>
        <v>12.7645998001099</v>
      </c>
      <c r="DY97">
        <f ca="1">IF(ISERROR(INDEX(指数走势!$F$33:$ACK$33,1,LOOKUP(2,1/(指数走势!$F$33:$ACK$33&lt;&gt;""),COLUMN(指数走势!$F$33:$ACK$33))-COLUMN(指数走势!$F$33)+1-760+128)),NA(),IF(INDEX(指数走势!$F$33:$ACK$33,1,LOOKUP(2,1/(指数走势!$F$33:$ACK$33&lt;&gt;""),COLUMN(指数走势!$F$33:$ACK$33))-COLUMN(指数走势!$F$33)+1-760+128)=0,NA(),INDEX(指数走势!$F$33:$ACK$33,1,LOOKUP(2,1/(指数走势!$F$33:$ACK$33&lt;&gt;""),COLUMN(指数走势!$F$33:$ACK$33))-COLUMN(指数走势!$F$33)+1-760+128)))</f>
        <v>12.6795997619629</v>
      </c>
      <c r="DZ97">
        <f ca="1">IF(ISERROR(INDEX(指数走势!$F$33:$ACK$33,1,LOOKUP(2,1/(指数走势!$F$33:$ACK$33&lt;&gt;""),COLUMN(指数走势!$F$33:$ACK$33))-COLUMN(指数走势!$F$33)+1-760+129)),NA(),IF(INDEX(指数走势!$F$33:$ACK$33,1,LOOKUP(2,1/(指数走势!$F$33:$ACK$33&lt;&gt;""),COLUMN(指数走势!$F$33:$ACK$33))-COLUMN(指数走势!$F$33)+1-760+129)=0,NA(),INDEX(指数走势!$F$33:$ACK$33,1,LOOKUP(2,1/(指数走势!$F$33:$ACK$33&lt;&gt;""),COLUMN(指数走势!$F$33:$ACK$33))-COLUMN(指数走势!$F$33)+1-760+129)))</f>
        <v>12.75</v>
      </c>
      <c r="EA97">
        <f ca="1">IF(ISERROR(INDEX(指数走势!$F$33:$ACK$33,1,LOOKUP(2,1/(指数走势!$F$33:$ACK$33&lt;&gt;""),COLUMN(指数走势!$F$33:$ACK$33))-COLUMN(指数走势!$F$33)+1-760+130)),NA(),IF(INDEX(指数走势!$F$33:$ACK$33,1,LOOKUP(2,1/(指数走势!$F$33:$ACK$33&lt;&gt;""),COLUMN(指数走势!$F$33:$ACK$33))-COLUMN(指数走势!$F$33)+1-760+130)=0,NA(),INDEX(指数走势!$F$33:$ACK$33,1,LOOKUP(2,1/(指数走势!$F$33:$ACK$33&lt;&gt;""),COLUMN(指数走势!$F$33:$ACK$33))-COLUMN(指数走势!$F$33)+1-760+130)))</f>
        <v>12.6810998916626</v>
      </c>
      <c r="EB97">
        <f ca="1">IF(ISERROR(INDEX(指数走势!$F$33:$ACK$33,1,LOOKUP(2,1/(指数走势!$F$33:$ACK$33&lt;&gt;""),COLUMN(指数走势!$F$33:$ACK$33))-COLUMN(指数走势!$F$33)+1-760+131)),NA(),IF(INDEX(指数走势!$F$33:$ACK$33,1,LOOKUP(2,1/(指数走势!$F$33:$ACK$33&lt;&gt;""),COLUMN(指数走势!$F$33:$ACK$33))-COLUMN(指数走势!$F$33)+1-760+131)=0,NA(),INDEX(指数走势!$F$33:$ACK$33,1,LOOKUP(2,1/(指数走势!$F$33:$ACK$33&lt;&gt;""),COLUMN(指数走势!$F$33:$ACK$33))-COLUMN(指数走势!$F$33)+1-760+131)))</f>
        <v>12.6338996887207</v>
      </c>
      <c r="EC97">
        <f ca="1">IF(ISERROR(INDEX(指数走势!$F$33:$ACK$33,1,LOOKUP(2,1/(指数走势!$F$33:$ACK$33&lt;&gt;""),COLUMN(指数走势!$F$33:$ACK$33))-COLUMN(指数走势!$F$33)+1-760+132)),NA(),IF(INDEX(指数走势!$F$33:$ACK$33,1,LOOKUP(2,1/(指数走势!$F$33:$ACK$33&lt;&gt;""),COLUMN(指数走势!$F$33:$ACK$33))-COLUMN(指数走势!$F$33)+1-760+132)=0,NA(),INDEX(指数走势!$F$33:$ACK$33,1,LOOKUP(2,1/(指数走势!$F$33:$ACK$33&lt;&gt;""),COLUMN(指数走势!$F$33:$ACK$33))-COLUMN(指数走势!$F$33)+1-760+132)))</f>
        <v>12.6542997360229</v>
      </c>
      <c r="ED97">
        <f ca="1">IF(ISERROR(INDEX(指数走势!$F$33:$ACK$33,1,LOOKUP(2,1/(指数走势!$F$33:$ACK$33&lt;&gt;""),COLUMN(指数走势!$F$33:$ACK$33))-COLUMN(指数走势!$F$33)+1-760+133)),NA(),IF(INDEX(指数走势!$F$33:$ACK$33,1,LOOKUP(2,1/(指数走势!$F$33:$ACK$33&lt;&gt;""),COLUMN(指数走势!$F$33:$ACK$33))-COLUMN(指数走势!$F$33)+1-760+133)=0,NA(),INDEX(指数走势!$F$33:$ACK$33,1,LOOKUP(2,1/(指数走势!$F$33:$ACK$33&lt;&gt;""),COLUMN(指数走势!$F$33:$ACK$33))-COLUMN(指数走势!$F$33)+1-760+133)))</f>
        <v>12.5886001586914</v>
      </c>
      <c r="EE97">
        <f ca="1">IF(ISERROR(INDEX(指数走势!$F$33:$ACK$33,1,LOOKUP(2,1/(指数走势!$F$33:$ACK$33&lt;&gt;""),COLUMN(指数走势!$F$33:$ACK$33))-COLUMN(指数走势!$F$33)+1-760+134)),NA(),IF(INDEX(指数走势!$F$33:$ACK$33,1,LOOKUP(2,1/(指数走势!$F$33:$ACK$33&lt;&gt;""),COLUMN(指数走势!$F$33:$ACK$33))-COLUMN(指数走势!$F$33)+1-760+134)=0,NA(),INDEX(指数走势!$F$33:$ACK$33,1,LOOKUP(2,1/(指数走势!$F$33:$ACK$33&lt;&gt;""),COLUMN(指数走势!$F$33:$ACK$33))-COLUMN(指数走势!$F$33)+1-760+134)))</f>
        <v>12.6429004669189</v>
      </c>
      <c r="EF97">
        <f ca="1">IF(ISERROR(INDEX(指数走势!$F$33:$ACK$33,1,LOOKUP(2,1/(指数走势!$F$33:$ACK$33&lt;&gt;""),COLUMN(指数走势!$F$33:$ACK$33))-COLUMN(指数走势!$F$33)+1-760+135)),NA(),IF(INDEX(指数走势!$F$33:$ACK$33,1,LOOKUP(2,1/(指数走势!$F$33:$ACK$33&lt;&gt;""),COLUMN(指数走势!$F$33:$ACK$33))-COLUMN(指数走势!$F$33)+1-760+135)=0,NA(),INDEX(指数走势!$F$33:$ACK$33,1,LOOKUP(2,1/(指数走势!$F$33:$ACK$33&lt;&gt;""),COLUMN(指数走势!$F$33:$ACK$33))-COLUMN(指数走势!$F$33)+1-760+135)))</f>
        <v>12.6625003814697</v>
      </c>
      <c r="EG97">
        <f ca="1">IF(ISERROR(INDEX(指数走势!$F$33:$ACK$33,1,LOOKUP(2,1/(指数走势!$F$33:$ACK$33&lt;&gt;""),COLUMN(指数走势!$F$33:$ACK$33))-COLUMN(指数走势!$F$33)+1-760+136)),NA(),IF(INDEX(指数走势!$F$33:$ACK$33,1,LOOKUP(2,1/(指数走势!$F$33:$ACK$33&lt;&gt;""),COLUMN(指数走势!$F$33:$ACK$33))-COLUMN(指数走势!$F$33)+1-760+136)=0,NA(),INDEX(指数走势!$F$33:$ACK$33,1,LOOKUP(2,1/(指数走势!$F$33:$ACK$33&lt;&gt;""),COLUMN(指数走势!$F$33:$ACK$33))-COLUMN(指数走势!$F$33)+1-760+136)))</f>
        <v>12.6268997192383</v>
      </c>
      <c r="EH97">
        <f ca="1">IF(ISERROR(INDEX(指数走势!$F$33:$ACK$33,1,LOOKUP(2,1/(指数走势!$F$33:$ACK$33&lt;&gt;""),COLUMN(指数走势!$F$33:$ACK$33))-COLUMN(指数走势!$F$33)+1-760+137)),NA(),IF(INDEX(指数走势!$F$33:$ACK$33,1,LOOKUP(2,1/(指数走势!$F$33:$ACK$33&lt;&gt;""),COLUMN(指数走势!$F$33:$ACK$33))-COLUMN(指数走势!$F$33)+1-760+137)=0,NA(),INDEX(指数走势!$F$33:$ACK$33,1,LOOKUP(2,1/(指数走势!$F$33:$ACK$33&lt;&gt;""),COLUMN(指数走势!$F$33:$ACK$33))-COLUMN(指数走势!$F$33)+1-760+137)))</f>
        <v>12.4271001815796</v>
      </c>
      <c r="EI97">
        <f ca="1">IF(ISERROR(INDEX(指数走势!$F$33:$ACK$33,1,LOOKUP(2,1/(指数走势!$F$33:$ACK$33&lt;&gt;""),COLUMN(指数走势!$F$33:$ACK$33))-COLUMN(指数走势!$F$33)+1-760+138)),NA(),IF(INDEX(指数走势!$F$33:$ACK$33,1,LOOKUP(2,1/(指数走势!$F$33:$ACK$33&lt;&gt;""),COLUMN(指数走势!$F$33:$ACK$33))-COLUMN(指数走势!$F$33)+1-760+138)=0,NA(),INDEX(指数走势!$F$33:$ACK$33,1,LOOKUP(2,1/(指数走势!$F$33:$ACK$33&lt;&gt;""),COLUMN(指数走势!$F$33:$ACK$33))-COLUMN(指数走势!$F$33)+1-760+138)))</f>
        <v>12.4022998809814</v>
      </c>
      <c r="EJ97">
        <f ca="1">IF(ISERROR(INDEX(指数走势!$F$33:$ACK$33,1,LOOKUP(2,1/(指数走势!$F$33:$ACK$33&lt;&gt;""),COLUMN(指数走势!$F$33:$ACK$33))-COLUMN(指数走势!$F$33)+1-760+139)),NA(),IF(INDEX(指数走势!$F$33:$ACK$33,1,LOOKUP(2,1/(指数走势!$F$33:$ACK$33&lt;&gt;""),COLUMN(指数走势!$F$33:$ACK$33))-COLUMN(指数走势!$F$33)+1-760+139)=0,NA(),INDEX(指数走势!$F$33:$ACK$33,1,LOOKUP(2,1/(指数走势!$F$33:$ACK$33&lt;&gt;""),COLUMN(指数走势!$F$33:$ACK$33))-COLUMN(指数走势!$F$33)+1-760+139)))</f>
        <v>12.3956003189087</v>
      </c>
      <c r="EK97">
        <f ca="1">IF(ISERROR(INDEX(指数走势!$F$33:$ACK$33,1,LOOKUP(2,1/(指数走势!$F$33:$ACK$33&lt;&gt;""),COLUMN(指数走势!$F$33:$ACK$33))-COLUMN(指数走势!$F$33)+1-760+140)),NA(),IF(INDEX(指数走势!$F$33:$ACK$33,1,LOOKUP(2,1/(指数走势!$F$33:$ACK$33&lt;&gt;""),COLUMN(指数走势!$F$33:$ACK$33))-COLUMN(指数走势!$F$33)+1-760+140)=0,NA(),INDEX(指数走势!$F$33:$ACK$33,1,LOOKUP(2,1/(指数走势!$F$33:$ACK$33&lt;&gt;""),COLUMN(指数走势!$F$33:$ACK$33))-COLUMN(指数走势!$F$33)+1-760+140)))</f>
        <v>12.423999786377</v>
      </c>
      <c r="EL97">
        <f ca="1">IF(ISERROR(INDEX(指数走势!$F$33:$ACK$33,1,LOOKUP(2,1/(指数走势!$F$33:$ACK$33&lt;&gt;""),COLUMN(指数走势!$F$33:$ACK$33))-COLUMN(指数走势!$F$33)+1-760+141)),NA(),IF(INDEX(指数走势!$F$33:$ACK$33,1,LOOKUP(2,1/(指数走势!$F$33:$ACK$33&lt;&gt;""),COLUMN(指数走势!$F$33:$ACK$33))-COLUMN(指数走势!$F$33)+1-760+141)=0,NA(),INDEX(指数走势!$F$33:$ACK$33,1,LOOKUP(2,1/(指数走势!$F$33:$ACK$33&lt;&gt;""),COLUMN(指数走势!$F$33:$ACK$33))-COLUMN(指数走势!$F$33)+1-760+141)))</f>
        <v>12.5106000900269</v>
      </c>
      <c r="EM97">
        <f ca="1">IF(ISERROR(INDEX(指数走势!$F$33:$ACK$33,1,LOOKUP(2,1/(指数走势!$F$33:$ACK$33&lt;&gt;""),COLUMN(指数走势!$F$33:$ACK$33))-COLUMN(指数走势!$F$33)+1-760+142)),NA(),IF(INDEX(指数走势!$F$33:$ACK$33,1,LOOKUP(2,1/(指数走势!$F$33:$ACK$33&lt;&gt;""),COLUMN(指数走势!$F$33:$ACK$33))-COLUMN(指数走势!$F$33)+1-760+142)=0,NA(),INDEX(指数走势!$F$33:$ACK$33,1,LOOKUP(2,1/(指数走势!$F$33:$ACK$33&lt;&gt;""),COLUMN(指数走势!$F$33:$ACK$33))-COLUMN(指数走势!$F$33)+1-760+142)))</f>
        <v>12.5680999755859</v>
      </c>
      <c r="EN97">
        <f ca="1">IF(ISERROR(INDEX(指数走势!$F$33:$ACK$33,1,LOOKUP(2,1/(指数走势!$F$33:$ACK$33&lt;&gt;""),COLUMN(指数走势!$F$33:$ACK$33))-COLUMN(指数走势!$F$33)+1-760+143)),NA(),IF(INDEX(指数走势!$F$33:$ACK$33,1,LOOKUP(2,1/(指数走势!$F$33:$ACK$33&lt;&gt;""),COLUMN(指数走势!$F$33:$ACK$33))-COLUMN(指数走势!$F$33)+1-760+143)=0,NA(),INDEX(指数走势!$F$33:$ACK$33,1,LOOKUP(2,1/(指数走势!$F$33:$ACK$33&lt;&gt;""),COLUMN(指数走势!$F$33:$ACK$33))-COLUMN(指数走势!$F$33)+1-760+143)))</f>
        <v>12.4287004470825</v>
      </c>
      <c r="EO97">
        <f ca="1">IF(ISERROR(INDEX(指数走势!$F$33:$ACK$33,1,LOOKUP(2,1/(指数走势!$F$33:$ACK$33&lt;&gt;""),COLUMN(指数走势!$F$33:$ACK$33))-COLUMN(指数走势!$F$33)+1-760+144)),NA(),IF(INDEX(指数走势!$F$33:$ACK$33,1,LOOKUP(2,1/(指数走势!$F$33:$ACK$33&lt;&gt;""),COLUMN(指数走势!$F$33:$ACK$33))-COLUMN(指数走势!$F$33)+1-760+144)=0,NA(),INDEX(指数走势!$F$33:$ACK$33,1,LOOKUP(2,1/(指数走势!$F$33:$ACK$33&lt;&gt;""),COLUMN(指数走势!$F$33:$ACK$33))-COLUMN(指数走势!$F$33)+1-760+144)))</f>
        <v>12.3950996398926</v>
      </c>
      <c r="EP97">
        <f ca="1">IF(ISERROR(INDEX(指数走势!$F$33:$ACK$33,1,LOOKUP(2,1/(指数走势!$F$33:$ACK$33&lt;&gt;""),COLUMN(指数走势!$F$33:$ACK$33))-COLUMN(指数走势!$F$33)+1-760+145)),NA(),IF(INDEX(指数走势!$F$33:$ACK$33,1,LOOKUP(2,1/(指数走势!$F$33:$ACK$33&lt;&gt;""),COLUMN(指数走势!$F$33:$ACK$33))-COLUMN(指数走势!$F$33)+1-760+145)=0,NA(),INDEX(指数走势!$F$33:$ACK$33,1,LOOKUP(2,1/(指数走势!$F$33:$ACK$33&lt;&gt;""),COLUMN(指数走势!$F$33:$ACK$33))-COLUMN(指数走势!$F$33)+1-760+145)))</f>
        <v>12.3252000808716</v>
      </c>
      <c r="EQ97">
        <f ca="1">IF(ISERROR(INDEX(指数走势!$F$33:$ACK$33,1,LOOKUP(2,1/(指数走势!$F$33:$ACK$33&lt;&gt;""),COLUMN(指数走势!$F$33:$ACK$33))-COLUMN(指数走势!$F$33)+1-760+146)),NA(),IF(INDEX(指数走势!$F$33:$ACK$33,1,LOOKUP(2,1/(指数走势!$F$33:$ACK$33&lt;&gt;""),COLUMN(指数走势!$F$33:$ACK$33))-COLUMN(指数走势!$F$33)+1-760+146)=0,NA(),INDEX(指数走势!$F$33:$ACK$33,1,LOOKUP(2,1/(指数走势!$F$33:$ACK$33&lt;&gt;""),COLUMN(指数走势!$F$33:$ACK$33))-COLUMN(指数走势!$F$33)+1-760+146)))</f>
        <v>12.2981004714966</v>
      </c>
      <c r="ER97">
        <f ca="1">IF(ISERROR(INDEX(指数走势!$F$33:$ACK$33,1,LOOKUP(2,1/(指数走势!$F$33:$ACK$33&lt;&gt;""),COLUMN(指数走势!$F$33:$ACK$33))-COLUMN(指数走势!$F$33)+1-760+147)),NA(),IF(INDEX(指数走势!$F$33:$ACK$33,1,LOOKUP(2,1/(指数走势!$F$33:$ACK$33&lt;&gt;""),COLUMN(指数走势!$F$33:$ACK$33))-COLUMN(指数走势!$F$33)+1-760+147)=0,NA(),INDEX(指数走势!$F$33:$ACK$33,1,LOOKUP(2,1/(指数走势!$F$33:$ACK$33&lt;&gt;""),COLUMN(指数走势!$F$33:$ACK$33))-COLUMN(指数走势!$F$33)+1-760+147)))</f>
        <v>12.3155002593994</v>
      </c>
      <c r="ES97">
        <f ca="1">IF(ISERROR(INDEX(指数走势!$F$33:$ACK$33,1,LOOKUP(2,1/(指数走势!$F$33:$ACK$33&lt;&gt;""),COLUMN(指数走势!$F$33:$ACK$33))-COLUMN(指数走势!$F$33)+1-760+148)),NA(),IF(INDEX(指数走势!$F$33:$ACK$33,1,LOOKUP(2,1/(指数走势!$F$33:$ACK$33&lt;&gt;""),COLUMN(指数走势!$F$33:$ACK$33))-COLUMN(指数走势!$F$33)+1-760+148)=0,NA(),INDEX(指数走势!$F$33:$ACK$33,1,LOOKUP(2,1/(指数走势!$F$33:$ACK$33&lt;&gt;""),COLUMN(指数走势!$F$33:$ACK$33))-COLUMN(指数走势!$F$33)+1-760+148)))</f>
        <v>12.1978998184204</v>
      </c>
      <c r="ET97">
        <f ca="1">IF(ISERROR(INDEX(指数走势!$F$33:$ACK$33,1,LOOKUP(2,1/(指数走势!$F$33:$ACK$33&lt;&gt;""),COLUMN(指数走势!$F$33:$ACK$33))-COLUMN(指数走势!$F$33)+1-760+149)),NA(),IF(INDEX(指数走势!$F$33:$ACK$33,1,LOOKUP(2,1/(指数走势!$F$33:$ACK$33&lt;&gt;""),COLUMN(指数走势!$F$33:$ACK$33))-COLUMN(指数走势!$F$33)+1-760+149)=0,NA(),INDEX(指数走势!$F$33:$ACK$33,1,LOOKUP(2,1/(指数走势!$F$33:$ACK$33&lt;&gt;""),COLUMN(指数走势!$F$33:$ACK$33))-COLUMN(指数走势!$F$33)+1-760+149)))</f>
        <v>12.250599861145</v>
      </c>
      <c r="EU97">
        <f ca="1">IF(ISERROR(INDEX(指数走势!$F$33:$ACK$33,1,LOOKUP(2,1/(指数走势!$F$33:$ACK$33&lt;&gt;""),COLUMN(指数走势!$F$33:$ACK$33))-COLUMN(指数走势!$F$33)+1-760+150)),NA(),IF(INDEX(指数走势!$F$33:$ACK$33,1,LOOKUP(2,1/(指数走势!$F$33:$ACK$33&lt;&gt;""),COLUMN(指数走势!$F$33:$ACK$33))-COLUMN(指数走势!$F$33)+1-760+150)=0,NA(),INDEX(指数走势!$F$33:$ACK$33,1,LOOKUP(2,1/(指数走势!$F$33:$ACK$33&lt;&gt;""),COLUMN(指数走势!$F$33:$ACK$33))-COLUMN(指数走势!$F$33)+1-760+150)))</f>
        <v>12.2600002288818</v>
      </c>
      <c r="EV97">
        <f ca="1">IF(ISERROR(INDEX(指数走势!$F$33:$ACK$33,1,LOOKUP(2,1/(指数走势!$F$33:$ACK$33&lt;&gt;""),COLUMN(指数走势!$F$33:$ACK$33))-COLUMN(指数走势!$F$33)+1-760+151)),NA(),IF(INDEX(指数走势!$F$33:$ACK$33,1,LOOKUP(2,1/(指数走势!$F$33:$ACK$33&lt;&gt;""),COLUMN(指数走势!$F$33:$ACK$33))-COLUMN(指数走势!$F$33)+1-760+151)=0,NA(),INDEX(指数走势!$F$33:$ACK$33,1,LOOKUP(2,1/(指数走势!$F$33:$ACK$33&lt;&gt;""),COLUMN(指数走势!$F$33:$ACK$33))-COLUMN(指数走势!$F$33)+1-760+151)))</f>
        <v>12.2878999710083</v>
      </c>
      <c r="EW97">
        <f ca="1">IF(ISERROR(INDEX(指数走势!$F$33:$ACK$33,1,LOOKUP(2,1/(指数走势!$F$33:$ACK$33&lt;&gt;""),COLUMN(指数走势!$F$33:$ACK$33))-COLUMN(指数走势!$F$33)+1-760+152)),NA(),IF(INDEX(指数走势!$F$33:$ACK$33,1,LOOKUP(2,1/(指数走势!$F$33:$ACK$33&lt;&gt;""),COLUMN(指数走势!$F$33:$ACK$33))-COLUMN(指数走势!$F$33)+1-760+152)=0,NA(),INDEX(指数走势!$F$33:$ACK$33,1,LOOKUP(2,1/(指数走势!$F$33:$ACK$33&lt;&gt;""),COLUMN(指数走势!$F$33:$ACK$33))-COLUMN(指数走势!$F$33)+1-760+152)))</f>
        <v>12.2249002456665</v>
      </c>
      <c r="EX97">
        <f ca="1">IF(ISERROR(INDEX(指数走势!$F$33:$ACK$33,1,LOOKUP(2,1/(指数走势!$F$33:$ACK$33&lt;&gt;""),COLUMN(指数走势!$F$33:$ACK$33))-COLUMN(指数走势!$F$33)+1-760+153)),NA(),IF(INDEX(指数走势!$F$33:$ACK$33,1,LOOKUP(2,1/(指数走势!$F$33:$ACK$33&lt;&gt;""),COLUMN(指数走势!$F$33:$ACK$33))-COLUMN(指数走势!$F$33)+1-760+153)=0,NA(),INDEX(指数走势!$F$33:$ACK$33,1,LOOKUP(2,1/(指数走势!$F$33:$ACK$33&lt;&gt;""),COLUMN(指数走势!$F$33:$ACK$33))-COLUMN(指数走势!$F$33)+1-760+153)))</f>
        <v>12.3073997497559</v>
      </c>
      <c r="EY97">
        <f ca="1">IF(ISERROR(INDEX(指数走势!$F$33:$ACK$33,1,LOOKUP(2,1/(指数走势!$F$33:$ACK$33&lt;&gt;""),COLUMN(指数走势!$F$33:$ACK$33))-COLUMN(指数走势!$F$33)+1-760+154)),NA(),IF(INDEX(指数走势!$F$33:$ACK$33,1,LOOKUP(2,1/(指数走势!$F$33:$ACK$33&lt;&gt;""),COLUMN(指数走势!$F$33:$ACK$33))-COLUMN(指数走势!$F$33)+1-760+154)=0,NA(),INDEX(指数走势!$F$33:$ACK$33,1,LOOKUP(2,1/(指数走势!$F$33:$ACK$33&lt;&gt;""),COLUMN(指数走势!$F$33:$ACK$33))-COLUMN(指数走势!$F$33)+1-760+154)))</f>
        <v>12.4524002075195</v>
      </c>
      <c r="EZ97">
        <f ca="1">IF(ISERROR(INDEX(指数走势!$F$33:$ACK$33,1,LOOKUP(2,1/(指数走势!$F$33:$ACK$33&lt;&gt;""),COLUMN(指数走势!$F$33:$ACK$33))-COLUMN(指数走势!$F$33)+1-760+155)),NA(),IF(INDEX(指数走势!$F$33:$ACK$33,1,LOOKUP(2,1/(指数走势!$F$33:$ACK$33&lt;&gt;""),COLUMN(指数走势!$F$33:$ACK$33))-COLUMN(指数走势!$F$33)+1-760+155)=0,NA(),INDEX(指数走势!$F$33:$ACK$33,1,LOOKUP(2,1/(指数走势!$F$33:$ACK$33&lt;&gt;""),COLUMN(指数走势!$F$33:$ACK$33))-COLUMN(指数走势!$F$33)+1-760+155)))</f>
        <v>12.5382995605469</v>
      </c>
      <c r="FA97">
        <f ca="1">IF(ISERROR(INDEX(指数走势!$F$33:$ACK$33,1,LOOKUP(2,1/(指数走势!$F$33:$ACK$33&lt;&gt;""),COLUMN(指数走势!$F$33:$ACK$33))-COLUMN(指数走势!$F$33)+1-760+156)),NA(),IF(INDEX(指数走势!$F$33:$ACK$33,1,LOOKUP(2,1/(指数走势!$F$33:$ACK$33&lt;&gt;""),COLUMN(指数走势!$F$33:$ACK$33))-COLUMN(指数走势!$F$33)+1-760+156)=0,NA(),INDEX(指数走势!$F$33:$ACK$33,1,LOOKUP(2,1/(指数走势!$F$33:$ACK$33&lt;&gt;""),COLUMN(指数走势!$F$33:$ACK$33))-COLUMN(指数走势!$F$33)+1-760+156)))</f>
        <v>12.4982004165649</v>
      </c>
      <c r="FB97">
        <f ca="1">IF(ISERROR(INDEX(指数走势!$F$33:$ACK$33,1,LOOKUP(2,1/(指数走势!$F$33:$ACK$33&lt;&gt;""),COLUMN(指数走势!$F$33:$ACK$33))-COLUMN(指数走势!$F$33)+1-760+157)),NA(),IF(INDEX(指数走势!$F$33:$ACK$33,1,LOOKUP(2,1/(指数走势!$F$33:$ACK$33&lt;&gt;""),COLUMN(指数走势!$F$33:$ACK$33))-COLUMN(指数走势!$F$33)+1-760+157)=0,NA(),INDEX(指数走势!$F$33:$ACK$33,1,LOOKUP(2,1/(指数走势!$F$33:$ACK$33&lt;&gt;""),COLUMN(指数走势!$F$33:$ACK$33))-COLUMN(指数走势!$F$33)+1-760+157)))</f>
        <v>12.5255002975464</v>
      </c>
      <c r="FC97">
        <f ca="1">IF(ISERROR(INDEX(指数走势!$F$33:$ACK$33,1,LOOKUP(2,1/(指数走势!$F$33:$ACK$33&lt;&gt;""),COLUMN(指数走势!$F$33:$ACK$33))-COLUMN(指数走势!$F$33)+1-760+158)),NA(),IF(INDEX(指数走势!$F$33:$ACK$33,1,LOOKUP(2,1/(指数走势!$F$33:$ACK$33&lt;&gt;""),COLUMN(指数走势!$F$33:$ACK$33))-COLUMN(指数走势!$F$33)+1-760+158)=0,NA(),INDEX(指数走势!$F$33:$ACK$33,1,LOOKUP(2,1/(指数走势!$F$33:$ACK$33&lt;&gt;""),COLUMN(指数走势!$F$33:$ACK$33))-COLUMN(指数走势!$F$33)+1-760+158)))</f>
        <v>12.4909000396729</v>
      </c>
      <c r="FD97">
        <f ca="1">IF(ISERROR(INDEX(指数走势!$F$33:$ACK$33,1,LOOKUP(2,1/(指数走势!$F$33:$ACK$33&lt;&gt;""),COLUMN(指数走势!$F$33:$ACK$33))-COLUMN(指数走势!$F$33)+1-760+159)),NA(),IF(INDEX(指数走势!$F$33:$ACK$33,1,LOOKUP(2,1/(指数走势!$F$33:$ACK$33&lt;&gt;""),COLUMN(指数走势!$F$33:$ACK$33))-COLUMN(指数走势!$F$33)+1-760+159)=0,NA(),INDEX(指数走势!$F$33:$ACK$33,1,LOOKUP(2,1/(指数走势!$F$33:$ACK$33&lt;&gt;""),COLUMN(指数走势!$F$33:$ACK$33))-COLUMN(指数走势!$F$33)+1-760+159)))</f>
        <v>12.3915004730225</v>
      </c>
      <c r="FE97">
        <f ca="1">IF(ISERROR(INDEX(指数走势!$F$33:$ACK$33,1,LOOKUP(2,1/(指数走势!$F$33:$ACK$33&lt;&gt;""),COLUMN(指数走势!$F$33:$ACK$33))-COLUMN(指数走势!$F$33)+1-760+160)),NA(),IF(INDEX(指数走势!$F$33:$ACK$33,1,LOOKUP(2,1/(指数走势!$F$33:$ACK$33&lt;&gt;""),COLUMN(指数走势!$F$33:$ACK$33))-COLUMN(指数走势!$F$33)+1-760+160)=0,NA(),INDEX(指数走势!$F$33:$ACK$33,1,LOOKUP(2,1/(指数走势!$F$33:$ACK$33&lt;&gt;""),COLUMN(指数走势!$F$33:$ACK$33))-COLUMN(指数走势!$F$33)+1-760+160)))</f>
        <v>12.2479000091553</v>
      </c>
      <c r="FF97">
        <f ca="1">IF(ISERROR(INDEX(指数走势!$F$33:$ACK$33,1,LOOKUP(2,1/(指数走势!$F$33:$ACK$33&lt;&gt;""),COLUMN(指数走势!$F$33:$ACK$33))-COLUMN(指数走势!$F$33)+1-760+161)),NA(),IF(INDEX(指数走势!$F$33:$ACK$33,1,LOOKUP(2,1/(指数走势!$F$33:$ACK$33&lt;&gt;""),COLUMN(指数走势!$F$33:$ACK$33))-COLUMN(指数走势!$F$33)+1-760+161)=0,NA(),INDEX(指数走势!$F$33:$ACK$33,1,LOOKUP(2,1/(指数走势!$F$33:$ACK$33&lt;&gt;""),COLUMN(指数走势!$F$33:$ACK$33))-COLUMN(指数走势!$F$33)+1-760+161)))</f>
        <v>12.2627000808716</v>
      </c>
      <c r="FG97">
        <f ca="1">IF(ISERROR(INDEX(指数走势!$F$33:$ACK$33,1,LOOKUP(2,1/(指数走势!$F$33:$ACK$33&lt;&gt;""),COLUMN(指数走势!$F$33:$ACK$33))-COLUMN(指数走势!$F$33)+1-760+162)),NA(),IF(INDEX(指数走势!$F$33:$ACK$33,1,LOOKUP(2,1/(指数走势!$F$33:$ACK$33&lt;&gt;""),COLUMN(指数走势!$F$33:$ACK$33))-COLUMN(指数走势!$F$33)+1-760+162)=0,NA(),INDEX(指数走势!$F$33:$ACK$33,1,LOOKUP(2,1/(指数走势!$F$33:$ACK$33&lt;&gt;""),COLUMN(指数走势!$F$33:$ACK$33))-COLUMN(指数走势!$F$33)+1-760+162)))</f>
        <v>12.1851997375488</v>
      </c>
      <c r="FH97">
        <f ca="1">IF(ISERROR(INDEX(指数走势!$F$33:$ACK$33,1,LOOKUP(2,1/(指数走势!$F$33:$ACK$33&lt;&gt;""),COLUMN(指数走势!$F$33:$ACK$33))-COLUMN(指数走势!$F$33)+1-760+163)),NA(),IF(INDEX(指数走势!$F$33:$ACK$33,1,LOOKUP(2,1/(指数走势!$F$33:$ACK$33&lt;&gt;""),COLUMN(指数走势!$F$33:$ACK$33))-COLUMN(指数走势!$F$33)+1-760+163)=0,NA(),INDEX(指数走势!$F$33:$ACK$33,1,LOOKUP(2,1/(指数走势!$F$33:$ACK$33&lt;&gt;""),COLUMN(指数走势!$F$33:$ACK$33))-COLUMN(指数走势!$F$33)+1-760+163)))</f>
        <v>12.2003002166748</v>
      </c>
      <c r="FI97">
        <f ca="1">IF(ISERROR(INDEX(指数走势!$F$33:$ACK$33,1,LOOKUP(2,1/(指数走势!$F$33:$ACK$33&lt;&gt;""),COLUMN(指数走势!$F$33:$ACK$33))-COLUMN(指数走势!$F$33)+1-760+164)),NA(),IF(INDEX(指数走势!$F$33:$ACK$33,1,LOOKUP(2,1/(指数走势!$F$33:$ACK$33&lt;&gt;""),COLUMN(指数走势!$F$33:$ACK$33))-COLUMN(指数走势!$F$33)+1-760+164)=0,NA(),INDEX(指数走势!$F$33:$ACK$33,1,LOOKUP(2,1/(指数走势!$F$33:$ACK$33&lt;&gt;""),COLUMN(指数走势!$F$33:$ACK$33))-COLUMN(指数走势!$F$33)+1-760+164)))</f>
        <v>12.1870002746582</v>
      </c>
      <c r="FJ97">
        <f ca="1">IF(ISERROR(INDEX(指数走势!$F$33:$ACK$33,1,LOOKUP(2,1/(指数走势!$F$33:$ACK$33&lt;&gt;""),COLUMN(指数走势!$F$33:$ACK$33))-COLUMN(指数走势!$F$33)+1-760+165)),NA(),IF(INDEX(指数走势!$F$33:$ACK$33,1,LOOKUP(2,1/(指数走势!$F$33:$ACK$33&lt;&gt;""),COLUMN(指数走势!$F$33:$ACK$33))-COLUMN(指数走势!$F$33)+1-760+165)=0,NA(),INDEX(指数走势!$F$33:$ACK$33,1,LOOKUP(2,1/(指数走势!$F$33:$ACK$33&lt;&gt;""),COLUMN(指数走势!$F$33:$ACK$33))-COLUMN(指数走势!$F$33)+1-760+165)))</f>
        <v>12.2184000015259</v>
      </c>
      <c r="FK97">
        <f ca="1">IF(ISERROR(INDEX(指数走势!$F$33:$ACK$33,1,LOOKUP(2,1/(指数走势!$F$33:$ACK$33&lt;&gt;""),COLUMN(指数走势!$F$33:$ACK$33))-COLUMN(指数走势!$F$33)+1-760+166)),NA(),IF(INDEX(指数走势!$F$33:$ACK$33,1,LOOKUP(2,1/(指数走势!$F$33:$ACK$33&lt;&gt;""),COLUMN(指数走势!$F$33:$ACK$33))-COLUMN(指数走势!$F$33)+1-760+166)=0,NA(),INDEX(指数走势!$F$33:$ACK$33,1,LOOKUP(2,1/(指数走势!$F$33:$ACK$33&lt;&gt;""),COLUMN(指数走势!$F$33:$ACK$33))-COLUMN(指数走势!$F$33)+1-760+166)))</f>
        <v>12.2541999816895</v>
      </c>
      <c r="FL97">
        <f ca="1">IF(ISERROR(INDEX(指数走势!$F$33:$ACK$33,1,LOOKUP(2,1/(指数走势!$F$33:$ACK$33&lt;&gt;""),COLUMN(指数走势!$F$33:$ACK$33))-COLUMN(指数走势!$F$33)+1-760+167)),NA(),IF(INDEX(指数走势!$F$33:$ACK$33,1,LOOKUP(2,1/(指数走势!$F$33:$ACK$33&lt;&gt;""),COLUMN(指数走势!$F$33:$ACK$33))-COLUMN(指数走势!$F$33)+1-760+167)=0,NA(),INDEX(指数走势!$F$33:$ACK$33,1,LOOKUP(2,1/(指数走势!$F$33:$ACK$33&lt;&gt;""),COLUMN(指数走势!$F$33:$ACK$33))-COLUMN(指数走势!$F$33)+1-760+167)))</f>
        <v>12.0142002105713</v>
      </c>
      <c r="FM97">
        <f ca="1">IF(ISERROR(INDEX(指数走势!$F$33:$ACK$33,1,LOOKUP(2,1/(指数走势!$F$33:$ACK$33&lt;&gt;""),COLUMN(指数走势!$F$33:$ACK$33))-COLUMN(指数走势!$F$33)+1-760+168)),NA(),IF(INDEX(指数走势!$F$33:$ACK$33,1,LOOKUP(2,1/(指数走势!$F$33:$ACK$33&lt;&gt;""),COLUMN(指数走势!$F$33:$ACK$33))-COLUMN(指数走势!$F$33)+1-760+168)=0,NA(),INDEX(指数走势!$F$33:$ACK$33,1,LOOKUP(2,1/(指数走势!$F$33:$ACK$33&lt;&gt;""),COLUMN(指数走势!$F$33:$ACK$33))-COLUMN(指数走势!$F$33)+1-760+168)))</f>
        <v>12.0696001052856</v>
      </c>
      <c r="FN97">
        <f ca="1">IF(ISERROR(INDEX(指数走势!$F$33:$ACK$33,1,LOOKUP(2,1/(指数走势!$F$33:$ACK$33&lt;&gt;""),COLUMN(指数走势!$F$33:$ACK$33))-COLUMN(指数走势!$F$33)+1-760+169)),NA(),IF(INDEX(指数走势!$F$33:$ACK$33,1,LOOKUP(2,1/(指数走势!$F$33:$ACK$33&lt;&gt;""),COLUMN(指数走势!$F$33:$ACK$33))-COLUMN(指数走势!$F$33)+1-760+169)=0,NA(),INDEX(指数走势!$F$33:$ACK$33,1,LOOKUP(2,1/(指数走势!$F$33:$ACK$33&lt;&gt;""),COLUMN(指数走势!$F$33:$ACK$33))-COLUMN(指数走势!$F$33)+1-760+169)))</f>
        <v>12.0153999328613</v>
      </c>
      <c r="FO97">
        <f ca="1">IF(ISERROR(INDEX(指数走势!$F$33:$ACK$33,1,LOOKUP(2,1/(指数走势!$F$33:$ACK$33&lt;&gt;""),COLUMN(指数走势!$F$33:$ACK$33))-COLUMN(指数走势!$F$33)+1-760+170)),NA(),IF(INDEX(指数走势!$F$33:$ACK$33,1,LOOKUP(2,1/(指数走势!$F$33:$ACK$33&lt;&gt;""),COLUMN(指数走势!$F$33:$ACK$33))-COLUMN(指数走势!$F$33)+1-760+170)=0,NA(),INDEX(指数走势!$F$33:$ACK$33,1,LOOKUP(2,1/(指数走势!$F$33:$ACK$33&lt;&gt;""),COLUMN(指数走势!$F$33:$ACK$33))-COLUMN(指数走势!$F$33)+1-760+170)))</f>
        <v>11.7298002243042</v>
      </c>
      <c r="FP97">
        <f ca="1">IF(ISERROR(INDEX(指数走势!$F$33:$ACK$33,1,LOOKUP(2,1/(指数走势!$F$33:$ACK$33&lt;&gt;""),COLUMN(指数走势!$F$33:$ACK$33))-COLUMN(指数走势!$F$33)+1-760+171)),NA(),IF(INDEX(指数走势!$F$33:$ACK$33,1,LOOKUP(2,1/(指数走势!$F$33:$ACK$33&lt;&gt;""),COLUMN(指数走势!$F$33:$ACK$33))-COLUMN(指数走势!$F$33)+1-760+171)=0,NA(),INDEX(指数走势!$F$33:$ACK$33,1,LOOKUP(2,1/(指数走势!$F$33:$ACK$33&lt;&gt;""),COLUMN(指数走势!$F$33:$ACK$33))-COLUMN(指数走势!$F$33)+1-760+171)))</f>
        <v>11.7769002914429</v>
      </c>
      <c r="FQ97">
        <f ca="1">IF(ISERROR(INDEX(指数走势!$F$33:$ACK$33,1,LOOKUP(2,1/(指数走势!$F$33:$ACK$33&lt;&gt;""),COLUMN(指数走势!$F$33:$ACK$33))-COLUMN(指数走势!$F$33)+1-760+172)),NA(),IF(INDEX(指数走势!$F$33:$ACK$33,1,LOOKUP(2,1/(指数走势!$F$33:$ACK$33&lt;&gt;""),COLUMN(指数走势!$F$33:$ACK$33))-COLUMN(指数走势!$F$33)+1-760+172)=0,NA(),INDEX(指数走势!$F$33:$ACK$33,1,LOOKUP(2,1/(指数走势!$F$33:$ACK$33&lt;&gt;""),COLUMN(指数走势!$F$33:$ACK$33))-COLUMN(指数走势!$F$33)+1-760+172)))</f>
        <v>11.9980001449585</v>
      </c>
      <c r="FR97">
        <f ca="1">IF(ISERROR(INDEX(指数走势!$F$33:$ACK$33,1,LOOKUP(2,1/(指数走势!$F$33:$ACK$33&lt;&gt;""),COLUMN(指数走势!$F$33:$ACK$33))-COLUMN(指数走势!$F$33)+1-760+173)),NA(),IF(INDEX(指数走势!$F$33:$ACK$33,1,LOOKUP(2,1/(指数走势!$F$33:$ACK$33&lt;&gt;""),COLUMN(指数走势!$F$33:$ACK$33))-COLUMN(指数走势!$F$33)+1-760+173)=0,NA(),INDEX(指数走势!$F$33:$ACK$33,1,LOOKUP(2,1/(指数走势!$F$33:$ACK$33&lt;&gt;""),COLUMN(指数走势!$F$33:$ACK$33))-COLUMN(指数走势!$F$33)+1-760+173)))</f>
        <v>12.362099647522</v>
      </c>
      <c r="FS97">
        <f ca="1">IF(ISERROR(INDEX(指数走势!$F$33:$ACK$33,1,LOOKUP(2,1/(指数走势!$F$33:$ACK$33&lt;&gt;""),COLUMN(指数走势!$F$33:$ACK$33))-COLUMN(指数走势!$F$33)+1-760+174)),NA(),IF(INDEX(指数走势!$F$33:$ACK$33,1,LOOKUP(2,1/(指数走势!$F$33:$ACK$33&lt;&gt;""),COLUMN(指数走势!$F$33:$ACK$33))-COLUMN(指数走势!$F$33)+1-760+174)=0,NA(),INDEX(指数走势!$F$33:$ACK$33,1,LOOKUP(2,1/(指数走势!$F$33:$ACK$33&lt;&gt;""),COLUMN(指数走势!$F$33:$ACK$33))-COLUMN(指数走势!$F$33)+1-760+174)))</f>
        <v>12.4040002822876</v>
      </c>
      <c r="FT97">
        <f ca="1">IF(ISERROR(INDEX(指数走势!$F$33:$ACK$33,1,LOOKUP(2,1/(指数走势!$F$33:$ACK$33&lt;&gt;""),COLUMN(指数走势!$F$33:$ACK$33))-COLUMN(指数走势!$F$33)+1-760+175)),NA(),IF(INDEX(指数走势!$F$33:$ACK$33,1,LOOKUP(2,1/(指数走势!$F$33:$ACK$33&lt;&gt;""),COLUMN(指数走势!$F$33:$ACK$33))-COLUMN(指数走势!$F$33)+1-760+175)=0,NA(),INDEX(指数走势!$F$33:$ACK$33,1,LOOKUP(2,1/(指数走势!$F$33:$ACK$33&lt;&gt;""),COLUMN(指数走势!$F$33:$ACK$33))-COLUMN(指数走势!$F$33)+1-760+175)))</f>
        <v>12.3252000808716</v>
      </c>
      <c r="FU97">
        <f ca="1">IF(ISERROR(INDEX(指数走势!$F$33:$ACK$33,1,LOOKUP(2,1/(指数走势!$F$33:$ACK$33&lt;&gt;""),COLUMN(指数走势!$F$33:$ACK$33))-COLUMN(指数走势!$F$33)+1-760+176)),NA(),IF(INDEX(指数走势!$F$33:$ACK$33,1,LOOKUP(2,1/(指数走势!$F$33:$ACK$33&lt;&gt;""),COLUMN(指数走势!$F$33:$ACK$33))-COLUMN(指数走势!$F$33)+1-760+176)=0,NA(),INDEX(指数走势!$F$33:$ACK$33,1,LOOKUP(2,1/(指数走势!$F$33:$ACK$33&lt;&gt;""),COLUMN(指数走势!$F$33:$ACK$33))-COLUMN(指数走势!$F$33)+1-760+176)))</f>
        <v>12.1111001968384</v>
      </c>
      <c r="FV97">
        <f ca="1">IF(ISERROR(INDEX(指数走势!$F$33:$ACK$33,1,LOOKUP(2,1/(指数走势!$F$33:$ACK$33&lt;&gt;""),COLUMN(指数走势!$F$33:$ACK$33))-COLUMN(指数走势!$F$33)+1-760+177)),NA(),IF(INDEX(指数走势!$F$33:$ACK$33,1,LOOKUP(2,1/(指数走势!$F$33:$ACK$33&lt;&gt;""),COLUMN(指数走势!$F$33:$ACK$33))-COLUMN(指数走势!$F$33)+1-760+177)=0,NA(),INDEX(指数走势!$F$33:$ACK$33,1,LOOKUP(2,1/(指数走势!$F$33:$ACK$33&lt;&gt;""),COLUMN(指数走势!$F$33:$ACK$33))-COLUMN(指数走势!$F$33)+1-760+177)))</f>
        <v>11.9680004119873</v>
      </c>
      <c r="FW97">
        <f ca="1">IF(ISERROR(INDEX(指数走势!$F$33:$ACK$33,1,LOOKUP(2,1/(指数走势!$F$33:$ACK$33&lt;&gt;""),COLUMN(指数走势!$F$33:$ACK$33))-COLUMN(指数走势!$F$33)+1-760+178)),NA(),IF(INDEX(指数走势!$F$33:$ACK$33,1,LOOKUP(2,1/(指数走势!$F$33:$ACK$33&lt;&gt;""),COLUMN(指数走势!$F$33:$ACK$33))-COLUMN(指数走势!$F$33)+1-760+178)=0,NA(),INDEX(指数走势!$F$33:$ACK$33,1,LOOKUP(2,1/(指数走势!$F$33:$ACK$33&lt;&gt;""),COLUMN(指数走势!$F$33:$ACK$33))-COLUMN(指数走势!$F$33)+1-760+178)))</f>
        <v>11.8865003585815</v>
      </c>
      <c r="FX97">
        <f ca="1">IF(ISERROR(INDEX(指数走势!$F$33:$ACK$33,1,LOOKUP(2,1/(指数走势!$F$33:$ACK$33&lt;&gt;""),COLUMN(指数走势!$F$33:$ACK$33))-COLUMN(指数走势!$F$33)+1-760+179)),NA(),IF(INDEX(指数走势!$F$33:$ACK$33,1,LOOKUP(2,1/(指数走势!$F$33:$ACK$33&lt;&gt;""),COLUMN(指数走势!$F$33:$ACK$33))-COLUMN(指数走势!$F$33)+1-760+179)=0,NA(),INDEX(指数走势!$F$33:$ACK$33,1,LOOKUP(2,1/(指数走势!$F$33:$ACK$33&lt;&gt;""),COLUMN(指数走势!$F$33:$ACK$33))-COLUMN(指数走势!$F$33)+1-760+179)))</f>
        <v>11.7523002624512</v>
      </c>
      <c r="FY97">
        <f ca="1">IF(ISERROR(INDEX(指数走势!$F$33:$ACK$33,1,LOOKUP(2,1/(指数走势!$F$33:$ACK$33&lt;&gt;""),COLUMN(指数走势!$F$33:$ACK$33))-COLUMN(指数走势!$F$33)+1-760+180)),NA(),IF(INDEX(指数走势!$F$33:$ACK$33,1,LOOKUP(2,1/(指数走势!$F$33:$ACK$33&lt;&gt;""),COLUMN(指数走势!$F$33:$ACK$33))-COLUMN(指数走势!$F$33)+1-760+180)=0,NA(),INDEX(指数走势!$F$33:$ACK$33,1,LOOKUP(2,1/(指数走势!$F$33:$ACK$33&lt;&gt;""),COLUMN(指数走势!$F$33:$ACK$33))-COLUMN(指数走势!$F$33)+1-760+180)))</f>
        <v>11.6817998886108</v>
      </c>
      <c r="FZ97">
        <f ca="1">IF(ISERROR(INDEX(指数走势!$F$33:$ACK$33,1,LOOKUP(2,1/(指数走势!$F$33:$ACK$33&lt;&gt;""),COLUMN(指数走势!$F$33:$ACK$33))-COLUMN(指数走势!$F$33)+1-760+181)),NA(),IF(INDEX(指数走势!$F$33:$ACK$33,1,LOOKUP(2,1/(指数走势!$F$33:$ACK$33&lt;&gt;""),COLUMN(指数走势!$F$33:$ACK$33))-COLUMN(指数走势!$F$33)+1-760+181)=0,NA(),INDEX(指数走势!$F$33:$ACK$33,1,LOOKUP(2,1/(指数走势!$F$33:$ACK$33&lt;&gt;""),COLUMN(指数走势!$F$33:$ACK$33))-COLUMN(指数走势!$F$33)+1-760+181)))</f>
        <v>12.0016002655029</v>
      </c>
      <c r="GA97">
        <f ca="1">IF(ISERROR(INDEX(指数走势!$F$33:$ACK$33,1,LOOKUP(2,1/(指数走势!$F$33:$ACK$33&lt;&gt;""),COLUMN(指数走势!$F$33:$ACK$33))-COLUMN(指数走势!$F$33)+1-760+182)),NA(),IF(INDEX(指数走势!$F$33:$ACK$33,1,LOOKUP(2,1/(指数走势!$F$33:$ACK$33&lt;&gt;""),COLUMN(指数走势!$F$33:$ACK$33))-COLUMN(指数走势!$F$33)+1-760+182)=0,NA(),INDEX(指数走势!$F$33:$ACK$33,1,LOOKUP(2,1/(指数走势!$F$33:$ACK$33&lt;&gt;""),COLUMN(指数走势!$F$33:$ACK$33))-COLUMN(指数走势!$F$33)+1-760+182)))</f>
        <v>12.1391000747681</v>
      </c>
      <c r="GB97">
        <f ca="1">IF(ISERROR(INDEX(指数走势!$F$33:$ACK$33,1,LOOKUP(2,1/(指数走势!$F$33:$ACK$33&lt;&gt;""),COLUMN(指数走势!$F$33:$ACK$33))-COLUMN(指数走势!$F$33)+1-760+183)),NA(),IF(INDEX(指数走势!$F$33:$ACK$33,1,LOOKUP(2,1/(指数走势!$F$33:$ACK$33&lt;&gt;""),COLUMN(指数走势!$F$33:$ACK$33))-COLUMN(指数走势!$F$33)+1-760+183)=0,NA(),INDEX(指数走势!$F$33:$ACK$33,1,LOOKUP(2,1/(指数走势!$F$33:$ACK$33&lt;&gt;""),COLUMN(指数走势!$F$33:$ACK$33))-COLUMN(指数走势!$F$33)+1-760+183)))</f>
        <v>12.2624998092651</v>
      </c>
      <c r="GC97">
        <f ca="1">IF(ISERROR(INDEX(指数走势!$F$33:$ACK$33,1,LOOKUP(2,1/(指数走势!$F$33:$ACK$33&lt;&gt;""),COLUMN(指数走势!$F$33:$ACK$33))-COLUMN(指数走势!$F$33)+1-760+184)),NA(),IF(INDEX(指数走势!$F$33:$ACK$33,1,LOOKUP(2,1/(指数走势!$F$33:$ACK$33&lt;&gt;""),COLUMN(指数走势!$F$33:$ACK$33))-COLUMN(指数走势!$F$33)+1-760+184)=0,NA(),INDEX(指数走势!$F$33:$ACK$33,1,LOOKUP(2,1/(指数走势!$F$33:$ACK$33&lt;&gt;""),COLUMN(指数走势!$F$33:$ACK$33))-COLUMN(指数走势!$F$33)+1-760+184)))</f>
        <v>12.4851999282837</v>
      </c>
      <c r="GD97">
        <f ca="1">IF(ISERROR(INDEX(指数走势!$F$33:$ACK$33,1,LOOKUP(2,1/(指数走势!$F$33:$ACK$33&lt;&gt;""),COLUMN(指数走势!$F$33:$ACK$33))-COLUMN(指数走势!$F$33)+1-760+185)),NA(),IF(INDEX(指数走势!$F$33:$ACK$33,1,LOOKUP(2,1/(指数走势!$F$33:$ACK$33&lt;&gt;""),COLUMN(指数走势!$F$33:$ACK$33))-COLUMN(指数走势!$F$33)+1-760+185)=0,NA(),INDEX(指数走势!$F$33:$ACK$33,1,LOOKUP(2,1/(指数走势!$F$33:$ACK$33&lt;&gt;""),COLUMN(指数走势!$F$33:$ACK$33))-COLUMN(指数走势!$F$33)+1-760+185)))</f>
        <v>12.5445995330811</v>
      </c>
      <c r="GE97">
        <f ca="1">IF(ISERROR(INDEX(指数走势!$F$33:$ACK$33,1,LOOKUP(2,1/(指数走势!$F$33:$ACK$33&lt;&gt;""),COLUMN(指数走势!$F$33:$ACK$33))-COLUMN(指数走势!$F$33)+1-760+186)),NA(),IF(INDEX(指数走势!$F$33:$ACK$33,1,LOOKUP(2,1/(指数走势!$F$33:$ACK$33&lt;&gt;""),COLUMN(指数走势!$F$33:$ACK$33))-COLUMN(指数走势!$F$33)+1-760+186)=0,NA(),INDEX(指数走势!$F$33:$ACK$33,1,LOOKUP(2,1/(指数走势!$F$33:$ACK$33&lt;&gt;""),COLUMN(指数走势!$F$33:$ACK$33))-COLUMN(指数走势!$F$33)+1-760+186)))</f>
        <v>12.6578998565674</v>
      </c>
      <c r="GF97">
        <f ca="1">IF(ISERROR(INDEX(指数走势!$F$33:$ACK$33,1,LOOKUP(2,1/(指数走势!$F$33:$ACK$33&lt;&gt;""),COLUMN(指数走势!$F$33:$ACK$33))-COLUMN(指数走势!$F$33)+1-760+187)),NA(),IF(INDEX(指数走势!$F$33:$ACK$33,1,LOOKUP(2,1/(指数走势!$F$33:$ACK$33&lt;&gt;""),COLUMN(指数走势!$F$33:$ACK$33))-COLUMN(指数走势!$F$33)+1-760+187)=0,NA(),INDEX(指数走势!$F$33:$ACK$33,1,LOOKUP(2,1/(指数走势!$F$33:$ACK$33&lt;&gt;""),COLUMN(指数走势!$F$33:$ACK$33))-COLUMN(指数走势!$F$33)+1-760+187)))</f>
        <v>12.8116998672485</v>
      </c>
      <c r="GG97">
        <f ca="1">IF(ISERROR(INDEX(指数走势!$F$33:$ACK$33,1,LOOKUP(2,1/(指数走势!$F$33:$ACK$33&lt;&gt;""),COLUMN(指数走势!$F$33:$ACK$33))-COLUMN(指数走势!$F$33)+1-760+188)),NA(),IF(INDEX(指数走势!$F$33:$ACK$33,1,LOOKUP(2,1/(指数走势!$F$33:$ACK$33&lt;&gt;""),COLUMN(指数走势!$F$33:$ACK$33))-COLUMN(指数走势!$F$33)+1-760+188)=0,NA(),INDEX(指数走势!$F$33:$ACK$33,1,LOOKUP(2,1/(指数走势!$F$33:$ACK$33&lt;&gt;""),COLUMN(指数走势!$F$33:$ACK$33))-COLUMN(指数走势!$F$33)+1-760+188)))</f>
        <v>12.8621997833252</v>
      </c>
      <c r="GH97">
        <f ca="1">IF(ISERROR(INDEX(指数走势!$F$33:$ACK$33,1,LOOKUP(2,1/(指数走势!$F$33:$ACK$33&lt;&gt;""),COLUMN(指数走势!$F$33:$ACK$33))-COLUMN(指数走势!$F$33)+1-760+189)),NA(),IF(INDEX(指数走势!$F$33:$ACK$33,1,LOOKUP(2,1/(指数走势!$F$33:$ACK$33&lt;&gt;""),COLUMN(指数走势!$F$33:$ACK$33))-COLUMN(指数走势!$F$33)+1-760+189)=0,NA(),INDEX(指数走势!$F$33:$ACK$33,1,LOOKUP(2,1/(指数走势!$F$33:$ACK$33&lt;&gt;""),COLUMN(指数走势!$F$33:$ACK$33))-COLUMN(指数走势!$F$33)+1-760+189)))</f>
        <v>12.7385997772217</v>
      </c>
      <c r="GI97">
        <f ca="1">IF(ISERROR(INDEX(指数走势!$F$33:$ACK$33,1,LOOKUP(2,1/(指数走势!$F$33:$ACK$33&lt;&gt;""),COLUMN(指数走势!$F$33:$ACK$33))-COLUMN(指数走势!$F$33)+1-760+190)),NA(),IF(INDEX(指数走势!$F$33:$ACK$33,1,LOOKUP(2,1/(指数走势!$F$33:$ACK$33&lt;&gt;""),COLUMN(指数走势!$F$33:$ACK$33))-COLUMN(指数走势!$F$33)+1-760+190)=0,NA(),INDEX(指数走势!$F$33:$ACK$33,1,LOOKUP(2,1/(指数走势!$F$33:$ACK$33&lt;&gt;""),COLUMN(指数走势!$F$33:$ACK$33))-COLUMN(指数走势!$F$33)+1-760+190)))</f>
        <v>12.8956003189087</v>
      </c>
      <c r="GJ97">
        <f ca="1">IF(ISERROR(INDEX(指数走势!$F$33:$ACK$33,1,LOOKUP(2,1/(指数走势!$F$33:$ACK$33&lt;&gt;""),COLUMN(指数走势!$F$33:$ACK$33))-COLUMN(指数走势!$F$33)+1-760+191)),NA(),IF(INDEX(指数走势!$F$33:$ACK$33,1,LOOKUP(2,1/(指数走势!$F$33:$ACK$33&lt;&gt;""),COLUMN(指数走势!$F$33:$ACK$33))-COLUMN(指数走势!$F$33)+1-760+191)=0,NA(),INDEX(指数走势!$F$33:$ACK$33,1,LOOKUP(2,1/(指数走势!$F$33:$ACK$33&lt;&gt;""),COLUMN(指数走势!$F$33:$ACK$33))-COLUMN(指数走势!$F$33)+1-760+191)))</f>
        <v>12.6686000823975</v>
      </c>
      <c r="GK97">
        <f ca="1">IF(ISERROR(INDEX(指数走势!$F$33:$ACK$33,1,LOOKUP(2,1/(指数走势!$F$33:$ACK$33&lt;&gt;""),COLUMN(指数走势!$F$33:$ACK$33))-COLUMN(指数走势!$F$33)+1-760+192)),NA(),IF(INDEX(指数走势!$F$33:$ACK$33,1,LOOKUP(2,1/(指数走势!$F$33:$ACK$33&lt;&gt;""),COLUMN(指数走势!$F$33:$ACK$33))-COLUMN(指数走势!$F$33)+1-760+192)=0,NA(),INDEX(指数走势!$F$33:$ACK$33,1,LOOKUP(2,1/(指数走势!$F$33:$ACK$33&lt;&gt;""),COLUMN(指数走势!$F$33:$ACK$33))-COLUMN(指数走势!$F$33)+1-760+192)))</f>
        <v>12.8959999084473</v>
      </c>
      <c r="GL97">
        <f ca="1">IF(ISERROR(INDEX(指数走势!$F$33:$ACK$33,1,LOOKUP(2,1/(指数走势!$F$33:$ACK$33&lt;&gt;""),COLUMN(指数走势!$F$33:$ACK$33))-COLUMN(指数走势!$F$33)+1-760+193)),NA(),IF(INDEX(指数走势!$F$33:$ACK$33,1,LOOKUP(2,1/(指数走势!$F$33:$ACK$33&lt;&gt;""),COLUMN(指数走势!$F$33:$ACK$33))-COLUMN(指数走势!$F$33)+1-760+193)=0,NA(),INDEX(指数走势!$F$33:$ACK$33,1,LOOKUP(2,1/(指数走势!$F$33:$ACK$33&lt;&gt;""),COLUMN(指数走势!$F$33:$ACK$33))-COLUMN(指数走势!$F$33)+1-760+193)))</f>
        <v>12.9387998580933</v>
      </c>
      <c r="GM97">
        <f ca="1">IF(ISERROR(INDEX(指数走势!$F$33:$ACK$33,1,LOOKUP(2,1/(指数走势!$F$33:$ACK$33&lt;&gt;""),COLUMN(指数走势!$F$33:$ACK$33))-COLUMN(指数走势!$F$33)+1-760+194)),NA(),IF(INDEX(指数走势!$F$33:$ACK$33,1,LOOKUP(2,1/(指数走势!$F$33:$ACK$33&lt;&gt;""),COLUMN(指数走势!$F$33:$ACK$33))-COLUMN(指数走势!$F$33)+1-760+194)=0,NA(),INDEX(指数走势!$F$33:$ACK$33,1,LOOKUP(2,1/(指数走势!$F$33:$ACK$33&lt;&gt;""),COLUMN(指数走势!$F$33:$ACK$33))-COLUMN(指数走势!$F$33)+1-760+194)))</f>
        <v>13.0060997009277</v>
      </c>
      <c r="GN97">
        <f ca="1">IF(ISERROR(INDEX(指数走势!$F$33:$ACK$33,1,LOOKUP(2,1/(指数走势!$F$33:$ACK$33&lt;&gt;""),COLUMN(指数走势!$F$33:$ACK$33))-COLUMN(指数走势!$F$33)+1-760+195)),NA(),IF(INDEX(指数走势!$F$33:$ACK$33,1,LOOKUP(2,1/(指数走势!$F$33:$ACK$33&lt;&gt;""),COLUMN(指数走势!$F$33:$ACK$33))-COLUMN(指数走势!$F$33)+1-760+195)=0,NA(),INDEX(指数走势!$F$33:$ACK$33,1,LOOKUP(2,1/(指数走势!$F$33:$ACK$33&lt;&gt;""),COLUMN(指数走势!$F$33:$ACK$33))-COLUMN(指数走势!$F$33)+1-760+195)))</f>
        <v>13.0605001449585</v>
      </c>
      <c r="GO97">
        <f ca="1">IF(ISERROR(INDEX(指数走势!$F$33:$ACK$33,1,LOOKUP(2,1/(指数走势!$F$33:$ACK$33&lt;&gt;""),COLUMN(指数走势!$F$33:$ACK$33))-COLUMN(指数走势!$F$33)+1-760+196)),NA(),IF(INDEX(指数走势!$F$33:$ACK$33,1,LOOKUP(2,1/(指数走势!$F$33:$ACK$33&lt;&gt;""),COLUMN(指数走势!$F$33:$ACK$33))-COLUMN(指数走势!$F$33)+1-760+196)=0,NA(),INDEX(指数走势!$F$33:$ACK$33,1,LOOKUP(2,1/(指数走势!$F$33:$ACK$33&lt;&gt;""),COLUMN(指数走势!$F$33:$ACK$33))-COLUMN(指数走势!$F$33)+1-760+196)))</f>
        <v>13.0240001678467</v>
      </c>
      <c r="GP97">
        <f ca="1">IF(ISERROR(INDEX(指数走势!$F$33:$ACK$33,1,LOOKUP(2,1/(指数走势!$F$33:$ACK$33&lt;&gt;""),COLUMN(指数走势!$F$33:$ACK$33))-COLUMN(指数走势!$F$33)+1-760+197)),NA(),IF(INDEX(指数走势!$F$33:$ACK$33,1,LOOKUP(2,1/(指数走势!$F$33:$ACK$33&lt;&gt;""),COLUMN(指数走势!$F$33:$ACK$33))-COLUMN(指数走势!$F$33)+1-760+197)=0,NA(),INDEX(指数走势!$F$33:$ACK$33,1,LOOKUP(2,1/(指数走势!$F$33:$ACK$33&lt;&gt;""),COLUMN(指数走势!$F$33:$ACK$33))-COLUMN(指数走势!$F$33)+1-760+197)))</f>
        <v>12.9893999099731</v>
      </c>
      <c r="GQ97">
        <f ca="1">IF(ISERROR(INDEX(指数走势!$F$33:$ACK$33,1,LOOKUP(2,1/(指数走势!$F$33:$ACK$33&lt;&gt;""),COLUMN(指数走势!$F$33:$ACK$33))-COLUMN(指数走势!$F$33)+1-760+198)),NA(),IF(INDEX(指数走势!$F$33:$ACK$33,1,LOOKUP(2,1/(指数走势!$F$33:$ACK$33&lt;&gt;""),COLUMN(指数走势!$F$33:$ACK$33))-COLUMN(指数走势!$F$33)+1-760+198)=0,NA(),INDEX(指数走势!$F$33:$ACK$33,1,LOOKUP(2,1/(指数走势!$F$33:$ACK$33&lt;&gt;""),COLUMN(指数走势!$F$33:$ACK$33))-COLUMN(指数走势!$F$33)+1-760+198)))</f>
        <v>13.0970001220703</v>
      </c>
      <c r="GR97">
        <f ca="1">IF(ISERROR(INDEX(指数走势!$F$33:$ACK$33,1,LOOKUP(2,1/(指数走势!$F$33:$ACK$33&lt;&gt;""),COLUMN(指数走势!$F$33:$ACK$33))-COLUMN(指数走势!$F$33)+1-760+199)),NA(),IF(INDEX(指数走势!$F$33:$ACK$33,1,LOOKUP(2,1/(指数走势!$F$33:$ACK$33&lt;&gt;""),COLUMN(指数走势!$F$33:$ACK$33))-COLUMN(指数走势!$F$33)+1-760+199)=0,NA(),INDEX(指数走势!$F$33:$ACK$33,1,LOOKUP(2,1/(指数走势!$F$33:$ACK$33&lt;&gt;""),COLUMN(指数走势!$F$33:$ACK$33))-COLUMN(指数走势!$F$33)+1-760+199)))</f>
        <v>13.15149974823</v>
      </c>
      <c r="GS97">
        <f ca="1">IF(ISERROR(INDEX(指数走势!$F$33:$ACK$33,1,LOOKUP(2,1/(指数走势!$F$33:$ACK$33&lt;&gt;""),COLUMN(指数走势!$F$33:$ACK$33))-COLUMN(指数走势!$F$33)+1-760+200)),NA(),IF(INDEX(指数走势!$F$33:$ACK$33,1,LOOKUP(2,1/(指数走势!$F$33:$ACK$33&lt;&gt;""),COLUMN(指数走势!$F$33:$ACK$33))-COLUMN(指数走势!$F$33)+1-760+200)=0,NA(),INDEX(指数走势!$F$33:$ACK$33,1,LOOKUP(2,1/(指数走势!$F$33:$ACK$33&lt;&gt;""),COLUMN(指数走势!$F$33:$ACK$33))-COLUMN(指数走势!$F$33)+1-760+200)))</f>
        <v>13.040599822998</v>
      </c>
      <c r="GT97">
        <f ca="1">IF(ISERROR(INDEX(指数走势!$F$33:$ACK$33,1,LOOKUP(2,1/(指数走势!$F$33:$ACK$33&lt;&gt;""),COLUMN(指数走势!$F$33:$ACK$33))-COLUMN(指数走势!$F$33)+1-760+201)),NA(),IF(INDEX(指数走势!$F$33:$ACK$33,1,LOOKUP(2,1/(指数走势!$F$33:$ACK$33&lt;&gt;""),COLUMN(指数走势!$F$33:$ACK$33))-COLUMN(指数走势!$F$33)+1-760+201)=0,NA(),INDEX(指数走势!$F$33:$ACK$33,1,LOOKUP(2,1/(指数走势!$F$33:$ACK$33&lt;&gt;""),COLUMN(指数走势!$F$33:$ACK$33))-COLUMN(指数走势!$F$33)+1-760+201)))</f>
        <v>12.9736003875732</v>
      </c>
      <c r="GU97">
        <f ca="1">IF(ISERROR(INDEX(指数走势!$F$33:$ACK$33,1,LOOKUP(2,1/(指数走势!$F$33:$ACK$33&lt;&gt;""),COLUMN(指数走势!$F$33:$ACK$33))-COLUMN(指数走势!$F$33)+1-760+202)),NA(),IF(INDEX(指数走势!$F$33:$ACK$33,1,LOOKUP(2,1/(指数走势!$F$33:$ACK$33&lt;&gt;""),COLUMN(指数走势!$F$33:$ACK$33))-COLUMN(指数走势!$F$33)+1-760+202)=0,NA(),INDEX(指数走势!$F$33:$ACK$33,1,LOOKUP(2,1/(指数走势!$F$33:$ACK$33&lt;&gt;""),COLUMN(指数走势!$F$33:$ACK$33))-COLUMN(指数走势!$F$33)+1-760+202)))</f>
        <v>12.9764995574951</v>
      </c>
      <c r="GV97">
        <f ca="1">IF(ISERROR(INDEX(指数走势!$F$33:$ACK$33,1,LOOKUP(2,1/(指数走势!$F$33:$ACK$33&lt;&gt;""),COLUMN(指数走势!$F$33:$ACK$33))-COLUMN(指数走势!$F$33)+1-760+203)),NA(),IF(INDEX(指数走势!$F$33:$ACK$33,1,LOOKUP(2,1/(指数走势!$F$33:$ACK$33&lt;&gt;""),COLUMN(指数走势!$F$33:$ACK$33))-COLUMN(指数走势!$F$33)+1-760+203)=0,NA(),INDEX(指数走势!$F$33:$ACK$33,1,LOOKUP(2,1/(指数走势!$F$33:$ACK$33&lt;&gt;""),COLUMN(指数走势!$F$33:$ACK$33))-COLUMN(指数走势!$F$33)+1-760+203)))</f>
        <v>13.0325002670288</v>
      </c>
      <c r="GW97">
        <f ca="1">IF(ISERROR(INDEX(指数走势!$F$33:$ACK$33,1,LOOKUP(2,1/(指数走势!$F$33:$ACK$33&lt;&gt;""),COLUMN(指数走势!$F$33:$ACK$33))-COLUMN(指数走势!$F$33)+1-760+204)),NA(),IF(INDEX(指数走势!$F$33:$ACK$33,1,LOOKUP(2,1/(指数走势!$F$33:$ACK$33&lt;&gt;""),COLUMN(指数走势!$F$33:$ACK$33))-COLUMN(指数走势!$F$33)+1-760+204)=0,NA(),INDEX(指数走势!$F$33:$ACK$33,1,LOOKUP(2,1/(指数走势!$F$33:$ACK$33&lt;&gt;""),COLUMN(指数走势!$F$33:$ACK$33))-COLUMN(指数走势!$F$33)+1-760+204)))</f>
        <v>13.148699760437</v>
      </c>
      <c r="GX97">
        <f ca="1">IF(ISERROR(INDEX(指数走势!$F$33:$ACK$33,1,LOOKUP(2,1/(指数走势!$F$33:$ACK$33&lt;&gt;""),COLUMN(指数走势!$F$33:$ACK$33))-COLUMN(指数走势!$F$33)+1-760+205)),NA(),IF(INDEX(指数走势!$F$33:$ACK$33,1,LOOKUP(2,1/(指数走势!$F$33:$ACK$33&lt;&gt;""),COLUMN(指数走势!$F$33:$ACK$33))-COLUMN(指数走势!$F$33)+1-760+205)=0,NA(),INDEX(指数走势!$F$33:$ACK$33,1,LOOKUP(2,1/(指数走势!$F$33:$ACK$33&lt;&gt;""),COLUMN(指数走势!$F$33:$ACK$33))-COLUMN(指数走势!$F$33)+1-760+205)))</f>
        <v>13.061900138855</v>
      </c>
      <c r="GY97">
        <f ca="1">IF(ISERROR(INDEX(指数走势!$F$33:$ACK$33,1,LOOKUP(2,1/(指数走势!$F$33:$ACK$33&lt;&gt;""),COLUMN(指数走势!$F$33:$ACK$33))-COLUMN(指数走势!$F$33)+1-760+206)),NA(),IF(INDEX(指数走势!$F$33:$ACK$33,1,LOOKUP(2,1/(指数走势!$F$33:$ACK$33&lt;&gt;""),COLUMN(指数走势!$F$33:$ACK$33))-COLUMN(指数走势!$F$33)+1-760+206)=0,NA(),INDEX(指数走势!$F$33:$ACK$33,1,LOOKUP(2,1/(指数走势!$F$33:$ACK$33&lt;&gt;""),COLUMN(指数走势!$F$33:$ACK$33))-COLUMN(指数走势!$F$33)+1-760+206)))</f>
        <v>13.145899772644</v>
      </c>
      <c r="GZ97">
        <f ca="1">IF(ISERROR(INDEX(指数走势!$F$33:$ACK$33,1,LOOKUP(2,1/(指数走势!$F$33:$ACK$33&lt;&gt;""),COLUMN(指数走势!$F$33:$ACK$33))-COLUMN(指数走势!$F$33)+1-760+207)),NA(),IF(INDEX(指数走势!$F$33:$ACK$33,1,LOOKUP(2,1/(指数走势!$F$33:$ACK$33&lt;&gt;""),COLUMN(指数走势!$F$33:$ACK$33))-COLUMN(指数走势!$F$33)+1-760+207)=0,NA(),INDEX(指数走势!$F$33:$ACK$33,1,LOOKUP(2,1/(指数走势!$F$33:$ACK$33&lt;&gt;""),COLUMN(指数走势!$F$33:$ACK$33))-COLUMN(指数走势!$F$33)+1-760+207)))</f>
        <v>13.1254997253418</v>
      </c>
      <c r="HA97">
        <f ca="1">IF(ISERROR(INDEX(指数走势!$F$33:$ACK$33,1,LOOKUP(2,1/(指数走势!$F$33:$ACK$33&lt;&gt;""),COLUMN(指数走势!$F$33:$ACK$33))-COLUMN(指数走势!$F$33)+1-760+208)),NA(),IF(INDEX(指数走势!$F$33:$ACK$33,1,LOOKUP(2,1/(指数走势!$F$33:$ACK$33&lt;&gt;""),COLUMN(指数走势!$F$33:$ACK$33))-COLUMN(指数走势!$F$33)+1-760+208)=0,NA(),INDEX(指数走势!$F$33:$ACK$33,1,LOOKUP(2,1/(指数走势!$F$33:$ACK$33&lt;&gt;""),COLUMN(指数走势!$F$33:$ACK$33))-COLUMN(指数走势!$F$33)+1-760+208)))</f>
        <v>13.069899559021</v>
      </c>
      <c r="HB97">
        <f ca="1">IF(ISERROR(INDEX(指数走势!$F$33:$ACK$33,1,LOOKUP(2,1/(指数走势!$F$33:$ACK$33&lt;&gt;""),COLUMN(指数走势!$F$33:$ACK$33))-COLUMN(指数走势!$F$33)+1-760+209)),NA(),IF(INDEX(指数走势!$F$33:$ACK$33,1,LOOKUP(2,1/(指数走势!$F$33:$ACK$33&lt;&gt;""),COLUMN(指数走势!$F$33:$ACK$33))-COLUMN(指数走势!$F$33)+1-760+209)=0,NA(),INDEX(指数走势!$F$33:$ACK$33,1,LOOKUP(2,1/(指数走势!$F$33:$ACK$33&lt;&gt;""),COLUMN(指数走势!$F$33:$ACK$33))-COLUMN(指数走势!$F$33)+1-760+209)))</f>
        <v>13.0018997192383</v>
      </c>
      <c r="HC97">
        <f ca="1">IF(ISERROR(INDEX(指数走势!$F$33:$ACK$33,1,LOOKUP(2,1/(指数走势!$F$33:$ACK$33&lt;&gt;""),COLUMN(指数走势!$F$33:$ACK$33))-COLUMN(指数走势!$F$33)+1-760+210)),NA(),IF(INDEX(指数走势!$F$33:$ACK$33,1,LOOKUP(2,1/(指数走势!$F$33:$ACK$33&lt;&gt;""),COLUMN(指数走势!$F$33:$ACK$33))-COLUMN(指数走势!$F$33)+1-760+210)=0,NA(),INDEX(指数走势!$F$33:$ACK$33,1,LOOKUP(2,1/(指数走势!$F$33:$ACK$33&lt;&gt;""),COLUMN(指数走势!$F$33:$ACK$33))-COLUMN(指数走势!$F$33)+1-760+210)))</f>
        <v>13.0314998626709</v>
      </c>
      <c r="HD97">
        <f ca="1">IF(ISERROR(INDEX(指数走势!$F$33:$ACK$33,1,LOOKUP(2,1/(指数走势!$F$33:$ACK$33&lt;&gt;""),COLUMN(指数走势!$F$33:$ACK$33))-COLUMN(指数走势!$F$33)+1-760+211)),NA(),IF(INDEX(指数走势!$F$33:$ACK$33,1,LOOKUP(2,1/(指数走势!$F$33:$ACK$33&lt;&gt;""),COLUMN(指数走势!$F$33:$ACK$33))-COLUMN(指数走势!$F$33)+1-760+211)=0,NA(),INDEX(指数走势!$F$33:$ACK$33,1,LOOKUP(2,1/(指数走势!$F$33:$ACK$33&lt;&gt;""),COLUMN(指数走势!$F$33:$ACK$33))-COLUMN(指数走势!$F$33)+1-760+211)))</f>
        <v>12.8938999176025</v>
      </c>
      <c r="HE97">
        <f ca="1">IF(ISERROR(INDEX(指数走势!$F$33:$ACK$33,1,LOOKUP(2,1/(指数走势!$F$33:$ACK$33&lt;&gt;""),COLUMN(指数走势!$F$33:$ACK$33))-COLUMN(指数走势!$F$33)+1-760+212)),NA(),IF(INDEX(指数走势!$F$33:$ACK$33,1,LOOKUP(2,1/(指数走势!$F$33:$ACK$33&lt;&gt;""),COLUMN(指数走势!$F$33:$ACK$33))-COLUMN(指数走势!$F$33)+1-760+212)=0,NA(),INDEX(指数走势!$F$33:$ACK$33,1,LOOKUP(2,1/(指数走势!$F$33:$ACK$33&lt;&gt;""),COLUMN(指数走势!$F$33:$ACK$33))-COLUMN(指数走势!$F$33)+1-760+212)))</f>
        <v>12.9329996109009</v>
      </c>
      <c r="HF97">
        <f ca="1">IF(ISERROR(INDEX(指数走势!$F$33:$ACK$33,1,LOOKUP(2,1/(指数走势!$F$33:$ACK$33&lt;&gt;""),COLUMN(指数走势!$F$33:$ACK$33))-COLUMN(指数走势!$F$33)+1-760+213)),NA(),IF(INDEX(指数走势!$F$33:$ACK$33,1,LOOKUP(2,1/(指数走势!$F$33:$ACK$33&lt;&gt;""),COLUMN(指数走势!$F$33:$ACK$33))-COLUMN(指数走势!$F$33)+1-760+213)=0,NA(),INDEX(指数走势!$F$33:$ACK$33,1,LOOKUP(2,1/(指数走势!$F$33:$ACK$33&lt;&gt;""),COLUMN(指数走势!$F$33:$ACK$33))-COLUMN(指数走势!$F$33)+1-760+213)))</f>
        <v>13.0857000350952</v>
      </c>
      <c r="HG97">
        <f ca="1">IF(ISERROR(INDEX(指数走势!$F$33:$ACK$33,1,LOOKUP(2,1/(指数走势!$F$33:$ACK$33&lt;&gt;""),COLUMN(指数走势!$F$33:$ACK$33))-COLUMN(指数走势!$F$33)+1-760+214)),NA(),IF(INDEX(指数走势!$F$33:$ACK$33,1,LOOKUP(2,1/(指数走势!$F$33:$ACK$33&lt;&gt;""),COLUMN(指数走势!$F$33:$ACK$33))-COLUMN(指数走势!$F$33)+1-760+214)=0,NA(),INDEX(指数走势!$F$33:$ACK$33,1,LOOKUP(2,1/(指数走势!$F$33:$ACK$33&lt;&gt;""),COLUMN(指数走势!$F$33:$ACK$33))-COLUMN(指数走势!$F$33)+1-760+214)))</f>
        <v>13.2154998779297</v>
      </c>
      <c r="HH97">
        <f ca="1">IF(ISERROR(INDEX(指数走势!$F$33:$ACK$33,1,LOOKUP(2,1/(指数走势!$F$33:$ACK$33&lt;&gt;""),COLUMN(指数走势!$F$33:$ACK$33))-COLUMN(指数走势!$F$33)+1-760+215)),NA(),IF(INDEX(指数走势!$F$33:$ACK$33,1,LOOKUP(2,1/(指数走势!$F$33:$ACK$33&lt;&gt;""),COLUMN(指数走势!$F$33:$ACK$33))-COLUMN(指数走势!$F$33)+1-760+215)=0,NA(),INDEX(指数走势!$F$33:$ACK$33,1,LOOKUP(2,1/(指数走势!$F$33:$ACK$33&lt;&gt;""),COLUMN(指数走势!$F$33:$ACK$33))-COLUMN(指数走势!$F$33)+1-760+215)))</f>
        <v>13.2309999465942</v>
      </c>
      <c r="HI97">
        <f ca="1">IF(ISERROR(INDEX(指数走势!$F$33:$ACK$33,1,LOOKUP(2,1/(指数走势!$F$33:$ACK$33&lt;&gt;""),COLUMN(指数走势!$F$33:$ACK$33))-COLUMN(指数走势!$F$33)+1-760+216)),NA(),IF(INDEX(指数走势!$F$33:$ACK$33,1,LOOKUP(2,1/(指数走势!$F$33:$ACK$33&lt;&gt;""),COLUMN(指数走势!$F$33:$ACK$33))-COLUMN(指数走势!$F$33)+1-760+216)=0,NA(),INDEX(指数走势!$F$33:$ACK$33,1,LOOKUP(2,1/(指数走势!$F$33:$ACK$33&lt;&gt;""),COLUMN(指数走势!$F$33:$ACK$33))-COLUMN(指数走势!$F$33)+1-760+216)))</f>
        <v>13.2054996490479</v>
      </c>
      <c r="HJ97">
        <f ca="1">IF(ISERROR(INDEX(指数走势!$F$33:$ACK$33,1,LOOKUP(2,1/(指数走势!$F$33:$ACK$33&lt;&gt;""),COLUMN(指数走势!$F$33:$ACK$33))-COLUMN(指数走势!$F$33)+1-760+217)),NA(),IF(INDEX(指数走势!$F$33:$ACK$33,1,LOOKUP(2,1/(指数走势!$F$33:$ACK$33&lt;&gt;""),COLUMN(指数走势!$F$33:$ACK$33))-COLUMN(指数走势!$F$33)+1-760+217)=0,NA(),INDEX(指数走势!$F$33:$ACK$33,1,LOOKUP(2,1/(指数走势!$F$33:$ACK$33&lt;&gt;""),COLUMN(指数走势!$F$33:$ACK$33))-COLUMN(指数走势!$F$33)+1-760+217)))</f>
        <v>13.1408996582031</v>
      </c>
      <c r="HK97">
        <f ca="1">IF(ISERROR(INDEX(指数走势!$F$33:$ACK$33,1,LOOKUP(2,1/(指数走势!$F$33:$ACK$33&lt;&gt;""),COLUMN(指数走势!$F$33:$ACK$33))-COLUMN(指数走势!$F$33)+1-760+218)),NA(),IF(INDEX(指数走势!$F$33:$ACK$33,1,LOOKUP(2,1/(指数走势!$F$33:$ACK$33&lt;&gt;""),COLUMN(指数走势!$F$33:$ACK$33))-COLUMN(指数走势!$F$33)+1-760+218)=0,NA(),INDEX(指数走势!$F$33:$ACK$33,1,LOOKUP(2,1/(指数走势!$F$33:$ACK$33&lt;&gt;""),COLUMN(指数走势!$F$33:$ACK$33))-COLUMN(指数走势!$F$33)+1-760+218)))</f>
        <v>13.1344995498657</v>
      </c>
      <c r="HL97">
        <f ca="1">IF(ISERROR(INDEX(指数走势!$F$33:$ACK$33,1,LOOKUP(2,1/(指数走势!$F$33:$ACK$33&lt;&gt;""),COLUMN(指数走势!$F$33:$ACK$33))-COLUMN(指数走势!$F$33)+1-760+219)),NA(),IF(INDEX(指数走势!$F$33:$ACK$33,1,LOOKUP(2,1/(指数走势!$F$33:$ACK$33&lt;&gt;""),COLUMN(指数走势!$F$33:$ACK$33))-COLUMN(指数走势!$F$33)+1-760+219)=0,NA(),INDEX(指数走势!$F$33:$ACK$33,1,LOOKUP(2,1/(指数走势!$F$33:$ACK$33&lt;&gt;""),COLUMN(指数走势!$F$33:$ACK$33))-COLUMN(指数走势!$F$33)+1-760+219)))</f>
        <v>13.0514001846313</v>
      </c>
      <c r="HM97">
        <f ca="1">IF(ISERROR(INDEX(指数走势!$F$33:$ACK$33,1,LOOKUP(2,1/(指数走势!$F$33:$ACK$33&lt;&gt;""),COLUMN(指数走势!$F$33:$ACK$33))-COLUMN(指数走势!$F$33)+1-760+220)),NA(),IF(INDEX(指数走势!$F$33:$ACK$33,1,LOOKUP(2,1/(指数走势!$F$33:$ACK$33&lt;&gt;""),COLUMN(指数走势!$F$33:$ACK$33))-COLUMN(指数走势!$F$33)+1-760+220)=0,NA(),INDEX(指数走势!$F$33:$ACK$33,1,LOOKUP(2,1/(指数走势!$F$33:$ACK$33&lt;&gt;""),COLUMN(指数走势!$F$33:$ACK$33))-COLUMN(指数走势!$F$33)+1-760+220)))</f>
        <v>13.0626001358032</v>
      </c>
      <c r="HN97">
        <f ca="1">IF(ISERROR(INDEX(指数走势!$F$33:$ACK$33,1,LOOKUP(2,1/(指数走势!$F$33:$ACK$33&lt;&gt;""),COLUMN(指数走势!$F$33:$ACK$33))-COLUMN(指数走势!$F$33)+1-760+221)),NA(),IF(INDEX(指数走势!$F$33:$ACK$33,1,LOOKUP(2,1/(指数走势!$F$33:$ACK$33&lt;&gt;""),COLUMN(指数走势!$F$33:$ACK$33))-COLUMN(指数走势!$F$33)+1-760+221)=0,NA(),INDEX(指数走势!$F$33:$ACK$33,1,LOOKUP(2,1/(指数走势!$F$33:$ACK$33&lt;&gt;""),COLUMN(指数走势!$F$33:$ACK$33))-COLUMN(指数走势!$F$33)+1-760+221)))</f>
        <v>12.9945001602173</v>
      </c>
      <c r="HO97">
        <f ca="1">IF(ISERROR(INDEX(指数走势!$F$33:$ACK$33,1,LOOKUP(2,1/(指数走势!$F$33:$ACK$33&lt;&gt;""),COLUMN(指数走势!$F$33:$ACK$33))-COLUMN(指数走势!$F$33)+1-760+222)),NA(),IF(INDEX(指数走势!$F$33:$ACK$33,1,LOOKUP(2,1/(指数走势!$F$33:$ACK$33&lt;&gt;""),COLUMN(指数走势!$F$33:$ACK$33))-COLUMN(指数走势!$F$33)+1-760+222)=0,NA(),INDEX(指数走势!$F$33:$ACK$33,1,LOOKUP(2,1/(指数走势!$F$33:$ACK$33&lt;&gt;""),COLUMN(指数走势!$F$33:$ACK$33))-COLUMN(指数走势!$F$33)+1-760+222)))</f>
        <v>13.1925001144409</v>
      </c>
      <c r="HP97">
        <f ca="1">IF(ISERROR(INDEX(指数走势!$F$33:$ACK$33,1,LOOKUP(2,1/(指数走势!$F$33:$ACK$33&lt;&gt;""),COLUMN(指数走势!$F$33:$ACK$33))-COLUMN(指数走势!$F$33)+1-760+223)),NA(),IF(INDEX(指数走势!$F$33:$ACK$33,1,LOOKUP(2,1/(指数走势!$F$33:$ACK$33&lt;&gt;""),COLUMN(指数走势!$F$33:$ACK$33))-COLUMN(指数走势!$F$33)+1-760+223)=0,NA(),INDEX(指数走势!$F$33:$ACK$33,1,LOOKUP(2,1/(指数走势!$F$33:$ACK$33&lt;&gt;""),COLUMN(指数走势!$F$33:$ACK$33))-COLUMN(指数走势!$F$33)+1-760+223)))</f>
        <v>13.0159997940063</v>
      </c>
      <c r="HQ97">
        <f ca="1">IF(ISERROR(INDEX(指数走势!$F$33:$ACK$33,1,LOOKUP(2,1/(指数走势!$F$33:$ACK$33&lt;&gt;""),COLUMN(指数走势!$F$33:$ACK$33))-COLUMN(指数走势!$F$33)+1-760+224)),NA(),IF(INDEX(指数走势!$F$33:$ACK$33,1,LOOKUP(2,1/(指数走势!$F$33:$ACK$33&lt;&gt;""),COLUMN(指数走势!$F$33:$ACK$33))-COLUMN(指数走势!$F$33)+1-760+224)=0,NA(),INDEX(指数走势!$F$33:$ACK$33,1,LOOKUP(2,1/(指数走势!$F$33:$ACK$33&lt;&gt;""),COLUMN(指数走势!$F$33:$ACK$33))-COLUMN(指数走势!$F$33)+1-760+224)))</f>
        <v>13.2695999145508</v>
      </c>
      <c r="HR97">
        <f ca="1">IF(ISERROR(INDEX(指数走势!$F$33:$ACK$33,1,LOOKUP(2,1/(指数走势!$F$33:$ACK$33&lt;&gt;""),COLUMN(指数走势!$F$33:$ACK$33))-COLUMN(指数走势!$F$33)+1-760+225)),NA(),IF(INDEX(指数走势!$F$33:$ACK$33,1,LOOKUP(2,1/(指数走势!$F$33:$ACK$33&lt;&gt;""),COLUMN(指数走势!$F$33:$ACK$33))-COLUMN(指数走势!$F$33)+1-760+225)=0,NA(),INDEX(指数走势!$F$33:$ACK$33,1,LOOKUP(2,1/(指数走势!$F$33:$ACK$33&lt;&gt;""),COLUMN(指数走势!$F$33:$ACK$33))-COLUMN(指数走势!$F$33)+1-760+225)))</f>
        <v>13.2754001617432</v>
      </c>
      <c r="HS97">
        <f ca="1">IF(ISERROR(INDEX(指数走势!$F$33:$ACK$33,1,LOOKUP(2,1/(指数走势!$F$33:$ACK$33&lt;&gt;""),COLUMN(指数走势!$F$33:$ACK$33))-COLUMN(指数走势!$F$33)+1-760+226)),NA(),IF(INDEX(指数走势!$F$33:$ACK$33,1,LOOKUP(2,1/(指数走势!$F$33:$ACK$33&lt;&gt;""),COLUMN(指数走势!$F$33:$ACK$33))-COLUMN(指数走势!$F$33)+1-760+226)=0,NA(),INDEX(指数走势!$F$33:$ACK$33,1,LOOKUP(2,1/(指数走势!$F$33:$ACK$33&lt;&gt;""),COLUMN(指数走势!$F$33:$ACK$33))-COLUMN(指数走势!$F$33)+1-760+226)))</f>
        <v>13.2617998123169</v>
      </c>
      <c r="HT97">
        <f ca="1">IF(ISERROR(INDEX(指数走势!$F$33:$ACK$33,1,LOOKUP(2,1/(指数走势!$F$33:$ACK$33&lt;&gt;""),COLUMN(指数走势!$F$33:$ACK$33))-COLUMN(指数走势!$F$33)+1-760+227)),NA(),IF(INDEX(指数走势!$F$33:$ACK$33,1,LOOKUP(2,1/(指数走势!$F$33:$ACK$33&lt;&gt;""),COLUMN(指数走势!$F$33:$ACK$33))-COLUMN(指数走势!$F$33)+1-760+227)=0,NA(),INDEX(指数走势!$F$33:$ACK$33,1,LOOKUP(2,1/(指数走势!$F$33:$ACK$33&lt;&gt;""),COLUMN(指数走势!$F$33:$ACK$33))-COLUMN(指数走势!$F$33)+1-760+227)))</f>
        <v>13.1861000061035</v>
      </c>
      <c r="HU97">
        <f ca="1">IF(ISERROR(INDEX(指数走势!$F$33:$ACK$33,1,LOOKUP(2,1/(指数走势!$F$33:$ACK$33&lt;&gt;""),COLUMN(指数走势!$F$33:$ACK$33))-COLUMN(指数走势!$F$33)+1-760+228)),NA(),IF(INDEX(指数走势!$F$33:$ACK$33,1,LOOKUP(2,1/(指数走势!$F$33:$ACK$33&lt;&gt;""),COLUMN(指数走势!$F$33:$ACK$33))-COLUMN(指数走势!$F$33)+1-760+228)=0,NA(),INDEX(指数走势!$F$33:$ACK$33,1,LOOKUP(2,1/(指数走势!$F$33:$ACK$33&lt;&gt;""),COLUMN(指数走势!$F$33:$ACK$33))-COLUMN(指数走势!$F$33)+1-760+228)))</f>
        <v>13.0936002731323</v>
      </c>
      <c r="HV97">
        <f ca="1">IF(ISERROR(INDEX(指数走势!$F$33:$ACK$33,1,LOOKUP(2,1/(指数走势!$F$33:$ACK$33&lt;&gt;""),COLUMN(指数走势!$F$33:$ACK$33))-COLUMN(指数走势!$F$33)+1-760+229)),NA(),IF(INDEX(指数走势!$F$33:$ACK$33,1,LOOKUP(2,1/(指数走势!$F$33:$ACK$33&lt;&gt;""),COLUMN(指数走势!$F$33:$ACK$33))-COLUMN(指数走势!$F$33)+1-760+229)=0,NA(),INDEX(指数走势!$F$33:$ACK$33,1,LOOKUP(2,1/(指数走势!$F$33:$ACK$33&lt;&gt;""),COLUMN(指数走势!$F$33:$ACK$33))-COLUMN(指数走势!$F$33)+1-760+229)))</f>
        <v>13.1715002059937</v>
      </c>
      <c r="HW97">
        <f ca="1">IF(ISERROR(INDEX(指数走势!$F$33:$ACK$33,1,LOOKUP(2,1/(指数走势!$F$33:$ACK$33&lt;&gt;""),COLUMN(指数走势!$F$33:$ACK$33))-COLUMN(指数走势!$F$33)+1-760+230)),NA(),IF(INDEX(指数走势!$F$33:$ACK$33,1,LOOKUP(2,1/(指数走势!$F$33:$ACK$33&lt;&gt;""),COLUMN(指数走势!$F$33:$ACK$33))-COLUMN(指数走势!$F$33)+1-760+230)=0,NA(),INDEX(指数走势!$F$33:$ACK$33,1,LOOKUP(2,1/(指数走势!$F$33:$ACK$33&lt;&gt;""),COLUMN(指数走势!$F$33:$ACK$33))-COLUMN(指数走势!$F$33)+1-760+230)))</f>
        <v>13.1953001022339</v>
      </c>
      <c r="HX97">
        <f ca="1">IF(ISERROR(INDEX(指数走势!$F$33:$ACK$33,1,LOOKUP(2,1/(指数走势!$F$33:$ACK$33&lt;&gt;""),COLUMN(指数走势!$F$33:$ACK$33))-COLUMN(指数走势!$F$33)+1-760+231)),NA(),IF(INDEX(指数走势!$F$33:$ACK$33,1,LOOKUP(2,1/(指数走势!$F$33:$ACK$33&lt;&gt;""),COLUMN(指数走势!$F$33:$ACK$33))-COLUMN(指数走势!$F$33)+1-760+231)=0,NA(),INDEX(指数走势!$F$33:$ACK$33,1,LOOKUP(2,1/(指数走势!$F$33:$ACK$33&lt;&gt;""),COLUMN(指数走势!$F$33:$ACK$33))-COLUMN(指数走势!$F$33)+1-760+231)))</f>
        <v>13.3392000198364</v>
      </c>
      <c r="HY97">
        <f ca="1">IF(ISERROR(INDEX(指数走势!$F$33:$ACK$33,1,LOOKUP(2,1/(指数走势!$F$33:$ACK$33&lt;&gt;""),COLUMN(指数走势!$F$33:$ACK$33))-COLUMN(指数走势!$F$33)+1-760+232)),NA(),IF(INDEX(指数走势!$F$33:$ACK$33,1,LOOKUP(2,1/(指数走势!$F$33:$ACK$33&lt;&gt;""),COLUMN(指数走势!$F$33:$ACK$33))-COLUMN(指数走势!$F$33)+1-760+232)=0,NA(),INDEX(指数走势!$F$33:$ACK$33,1,LOOKUP(2,1/(指数走势!$F$33:$ACK$33&lt;&gt;""),COLUMN(指数走势!$F$33:$ACK$33))-COLUMN(指数走势!$F$33)+1-760+232)))</f>
        <v>13.4093999862671</v>
      </c>
      <c r="HZ97">
        <f ca="1">IF(ISERROR(INDEX(指数走势!$F$33:$ACK$33,1,LOOKUP(2,1/(指数走势!$F$33:$ACK$33&lt;&gt;""),COLUMN(指数走势!$F$33:$ACK$33))-COLUMN(指数走势!$F$33)+1-760+233)),NA(),IF(INDEX(指数走势!$F$33:$ACK$33,1,LOOKUP(2,1/(指数走势!$F$33:$ACK$33&lt;&gt;""),COLUMN(指数走势!$F$33:$ACK$33))-COLUMN(指数走势!$F$33)+1-760+233)=0,NA(),INDEX(指数走势!$F$33:$ACK$33,1,LOOKUP(2,1/(指数走势!$F$33:$ACK$33&lt;&gt;""),COLUMN(指数走势!$F$33:$ACK$33))-COLUMN(指数走势!$F$33)+1-760+233)))</f>
        <v>13.6107997894287</v>
      </c>
      <c r="IA97">
        <f ca="1">IF(ISERROR(INDEX(指数走势!$F$33:$ACK$33,1,LOOKUP(2,1/(指数走势!$F$33:$ACK$33&lt;&gt;""),COLUMN(指数走势!$F$33:$ACK$33))-COLUMN(指数走势!$F$33)+1-760+234)),NA(),IF(INDEX(指数走势!$F$33:$ACK$33,1,LOOKUP(2,1/(指数走势!$F$33:$ACK$33&lt;&gt;""),COLUMN(指数走势!$F$33:$ACK$33))-COLUMN(指数走势!$F$33)+1-760+234)=0,NA(),INDEX(指数走势!$F$33:$ACK$33,1,LOOKUP(2,1/(指数走势!$F$33:$ACK$33&lt;&gt;""),COLUMN(指数走势!$F$33:$ACK$33))-COLUMN(指数走势!$F$33)+1-760+234)))</f>
        <v>13.7334003448486</v>
      </c>
      <c r="IB97">
        <f ca="1">IF(ISERROR(INDEX(指数走势!$F$33:$ACK$33,1,LOOKUP(2,1/(指数走势!$F$33:$ACK$33&lt;&gt;""),COLUMN(指数走势!$F$33:$ACK$33))-COLUMN(指数走势!$F$33)+1-760+235)),NA(),IF(INDEX(指数走势!$F$33:$ACK$33,1,LOOKUP(2,1/(指数走势!$F$33:$ACK$33&lt;&gt;""),COLUMN(指数走势!$F$33:$ACK$33))-COLUMN(指数走势!$F$33)+1-760+235)=0,NA(),INDEX(指数走势!$F$33:$ACK$33,1,LOOKUP(2,1/(指数走势!$F$33:$ACK$33&lt;&gt;""),COLUMN(指数走势!$F$33:$ACK$33))-COLUMN(指数走势!$F$33)+1-760+235)))</f>
        <v>13.7659997940063</v>
      </c>
      <c r="IC97">
        <f ca="1">IF(ISERROR(INDEX(指数走势!$F$33:$ACK$33,1,LOOKUP(2,1/(指数走势!$F$33:$ACK$33&lt;&gt;""),COLUMN(指数走势!$F$33:$ACK$33))-COLUMN(指数走势!$F$33)+1-760+236)),NA(),IF(INDEX(指数走势!$F$33:$ACK$33,1,LOOKUP(2,1/(指数走势!$F$33:$ACK$33&lt;&gt;""),COLUMN(指数走势!$F$33:$ACK$33))-COLUMN(指数走势!$F$33)+1-760+236)=0,NA(),INDEX(指数走势!$F$33:$ACK$33,1,LOOKUP(2,1/(指数走势!$F$33:$ACK$33&lt;&gt;""),COLUMN(指数走势!$F$33:$ACK$33))-COLUMN(指数走势!$F$33)+1-760+236)))</f>
        <v>13.6923999786377</v>
      </c>
      <c r="ID97">
        <f ca="1">IF(ISERROR(INDEX(指数走势!$F$33:$ACK$33,1,LOOKUP(2,1/(指数走势!$F$33:$ACK$33&lt;&gt;""),COLUMN(指数走势!$F$33:$ACK$33))-COLUMN(指数走势!$F$33)+1-760+237)),NA(),IF(INDEX(指数走势!$F$33:$ACK$33,1,LOOKUP(2,1/(指数走势!$F$33:$ACK$33&lt;&gt;""),COLUMN(指数走势!$F$33:$ACK$33))-COLUMN(指数走势!$F$33)+1-760+237)=0,NA(),INDEX(指数走势!$F$33:$ACK$33,1,LOOKUP(2,1/(指数走势!$F$33:$ACK$33&lt;&gt;""),COLUMN(指数走势!$F$33:$ACK$33))-COLUMN(指数走势!$F$33)+1-760+237)))</f>
        <v>13.785400390625</v>
      </c>
      <c r="IE97">
        <f ca="1">IF(ISERROR(INDEX(指数走势!$F$33:$ACK$33,1,LOOKUP(2,1/(指数走势!$F$33:$ACK$33&lt;&gt;""),COLUMN(指数走势!$F$33:$ACK$33))-COLUMN(指数走势!$F$33)+1-760+238)),NA(),IF(INDEX(指数走势!$F$33:$ACK$33,1,LOOKUP(2,1/(指数走势!$F$33:$ACK$33&lt;&gt;""),COLUMN(指数走势!$F$33:$ACK$33))-COLUMN(指数走势!$F$33)+1-760+238)=0,NA(),INDEX(指数走势!$F$33:$ACK$33,1,LOOKUP(2,1/(指数走势!$F$33:$ACK$33&lt;&gt;""),COLUMN(指数走势!$F$33:$ACK$33))-COLUMN(指数走势!$F$33)+1-760+238)))</f>
        <v>13.8163003921509</v>
      </c>
      <c r="IF97">
        <f ca="1">IF(ISERROR(INDEX(指数走势!$F$33:$ACK$33,1,LOOKUP(2,1/(指数走势!$F$33:$ACK$33&lt;&gt;""),COLUMN(指数走势!$F$33:$ACK$33))-COLUMN(指数走势!$F$33)+1-760+239)),NA(),IF(INDEX(指数走势!$F$33:$ACK$33,1,LOOKUP(2,1/(指数走势!$F$33:$ACK$33&lt;&gt;""),COLUMN(指数走势!$F$33:$ACK$33))-COLUMN(指数走势!$F$33)+1-760+239)=0,NA(),INDEX(指数走势!$F$33:$ACK$33,1,LOOKUP(2,1/(指数走势!$F$33:$ACK$33&lt;&gt;""),COLUMN(指数走势!$F$33:$ACK$33))-COLUMN(指数走势!$F$33)+1-760+239)))</f>
        <v>13.7811002731323</v>
      </c>
      <c r="IG97">
        <f ca="1">IF(ISERROR(INDEX(指数走势!$F$33:$ACK$33,1,LOOKUP(2,1/(指数走势!$F$33:$ACK$33&lt;&gt;""),COLUMN(指数走势!$F$33:$ACK$33))-COLUMN(指数走势!$F$33)+1-760+240)),NA(),IF(INDEX(指数走势!$F$33:$ACK$33,1,LOOKUP(2,1/(指数走势!$F$33:$ACK$33&lt;&gt;""),COLUMN(指数走势!$F$33:$ACK$33))-COLUMN(指数走势!$F$33)+1-760+240)=0,NA(),INDEX(指数走势!$F$33:$ACK$33,1,LOOKUP(2,1/(指数走势!$F$33:$ACK$33&lt;&gt;""),COLUMN(指数走势!$F$33:$ACK$33))-COLUMN(指数走势!$F$33)+1-760+240)))</f>
        <v>13.7613000869751</v>
      </c>
      <c r="IH97">
        <f ca="1">IF(ISERROR(INDEX(指数走势!$F$33:$ACK$33,1,LOOKUP(2,1/(指数走势!$F$33:$ACK$33&lt;&gt;""),COLUMN(指数走势!$F$33:$ACK$33))-COLUMN(指数走势!$F$33)+1-760+241)),NA(),IF(INDEX(指数走势!$F$33:$ACK$33,1,LOOKUP(2,1/(指数走势!$F$33:$ACK$33&lt;&gt;""),COLUMN(指数走势!$F$33:$ACK$33))-COLUMN(指数走势!$F$33)+1-760+241)=0,NA(),INDEX(指数走势!$F$33:$ACK$33,1,LOOKUP(2,1/(指数走势!$F$33:$ACK$33&lt;&gt;""),COLUMN(指数走势!$F$33:$ACK$33))-COLUMN(指数走势!$F$33)+1-760+241)))</f>
        <v>13.6519002914429</v>
      </c>
      <c r="II97">
        <f ca="1">IF(ISERROR(INDEX(指数走势!$F$33:$ACK$33,1,LOOKUP(2,1/(指数走势!$F$33:$ACK$33&lt;&gt;""),COLUMN(指数走势!$F$33:$ACK$33))-COLUMN(指数走势!$F$33)+1-760+242)),NA(),IF(INDEX(指数走势!$F$33:$ACK$33,1,LOOKUP(2,1/(指数走势!$F$33:$ACK$33&lt;&gt;""),COLUMN(指数走势!$F$33:$ACK$33))-COLUMN(指数走势!$F$33)+1-760+242)=0,NA(),INDEX(指数走势!$F$33:$ACK$33,1,LOOKUP(2,1/(指数走势!$F$33:$ACK$33&lt;&gt;""),COLUMN(指数走势!$F$33:$ACK$33))-COLUMN(指数走势!$F$33)+1-760+242)))</f>
        <v>13.6700000762939</v>
      </c>
      <c r="IJ97">
        <f ca="1">IF(ISERROR(INDEX(指数走势!$F$33:$ACK$33,1,LOOKUP(2,1/(指数走势!$F$33:$ACK$33&lt;&gt;""),COLUMN(指数走势!$F$33:$ACK$33))-COLUMN(指数走势!$F$33)+1-760+243)),NA(),IF(INDEX(指数走势!$F$33:$ACK$33,1,LOOKUP(2,1/(指数走势!$F$33:$ACK$33&lt;&gt;""),COLUMN(指数走势!$F$33:$ACK$33))-COLUMN(指数走势!$F$33)+1-760+243)=0,NA(),INDEX(指数走势!$F$33:$ACK$33,1,LOOKUP(2,1/(指数走势!$F$33:$ACK$33&lt;&gt;""),COLUMN(指数走势!$F$33:$ACK$33))-COLUMN(指数走势!$F$33)+1-760+243)))</f>
        <v>13.7931995391846</v>
      </c>
      <c r="IK97">
        <f ca="1">IF(ISERROR(INDEX(指数走势!$F$33:$ACK$33,1,LOOKUP(2,1/(指数走势!$F$33:$ACK$33&lt;&gt;""),COLUMN(指数走势!$F$33:$ACK$33))-COLUMN(指数走势!$F$33)+1-760+244)),NA(),IF(INDEX(指数走势!$F$33:$ACK$33,1,LOOKUP(2,1/(指数走势!$F$33:$ACK$33&lt;&gt;""),COLUMN(指数走势!$F$33:$ACK$33))-COLUMN(指数走势!$F$33)+1-760+244)=0,NA(),INDEX(指数走势!$F$33:$ACK$33,1,LOOKUP(2,1/(指数走势!$F$33:$ACK$33&lt;&gt;""),COLUMN(指数走势!$F$33:$ACK$33))-COLUMN(指数走势!$F$33)+1-760+244)))</f>
        <v>13.87380027771</v>
      </c>
      <c r="IL97">
        <f ca="1">IF(ISERROR(INDEX(指数走势!$F$33:$ACK$33,1,LOOKUP(2,1/(指数走势!$F$33:$ACK$33&lt;&gt;""),COLUMN(指数走势!$F$33:$ACK$33))-COLUMN(指数走势!$F$33)+1-760+245)),NA(),IF(INDEX(指数走势!$F$33:$ACK$33,1,LOOKUP(2,1/(指数走势!$F$33:$ACK$33&lt;&gt;""),COLUMN(指数走势!$F$33:$ACK$33))-COLUMN(指数走势!$F$33)+1-760+245)=0,NA(),INDEX(指数走势!$F$33:$ACK$33,1,LOOKUP(2,1/(指数走势!$F$33:$ACK$33&lt;&gt;""),COLUMN(指数走势!$F$33:$ACK$33))-COLUMN(指数走势!$F$33)+1-760+245)))</f>
        <v>13.8246002197266</v>
      </c>
      <c r="IM97">
        <f ca="1">IF(ISERROR(INDEX(指数走势!$F$33:$ACK$33,1,LOOKUP(2,1/(指数走势!$F$33:$ACK$33&lt;&gt;""),COLUMN(指数走势!$F$33:$ACK$33))-COLUMN(指数走势!$F$33)+1-760+246)),NA(),IF(INDEX(指数走势!$F$33:$ACK$33,1,LOOKUP(2,1/(指数走势!$F$33:$ACK$33&lt;&gt;""),COLUMN(指数走势!$F$33:$ACK$33))-COLUMN(指数走势!$F$33)+1-760+246)=0,NA(),INDEX(指数走势!$F$33:$ACK$33,1,LOOKUP(2,1/(指数走势!$F$33:$ACK$33&lt;&gt;""),COLUMN(指数走势!$F$33:$ACK$33))-COLUMN(指数走势!$F$33)+1-760+246)))</f>
        <v>13.8246002197266</v>
      </c>
      <c r="IN97">
        <f ca="1">IF(ISERROR(INDEX(指数走势!$F$33:$ACK$33,1,LOOKUP(2,1/(指数走势!$F$33:$ACK$33&lt;&gt;""),COLUMN(指数走势!$F$33:$ACK$33))-COLUMN(指数走势!$F$33)+1-760+247)),NA(),IF(INDEX(指数走势!$F$33:$ACK$33,1,LOOKUP(2,1/(指数走势!$F$33:$ACK$33&lt;&gt;""),COLUMN(指数走势!$F$33:$ACK$33))-COLUMN(指数走势!$F$33)+1-760+247)=0,NA(),INDEX(指数走势!$F$33:$ACK$33,1,LOOKUP(2,1/(指数走势!$F$33:$ACK$33&lt;&gt;""),COLUMN(指数走势!$F$33:$ACK$33))-COLUMN(指数走势!$F$33)+1-760+247)))</f>
        <v>13.6521997451782</v>
      </c>
      <c r="IO97">
        <f ca="1">IF(ISERROR(INDEX(指数走势!$F$33:$ACK$33,1,LOOKUP(2,1/(指数走势!$F$33:$ACK$33&lt;&gt;""),COLUMN(指数走势!$F$33:$ACK$33))-COLUMN(指数走势!$F$33)+1-760+248)),NA(),IF(INDEX(指数走势!$F$33:$ACK$33,1,LOOKUP(2,1/(指数走势!$F$33:$ACK$33&lt;&gt;""),COLUMN(指数走势!$F$33:$ACK$33))-COLUMN(指数走势!$F$33)+1-760+248)=0,NA(),INDEX(指数走势!$F$33:$ACK$33,1,LOOKUP(2,1/(指数走势!$F$33:$ACK$33&lt;&gt;""),COLUMN(指数走势!$F$33:$ACK$33))-COLUMN(指数走势!$F$33)+1-760+248)))</f>
        <v>13.5408000946045</v>
      </c>
      <c r="IP97">
        <f ca="1">IF(ISERROR(INDEX(指数走势!$F$33:$ACK$33,1,LOOKUP(2,1/(指数走势!$F$33:$ACK$33&lt;&gt;""),COLUMN(指数走势!$F$33:$ACK$33))-COLUMN(指数走势!$F$33)+1-760+249)),NA(),IF(INDEX(指数走势!$F$33:$ACK$33,1,LOOKUP(2,1/(指数走势!$F$33:$ACK$33&lt;&gt;""),COLUMN(指数走势!$F$33:$ACK$33))-COLUMN(指数走势!$F$33)+1-760+249)=0,NA(),INDEX(指数走势!$F$33:$ACK$33,1,LOOKUP(2,1/(指数走势!$F$33:$ACK$33&lt;&gt;""),COLUMN(指数走势!$F$33:$ACK$33))-COLUMN(指数走势!$F$33)+1-760+249)))</f>
        <v>13.707200050354</v>
      </c>
      <c r="IQ97">
        <f ca="1">IF(ISERROR(INDEX(指数走势!$F$33:$ACK$33,1,LOOKUP(2,1/(指数走势!$F$33:$ACK$33&lt;&gt;""),COLUMN(指数走势!$F$33:$ACK$33))-COLUMN(指数走势!$F$33)+1-760+250)),NA(),IF(INDEX(指数走势!$F$33:$ACK$33,1,LOOKUP(2,1/(指数走势!$F$33:$ACK$33&lt;&gt;""),COLUMN(指数走势!$F$33:$ACK$33))-COLUMN(指数走势!$F$33)+1-760+250)=0,NA(),INDEX(指数走势!$F$33:$ACK$33,1,LOOKUP(2,1/(指数走势!$F$33:$ACK$33&lt;&gt;""),COLUMN(指数走势!$F$33:$ACK$33))-COLUMN(指数走势!$F$33)+1-760+250)))</f>
        <v>13.6529998779297</v>
      </c>
      <c r="IR97">
        <f ca="1">IF(ISERROR(INDEX(指数走势!$F$33:$ACK$33,1,LOOKUP(2,1/(指数走势!$F$33:$ACK$33&lt;&gt;""),COLUMN(指数走势!$F$33:$ACK$33))-COLUMN(指数走势!$F$33)+1-760+251)),NA(),IF(INDEX(指数走势!$F$33:$ACK$33,1,LOOKUP(2,1/(指数走势!$F$33:$ACK$33&lt;&gt;""),COLUMN(指数走势!$F$33:$ACK$33))-COLUMN(指数走势!$F$33)+1-760+251)=0,NA(),INDEX(指数走势!$F$33:$ACK$33,1,LOOKUP(2,1/(指数走势!$F$33:$ACK$33&lt;&gt;""),COLUMN(指数走势!$F$33:$ACK$33))-COLUMN(指数走势!$F$33)+1-760+251)))</f>
        <v>13.6639995574951</v>
      </c>
      <c r="IS97">
        <f ca="1">IF(ISERROR(INDEX(指数走势!$F$33:$ACK$33,1,LOOKUP(2,1/(指数走势!$F$33:$ACK$33&lt;&gt;""),COLUMN(指数走势!$F$33:$ACK$33))-COLUMN(指数走势!$F$33)+1-760+252)),NA(),IF(INDEX(指数走势!$F$33:$ACK$33,1,LOOKUP(2,1/(指数走势!$F$33:$ACK$33&lt;&gt;""),COLUMN(指数走势!$F$33:$ACK$33))-COLUMN(指数走势!$F$33)+1-760+252)=0,NA(),INDEX(指数走势!$F$33:$ACK$33,1,LOOKUP(2,1/(指数走势!$F$33:$ACK$33&lt;&gt;""),COLUMN(指数走势!$F$33:$ACK$33))-COLUMN(指数走势!$F$33)+1-760+252)))</f>
        <v>13.5790004730225</v>
      </c>
      <c r="IT97">
        <f ca="1">IF(ISERROR(INDEX(指数走势!$F$33:$ACK$33,1,LOOKUP(2,1/(指数走势!$F$33:$ACK$33&lt;&gt;""),COLUMN(指数走势!$F$33:$ACK$33))-COLUMN(指数走势!$F$33)+1-760+253)),NA(),IF(INDEX(指数走势!$F$33:$ACK$33,1,LOOKUP(2,1/(指数走势!$F$33:$ACK$33&lt;&gt;""),COLUMN(指数走势!$F$33:$ACK$33))-COLUMN(指数走势!$F$33)+1-760+253)=0,NA(),INDEX(指数走势!$F$33:$ACK$33,1,LOOKUP(2,1/(指数走势!$F$33:$ACK$33&lt;&gt;""),COLUMN(指数走势!$F$33:$ACK$33))-COLUMN(指数走势!$F$33)+1-760+253)))</f>
        <v>13.5578002929687</v>
      </c>
      <c r="IU97">
        <f ca="1">IF(ISERROR(INDEX(指数走势!$F$33:$ACK$33,1,LOOKUP(2,1/(指数走势!$F$33:$ACK$33&lt;&gt;""),COLUMN(指数走势!$F$33:$ACK$33))-COLUMN(指数走势!$F$33)+1-760+254)),NA(),IF(INDEX(指数走势!$F$33:$ACK$33,1,LOOKUP(2,1/(指数走势!$F$33:$ACK$33&lt;&gt;""),COLUMN(指数走势!$F$33:$ACK$33))-COLUMN(指数走势!$F$33)+1-760+254)=0,NA(),INDEX(指数走势!$F$33:$ACK$33,1,LOOKUP(2,1/(指数走势!$F$33:$ACK$33&lt;&gt;""),COLUMN(指数走势!$F$33:$ACK$33))-COLUMN(指数走势!$F$33)+1-760+254)))</f>
        <v>13.5454998016357</v>
      </c>
      <c r="IV97">
        <f ca="1">IF(ISERROR(INDEX(指数走势!$F$33:$ACK$33,1,LOOKUP(2,1/(指数走势!$F$33:$ACK$33&lt;&gt;""),COLUMN(指数走势!$F$33:$ACK$33))-COLUMN(指数走势!$F$33)+1-760+255)),NA(),IF(INDEX(指数走势!$F$33:$ACK$33,1,LOOKUP(2,1/(指数走势!$F$33:$ACK$33&lt;&gt;""),COLUMN(指数走势!$F$33:$ACK$33))-COLUMN(指数走势!$F$33)+1-760+255)=0,NA(),INDEX(指数走势!$F$33:$ACK$33,1,LOOKUP(2,1/(指数走势!$F$33:$ACK$33&lt;&gt;""),COLUMN(指数走势!$F$33:$ACK$33))-COLUMN(指数走势!$F$33)+1-760+255)))</f>
        <v>13.5961999893188</v>
      </c>
      <c r="IW97">
        <f ca="1">IF(ISERROR(INDEX(指数走势!$F$33:$ACK$33,1,LOOKUP(2,1/(指数走势!$F$33:$ACK$33&lt;&gt;""),COLUMN(指数走势!$F$33:$ACK$33))-COLUMN(指数走势!$F$33)+1-760+256)),NA(),IF(INDEX(指数走势!$F$33:$ACK$33,1,LOOKUP(2,1/(指数走势!$F$33:$ACK$33&lt;&gt;""),COLUMN(指数走势!$F$33:$ACK$33))-COLUMN(指数走势!$F$33)+1-760+256)=0,NA(),INDEX(指数走势!$F$33:$ACK$33,1,LOOKUP(2,1/(指数走势!$F$33:$ACK$33&lt;&gt;""),COLUMN(指数走势!$F$33:$ACK$33))-COLUMN(指数走势!$F$33)+1-760+256)))</f>
        <v>13.4886999130249</v>
      </c>
      <c r="IX97">
        <f ca="1">IF(ISERROR(INDEX(指数走势!$F$33:$ACK$33,1,LOOKUP(2,1/(指数走势!$F$33:$ACK$33&lt;&gt;""),COLUMN(指数走势!$F$33:$ACK$33))-COLUMN(指数走势!$F$33)+1-760+257)),NA(),IF(INDEX(指数走势!$F$33:$ACK$33,1,LOOKUP(2,1/(指数走势!$F$33:$ACK$33&lt;&gt;""),COLUMN(指数走势!$F$33:$ACK$33))-COLUMN(指数走势!$F$33)+1-760+257)=0,NA(),INDEX(指数走势!$F$33:$ACK$33,1,LOOKUP(2,1/(指数走势!$F$33:$ACK$33&lt;&gt;""),COLUMN(指数走势!$F$33:$ACK$33))-COLUMN(指数走势!$F$33)+1-760+257)))</f>
        <v>13.4331998825073</v>
      </c>
      <c r="IY97">
        <f ca="1">IF(ISERROR(INDEX(指数走势!$F$33:$ACK$33,1,LOOKUP(2,1/(指数走势!$F$33:$ACK$33&lt;&gt;""),COLUMN(指数走势!$F$33:$ACK$33))-COLUMN(指数走势!$F$33)+1-760+258)),NA(),IF(INDEX(指数走势!$F$33:$ACK$33,1,LOOKUP(2,1/(指数走势!$F$33:$ACK$33&lt;&gt;""),COLUMN(指数走势!$F$33:$ACK$33))-COLUMN(指数走势!$F$33)+1-760+258)=0,NA(),INDEX(指数走势!$F$33:$ACK$33,1,LOOKUP(2,1/(指数走势!$F$33:$ACK$33&lt;&gt;""),COLUMN(指数走势!$F$33:$ACK$33))-COLUMN(指数走势!$F$33)+1-760+258)))</f>
        <v>13.4596004486084</v>
      </c>
      <c r="IZ97">
        <f ca="1">IF(ISERROR(INDEX(指数走势!$F$33:$ACK$33,1,LOOKUP(2,1/(指数走势!$F$33:$ACK$33&lt;&gt;""),COLUMN(指数走势!$F$33:$ACK$33))-COLUMN(指数走势!$F$33)+1-760+259)),NA(),IF(INDEX(指数走势!$F$33:$ACK$33,1,LOOKUP(2,1/(指数走势!$F$33:$ACK$33&lt;&gt;""),COLUMN(指数走势!$F$33:$ACK$33))-COLUMN(指数走势!$F$33)+1-760+259)=0,NA(),INDEX(指数走势!$F$33:$ACK$33,1,LOOKUP(2,1/(指数走势!$F$33:$ACK$33&lt;&gt;""),COLUMN(指数走势!$F$33:$ACK$33))-COLUMN(指数走势!$F$33)+1-760+259)))</f>
        <v>13.3559999465942</v>
      </c>
      <c r="JA97">
        <f ca="1">IF(ISERROR(INDEX(指数走势!$F$33:$ACK$33,1,LOOKUP(2,1/(指数走势!$F$33:$ACK$33&lt;&gt;""),COLUMN(指数走势!$F$33:$ACK$33))-COLUMN(指数走势!$F$33)+1-760+260)),NA(),IF(INDEX(指数走势!$F$33:$ACK$33,1,LOOKUP(2,1/(指数走势!$F$33:$ACK$33&lt;&gt;""),COLUMN(指数走势!$F$33:$ACK$33))-COLUMN(指数走势!$F$33)+1-760+260)=0,NA(),INDEX(指数走势!$F$33:$ACK$33,1,LOOKUP(2,1/(指数走势!$F$33:$ACK$33&lt;&gt;""),COLUMN(指数走势!$F$33:$ACK$33))-COLUMN(指数走势!$F$33)+1-760+260)))</f>
        <v>13.4017000198364</v>
      </c>
      <c r="JB97">
        <f ca="1">IF(ISERROR(INDEX(指数走势!$F$33:$ACK$33,1,LOOKUP(2,1/(指数走势!$F$33:$ACK$33&lt;&gt;""),COLUMN(指数走势!$F$33:$ACK$33))-COLUMN(指数走势!$F$33)+1-760+261)),NA(),IF(INDEX(指数走势!$F$33:$ACK$33,1,LOOKUP(2,1/(指数走势!$F$33:$ACK$33&lt;&gt;""),COLUMN(指数走势!$F$33:$ACK$33))-COLUMN(指数走势!$F$33)+1-760+261)=0,NA(),INDEX(指数走势!$F$33:$ACK$33,1,LOOKUP(2,1/(指数走势!$F$33:$ACK$33&lt;&gt;""),COLUMN(指数走势!$F$33:$ACK$33))-COLUMN(指数走势!$F$33)+1-760+261)))</f>
        <v>13.3712997436523</v>
      </c>
      <c r="JC97">
        <f ca="1">IF(ISERROR(INDEX(指数走势!$F$33:$ACK$33,1,LOOKUP(2,1/(指数走势!$F$33:$ACK$33&lt;&gt;""),COLUMN(指数走势!$F$33:$ACK$33))-COLUMN(指数走势!$F$33)+1-760+262)),NA(),IF(INDEX(指数走势!$F$33:$ACK$33,1,LOOKUP(2,1/(指数走势!$F$33:$ACK$33&lt;&gt;""),COLUMN(指数走势!$F$33:$ACK$33))-COLUMN(指数走势!$F$33)+1-760+262)=0,NA(),INDEX(指数走势!$F$33:$ACK$33,1,LOOKUP(2,1/(指数走势!$F$33:$ACK$33&lt;&gt;""),COLUMN(指数走势!$F$33:$ACK$33))-COLUMN(指数走势!$F$33)+1-760+262)))</f>
        <v>13.3807001113892</v>
      </c>
      <c r="JD97">
        <f ca="1">IF(ISERROR(INDEX(指数走势!$F$33:$ACK$33,1,LOOKUP(2,1/(指数走势!$F$33:$ACK$33&lt;&gt;""),COLUMN(指数走势!$F$33:$ACK$33))-COLUMN(指数走势!$F$33)+1-760+263)),NA(),IF(INDEX(指数走势!$F$33:$ACK$33,1,LOOKUP(2,1/(指数走势!$F$33:$ACK$33&lt;&gt;""),COLUMN(指数走势!$F$33:$ACK$33))-COLUMN(指数走势!$F$33)+1-760+263)=0,NA(),INDEX(指数走势!$F$33:$ACK$33,1,LOOKUP(2,1/(指数走势!$F$33:$ACK$33&lt;&gt;""),COLUMN(指数走势!$F$33:$ACK$33))-COLUMN(指数走势!$F$33)+1-760+263)))</f>
        <v>13.2593002319336</v>
      </c>
      <c r="JE97">
        <f ca="1">IF(ISERROR(INDEX(指数走势!$F$33:$ACK$33,1,LOOKUP(2,1/(指数走势!$F$33:$ACK$33&lt;&gt;""),COLUMN(指数走势!$F$33:$ACK$33))-COLUMN(指数走势!$F$33)+1-760+264)),NA(),IF(INDEX(指数走势!$F$33:$ACK$33,1,LOOKUP(2,1/(指数走势!$F$33:$ACK$33&lt;&gt;""),COLUMN(指数走势!$F$33:$ACK$33))-COLUMN(指数走势!$F$33)+1-760+264)=0,NA(),INDEX(指数走势!$F$33:$ACK$33,1,LOOKUP(2,1/(指数走势!$F$33:$ACK$33&lt;&gt;""),COLUMN(指数走势!$F$33:$ACK$33))-COLUMN(指数走势!$F$33)+1-760+264)))</f>
        <v>13.3242998123169</v>
      </c>
      <c r="JF97">
        <f ca="1">IF(ISERROR(INDEX(指数走势!$F$33:$ACK$33,1,LOOKUP(2,1/(指数走势!$F$33:$ACK$33&lt;&gt;""),COLUMN(指数走势!$F$33:$ACK$33))-COLUMN(指数走势!$F$33)+1-760+265)),NA(),IF(INDEX(指数走势!$F$33:$ACK$33,1,LOOKUP(2,1/(指数走势!$F$33:$ACK$33&lt;&gt;""),COLUMN(指数走势!$F$33:$ACK$33))-COLUMN(指数走势!$F$33)+1-760+265)=0,NA(),INDEX(指数走势!$F$33:$ACK$33,1,LOOKUP(2,1/(指数走势!$F$33:$ACK$33&lt;&gt;""),COLUMN(指数走势!$F$33:$ACK$33))-COLUMN(指数走势!$F$33)+1-760+265)))</f>
        <v>13.3065004348755</v>
      </c>
      <c r="JG97">
        <f ca="1">IF(ISERROR(INDEX(指数走势!$F$33:$ACK$33,1,LOOKUP(2,1/(指数走势!$F$33:$ACK$33&lt;&gt;""),COLUMN(指数走势!$F$33:$ACK$33))-COLUMN(指数走势!$F$33)+1-760+266)),NA(),IF(INDEX(指数走势!$F$33:$ACK$33,1,LOOKUP(2,1/(指数走势!$F$33:$ACK$33&lt;&gt;""),COLUMN(指数走势!$F$33:$ACK$33))-COLUMN(指数走势!$F$33)+1-760+266)=0,NA(),INDEX(指数走势!$F$33:$ACK$33,1,LOOKUP(2,1/(指数走势!$F$33:$ACK$33&lt;&gt;""),COLUMN(指数走势!$F$33:$ACK$33))-COLUMN(指数走势!$F$33)+1-760+266)))</f>
        <v>13.2763004302979</v>
      </c>
      <c r="JH97">
        <f ca="1">IF(ISERROR(INDEX(指数走势!$F$33:$ACK$33,1,LOOKUP(2,1/(指数走势!$F$33:$ACK$33&lt;&gt;""),COLUMN(指数走势!$F$33:$ACK$33))-COLUMN(指数走势!$F$33)+1-760+267)),NA(),IF(INDEX(指数走势!$F$33:$ACK$33,1,LOOKUP(2,1/(指数走势!$F$33:$ACK$33&lt;&gt;""),COLUMN(指数走势!$F$33:$ACK$33))-COLUMN(指数走势!$F$33)+1-760+267)=0,NA(),INDEX(指数走势!$F$33:$ACK$33,1,LOOKUP(2,1/(指数走势!$F$33:$ACK$33&lt;&gt;""),COLUMN(指数走势!$F$33:$ACK$33))-COLUMN(指数走势!$F$33)+1-760+267)))</f>
        <v>13.2541999816895</v>
      </c>
      <c r="JI97">
        <f ca="1">IF(ISERROR(INDEX(指数走势!$F$33:$ACK$33,1,LOOKUP(2,1/(指数走势!$F$33:$ACK$33&lt;&gt;""),COLUMN(指数走势!$F$33:$ACK$33))-COLUMN(指数走势!$F$33)+1-760+268)),NA(),IF(INDEX(指数走势!$F$33:$ACK$33,1,LOOKUP(2,1/(指数走势!$F$33:$ACK$33&lt;&gt;""),COLUMN(指数走势!$F$33:$ACK$33))-COLUMN(指数走势!$F$33)+1-760+268)=0,NA(),INDEX(指数走势!$F$33:$ACK$33,1,LOOKUP(2,1/(指数走势!$F$33:$ACK$33&lt;&gt;""),COLUMN(指数走势!$F$33:$ACK$33))-COLUMN(指数走势!$F$33)+1-760+268)))</f>
        <v>13.1291999816895</v>
      </c>
      <c r="JJ97">
        <f ca="1">IF(ISERROR(INDEX(指数走势!$F$33:$ACK$33,1,LOOKUP(2,1/(指数走势!$F$33:$ACK$33&lt;&gt;""),COLUMN(指数走势!$F$33:$ACK$33))-COLUMN(指数走势!$F$33)+1-760+269)),NA(),IF(INDEX(指数走势!$F$33:$ACK$33,1,LOOKUP(2,1/(指数走势!$F$33:$ACK$33&lt;&gt;""),COLUMN(指数走势!$F$33:$ACK$33))-COLUMN(指数走势!$F$33)+1-760+269)=0,NA(),INDEX(指数走势!$F$33:$ACK$33,1,LOOKUP(2,1/(指数走势!$F$33:$ACK$33&lt;&gt;""),COLUMN(指数走势!$F$33:$ACK$33))-COLUMN(指数走势!$F$33)+1-760+269)))</f>
        <v>13.0773000717163</v>
      </c>
      <c r="JK97">
        <f ca="1">IF(ISERROR(INDEX(指数走势!$F$33:$ACK$33,1,LOOKUP(2,1/(指数走势!$F$33:$ACK$33&lt;&gt;""),COLUMN(指数走势!$F$33:$ACK$33))-COLUMN(指数走势!$F$33)+1-760+270)),NA(),IF(INDEX(指数走势!$F$33:$ACK$33,1,LOOKUP(2,1/(指数走势!$F$33:$ACK$33&lt;&gt;""),COLUMN(指数走势!$F$33:$ACK$33))-COLUMN(指数走势!$F$33)+1-760+270)=0,NA(),INDEX(指数走势!$F$33:$ACK$33,1,LOOKUP(2,1/(指数走势!$F$33:$ACK$33&lt;&gt;""),COLUMN(指数走势!$F$33:$ACK$33))-COLUMN(指数走势!$F$33)+1-760+270)))</f>
        <v>13.1625003814697</v>
      </c>
      <c r="JL97">
        <f ca="1">IF(ISERROR(INDEX(指数走势!$F$33:$ACK$33,1,LOOKUP(2,1/(指数走势!$F$33:$ACK$33&lt;&gt;""),COLUMN(指数走势!$F$33:$ACK$33))-COLUMN(指数走势!$F$33)+1-760+271)),NA(),IF(INDEX(指数走势!$F$33:$ACK$33,1,LOOKUP(2,1/(指数走势!$F$33:$ACK$33&lt;&gt;""),COLUMN(指数走势!$F$33:$ACK$33))-COLUMN(指数走势!$F$33)+1-760+271)=0,NA(),INDEX(指数走势!$F$33:$ACK$33,1,LOOKUP(2,1/(指数走势!$F$33:$ACK$33&lt;&gt;""),COLUMN(指数走势!$F$33:$ACK$33))-COLUMN(指数走势!$F$33)+1-760+271)))</f>
        <v>13.0825004577637</v>
      </c>
      <c r="JM97">
        <f ca="1">IF(ISERROR(INDEX(指数走势!$F$33:$ACK$33,1,LOOKUP(2,1/(指数走势!$F$33:$ACK$33&lt;&gt;""),COLUMN(指数走势!$F$33:$ACK$33))-COLUMN(指数走势!$F$33)+1-760+272)),NA(),IF(INDEX(指数走势!$F$33:$ACK$33,1,LOOKUP(2,1/(指数走势!$F$33:$ACK$33&lt;&gt;""),COLUMN(指数走势!$F$33:$ACK$33))-COLUMN(指数走势!$F$33)+1-760+272)=0,NA(),INDEX(指数走势!$F$33:$ACK$33,1,LOOKUP(2,1/(指数走势!$F$33:$ACK$33&lt;&gt;""),COLUMN(指数走势!$F$33:$ACK$33))-COLUMN(指数走势!$F$33)+1-760+272)))</f>
        <v>13.1963996887207</v>
      </c>
      <c r="JN97">
        <f ca="1">IF(ISERROR(INDEX(指数走势!$F$33:$ACK$33,1,LOOKUP(2,1/(指数走势!$F$33:$ACK$33&lt;&gt;""),COLUMN(指数走势!$F$33:$ACK$33))-COLUMN(指数走势!$F$33)+1-760+273)),NA(),IF(INDEX(指数走势!$F$33:$ACK$33,1,LOOKUP(2,1/(指数走势!$F$33:$ACK$33&lt;&gt;""),COLUMN(指数走势!$F$33:$ACK$33))-COLUMN(指数走势!$F$33)+1-760+273)=0,NA(),INDEX(指数走势!$F$33:$ACK$33,1,LOOKUP(2,1/(指数走势!$F$33:$ACK$33&lt;&gt;""),COLUMN(指数走势!$F$33:$ACK$33))-COLUMN(指数走势!$F$33)+1-760+273)))</f>
        <v>13.331000328064</v>
      </c>
      <c r="JO97">
        <f ca="1">IF(ISERROR(INDEX(指数走势!$F$33:$ACK$33,1,LOOKUP(2,1/(指数走势!$F$33:$ACK$33&lt;&gt;""),COLUMN(指数走势!$F$33:$ACK$33))-COLUMN(指数走势!$F$33)+1-760+274)),NA(),IF(INDEX(指数走势!$F$33:$ACK$33,1,LOOKUP(2,1/(指数走势!$F$33:$ACK$33&lt;&gt;""),COLUMN(指数走势!$F$33:$ACK$33))-COLUMN(指数走势!$F$33)+1-760+274)=0,NA(),INDEX(指数走势!$F$33:$ACK$33,1,LOOKUP(2,1/(指数走势!$F$33:$ACK$33&lt;&gt;""),COLUMN(指数走势!$F$33:$ACK$33))-COLUMN(指数走势!$F$33)+1-760+274)))</f>
        <v>13.3736000061035</v>
      </c>
      <c r="JP97">
        <f ca="1">IF(ISERROR(INDEX(指数走势!$F$33:$ACK$33,1,LOOKUP(2,1/(指数走势!$F$33:$ACK$33&lt;&gt;""),COLUMN(指数走势!$F$33:$ACK$33))-COLUMN(指数走势!$F$33)+1-760+275)),NA(),IF(INDEX(指数走势!$F$33:$ACK$33,1,LOOKUP(2,1/(指数走势!$F$33:$ACK$33&lt;&gt;""),COLUMN(指数走势!$F$33:$ACK$33))-COLUMN(指数走势!$F$33)+1-760+275)=0,NA(),INDEX(指数走势!$F$33:$ACK$33,1,LOOKUP(2,1/(指数走势!$F$33:$ACK$33&lt;&gt;""),COLUMN(指数走势!$F$33:$ACK$33))-COLUMN(指数走势!$F$33)+1-760+275)))</f>
        <v>13.3141002655029</v>
      </c>
      <c r="JQ97">
        <f ca="1">IF(ISERROR(INDEX(指数走势!$F$33:$ACK$33,1,LOOKUP(2,1/(指数走势!$F$33:$ACK$33&lt;&gt;""),COLUMN(指数走势!$F$33:$ACK$33))-COLUMN(指数走势!$F$33)+1-760+276)),NA(),IF(INDEX(指数走势!$F$33:$ACK$33,1,LOOKUP(2,1/(指数走势!$F$33:$ACK$33&lt;&gt;""),COLUMN(指数走势!$F$33:$ACK$33))-COLUMN(指数走势!$F$33)+1-760+276)=0,NA(),INDEX(指数走势!$F$33:$ACK$33,1,LOOKUP(2,1/(指数走势!$F$33:$ACK$33&lt;&gt;""),COLUMN(指数走势!$F$33:$ACK$33))-COLUMN(指数走势!$F$33)+1-760+276)))</f>
        <v>13.2259998321533</v>
      </c>
      <c r="JR97">
        <f ca="1">IF(ISERROR(INDEX(指数走势!$F$33:$ACK$33,1,LOOKUP(2,1/(指数走势!$F$33:$ACK$33&lt;&gt;""),COLUMN(指数走势!$F$33:$ACK$33))-COLUMN(指数走势!$F$33)+1-760+277)),NA(),IF(INDEX(指数走势!$F$33:$ACK$33,1,LOOKUP(2,1/(指数走势!$F$33:$ACK$33&lt;&gt;""),COLUMN(指数走势!$F$33:$ACK$33))-COLUMN(指数走势!$F$33)+1-760+277)=0,NA(),INDEX(指数走势!$F$33:$ACK$33,1,LOOKUP(2,1/(指数走势!$F$33:$ACK$33&lt;&gt;""),COLUMN(指数走势!$F$33:$ACK$33))-COLUMN(指数走势!$F$33)+1-760+277)))</f>
        <v>13.1665000915527</v>
      </c>
      <c r="JS97">
        <f ca="1">IF(ISERROR(INDEX(指数走势!$F$33:$ACK$33,1,LOOKUP(2,1/(指数走势!$F$33:$ACK$33&lt;&gt;""),COLUMN(指数走势!$F$33:$ACK$33))-COLUMN(指数走势!$F$33)+1-760+278)),NA(),IF(INDEX(指数走势!$F$33:$ACK$33,1,LOOKUP(2,1/(指数走势!$F$33:$ACK$33&lt;&gt;""),COLUMN(指数走势!$F$33:$ACK$33))-COLUMN(指数走势!$F$33)+1-760+278)=0,NA(),INDEX(指数走势!$F$33:$ACK$33,1,LOOKUP(2,1/(指数走势!$F$33:$ACK$33&lt;&gt;""),COLUMN(指数走势!$F$33:$ACK$33))-COLUMN(指数走势!$F$33)+1-760+278)))</f>
        <v>13.0803003311157</v>
      </c>
      <c r="JT97">
        <f ca="1">IF(ISERROR(INDEX(指数走势!$F$33:$ACK$33,1,LOOKUP(2,1/(指数走势!$F$33:$ACK$33&lt;&gt;""),COLUMN(指数走势!$F$33:$ACK$33))-COLUMN(指数走势!$F$33)+1-760+279)),NA(),IF(INDEX(指数走势!$F$33:$ACK$33,1,LOOKUP(2,1/(指数走势!$F$33:$ACK$33&lt;&gt;""),COLUMN(指数走势!$F$33:$ACK$33))-COLUMN(指数走势!$F$33)+1-760+279)=0,NA(),INDEX(指数走势!$F$33:$ACK$33,1,LOOKUP(2,1/(指数走势!$F$33:$ACK$33&lt;&gt;""),COLUMN(指数走势!$F$33:$ACK$33))-COLUMN(指数走势!$F$33)+1-760+279)))</f>
        <v>13.2223997116089</v>
      </c>
      <c r="JU97">
        <f ca="1">IF(ISERROR(INDEX(指数走势!$F$33:$ACK$33,1,LOOKUP(2,1/(指数走势!$F$33:$ACK$33&lt;&gt;""),COLUMN(指数走势!$F$33:$ACK$33))-COLUMN(指数走势!$F$33)+1-760+280)),NA(),IF(INDEX(指数走势!$F$33:$ACK$33,1,LOOKUP(2,1/(指数走势!$F$33:$ACK$33&lt;&gt;""),COLUMN(指数走势!$F$33:$ACK$33))-COLUMN(指数走势!$F$33)+1-760+280)=0,NA(),INDEX(指数走势!$F$33:$ACK$33,1,LOOKUP(2,1/(指数走势!$F$33:$ACK$33&lt;&gt;""),COLUMN(指数走势!$F$33:$ACK$33))-COLUMN(指数走势!$F$33)+1-760+280)))</f>
        <v>13.132399559021</v>
      </c>
      <c r="JV97">
        <f ca="1">IF(ISERROR(INDEX(指数走势!$F$33:$ACK$33,1,LOOKUP(2,1/(指数走势!$F$33:$ACK$33&lt;&gt;""),COLUMN(指数走势!$F$33:$ACK$33))-COLUMN(指数走势!$F$33)+1-760+281)),NA(),IF(INDEX(指数走势!$F$33:$ACK$33,1,LOOKUP(2,1/(指数走势!$F$33:$ACK$33&lt;&gt;""),COLUMN(指数走势!$F$33:$ACK$33))-COLUMN(指数走势!$F$33)+1-760+281)=0,NA(),INDEX(指数走势!$F$33:$ACK$33,1,LOOKUP(2,1/(指数走势!$F$33:$ACK$33&lt;&gt;""),COLUMN(指数走势!$F$33:$ACK$33))-COLUMN(指数走势!$F$33)+1-760+281)))</f>
        <v>13.2392997741699</v>
      </c>
      <c r="JW97">
        <f ca="1">IF(ISERROR(INDEX(指数走势!$F$33:$ACK$33,1,LOOKUP(2,1/(指数走势!$F$33:$ACK$33&lt;&gt;""),COLUMN(指数走势!$F$33:$ACK$33))-COLUMN(指数走势!$F$33)+1-760+282)),NA(),IF(INDEX(指数走势!$F$33:$ACK$33,1,LOOKUP(2,1/(指数走势!$F$33:$ACK$33&lt;&gt;""),COLUMN(指数走势!$F$33:$ACK$33))-COLUMN(指数走势!$F$33)+1-760+282)=0,NA(),INDEX(指数走势!$F$33:$ACK$33,1,LOOKUP(2,1/(指数走势!$F$33:$ACK$33&lt;&gt;""),COLUMN(指数走势!$F$33:$ACK$33))-COLUMN(指数走势!$F$33)+1-760+282)))</f>
        <v>13.2433004379272</v>
      </c>
      <c r="JX97">
        <f ca="1">IF(ISERROR(INDEX(指数走势!$F$33:$ACK$33,1,LOOKUP(2,1/(指数走势!$F$33:$ACK$33&lt;&gt;""),COLUMN(指数走势!$F$33:$ACK$33))-COLUMN(指数走势!$F$33)+1-760+283)),NA(),IF(INDEX(指数走势!$F$33:$ACK$33,1,LOOKUP(2,1/(指数走势!$F$33:$ACK$33&lt;&gt;""),COLUMN(指数走势!$F$33:$ACK$33))-COLUMN(指数走势!$F$33)+1-760+283)=0,NA(),INDEX(指数走势!$F$33:$ACK$33,1,LOOKUP(2,1/(指数走势!$F$33:$ACK$33&lt;&gt;""),COLUMN(指数走势!$F$33:$ACK$33))-COLUMN(指数走势!$F$33)+1-760+283)))</f>
        <v>13.2871999740601</v>
      </c>
      <c r="JY97">
        <f ca="1">IF(ISERROR(INDEX(指数走势!$F$33:$ACK$33,1,LOOKUP(2,1/(指数走势!$F$33:$ACK$33&lt;&gt;""),COLUMN(指数走势!$F$33:$ACK$33))-COLUMN(指数走势!$F$33)+1-760+284)),NA(),IF(INDEX(指数走势!$F$33:$ACK$33,1,LOOKUP(2,1/(指数走势!$F$33:$ACK$33&lt;&gt;""),COLUMN(指数走势!$F$33:$ACK$33))-COLUMN(指数走势!$F$33)+1-760+284)=0,NA(),INDEX(指数走势!$F$33:$ACK$33,1,LOOKUP(2,1/(指数走势!$F$33:$ACK$33&lt;&gt;""),COLUMN(指数走势!$F$33:$ACK$33))-COLUMN(指数走势!$F$33)+1-760+284)))</f>
        <v>13.2938003540039</v>
      </c>
      <c r="JZ97">
        <f ca="1">IF(ISERROR(INDEX(指数走势!$F$33:$ACK$33,1,LOOKUP(2,1/(指数走势!$F$33:$ACK$33&lt;&gt;""),COLUMN(指数走势!$F$33:$ACK$33))-COLUMN(指数走势!$F$33)+1-760+285)),NA(),IF(INDEX(指数走势!$F$33:$ACK$33,1,LOOKUP(2,1/(指数走势!$F$33:$ACK$33&lt;&gt;""),COLUMN(指数走势!$F$33:$ACK$33))-COLUMN(指数走势!$F$33)+1-760+285)=0,NA(),INDEX(指数走势!$F$33:$ACK$33,1,LOOKUP(2,1/(指数走势!$F$33:$ACK$33&lt;&gt;""),COLUMN(指数走势!$F$33:$ACK$33))-COLUMN(指数走势!$F$33)+1-760+285)))</f>
        <v>13.2142000198364</v>
      </c>
      <c r="KA97">
        <f ca="1">IF(ISERROR(INDEX(指数走势!$F$33:$ACK$33,1,LOOKUP(2,1/(指数走势!$F$33:$ACK$33&lt;&gt;""),COLUMN(指数走势!$F$33:$ACK$33))-COLUMN(指数走势!$F$33)+1-760+286)),NA(),IF(INDEX(指数走势!$F$33:$ACK$33,1,LOOKUP(2,1/(指数走势!$F$33:$ACK$33&lt;&gt;""),COLUMN(指数走势!$F$33:$ACK$33))-COLUMN(指数走势!$F$33)+1-760+286)=0,NA(),INDEX(指数走势!$F$33:$ACK$33,1,LOOKUP(2,1/(指数走势!$F$33:$ACK$33&lt;&gt;""),COLUMN(指数走势!$F$33:$ACK$33))-COLUMN(指数走势!$F$33)+1-760+286)))</f>
        <v>13.2980003356934</v>
      </c>
      <c r="KB97">
        <f ca="1">IF(ISERROR(INDEX(指数走势!$F$33:$ACK$33,1,LOOKUP(2,1/(指数走势!$F$33:$ACK$33&lt;&gt;""),COLUMN(指数走势!$F$33:$ACK$33))-COLUMN(指数走势!$F$33)+1-760+287)),NA(),IF(INDEX(指数走势!$F$33:$ACK$33,1,LOOKUP(2,1/(指数走势!$F$33:$ACK$33&lt;&gt;""),COLUMN(指数走势!$F$33:$ACK$33))-COLUMN(指数走势!$F$33)+1-760+287)=0,NA(),INDEX(指数走势!$F$33:$ACK$33,1,LOOKUP(2,1/(指数走势!$F$33:$ACK$33&lt;&gt;""),COLUMN(指数走势!$F$33:$ACK$33))-COLUMN(指数走势!$F$33)+1-760+287)))</f>
        <v>13.3126001358032</v>
      </c>
      <c r="KC97">
        <f ca="1">IF(ISERROR(INDEX(指数走势!$F$33:$ACK$33,1,LOOKUP(2,1/(指数走势!$F$33:$ACK$33&lt;&gt;""),COLUMN(指数走势!$F$33:$ACK$33))-COLUMN(指数走势!$F$33)+1-760+288)),NA(),IF(INDEX(指数走势!$F$33:$ACK$33,1,LOOKUP(2,1/(指数走势!$F$33:$ACK$33&lt;&gt;""),COLUMN(指数走势!$F$33:$ACK$33))-COLUMN(指数走势!$F$33)+1-760+288)=0,NA(),INDEX(指数走势!$F$33:$ACK$33,1,LOOKUP(2,1/(指数走势!$F$33:$ACK$33&lt;&gt;""),COLUMN(指数走势!$F$33:$ACK$33))-COLUMN(指数走势!$F$33)+1-760+288)))</f>
        <v>13.207799911499</v>
      </c>
      <c r="KD97">
        <f ca="1">IF(ISERROR(INDEX(指数走势!$F$33:$ACK$33,1,LOOKUP(2,1/(指数走势!$F$33:$ACK$33&lt;&gt;""),COLUMN(指数走势!$F$33:$ACK$33))-COLUMN(指数走势!$F$33)+1-760+289)),NA(),IF(INDEX(指数走势!$F$33:$ACK$33,1,LOOKUP(2,1/(指数走势!$F$33:$ACK$33&lt;&gt;""),COLUMN(指数走势!$F$33:$ACK$33))-COLUMN(指数走势!$F$33)+1-760+289)=0,NA(),INDEX(指数走势!$F$33:$ACK$33,1,LOOKUP(2,1/(指数走势!$F$33:$ACK$33&lt;&gt;""),COLUMN(指数走势!$F$33:$ACK$33))-COLUMN(指数走势!$F$33)+1-760+289)))</f>
        <v>13.0291004180908</v>
      </c>
      <c r="KE97">
        <f ca="1">IF(ISERROR(INDEX(指数走势!$F$33:$ACK$33,1,LOOKUP(2,1/(指数走势!$F$33:$ACK$33&lt;&gt;""),COLUMN(指数走势!$F$33:$ACK$33))-COLUMN(指数走势!$F$33)+1-760+290)),NA(),IF(INDEX(指数走势!$F$33:$ACK$33,1,LOOKUP(2,1/(指数走势!$F$33:$ACK$33&lt;&gt;""),COLUMN(指数走势!$F$33:$ACK$33))-COLUMN(指数走势!$F$33)+1-760+290)=0,NA(),INDEX(指数走势!$F$33:$ACK$33,1,LOOKUP(2,1/(指数走势!$F$33:$ACK$33&lt;&gt;""),COLUMN(指数走势!$F$33:$ACK$33))-COLUMN(指数走势!$F$33)+1-760+290)))</f>
        <v>12.9860000610352</v>
      </c>
      <c r="KF97">
        <f ca="1">IF(ISERROR(INDEX(指数走势!$F$33:$ACK$33,1,LOOKUP(2,1/(指数走势!$F$33:$ACK$33&lt;&gt;""),COLUMN(指数走势!$F$33:$ACK$33))-COLUMN(指数走势!$F$33)+1-760+291)),NA(),IF(INDEX(指数走势!$F$33:$ACK$33,1,LOOKUP(2,1/(指数走势!$F$33:$ACK$33&lt;&gt;""),COLUMN(指数走势!$F$33:$ACK$33))-COLUMN(指数走势!$F$33)+1-760+291)=0,NA(),INDEX(指数走势!$F$33:$ACK$33,1,LOOKUP(2,1/(指数走势!$F$33:$ACK$33&lt;&gt;""),COLUMN(指数走势!$F$33:$ACK$33))-COLUMN(指数走势!$F$33)+1-760+291)))</f>
        <v>12.9027996063232</v>
      </c>
      <c r="KG97">
        <f ca="1">IF(ISERROR(INDEX(指数走势!$F$33:$ACK$33,1,LOOKUP(2,1/(指数走势!$F$33:$ACK$33&lt;&gt;""),COLUMN(指数走势!$F$33:$ACK$33))-COLUMN(指数走势!$F$33)+1-760+292)),NA(),IF(INDEX(指数走势!$F$33:$ACK$33,1,LOOKUP(2,1/(指数走势!$F$33:$ACK$33&lt;&gt;""),COLUMN(指数走势!$F$33:$ACK$33))-COLUMN(指数走势!$F$33)+1-760+292)=0,NA(),INDEX(指数走势!$F$33:$ACK$33,1,LOOKUP(2,1/(指数走势!$F$33:$ACK$33&lt;&gt;""),COLUMN(指数走势!$F$33:$ACK$33))-COLUMN(指数走势!$F$33)+1-760+292)))</f>
        <v>12.8774995803833</v>
      </c>
      <c r="KH97">
        <f ca="1">IF(ISERROR(INDEX(指数走势!$F$33:$ACK$33,1,LOOKUP(2,1/(指数走势!$F$33:$ACK$33&lt;&gt;""),COLUMN(指数走势!$F$33:$ACK$33))-COLUMN(指数走势!$F$33)+1-760+293)),NA(),IF(INDEX(指数走势!$F$33:$ACK$33,1,LOOKUP(2,1/(指数走势!$F$33:$ACK$33&lt;&gt;""),COLUMN(指数走势!$F$33:$ACK$33))-COLUMN(指数走势!$F$33)+1-760+293)=0,NA(),INDEX(指数走势!$F$33:$ACK$33,1,LOOKUP(2,1/(指数走势!$F$33:$ACK$33&lt;&gt;""),COLUMN(指数走势!$F$33:$ACK$33))-COLUMN(指数走势!$F$33)+1-760+293)))</f>
        <v>12.8994998931885</v>
      </c>
      <c r="KI97">
        <f ca="1">IF(ISERROR(INDEX(指数走势!$F$33:$ACK$33,1,LOOKUP(2,1/(指数走势!$F$33:$ACK$33&lt;&gt;""),COLUMN(指数走势!$F$33:$ACK$33))-COLUMN(指数走势!$F$33)+1-760+294)),NA(),IF(INDEX(指数走势!$F$33:$ACK$33,1,LOOKUP(2,1/(指数走势!$F$33:$ACK$33&lt;&gt;""),COLUMN(指数走势!$F$33:$ACK$33))-COLUMN(指数走势!$F$33)+1-760+294)=0,NA(),INDEX(指数走势!$F$33:$ACK$33,1,LOOKUP(2,1/(指数走势!$F$33:$ACK$33&lt;&gt;""),COLUMN(指数走势!$F$33:$ACK$33))-COLUMN(指数走势!$F$33)+1-760+294)))</f>
        <v>12.8395004272461</v>
      </c>
      <c r="KJ97">
        <f ca="1">IF(ISERROR(INDEX(指数走势!$F$33:$ACK$33,1,LOOKUP(2,1/(指数走势!$F$33:$ACK$33&lt;&gt;""),COLUMN(指数走势!$F$33:$ACK$33))-COLUMN(指数走势!$F$33)+1-760+295)),NA(),IF(INDEX(指数走势!$F$33:$ACK$33,1,LOOKUP(2,1/(指数走势!$F$33:$ACK$33&lt;&gt;""),COLUMN(指数走势!$F$33:$ACK$33))-COLUMN(指数走势!$F$33)+1-760+295)=0,NA(),INDEX(指数走势!$F$33:$ACK$33,1,LOOKUP(2,1/(指数走势!$F$33:$ACK$33&lt;&gt;""),COLUMN(指数走势!$F$33:$ACK$33))-COLUMN(指数走势!$F$33)+1-760+295)))</f>
        <v>13.0602998733521</v>
      </c>
      <c r="KK97">
        <f ca="1">IF(ISERROR(INDEX(指数走势!$F$33:$ACK$33,1,LOOKUP(2,1/(指数走势!$F$33:$ACK$33&lt;&gt;""),COLUMN(指数走势!$F$33:$ACK$33))-COLUMN(指数走势!$F$33)+1-760+296)),NA(),IF(INDEX(指数走势!$F$33:$ACK$33,1,LOOKUP(2,1/(指数走势!$F$33:$ACK$33&lt;&gt;""),COLUMN(指数走势!$F$33:$ACK$33))-COLUMN(指数走势!$F$33)+1-760+296)=0,NA(),INDEX(指数走势!$F$33:$ACK$33,1,LOOKUP(2,1/(指数走势!$F$33:$ACK$33&lt;&gt;""),COLUMN(指数走势!$F$33:$ACK$33))-COLUMN(指数走势!$F$33)+1-760+296)))</f>
        <v>13.0465002059937</v>
      </c>
      <c r="KL97">
        <f ca="1">IF(ISERROR(INDEX(指数走势!$F$33:$ACK$33,1,LOOKUP(2,1/(指数走势!$F$33:$ACK$33&lt;&gt;""),COLUMN(指数走势!$F$33:$ACK$33))-COLUMN(指数走势!$F$33)+1-760+297)),NA(),IF(INDEX(指数走势!$F$33:$ACK$33,1,LOOKUP(2,1/(指数走势!$F$33:$ACK$33&lt;&gt;""),COLUMN(指数走势!$F$33:$ACK$33))-COLUMN(指数走势!$F$33)+1-760+297)=0,NA(),INDEX(指数走势!$F$33:$ACK$33,1,LOOKUP(2,1/(指数走势!$F$33:$ACK$33&lt;&gt;""),COLUMN(指数走势!$F$33:$ACK$33))-COLUMN(指数走势!$F$33)+1-760+297)))</f>
        <v>12.9366998672485</v>
      </c>
      <c r="KM97">
        <f ca="1">IF(ISERROR(INDEX(指数走势!$F$33:$ACK$33,1,LOOKUP(2,1/(指数走势!$F$33:$ACK$33&lt;&gt;""),COLUMN(指数走势!$F$33:$ACK$33))-COLUMN(指数走势!$F$33)+1-760+298)),NA(),IF(INDEX(指数走势!$F$33:$ACK$33,1,LOOKUP(2,1/(指数走势!$F$33:$ACK$33&lt;&gt;""),COLUMN(指数走势!$F$33:$ACK$33))-COLUMN(指数走势!$F$33)+1-760+298)=0,NA(),INDEX(指数走势!$F$33:$ACK$33,1,LOOKUP(2,1/(指数走势!$F$33:$ACK$33&lt;&gt;""),COLUMN(指数走势!$F$33:$ACK$33))-COLUMN(指数走势!$F$33)+1-760+298)))</f>
        <v>12.7419996261597</v>
      </c>
      <c r="KN97">
        <f ca="1">IF(ISERROR(INDEX(指数走势!$F$33:$ACK$33,1,LOOKUP(2,1/(指数走势!$F$33:$ACK$33&lt;&gt;""),COLUMN(指数走势!$F$33:$ACK$33))-COLUMN(指数走势!$F$33)+1-760+299)),NA(),IF(INDEX(指数走势!$F$33:$ACK$33,1,LOOKUP(2,1/(指数走势!$F$33:$ACK$33&lt;&gt;""),COLUMN(指数走势!$F$33:$ACK$33))-COLUMN(指数走势!$F$33)+1-760+299)=0,NA(),INDEX(指数走势!$F$33:$ACK$33,1,LOOKUP(2,1/(指数走势!$F$33:$ACK$33&lt;&gt;""),COLUMN(指数走势!$F$33:$ACK$33))-COLUMN(指数走势!$F$33)+1-760+299)))</f>
        <v>12.7473001480103</v>
      </c>
      <c r="KO97">
        <f ca="1">IF(ISERROR(INDEX(指数走势!$F$33:$ACK$33,1,LOOKUP(2,1/(指数走势!$F$33:$ACK$33&lt;&gt;""),COLUMN(指数走势!$F$33:$ACK$33))-COLUMN(指数走势!$F$33)+1-760+300)),NA(),IF(INDEX(指数走势!$F$33:$ACK$33,1,LOOKUP(2,1/(指数走势!$F$33:$ACK$33&lt;&gt;""),COLUMN(指数走势!$F$33:$ACK$33))-COLUMN(指数走势!$F$33)+1-760+300)=0,NA(),INDEX(指数走势!$F$33:$ACK$33,1,LOOKUP(2,1/(指数走势!$F$33:$ACK$33&lt;&gt;""),COLUMN(指数走势!$F$33:$ACK$33))-COLUMN(指数走势!$F$33)+1-760+300)))</f>
        <v>12.7714996337891</v>
      </c>
      <c r="KP97">
        <f ca="1">IF(ISERROR(INDEX(指数走势!$F$33:$ACK$33,1,LOOKUP(2,1/(指数走势!$F$33:$ACK$33&lt;&gt;""),COLUMN(指数走势!$F$33:$ACK$33))-COLUMN(指数走势!$F$33)+1-760+301)),NA(),IF(INDEX(指数走势!$F$33:$ACK$33,1,LOOKUP(2,1/(指数走势!$F$33:$ACK$33&lt;&gt;""),COLUMN(指数走势!$F$33:$ACK$33))-COLUMN(指数走势!$F$33)+1-760+301)=0,NA(),INDEX(指数走势!$F$33:$ACK$33,1,LOOKUP(2,1/(指数走势!$F$33:$ACK$33&lt;&gt;""),COLUMN(指数走势!$F$33:$ACK$33))-COLUMN(指数走势!$F$33)+1-760+301)))</f>
        <v>12.7652997970581</v>
      </c>
      <c r="KQ97">
        <f ca="1">IF(ISERROR(INDEX(指数走势!$F$33:$ACK$33,1,LOOKUP(2,1/(指数走势!$F$33:$ACK$33&lt;&gt;""),COLUMN(指数走势!$F$33:$ACK$33))-COLUMN(指数走势!$F$33)+1-760+302)),NA(),IF(INDEX(指数走势!$F$33:$ACK$33,1,LOOKUP(2,1/(指数走势!$F$33:$ACK$33&lt;&gt;""),COLUMN(指数走势!$F$33:$ACK$33))-COLUMN(指数走势!$F$33)+1-760+302)=0,NA(),INDEX(指数走势!$F$33:$ACK$33,1,LOOKUP(2,1/(指数走势!$F$33:$ACK$33&lt;&gt;""),COLUMN(指数走势!$F$33:$ACK$33))-COLUMN(指数走势!$F$33)+1-760+302)))</f>
        <v>12.7210998535156</v>
      </c>
      <c r="KR97">
        <f ca="1">IF(ISERROR(INDEX(指数走势!$F$33:$ACK$33,1,LOOKUP(2,1/(指数走势!$F$33:$ACK$33&lt;&gt;""),COLUMN(指数走势!$F$33:$ACK$33))-COLUMN(指数走势!$F$33)+1-760+303)),NA(),IF(INDEX(指数走势!$F$33:$ACK$33,1,LOOKUP(2,1/(指数走势!$F$33:$ACK$33&lt;&gt;""),COLUMN(指数走势!$F$33:$ACK$33))-COLUMN(指数走势!$F$33)+1-760+303)=0,NA(),INDEX(指数走势!$F$33:$ACK$33,1,LOOKUP(2,1/(指数走势!$F$33:$ACK$33&lt;&gt;""),COLUMN(指数走势!$F$33:$ACK$33))-COLUMN(指数走势!$F$33)+1-760+303)))</f>
        <v>12.7039003372192</v>
      </c>
      <c r="KS97">
        <f ca="1">IF(ISERROR(INDEX(指数走势!$F$33:$ACK$33,1,LOOKUP(2,1/(指数走势!$F$33:$ACK$33&lt;&gt;""),COLUMN(指数走势!$F$33:$ACK$33))-COLUMN(指数走势!$F$33)+1-760+304)),NA(),IF(INDEX(指数走势!$F$33:$ACK$33,1,LOOKUP(2,1/(指数走势!$F$33:$ACK$33&lt;&gt;""),COLUMN(指数走势!$F$33:$ACK$33))-COLUMN(指数走势!$F$33)+1-760+304)=0,NA(),INDEX(指数走势!$F$33:$ACK$33,1,LOOKUP(2,1/(指数走势!$F$33:$ACK$33&lt;&gt;""),COLUMN(指数走势!$F$33:$ACK$33))-COLUMN(指数走势!$F$33)+1-760+304)))</f>
        <v>12.7519998550415</v>
      </c>
      <c r="KT97">
        <f ca="1">IF(ISERROR(INDEX(指数走势!$F$33:$ACK$33,1,LOOKUP(2,1/(指数走势!$F$33:$ACK$33&lt;&gt;""),COLUMN(指数走势!$F$33:$ACK$33))-COLUMN(指数走势!$F$33)+1-760+305)),NA(),IF(INDEX(指数走势!$F$33:$ACK$33,1,LOOKUP(2,1/(指数走势!$F$33:$ACK$33&lt;&gt;""),COLUMN(指数走势!$F$33:$ACK$33))-COLUMN(指数走势!$F$33)+1-760+305)=0,NA(),INDEX(指数走势!$F$33:$ACK$33,1,LOOKUP(2,1/(指数走势!$F$33:$ACK$33&lt;&gt;""),COLUMN(指数走势!$F$33:$ACK$33))-COLUMN(指数走势!$F$33)+1-760+305)))</f>
        <v>12.6947002410889</v>
      </c>
      <c r="KU97">
        <f ca="1">IF(ISERROR(INDEX(指数走势!$F$33:$ACK$33,1,LOOKUP(2,1/(指数走势!$F$33:$ACK$33&lt;&gt;""),COLUMN(指数走势!$F$33:$ACK$33))-COLUMN(指数走势!$F$33)+1-760+306)),NA(),IF(INDEX(指数走势!$F$33:$ACK$33,1,LOOKUP(2,1/(指数走势!$F$33:$ACK$33&lt;&gt;""),COLUMN(指数走势!$F$33:$ACK$33))-COLUMN(指数走势!$F$33)+1-760+306)=0,NA(),INDEX(指数走势!$F$33:$ACK$33,1,LOOKUP(2,1/(指数走势!$F$33:$ACK$33&lt;&gt;""),COLUMN(指数走势!$F$33:$ACK$33))-COLUMN(指数走势!$F$33)+1-760+306)))</f>
        <v>12.8190002441406</v>
      </c>
      <c r="KV97">
        <f ca="1">IF(ISERROR(INDEX(指数走势!$F$33:$ACK$33,1,LOOKUP(2,1/(指数走势!$F$33:$ACK$33&lt;&gt;""),COLUMN(指数走势!$F$33:$ACK$33))-COLUMN(指数走势!$F$33)+1-760+307)),NA(),IF(INDEX(指数走势!$F$33:$ACK$33,1,LOOKUP(2,1/(指数走势!$F$33:$ACK$33&lt;&gt;""),COLUMN(指数走势!$F$33:$ACK$33))-COLUMN(指数走势!$F$33)+1-760+307)=0,NA(),INDEX(指数走势!$F$33:$ACK$33,1,LOOKUP(2,1/(指数走势!$F$33:$ACK$33&lt;&gt;""),COLUMN(指数走势!$F$33:$ACK$33))-COLUMN(指数走势!$F$33)+1-760+307)))</f>
        <v>12.8484001159668</v>
      </c>
      <c r="KW97">
        <f ca="1">IF(ISERROR(INDEX(指数走势!$F$33:$ACK$33,1,LOOKUP(2,1/(指数走势!$F$33:$ACK$33&lt;&gt;""),COLUMN(指数走势!$F$33:$ACK$33))-COLUMN(指数走势!$F$33)+1-760+308)),NA(),IF(INDEX(指数走势!$F$33:$ACK$33,1,LOOKUP(2,1/(指数走势!$F$33:$ACK$33&lt;&gt;""),COLUMN(指数走势!$F$33:$ACK$33))-COLUMN(指数走势!$F$33)+1-760+308)=0,NA(),INDEX(指数走势!$F$33:$ACK$33,1,LOOKUP(2,1/(指数走势!$F$33:$ACK$33&lt;&gt;""),COLUMN(指数走势!$F$33:$ACK$33))-COLUMN(指数走势!$F$33)+1-760+308)))</f>
        <v>12.9175996780396</v>
      </c>
      <c r="KX97">
        <f ca="1">IF(ISERROR(INDEX(指数走势!$F$33:$ACK$33,1,LOOKUP(2,1/(指数走势!$F$33:$ACK$33&lt;&gt;""),COLUMN(指数走势!$F$33:$ACK$33))-COLUMN(指数走势!$F$33)+1-760+309)),NA(),IF(INDEX(指数走势!$F$33:$ACK$33,1,LOOKUP(2,1/(指数走势!$F$33:$ACK$33&lt;&gt;""),COLUMN(指数走势!$F$33:$ACK$33))-COLUMN(指数走势!$F$33)+1-760+309)=0,NA(),INDEX(指数走势!$F$33:$ACK$33,1,LOOKUP(2,1/(指数走势!$F$33:$ACK$33&lt;&gt;""),COLUMN(指数走势!$F$33:$ACK$33))-COLUMN(指数走势!$F$33)+1-760+309)))</f>
        <v>12.8016996383667</v>
      </c>
      <c r="KY97">
        <f ca="1">IF(ISERROR(INDEX(指数走势!$F$33:$ACK$33,1,LOOKUP(2,1/(指数走势!$F$33:$ACK$33&lt;&gt;""),COLUMN(指数走势!$F$33:$ACK$33))-COLUMN(指数走势!$F$33)+1-760+310)),NA(),IF(INDEX(指数走势!$F$33:$ACK$33,1,LOOKUP(2,1/(指数走势!$F$33:$ACK$33&lt;&gt;""),COLUMN(指数走势!$F$33:$ACK$33))-COLUMN(指数走势!$F$33)+1-760+310)=0,NA(),INDEX(指数走势!$F$33:$ACK$33,1,LOOKUP(2,1/(指数走势!$F$33:$ACK$33&lt;&gt;""),COLUMN(指数走势!$F$33:$ACK$33))-COLUMN(指数走势!$F$33)+1-760+310)))</f>
        <v>12.7503004074097</v>
      </c>
      <c r="KZ97">
        <f ca="1">IF(ISERROR(INDEX(指数走势!$F$33:$ACK$33,1,LOOKUP(2,1/(指数走势!$F$33:$ACK$33&lt;&gt;""),COLUMN(指数走势!$F$33:$ACK$33))-COLUMN(指数走势!$F$33)+1-760+311)),NA(),IF(INDEX(指数走势!$F$33:$ACK$33,1,LOOKUP(2,1/(指数走势!$F$33:$ACK$33&lt;&gt;""),COLUMN(指数走势!$F$33:$ACK$33))-COLUMN(指数走势!$F$33)+1-760+311)=0,NA(),INDEX(指数走势!$F$33:$ACK$33,1,LOOKUP(2,1/(指数走势!$F$33:$ACK$33&lt;&gt;""),COLUMN(指数走势!$F$33:$ACK$33))-COLUMN(指数走势!$F$33)+1-760+311)))</f>
        <v>12.7283000946045</v>
      </c>
      <c r="LA97">
        <f ca="1">IF(ISERROR(INDEX(指数走势!$F$33:$ACK$33,1,LOOKUP(2,1/(指数走势!$F$33:$ACK$33&lt;&gt;""),COLUMN(指数走势!$F$33:$ACK$33))-COLUMN(指数走势!$F$33)+1-760+312)),NA(),IF(INDEX(指数走势!$F$33:$ACK$33,1,LOOKUP(2,1/(指数走势!$F$33:$ACK$33&lt;&gt;""),COLUMN(指数走势!$F$33:$ACK$33))-COLUMN(指数走势!$F$33)+1-760+312)=0,NA(),INDEX(指数走势!$F$33:$ACK$33,1,LOOKUP(2,1/(指数走势!$F$33:$ACK$33&lt;&gt;""),COLUMN(指数走势!$F$33:$ACK$33))-COLUMN(指数走势!$F$33)+1-760+312)))</f>
        <v>12.743200302124</v>
      </c>
      <c r="LB97">
        <f ca="1">IF(ISERROR(INDEX(指数走势!$F$33:$ACK$33,1,LOOKUP(2,1/(指数走势!$F$33:$ACK$33&lt;&gt;""),COLUMN(指数走势!$F$33:$ACK$33))-COLUMN(指数走势!$F$33)+1-760+313)),NA(),IF(INDEX(指数走势!$F$33:$ACK$33,1,LOOKUP(2,1/(指数走势!$F$33:$ACK$33&lt;&gt;""),COLUMN(指数走势!$F$33:$ACK$33))-COLUMN(指数走势!$F$33)+1-760+313)=0,NA(),INDEX(指数走势!$F$33:$ACK$33,1,LOOKUP(2,1/(指数走势!$F$33:$ACK$33&lt;&gt;""),COLUMN(指数走势!$F$33:$ACK$33))-COLUMN(指数走势!$F$33)+1-760+313)))</f>
        <v>12.737099647522</v>
      </c>
      <c r="LC97">
        <f ca="1">IF(ISERROR(INDEX(指数走势!$F$33:$ACK$33,1,LOOKUP(2,1/(指数走势!$F$33:$ACK$33&lt;&gt;""),COLUMN(指数走势!$F$33:$ACK$33))-COLUMN(指数走势!$F$33)+1-760+314)),NA(),IF(INDEX(指数走势!$F$33:$ACK$33,1,LOOKUP(2,1/(指数走势!$F$33:$ACK$33&lt;&gt;""),COLUMN(指数走势!$F$33:$ACK$33))-COLUMN(指数走势!$F$33)+1-760+314)=0,NA(),INDEX(指数走势!$F$33:$ACK$33,1,LOOKUP(2,1/(指数走势!$F$33:$ACK$33&lt;&gt;""),COLUMN(指数走势!$F$33:$ACK$33))-COLUMN(指数走势!$F$33)+1-760+314)))</f>
        <v>12.7333002090454</v>
      </c>
      <c r="LD97">
        <f ca="1">IF(ISERROR(INDEX(指数走势!$F$33:$ACK$33,1,LOOKUP(2,1/(指数走势!$F$33:$ACK$33&lt;&gt;""),COLUMN(指数走势!$F$33:$ACK$33))-COLUMN(指数走势!$F$33)+1-760+315)),NA(),IF(INDEX(指数走势!$F$33:$ACK$33,1,LOOKUP(2,1/(指数走势!$F$33:$ACK$33&lt;&gt;""),COLUMN(指数走势!$F$33:$ACK$33))-COLUMN(指数走势!$F$33)+1-760+315)=0,NA(),INDEX(指数走势!$F$33:$ACK$33,1,LOOKUP(2,1/(指数走势!$F$33:$ACK$33&lt;&gt;""),COLUMN(指数走势!$F$33:$ACK$33))-COLUMN(指数走势!$F$33)+1-760+315)))</f>
        <v>12.6838998794556</v>
      </c>
      <c r="LE97">
        <f ca="1">IF(ISERROR(INDEX(指数走势!$F$33:$ACK$33,1,LOOKUP(2,1/(指数走势!$F$33:$ACK$33&lt;&gt;""),COLUMN(指数走势!$F$33:$ACK$33))-COLUMN(指数走势!$F$33)+1-760+316)),NA(),IF(INDEX(指数走势!$F$33:$ACK$33,1,LOOKUP(2,1/(指数走势!$F$33:$ACK$33&lt;&gt;""),COLUMN(指数走势!$F$33:$ACK$33))-COLUMN(指数走势!$F$33)+1-760+316)=0,NA(),INDEX(指数走势!$F$33:$ACK$33,1,LOOKUP(2,1/(指数走势!$F$33:$ACK$33&lt;&gt;""),COLUMN(指数走势!$F$33:$ACK$33))-COLUMN(指数走势!$F$33)+1-760+316)))</f>
        <v>12.542799949646</v>
      </c>
      <c r="LF97">
        <f ca="1">IF(ISERROR(INDEX(指数走势!$F$33:$ACK$33,1,LOOKUP(2,1/(指数走势!$F$33:$ACK$33&lt;&gt;""),COLUMN(指数走势!$F$33:$ACK$33))-COLUMN(指数走势!$F$33)+1-760+317)),NA(),IF(INDEX(指数走势!$F$33:$ACK$33,1,LOOKUP(2,1/(指数走势!$F$33:$ACK$33&lt;&gt;""),COLUMN(指数走势!$F$33:$ACK$33))-COLUMN(指数走势!$F$33)+1-760+317)=0,NA(),INDEX(指数走势!$F$33:$ACK$33,1,LOOKUP(2,1/(指数走势!$F$33:$ACK$33&lt;&gt;""),COLUMN(指数走势!$F$33:$ACK$33))-COLUMN(指数走势!$F$33)+1-760+317)))</f>
        <v>12.5369997024536</v>
      </c>
      <c r="LG97">
        <f ca="1">IF(ISERROR(INDEX(指数走势!$F$33:$ACK$33,1,LOOKUP(2,1/(指数走势!$F$33:$ACK$33&lt;&gt;""),COLUMN(指数走势!$F$33:$ACK$33))-COLUMN(指数走势!$F$33)+1-760+318)),NA(),IF(INDEX(指数走势!$F$33:$ACK$33,1,LOOKUP(2,1/(指数走势!$F$33:$ACK$33&lt;&gt;""),COLUMN(指数走势!$F$33:$ACK$33))-COLUMN(指数走势!$F$33)+1-760+318)=0,NA(),INDEX(指数走势!$F$33:$ACK$33,1,LOOKUP(2,1/(指数走势!$F$33:$ACK$33&lt;&gt;""),COLUMN(指数走势!$F$33:$ACK$33))-COLUMN(指数走势!$F$33)+1-760+318)))</f>
        <v>12.5097999572754</v>
      </c>
      <c r="LH97">
        <f ca="1">IF(ISERROR(INDEX(指数走势!$F$33:$ACK$33,1,LOOKUP(2,1/(指数走势!$F$33:$ACK$33&lt;&gt;""),COLUMN(指数走势!$F$33:$ACK$33))-COLUMN(指数走势!$F$33)+1-760+319)),NA(),IF(INDEX(指数走势!$F$33:$ACK$33,1,LOOKUP(2,1/(指数走势!$F$33:$ACK$33&lt;&gt;""),COLUMN(指数走势!$F$33:$ACK$33))-COLUMN(指数走势!$F$33)+1-760+319)=0,NA(),INDEX(指数走势!$F$33:$ACK$33,1,LOOKUP(2,1/(指数走势!$F$33:$ACK$33&lt;&gt;""),COLUMN(指数走势!$F$33:$ACK$33))-COLUMN(指数走势!$F$33)+1-760+319)))</f>
        <v>12.4535999298096</v>
      </c>
      <c r="LI97">
        <f ca="1">IF(ISERROR(INDEX(指数走势!$F$33:$ACK$33,1,LOOKUP(2,1/(指数走势!$F$33:$ACK$33&lt;&gt;""),COLUMN(指数走势!$F$33:$ACK$33))-COLUMN(指数走势!$F$33)+1-760+320)),NA(),IF(INDEX(指数走势!$F$33:$ACK$33,1,LOOKUP(2,1/(指数走势!$F$33:$ACK$33&lt;&gt;""),COLUMN(指数走势!$F$33:$ACK$33))-COLUMN(指数走势!$F$33)+1-760+320)=0,NA(),INDEX(指数走势!$F$33:$ACK$33,1,LOOKUP(2,1/(指数走势!$F$33:$ACK$33&lt;&gt;""),COLUMN(指数走势!$F$33:$ACK$33))-COLUMN(指数走势!$F$33)+1-760+320)))</f>
        <v>12.3554000854492</v>
      </c>
      <c r="LJ97">
        <f ca="1">IF(ISERROR(INDEX(指数走势!$F$33:$ACK$33,1,LOOKUP(2,1/(指数走势!$F$33:$ACK$33&lt;&gt;""),COLUMN(指数走势!$F$33:$ACK$33))-COLUMN(指数走势!$F$33)+1-760+321)),NA(),IF(INDEX(指数走势!$F$33:$ACK$33,1,LOOKUP(2,1/(指数走势!$F$33:$ACK$33&lt;&gt;""),COLUMN(指数走势!$F$33:$ACK$33))-COLUMN(指数走势!$F$33)+1-760+321)=0,NA(),INDEX(指数走势!$F$33:$ACK$33,1,LOOKUP(2,1/(指数走势!$F$33:$ACK$33&lt;&gt;""),COLUMN(指数走势!$F$33:$ACK$33))-COLUMN(指数走势!$F$33)+1-760+321)))</f>
        <v>12.358099937439</v>
      </c>
      <c r="LK97">
        <f ca="1">IF(ISERROR(INDEX(指数走势!$F$33:$ACK$33,1,LOOKUP(2,1/(指数走势!$F$33:$ACK$33&lt;&gt;""),COLUMN(指数走势!$F$33:$ACK$33))-COLUMN(指数走势!$F$33)+1-760+322)),NA(),IF(INDEX(指数走势!$F$33:$ACK$33,1,LOOKUP(2,1/(指数走势!$F$33:$ACK$33&lt;&gt;""),COLUMN(指数走势!$F$33:$ACK$33))-COLUMN(指数走势!$F$33)+1-760+322)=0,NA(),INDEX(指数走势!$F$33:$ACK$33,1,LOOKUP(2,1/(指数走势!$F$33:$ACK$33&lt;&gt;""),COLUMN(指数走势!$F$33:$ACK$33))-COLUMN(指数走势!$F$33)+1-760+322)))</f>
        <v>12.2741003036499</v>
      </c>
      <c r="LL97">
        <f ca="1">IF(ISERROR(INDEX(指数走势!$F$33:$ACK$33,1,LOOKUP(2,1/(指数走势!$F$33:$ACK$33&lt;&gt;""),COLUMN(指数走势!$F$33:$ACK$33))-COLUMN(指数走势!$F$33)+1-760+323)),NA(),IF(INDEX(指数走势!$F$33:$ACK$33,1,LOOKUP(2,1/(指数走势!$F$33:$ACK$33&lt;&gt;""),COLUMN(指数走势!$F$33:$ACK$33))-COLUMN(指数走势!$F$33)+1-760+323)=0,NA(),INDEX(指数走势!$F$33:$ACK$33,1,LOOKUP(2,1/(指数走势!$F$33:$ACK$33&lt;&gt;""),COLUMN(指数走势!$F$33:$ACK$33))-COLUMN(指数走势!$F$33)+1-760+323)))</f>
        <v>12.1343002319336</v>
      </c>
      <c r="LM97">
        <f ca="1">IF(ISERROR(INDEX(指数走势!$F$33:$ACK$33,1,LOOKUP(2,1/(指数走势!$F$33:$ACK$33&lt;&gt;""),COLUMN(指数走势!$F$33:$ACK$33))-COLUMN(指数走势!$F$33)+1-760+324)),NA(),IF(INDEX(指数走势!$F$33:$ACK$33,1,LOOKUP(2,1/(指数走势!$F$33:$ACK$33&lt;&gt;""),COLUMN(指数走势!$F$33:$ACK$33))-COLUMN(指数走势!$F$33)+1-760+324)=0,NA(),INDEX(指数走势!$F$33:$ACK$33,1,LOOKUP(2,1/(指数走势!$F$33:$ACK$33&lt;&gt;""),COLUMN(指数走势!$F$33:$ACK$33))-COLUMN(指数走势!$F$33)+1-760+324)))</f>
        <v>12.1870002746582</v>
      </c>
      <c r="LN97">
        <f ca="1">IF(ISERROR(INDEX(指数走势!$F$33:$ACK$33,1,LOOKUP(2,1/(指数走势!$F$33:$ACK$33&lt;&gt;""),COLUMN(指数走势!$F$33:$ACK$33))-COLUMN(指数走势!$F$33)+1-760+325)),NA(),IF(INDEX(指数走势!$F$33:$ACK$33,1,LOOKUP(2,1/(指数走势!$F$33:$ACK$33&lt;&gt;""),COLUMN(指数走势!$F$33:$ACK$33))-COLUMN(指数走势!$F$33)+1-760+325)=0,NA(),INDEX(指数走势!$F$33:$ACK$33,1,LOOKUP(2,1/(指数走势!$F$33:$ACK$33&lt;&gt;""),COLUMN(指数走势!$F$33:$ACK$33))-COLUMN(指数走势!$F$33)+1-760+325)))</f>
        <v>12.0662002563477</v>
      </c>
      <c r="LO97">
        <f ca="1">IF(ISERROR(INDEX(指数走势!$F$33:$ACK$33,1,LOOKUP(2,1/(指数走势!$F$33:$ACK$33&lt;&gt;""),COLUMN(指数走势!$F$33:$ACK$33))-COLUMN(指数走势!$F$33)+1-760+326)),NA(),IF(INDEX(指数走势!$F$33:$ACK$33,1,LOOKUP(2,1/(指数走势!$F$33:$ACK$33&lt;&gt;""),COLUMN(指数走势!$F$33:$ACK$33))-COLUMN(指数走势!$F$33)+1-760+326)=0,NA(),INDEX(指数走势!$F$33:$ACK$33,1,LOOKUP(2,1/(指数走势!$F$33:$ACK$33&lt;&gt;""),COLUMN(指数走势!$F$33:$ACK$33))-COLUMN(指数走势!$F$33)+1-760+326)))</f>
        <v>12.0437002182007</v>
      </c>
      <c r="LP97">
        <f ca="1">IF(ISERROR(INDEX(指数走势!$F$33:$ACK$33,1,LOOKUP(2,1/(指数走势!$F$33:$ACK$33&lt;&gt;""),COLUMN(指数走势!$F$33:$ACK$33))-COLUMN(指数走势!$F$33)+1-760+327)),NA(),IF(INDEX(指数走势!$F$33:$ACK$33,1,LOOKUP(2,1/(指数走势!$F$33:$ACK$33&lt;&gt;""),COLUMN(指数走势!$F$33:$ACK$33))-COLUMN(指数走势!$F$33)+1-760+327)=0,NA(),INDEX(指数走势!$F$33:$ACK$33,1,LOOKUP(2,1/(指数走势!$F$33:$ACK$33&lt;&gt;""),COLUMN(指数走势!$F$33:$ACK$33))-COLUMN(指数走势!$F$33)+1-760+327)))</f>
        <v>12.0131998062134</v>
      </c>
      <c r="LQ97">
        <f ca="1">IF(ISERROR(INDEX(指数走势!$F$33:$ACK$33,1,LOOKUP(2,1/(指数走势!$F$33:$ACK$33&lt;&gt;""),COLUMN(指数走势!$F$33:$ACK$33))-COLUMN(指数走势!$F$33)+1-760+328)),NA(),IF(INDEX(指数走势!$F$33:$ACK$33,1,LOOKUP(2,1/(指数走势!$F$33:$ACK$33&lt;&gt;""),COLUMN(指数走势!$F$33:$ACK$33))-COLUMN(指数走势!$F$33)+1-760+328)=0,NA(),INDEX(指数走势!$F$33:$ACK$33,1,LOOKUP(2,1/(指数走势!$F$33:$ACK$33&lt;&gt;""),COLUMN(指数走势!$F$33:$ACK$33))-COLUMN(指数走势!$F$33)+1-760+328)))</f>
        <v>12.095100402832</v>
      </c>
      <c r="LR97">
        <f ca="1">IF(ISERROR(INDEX(指数走势!$F$33:$ACK$33,1,LOOKUP(2,1/(指数走势!$F$33:$ACK$33&lt;&gt;""),COLUMN(指数走势!$F$33:$ACK$33))-COLUMN(指数走势!$F$33)+1-760+329)),NA(),IF(INDEX(指数走势!$F$33:$ACK$33,1,LOOKUP(2,1/(指数走势!$F$33:$ACK$33&lt;&gt;""),COLUMN(指数走势!$F$33:$ACK$33))-COLUMN(指数走势!$F$33)+1-760+329)=0,NA(),INDEX(指数走势!$F$33:$ACK$33,1,LOOKUP(2,1/(指数走势!$F$33:$ACK$33&lt;&gt;""),COLUMN(指数走势!$F$33:$ACK$33))-COLUMN(指数走势!$F$33)+1-760+329)))</f>
        <v>12.1611995697021</v>
      </c>
      <c r="LS97">
        <f ca="1">IF(ISERROR(INDEX(指数走势!$F$33:$ACK$33,1,LOOKUP(2,1/(指数走势!$F$33:$ACK$33&lt;&gt;""),COLUMN(指数走势!$F$33:$ACK$33))-COLUMN(指数走势!$F$33)+1-760+330)),NA(),IF(INDEX(指数走势!$F$33:$ACK$33,1,LOOKUP(2,1/(指数走势!$F$33:$ACK$33&lt;&gt;""),COLUMN(指数走势!$F$33:$ACK$33))-COLUMN(指数走势!$F$33)+1-760+330)=0,NA(),INDEX(指数走势!$F$33:$ACK$33,1,LOOKUP(2,1/(指数走势!$F$33:$ACK$33&lt;&gt;""),COLUMN(指数走势!$F$33:$ACK$33))-COLUMN(指数走势!$F$33)+1-760+330)))</f>
        <v>12.1803998947144</v>
      </c>
      <c r="LT97">
        <f ca="1">IF(ISERROR(INDEX(指数走势!$F$33:$ACK$33,1,LOOKUP(2,1/(指数走势!$F$33:$ACK$33&lt;&gt;""),COLUMN(指数走势!$F$33:$ACK$33))-COLUMN(指数走势!$F$33)+1-760+331)),NA(),IF(INDEX(指数走势!$F$33:$ACK$33,1,LOOKUP(2,1/(指数走势!$F$33:$ACK$33&lt;&gt;""),COLUMN(指数走势!$F$33:$ACK$33))-COLUMN(指数走势!$F$33)+1-760+331)=0,NA(),INDEX(指数走势!$F$33:$ACK$33,1,LOOKUP(2,1/(指数走势!$F$33:$ACK$33&lt;&gt;""),COLUMN(指数走势!$F$33:$ACK$33))-COLUMN(指数走势!$F$33)+1-760+331)))</f>
        <v>12.2384004592896</v>
      </c>
      <c r="LU97">
        <f ca="1">IF(ISERROR(INDEX(指数走势!$F$33:$ACK$33,1,LOOKUP(2,1/(指数走势!$F$33:$ACK$33&lt;&gt;""),COLUMN(指数走势!$F$33:$ACK$33))-COLUMN(指数走势!$F$33)+1-760+332)),NA(),IF(INDEX(指数走势!$F$33:$ACK$33,1,LOOKUP(2,1/(指数走势!$F$33:$ACK$33&lt;&gt;""),COLUMN(指数走势!$F$33:$ACK$33))-COLUMN(指数走势!$F$33)+1-760+332)=0,NA(),INDEX(指数走势!$F$33:$ACK$33,1,LOOKUP(2,1/(指数走势!$F$33:$ACK$33&lt;&gt;""),COLUMN(指数走势!$F$33:$ACK$33))-COLUMN(指数走势!$F$33)+1-760+332)))</f>
        <v>12.7410001754761</v>
      </c>
      <c r="LV97">
        <f ca="1">IF(ISERROR(INDEX(指数走势!$F$33:$ACK$33,1,LOOKUP(2,1/(指数走势!$F$33:$ACK$33&lt;&gt;""),COLUMN(指数走势!$F$33:$ACK$33))-COLUMN(指数走势!$F$33)+1-760+333)),NA(),IF(INDEX(指数走势!$F$33:$ACK$33,1,LOOKUP(2,1/(指数走势!$F$33:$ACK$33&lt;&gt;""),COLUMN(指数走势!$F$33:$ACK$33))-COLUMN(指数走势!$F$33)+1-760+333)=0,NA(),INDEX(指数走势!$F$33:$ACK$33,1,LOOKUP(2,1/(指数走势!$F$33:$ACK$33&lt;&gt;""),COLUMN(指数走势!$F$33:$ACK$33))-COLUMN(指数走势!$F$33)+1-760+333)))</f>
        <v>12.8821001052856</v>
      </c>
      <c r="LW97">
        <f ca="1">IF(ISERROR(INDEX(指数走势!$F$33:$ACK$33,1,LOOKUP(2,1/(指数走势!$F$33:$ACK$33&lt;&gt;""),COLUMN(指数走势!$F$33:$ACK$33))-COLUMN(指数走势!$F$33)+1-760+334)),NA(),IF(INDEX(指数走势!$F$33:$ACK$33,1,LOOKUP(2,1/(指数走势!$F$33:$ACK$33&lt;&gt;""),COLUMN(指数走势!$F$33:$ACK$33))-COLUMN(指数走势!$F$33)+1-760+334)=0,NA(),INDEX(指数走势!$F$33:$ACK$33,1,LOOKUP(2,1/(指数走势!$F$33:$ACK$33&lt;&gt;""),COLUMN(指数走势!$F$33:$ACK$33))-COLUMN(指数走势!$F$33)+1-760+334)))</f>
        <v>13.3114995956421</v>
      </c>
      <c r="LX97">
        <f ca="1">IF(ISERROR(INDEX(指数走势!$F$33:$ACK$33,1,LOOKUP(2,1/(指数走势!$F$33:$ACK$33&lt;&gt;""),COLUMN(指数走势!$F$33:$ACK$33))-COLUMN(指数走势!$F$33)+1-760+335)),NA(),IF(INDEX(指数走势!$F$33:$ACK$33,1,LOOKUP(2,1/(指数走势!$F$33:$ACK$33&lt;&gt;""),COLUMN(指数走势!$F$33:$ACK$33))-COLUMN(指数走势!$F$33)+1-760+335)=0,NA(),INDEX(指数走势!$F$33:$ACK$33,1,LOOKUP(2,1/(指数走势!$F$33:$ACK$33&lt;&gt;""),COLUMN(指数走势!$F$33:$ACK$33))-COLUMN(指数走势!$F$33)+1-760+335)))</f>
        <v>13.6204996109009</v>
      </c>
      <c r="LY97">
        <f ca="1">IF(ISERROR(INDEX(指数走势!$F$33:$ACK$33,1,LOOKUP(2,1/(指数走势!$F$33:$ACK$33&lt;&gt;""),COLUMN(指数走势!$F$33:$ACK$33))-COLUMN(指数走势!$F$33)+1-760+336)),NA(),IF(INDEX(指数走势!$F$33:$ACK$33,1,LOOKUP(2,1/(指数走势!$F$33:$ACK$33&lt;&gt;""),COLUMN(指数走势!$F$33:$ACK$33))-COLUMN(指数走势!$F$33)+1-760+336)=0,NA(),INDEX(指数走势!$F$33:$ACK$33,1,LOOKUP(2,1/(指数走势!$F$33:$ACK$33&lt;&gt;""),COLUMN(指数走势!$F$33:$ACK$33))-COLUMN(指数走势!$F$33)+1-760+336)))</f>
        <v>14.6778001785278</v>
      </c>
      <c r="LZ97">
        <f ca="1">IF(ISERROR(INDEX(指数走势!$F$33:$ACK$33,1,LOOKUP(2,1/(指数走势!$F$33:$ACK$33&lt;&gt;""),COLUMN(指数走势!$F$33:$ACK$33))-COLUMN(指数走势!$F$33)+1-760+337)),NA(),IF(INDEX(指数走势!$F$33:$ACK$33,1,LOOKUP(2,1/(指数走势!$F$33:$ACK$33&lt;&gt;""),COLUMN(指数走势!$F$33:$ACK$33))-COLUMN(指数走势!$F$33)+1-760+337)=0,NA(),INDEX(指数走势!$F$33:$ACK$33,1,LOOKUP(2,1/(指数走势!$F$33:$ACK$33&lt;&gt;""),COLUMN(指数走势!$F$33:$ACK$33))-COLUMN(指数走势!$F$33)+1-760+337)))</f>
        <v>15.3133001327515</v>
      </c>
      <c r="MA97">
        <f ca="1">IF(ISERROR(INDEX(指数走势!$F$33:$ACK$33,1,LOOKUP(2,1/(指数走势!$F$33:$ACK$33&lt;&gt;""),COLUMN(指数走势!$F$33:$ACK$33))-COLUMN(指数走势!$F$33)+1-760+338)),NA(),IF(INDEX(指数走势!$F$33:$ACK$33,1,LOOKUP(2,1/(指数走势!$F$33:$ACK$33&lt;&gt;""),COLUMN(指数走势!$F$33:$ACK$33))-COLUMN(指数走势!$F$33)+1-760+338)=0,NA(),INDEX(指数走势!$F$33:$ACK$33,1,LOOKUP(2,1/(指数走势!$F$33:$ACK$33&lt;&gt;""),COLUMN(指数走势!$F$33:$ACK$33))-COLUMN(指数走势!$F$33)+1-760+338)))</f>
        <v>14.3640003204346</v>
      </c>
      <c r="MB97">
        <f ca="1">IF(ISERROR(INDEX(指数走势!$F$33:$ACK$33,1,LOOKUP(2,1/(指数走势!$F$33:$ACK$33&lt;&gt;""),COLUMN(指数走势!$F$33:$ACK$33))-COLUMN(指数走势!$F$33)+1-760+339)),NA(),IF(INDEX(指数走势!$F$33:$ACK$33,1,LOOKUP(2,1/(指数走势!$F$33:$ACK$33&lt;&gt;""),COLUMN(指数走势!$F$33:$ACK$33))-COLUMN(指数走势!$F$33)+1-760+339)=0,NA(),INDEX(指数走势!$F$33:$ACK$33,1,LOOKUP(2,1/(指数走势!$F$33:$ACK$33&lt;&gt;""),COLUMN(指数走势!$F$33:$ACK$33))-COLUMN(指数走势!$F$33)+1-760+339)))</f>
        <v>14.5784997940063</v>
      </c>
      <c r="MC97">
        <f ca="1">IF(ISERROR(INDEX(指数走势!$F$33:$ACK$33,1,LOOKUP(2,1/(指数走势!$F$33:$ACK$33&lt;&gt;""),COLUMN(指数走势!$F$33:$ACK$33))-COLUMN(指数走势!$F$33)+1-760+340)),NA(),IF(INDEX(指数走势!$F$33:$ACK$33,1,LOOKUP(2,1/(指数走势!$F$33:$ACK$33&lt;&gt;""),COLUMN(指数走势!$F$33:$ACK$33))-COLUMN(指数走势!$F$33)+1-760+340)=0,NA(),INDEX(指数走势!$F$33:$ACK$33,1,LOOKUP(2,1/(指数走势!$F$33:$ACK$33&lt;&gt;""),COLUMN(指数走势!$F$33:$ACK$33))-COLUMN(指数走势!$F$33)+1-760+340)))</f>
        <v>14.2538003921509</v>
      </c>
      <c r="MD97">
        <f ca="1">IF(ISERROR(INDEX(指数走势!$F$33:$ACK$33,1,LOOKUP(2,1/(指数走势!$F$33:$ACK$33&lt;&gt;""),COLUMN(指数走势!$F$33:$ACK$33))-COLUMN(指数走势!$F$33)+1-760+341)),NA(),IF(INDEX(指数走势!$F$33:$ACK$33,1,LOOKUP(2,1/(指数走势!$F$33:$ACK$33&lt;&gt;""),COLUMN(指数走势!$F$33:$ACK$33))-COLUMN(指数走势!$F$33)+1-760+341)=0,NA(),INDEX(指数走势!$F$33:$ACK$33,1,LOOKUP(2,1/(指数走势!$F$33:$ACK$33&lt;&gt;""),COLUMN(指数走势!$F$33:$ACK$33))-COLUMN(指数走势!$F$33)+1-760+341)))</f>
        <v>14.5621995925903</v>
      </c>
      <c r="ME97">
        <f ca="1">IF(ISERROR(INDEX(指数走势!$F$33:$ACK$33,1,LOOKUP(2,1/(指数走势!$F$33:$ACK$33&lt;&gt;""),COLUMN(指数走势!$F$33:$ACK$33))-COLUMN(指数走势!$F$33)+1-760+342)),NA(),IF(INDEX(指数走势!$F$33:$ACK$33,1,LOOKUP(2,1/(指数走势!$F$33:$ACK$33&lt;&gt;""),COLUMN(指数走势!$F$33:$ACK$33))-COLUMN(指数走势!$F$33)+1-760+342)=0,NA(),INDEX(指数走势!$F$33:$ACK$33,1,LOOKUP(2,1/(指数走势!$F$33:$ACK$33&lt;&gt;""),COLUMN(指数走势!$F$33:$ACK$33))-COLUMN(指数走势!$F$33)+1-760+342)))</f>
        <v>14.1753997802734</v>
      </c>
      <c r="MF97">
        <f ca="1">IF(ISERROR(INDEX(指数走势!$F$33:$ACK$33,1,LOOKUP(2,1/(指数走势!$F$33:$ACK$33&lt;&gt;""),COLUMN(指数走势!$F$33:$ACK$33))-COLUMN(指数走势!$F$33)+1-760+343)),NA(),IF(INDEX(指数走势!$F$33:$ACK$33,1,LOOKUP(2,1/(指数走势!$F$33:$ACK$33&lt;&gt;""),COLUMN(指数走势!$F$33:$ACK$33))-COLUMN(指数走势!$F$33)+1-760+343)=0,NA(),INDEX(指数走势!$F$33:$ACK$33,1,LOOKUP(2,1/(指数走势!$F$33:$ACK$33&lt;&gt;""),COLUMN(指数走势!$F$33:$ACK$33))-COLUMN(指数走势!$F$33)+1-760+343)))</f>
        <v>14.1971998214722</v>
      </c>
      <c r="MG97">
        <f ca="1">IF(ISERROR(INDEX(指数走势!$F$33:$ACK$33,1,LOOKUP(2,1/(指数走势!$F$33:$ACK$33&lt;&gt;""),COLUMN(指数走势!$F$33:$ACK$33))-COLUMN(指数走势!$F$33)+1-760+344)),NA(),IF(INDEX(指数走势!$F$33:$ACK$33,1,LOOKUP(2,1/(指数走势!$F$33:$ACK$33&lt;&gt;""),COLUMN(指数走势!$F$33:$ACK$33))-COLUMN(指数走势!$F$33)+1-760+344)=0,NA(),INDEX(指数走势!$F$33:$ACK$33,1,LOOKUP(2,1/(指数走势!$F$33:$ACK$33&lt;&gt;""),COLUMN(指数走势!$F$33:$ACK$33))-COLUMN(指数走势!$F$33)+1-760+344)))</f>
        <v>14.0516996383667</v>
      </c>
      <c r="MH97">
        <f ca="1">IF(ISERROR(INDEX(指数走势!$F$33:$ACK$33,1,LOOKUP(2,1/(指数走势!$F$33:$ACK$33&lt;&gt;""),COLUMN(指数走势!$F$33:$ACK$33))-COLUMN(指数走势!$F$33)+1-760+345)),NA(),IF(INDEX(指数走势!$F$33:$ACK$33,1,LOOKUP(2,1/(指数走势!$F$33:$ACK$33&lt;&gt;""),COLUMN(指数走势!$F$33:$ACK$33))-COLUMN(指数走势!$F$33)+1-760+345)=0,NA(),INDEX(指数走势!$F$33:$ACK$33,1,LOOKUP(2,1/(指数走势!$F$33:$ACK$33&lt;&gt;""),COLUMN(指数走势!$F$33:$ACK$33))-COLUMN(指数走势!$F$33)+1-760+345)))</f>
        <v>14.4281997680664</v>
      </c>
      <c r="MI97">
        <f ca="1">IF(ISERROR(INDEX(指数走势!$F$33:$ACK$33,1,LOOKUP(2,1/(指数走势!$F$33:$ACK$33&lt;&gt;""),COLUMN(指数走势!$F$33:$ACK$33))-COLUMN(指数走势!$F$33)+1-760+346)),NA(),IF(INDEX(指数走势!$F$33:$ACK$33,1,LOOKUP(2,1/(指数走势!$F$33:$ACK$33&lt;&gt;""),COLUMN(指数走势!$F$33:$ACK$33))-COLUMN(指数走势!$F$33)+1-760+346)=0,NA(),INDEX(指数走势!$F$33:$ACK$33,1,LOOKUP(2,1/(指数走势!$F$33:$ACK$33&lt;&gt;""),COLUMN(指数走势!$F$33:$ACK$33))-COLUMN(指数走势!$F$33)+1-760+346)))</f>
        <v>14.4270000457764</v>
      </c>
      <c r="MJ97">
        <f ca="1">IF(ISERROR(INDEX(指数走势!$F$33:$ACK$33,1,LOOKUP(2,1/(指数走势!$F$33:$ACK$33&lt;&gt;""),COLUMN(指数走势!$F$33:$ACK$33))-COLUMN(指数走势!$F$33)+1-760+347)),NA(),IF(INDEX(指数走势!$F$33:$ACK$33,1,LOOKUP(2,1/(指数走势!$F$33:$ACK$33&lt;&gt;""),COLUMN(指数走势!$F$33:$ACK$33))-COLUMN(指数走势!$F$33)+1-760+347)=0,NA(),INDEX(指数走势!$F$33:$ACK$33,1,LOOKUP(2,1/(指数走势!$F$33:$ACK$33&lt;&gt;""),COLUMN(指数走势!$F$33:$ACK$33))-COLUMN(指数走势!$F$33)+1-760+347)))</f>
        <v>14.3837003707886</v>
      </c>
      <c r="MK97">
        <f ca="1">IF(ISERROR(INDEX(指数走势!$F$33:$ACK$33,1,LOOKUP(2,1/(指数走势!$F$33:$ACK$33&lt;&gt;""),COLUMN(指数走势!$F$33:$ACK$33))-COLUMN(指数走势!$F$33)+1-760+348)),NA(),IF(INDEX(指数走势!$F$33:$ACK$33,1,LOOKUP(2,1/(指数走势!$F$33:$ACK$33&lt;&gt;""),COLUMN(指数走势!$F$33:$ACK$33))-COLUMN(指数走势!$F$33)+1-760+348)=0,NA(),INDEX(指数走势!$F$33:$ACK$33,1,LOOKUP(2,1/(指数走势!$F$33:$ACK$33&lt;&gt;""),COLUMN(指数走势!$F$33:$ACK$33))-COLUMN(指数走势!$F$33)+1-760+348)))</f>
        <v>14.4446001052856</v>
      </c>
      <c r="ML97">
        <f ca="1">IF(ISERROR(INDEX(指数走势!$F$33:$ACK$33,1,LOOKUP(2,1/(指数走势!$F$33:$ACK$33&lt;&gt;""),COLUMN(指数走势!$F$33:$ACK$33))-COLUMN(指数走势!$F$33)+1-760+349)),NA(),IF(INDEX(指数走势!$F$33:$ACK$33,1,LOOKUP(2,1/(指数走势!$F$33:$ACK$33&lt;&gt;""),COLUMN(指数走势!$F$33:$ACK$33))-COLUMN(指数走势!$F$33)+1-760+349)=0,NA(),INDEX(指数走势!$F$33:$ACK$33,1,LOOKUP(2,1/(指数走势!$F$33:$ACK$33&lt;&gt;""),COLUMN(指数走势!$F$33:$ACK$33))-COLUMN(指数走势!$F$33)+1-760+349)))</f>
        <v>14.34850025177</v>
      </c>
      <c r="MM97">
        <f ca="1">IF(ISERROR(INDEX(指数走势!$F$33:$ACK$33,1,LOOKUP(2,1/(指数走势!$F$33:$ACK$33&lt;&gt;""),COLUMN(指数走势!$F$33:$ACK$33))-COLUMN(指数走势!$F$33)+1-760+350)),NA(),IF(INDEX(指数走势!$F$33:$ACK$33,1,LOOKUP(2,1/(指数走势!$F$33:$ACK$33&lt;&gt;""),COLUMN(指数走势!$F$33:$ACK$33))-COLUMN(指数走势!$F$33)+1-760+350)=0,NA(),INDEX(指数走势!$F$33:$ACK$33,1,LOOKUP(2,1/(指数走势!$F$33:$ACK$33&lt;&gt;""),COLUMN(指数走势!$F$33:$ACK$33))-COLUMN(指数走势!$F$33)+1-760+350)))</f>
        <v>14.4033002853394</v>
      </c>
      <c r="MN97">
        <f ca="1">IF(ISERROR(INDEX(指数走势!$F$33:$ACK$33,1,LOOKUP(2,1/(指数走势!$F$33:$ACK$33&lt;&gt;""),COLUMN(指数走势!$F$33:$ACK$33))-COLUMN(指数走势!$F$33)+1-760+351)),NA(),IF(INDEX(指数走势!$F$33:$ACK$33,1,LOOKUP(2,1/(指数走势!$F$33:$ACK$33&lt;&gt;""),COLUMN(指数走势!$F$33:$ACK$33))-COLUMN(指数走势!$F$33)+1-760+351)=0,NA(),INDEX(指数走势!$F$33:$ACK$33,1,LOOKUP(2,1/(指数走势!$F$33:$ACK$33&lt;&gt;""),COLUMN(指数走势!$F$33:$ACK$33))-COLUMN(指数走势!$F$33)+1-760+351)))</f>
        <v>14.4884996414185</v>
      </c>
      <c r="MO97">
        <f ca="1">IF(ISERROR(INDEX(指数走势!$F$33:$ACK$33,1,LOOKUP(2,1/(指数走势!$F$33:$ACK$33&lt;&gt;""),COLUMN(指数走势!$F$33:$ACK$33))-COLUMN(指数走势!$F$33)+1-760+352)),NA(),IF(INDEX(指数走势!$F$33:$ACK$33,1,LOOKUP(2,1/(指数走势!$F$33:$ACK$33&lt;&gt;""),COLUMN(指数走势!$F$33:$ACK$33))-COLUMN(指数走势!$F$33)+1-760+352)=0,NA(),INDEX(指数走势!$F$33:$ACK$33,1,LOOKUP(2,1/(指数走势!$F$33:$ACK$33&lt;&gt;""),COLUMN(指数走势!$F$33:$ACK$33))-COLUMN(指数走势!$F$33)+1-760+352)))</f>
        <v>14.3929996490479</v>
      </c>
      <c r="MP97">
        <f ca="1">IF(ISERROR(INDEX(指数走势!$F$33:$ACK$33,1,LOOKUP(2,1/(指数走势!$F$33:$ACK$33&lt;&gt;""),COLUMN(指数走势!$F$33:$ACK$33))-COLUMN(指数走势!$F$33)+1-760+353)),NA(),IF(INDEX(指数走势!$F$33:$ACK$33,1,LOOKUP(2,1/(指数走势!$F$33:$ACK$33&lt;&gt;""),COLUMN(指数走势!$F$33:$ACK$33))-COLUMN(指数走势!$F$33)+1-760+353)=0,NA(),INDEX(指数走势!$F$33:$ACK$33,1,LOOKUP(2,1/(指数走势!$F$33:$ACK$33&lt;&gt;""),COLUMN(指数走势!$F$33:$ACK$33))-COLUMN(指数走势!$F$33)+1-760+353)))</f>
        <v>14.2646999359131</v>
      </c>
      <c r="MQ97">
        <f ca="1">IF(ISERROR(INDEX(指数走势!$F$33:$ACK$33,1,LOOKUP(2,1/(指数走势!$F$33:$ACK$33&lt;&gt;""),COLUMN(指数走势!$F$33:$ACK$33))-COLUMN(指数走势!$F$33)+1-760+354)),NA(),IF(INDEX(指数走势!$F$33:$ACK$33,1,LOOKUP(2,1/(指数走势!$F$33:$ACK$33&lt;&gt;""),COLUMN(指数走势!$F$33:$ACK$33))-COLUMN(指数走势!$F$33)+1-760+354)=0,NA(),INDEX(指数走势!$F$33:$ACK$33,1,LOOKUP(2,1/(指数走势!$F$33:$ACK$33&lt;&gt;""),COLUMN(指数走势!$F$33:$ACK$33))-COLUMN(指数走势!$F$33)+1-760+354)))</f>
        <v>14.0694999694824</v>
      </c>
      <c r="MR97">
        <f ca="1">IF(ISERROR(INDEX(指数走势!$F$33:$ACK$33,1,LOOKUP(2,1/(指数走势!$F$33:$ACK$33&lt;&gt;""),COLUMN(指数走势!$F$33:$ACK$33))-COLUMN(指数走势!$F$33)+1-760+355)),NA(),IF(INDEX(指数走势!$F$33:$ACK$33,1,LOOKUP(2,1/(指数走势!$F$33:$ACK$33&lt;&gt;""),COLUMN(指数走势!$F$33:$ACK$33))-COLUMN(指数走势!$F$33)+1-760+355)=0,NA(),INDEX(指数走势!$F$33:$ACK$33,1,LOOKUP(2,1/(指数走势!$F$33:$ACK$33&lt;&gt;""),COLUMN(指数走势!$F$33:$ACK$33))-COLUMN(指数走势!$F$33)+1-760+355)))</f>
        <v>14.0677995681763</v>
      </c>
      <c r="MS97">
        <f ca="1">IF(ISERROR(INDEX(指数走势!$F$33:$ACK$33,1,LOOKUP(2,1/(指数走势!$F$33:$ACK$33&lt;&gt;""),COLUMN(指数走势!$F$33:$ACK$33))-COLUMN(指数走势!$F$33)+1-760+356)),NA(),IF(INDEX(指数走势!$F$33:$ACK$33,1,LOOKUP(2,1/(指数走势!$F$33:$ACK$33&lt;&gt;""),COLUMN(指数走势!$F$33:$ACK$33))-COLUMN(指数走势!$F$33)+1-760+356)=0,NA(),INDEX(指数走势!$F$33:$ACK$33,1,LOOKUP(2,1/(指数走势!$F$33:$ACK$33&lt;&gt;""),COLUMN(指数走势!$F$33:$ACK$33))-COLUMN(指数走势!$F$33)+1-760+356)))</f>
        <v>14.2089996337891</v>
      </c>
      <c r="MT97">
        <f ca="1">IF(ISERROR(INDEX(指数走势!$F$33:$ACK$33,1,LOOKUP(2,1/(指数走势!$F$33:$ACK$33&lt;&gt;""),COLUMN(指数走势!$F$33:$ACK$33))-COLUMN(指数走势!$F$33)+1-760+357)),NA(),IF(INDEX(指数走势!$F$33:$ACK$33,1,LOOKUP(2,1/(指数走势!$F$33:$ACK$33&lt;&gt;""),COLUMN(指数走势!$F$33:$ACK$33))-COLUMN(指数走势!$F$33)+1-760+357)=0,NA(),INDEX(指数走势!$F$33:$ACK$33,1,LOOKUP(2,1/(指数走势!$F$33:$ACK$33&lt;&gt;""),COLUMN(指数走势!$F$33:$ACK$33))-COLUMN(指数走势!$F$33)+1-760+357)))</f>
        <v>14.5233001708984</v>
      </c>
      <c r="MU97">
        <f ca="1">IF(ISERROR(INDEX(指数走势!$F$33:$ACK$33,1,LOOKUP(2,1/(指数走势!$F$33:$ACK$33&lt;&gt;""),COLUMN(指数走势!$F$33:$ACK$33))-COLUMN(指数走势!$F$33)+1-760+358)),NA(),IF(INDEX(指数走势!$F$33:$ACK$33,1,LOOKUP(2,1/(指数走势!$F$33:$ACK$33&lt;&gt;""),COLUMN(指数走势!$F$33:$ACK$33))-COLUMN(指数走势!$F$33)+1-760+358)=0,NA(),INDEX(指数走势!$F$33:$ACK$33,1,LOOKUP(2,1/(指数走势!$F$33:$ACK$33&lt;&gt;""),COLUMN(指数走势!$F$33:$ACK$33))-COLUMN(指数走势!$F$33)+1-760+358)))</f>
        <v>14.4927997589111</v>
      </c>
      <c r="MV97">
        <f ca="1">IF(ISERROR(INDEX(指数走势!$F$33:$ACK$33,1,LOOKUP(2,1/(指数走势!$F$33:$ACK$33&lt;&gt;""),COLUMN(指数走势!$F$33:$ACK$33))-COLUMN(指数走势!$F$33)+1-760+359)),NA(),IF(INDEX(指数走势!$F$33:$ACK$33,1,LOOKUP(2,1/(指数走势!$F$33:$ACK$33&lt;&gt;""),COLUMN(指数走势!$F$33:$ACK$33))-COLUMN(指数走势!$F$33)+1-760+359)=0,NA(),INDEX(指数走势!$F$33:$ACK$33,1,LOOKUP(2,1/(指数走势!$F$33:$ACK$33&lt;&gt;""),COLUMN(指数走势!$F$33:$ACK$33))-COLUMN(指数走势!$F$33)+1-760+359)))</f>
        <v>14.854100227356</v>
      </c>
      <c r="MW97">
        <f ca="1">IF(ISERROR(INDEX(指数走势!$F$33:$ACK$33,1,LOOKUP(2,1/(指数走势!$F$33:$ACK$33&lt;&gt;""),COLUMN(指数走势!$F$33:$ACK$33))-COLUMN(指数走势!$F$33)+1-760+360)),NA(),IF(INDEX(指数走势!$F$33:$ACK$33,1,LOOKUP(2,1/(指数走势!$F$33:$ACK$33&lt;&gt;""),COLUMN(指数走势!$F$33:$ACK$33))-COLUMN(指数走势!$F$33)+1-760+360)=0,NA(),INDEX(指数走势!$F$33:$ACK$33,1,LOOKUP(2,1/(指数走势!$F$33:$ACK$33&lt;&gt;""),COLUMN(指数走势!$F$33:$ACK$33))-COLUMN(指数走势!$F$33)+1-760+360)))</f>
        <v>14.7632999420166</v>
      </c>
      <c r="MX97">
        <f ca="1">IF(ISERROR(INDEX(指数走势!$F$33:$ACK$33,1,LOOKUP(2,1/(指数走势!$F$33:$ACK$33&lt;&gt;""),COLUMN(指数走势!$F$33:$ACK$33))-COLUMN(指数走势!$F$33)+1-760+361)),NA(),IF(INDEX(指数走势!$F$33:$ACK$33,1,LOOKUP(2,1/(指数走势!$F$33:$ACK$33&lt;&gt;""),COLUMN(指数走势!$F$33:$ACK$33))-COLUMN(指数走势!$F$33)+1-760+361)=0,NA(),INDEX(指数走势!$F$33:$ACK$33,1,LOOKUP(2,1/(指数走势!$F$33:$ACK$33&lt;&gt;""),COLUMN(指数走势!$F$33:$ACK$33))-COLUMN(指数走势!$F$33)+1-760+361)))</f>
        <v>14.8101997375488</v>
      </c>
      <c r="MY97">
        <f ca="1">IF(ISERROR(INDEX(指数走势!$F$33:$ACK$33,1,LOOKUP(2,1/(指数走势!$F$33:$ACK$33&lt;&gt;""),COLUMN(指数走势!$F$33:$ACK$33))-COLUMN(指数走势!$F$33)+1-760+362)),NA(),IF(INDEX(指数走势!$F$33:$ACK$33,1,LOOKUP(2,1/(指数走势!$F$33:$ACK$33&lt;&gt;""),COLUMN(指数走势!$F$33:$ACK$33))-COLUMN(指数走势!$F$33)+1-760+362)=0,NA(),INDEX(指数走势!$F$33:$ACK$33,1,LOOKUP(2,1/(指数走势!$F$33:$ACK$33&lt;&gt;""),COLUMN(指数走势!$F$33:$ACK$33))-COLUMN(指数走势!$F$33)+1-760+362)))</f>
        <v>14.6035995483398</v>
      </c>
      <c r="MZ97">
        <f ca="1">IF(ISERROR(INDEX(指数走势!$F$33:$ACK$33,1,LOOKUP(2,1/(指数走势!$F$33:$ACK$33&lt;&gt;""),COLUMN(指数走势!$F$33:$ACK$33))-COLUMN(指数走势!$F$33)+1-760+363)),NA(),IF(INDEX(指数走势!$F$33:$ACK$33,1,LOOKUP(2,1/(指数走势!$F$33:$ACK$33&lt;&gt;""),COLUMN(指数走势!$F$33:$ACK$33))-COLUMN(指数走势!$F$33)+1-760+363)=0,NA(),INDEX(指数走势!$F$33:$ACK$33,1,LOOKUP(2,1/(指数走势!$F$33:$ACK$33&lt;&gt;""),COLUMN(指数走势!$F$33:$ACK$33))-COLUMN(指数走势!$F$33)+1-760+363)))</f>
        <v>14.6999998092651</v>
      </c>
      <c r="NA97">
        <f ca="1">IF(ISERROR(INDEX(指数走势!$F$33:$ACK$33,1,LOOKUP(2,1/(指数走势!$F$33:$ACK$33&lt;&gt;""),COLUMN(指数走势!$F$33:$ACK$33))-COLUMN(指数走势!$F$33)+1-760+364)),NA(),IF(INDEX(指数走势!$F$33:$ACK$33,1,LOOKUP(2,1/(指数走势!$F$33:$ACK$33&lt;&gt;""),COLUMN(指数走势!$F$33:$ACK$33))-COLUMN(指数走势!$F$33)+1-760+364)=0,NA(),INDEX(指数走势!$F$33:$ACK$33,1,LOOKUP(2,1/(指数走势!$F$33:$ACK$33&lt;&gt;""),COLUMN(指数走势!$F$33:$ACK$33))-COLUMN(指数走势!$F$33)+1-760+364)))</f>
        <v>14.4729995727539</v>
      </c>
      <c r="NB97">
        <f ca="1">IF(ISERROR(INDEX(指数走势!$F$33:$ACK$33,1,LOOKUP(2,1/(指数走势!$F$33:$ACK$33&lt;&gt;""),COLUMN(指数走势!$F$33:$ACK$33))-COLUMN(指数走势!$F$33)+1-760+365)),NA(),IF(INDEX(指数走势!$F$33:$ACK$33,1,LOOKUP(2,1/(指数走势!$F$33:$ACK$33&lt;&gt;""),COLUMN(指数走势!$F$33:$ACK$33))-COLUMN(指数走势!$F$33)+1-760+365)=0,NA(),INDEX(指数走势!$F$33:$ACK$33,1,LOOKUP(2,1/(指数走势!$F$33:$ACK$33&lt;&gt;""),COLUMN(指数走势!$F$33:$ACK$33))-COLUMN(指数走势!$F$33)+1-760+365)))</f>
        <v>14.2885999679565</v>
      </c>
      <c r="NC97">
        <f ca="1">IF(ISERROR(INDEX(指数走势!$F$33:$ACK$33,1,LOOKUP(2,1/(指数走势!$F$33:$ACK$33&lt;&gt;""),COLUMN(指数走势!$F$33:$ACK$33))-COLUMN(指数走势!$F$33)+1-760+366)),NA(),IF(INDEX(指数走势!$F$33:$ACK$33,1,LOOKUP(2,1/(指数走势!$F$33:$ACK$33&lt;&gt;""),COLUMN(指数走势!$F$33:$ACK$33))-COLUMN(指数走势!$F$33)+1-760+366)=0,NA(),INDEX(指数走势!$F$33:$ACK$33,1,LOOKUP(2,1/(指数走势!$F$33:$ACK$33&lt;&gt;""),COLUMN(指数走势!$F$33:$ACK$33))-COLUMN(指数走势!$F$33)+1-760+366)))</f>
        <v>14.2763996124268</v>
      </c>
      <c r="ND97">
        <f ca="1">IF(ISERROR(INDEX(指数走势!$F$33:$ACK$33,1,LOOKUP(2,1/(指数走势!$F$33:$ACK$33&lt;&gt;""),COLUMN(指数走势!$F$33:$ACK$33))-COLUMN(指数走势!$F$33)+1-760+367)),NA(),IF(INDEX(指数走势!$F$33:$ACK$33,1,LOOKUP(2,1/(指数走势!$F$33:$ACK$33&lt;&gt;""),COLUMN(指数走势!$F$33:$ACK$33))-COLUMN(指数走势!$F$33)+1-760+367)=0,NA(),INDEX(指数走势!$F$33:$ACK$33,1,LOOKUP(2,1/(指数走势!$F$33:$ACK$33&lt;&gt;""),COLUMN(指数走势!$F$33:$ACK$33))-COLUMN(指数走势!$F$33)+1-760+367)))</f>
        <v>14.3528003692627</v>
      </c>
      <c r="NE97">
        <f ca="1">IF(ISERROR(INDEX(指数走势!$F$33:$ACK$33,1,LOOKUP(2,1/(指数走势!$F$33:$ACK$33&lt;&gt;""),COLUMN(指数走势!$F$33:$ACK$33))-COLUMN(指数走势!$F$33)+1-760+368)),NA(),IF(INDEX(指数走势!$F$33:$ACK$33,1,LOOKUP(2,1/(指数走势!$F$33:$ACK$33&lt;&gt;""),COLUMN(指数走势!$F$33:$ACK$33))-COLUMN(指数走势!$F$33)+1-760+368)=0,NA(),INDEX(指数走势!$F$33:$ACK$33,1,LOOKUP(2,1/(指数走势!$F$33:$ACK$33&lt;&gt;""),COLUMN(指数走势!$F$33:$ACK$33))-COLUMN(指数走势!$F$33)+1-760+368)))</f>
        <v>14.4334001541138</v>
      </c>
      <c r="NF97">
        <f ca="1">IF(ISERROR(INDEX(指数走势!$F$33:$ACK$33,1,LOOKUP(2,1/(指数走势!$F$33:$ACK$33&lt;&gt;""),COLUMN(指数走势!$F$33:$ACK$33))-COLUMN(指数走势!$F$33)+1-760+369)),NA(),IF(INDEX(指数走势!$F$33:$ACK$33,1,LOOKUP(2,1/(指数走势!$F$33:$ACK$33&lt;&gt;""),COLUMN(指数走势!$F$33:$ACK$33))-COLUMN(指数走势!$F$33)+1-760+369)=0,NA(),INDEX(指数走势!$F$33:$ACK$33,1,LOOKUP(2,1/(指数走势!$F$33:$ACK$33&lt;&gt;""),COLUMN(指数走势!$F$33:$ACK$33))-COLUMN(指数走势!$F$33)+1-760+369)))</f>
        <v>14.4413995742798</v>
      </c>
      <c r="NG97">
        <f ca="1">IF(ISERROR(INDEX(指数走势!$F$33:$ACK$33,1,LOOKUP(2,1/(指数走势!$F$33:$ACK$33&lt;&gt;""),COLUMN(指数走势!$F$33:$ACK$33))-COLUMN(指数走势!$F$33)+1-760+370)),NA(),IF(INDEX(指数走势!$F$33:$ACK$33,1,LOOKUP(2,1/(指数走势!$F$33:$ACK$33&lt;&gt;""),COLUMN(指数走势!$F$33:$ACK$33))-COLUMN(指数走势!$F$33)+1-760+370)=0,NA(),INDEX(指数走势!$F$33:$ACK$33,1,LOOKUP(2,1/(指数走势!$F$33:$ACK$33&lt;&gt;""),COLUMN(指数走势!$F$33:$ACK$33))-COLUMN(指数走势!$F$33)+1-760+370)))</f>
        <v>14.0292997360229</v>
      </c>
      <c r="NH97">
        <f ca="1">IF(ISERROR(INDEX(指数走势!$F$33:$ACK$33,1,LOOKUP(2,1/(指数走势!$F$33:$ACK$33&lt;&gt;""),COLUMN(指数走势!$F$33:$ACK$33))-COLUMN(指数走势!$F$33)+1-760+371)),NA(),IF(INDEX(指数走势!$F$33:$ACK$33,1,LOOKUP(2,1/(指数走势!$F$33:$ACK$33&lt;&gt;""),COLUMN(指数走势!$F$33:$ACK$33))-COLUMN(指数走势!$F$33)+1-760+371)=0,NA(),INDEX(指数走势!$F$33:$ACK$33,1,LOOKUP(2,1/(指数走势!$F$33:$ACK$33&lt;&gt;""),COLUMN(指数走势!$F$33:$ACK$33))-COLUMN(指数走势!$F$33)+1-760+371)))</f>
        <v>14.0152997970581</v>
      </c>
      <c r="NI97">
        <f ca="1">IF(ISERROR(INDEX(指数走势!$F$33:$ACK$33,1,LOOKUP(2,1/(指数走势!$F$33:$ACK$33&lt;&gt;""),COLUMN(指数走势!$F$33:$ACK$33))-COLUMN(指数走势!$F$33)+1-760+372)),NA(),IF(INDEX(指数走势!$F$33:$ACK$33,1,LOOKUP(2,1/(指数走势!$F$33:$ACK$33&lt;&gt;""),COLUMN(指数走势!$F$33:$ACK$33))-COLUMN(指数走势!$F$33)+1-760+372)=0,NA(),INDEX(指数走势!$F$33:$ACK$33,1,LOOKUP(2,1/(指数走势!$F$33:$ACK$33&lt;&gt;""),COLUMN(指数走势!$F$33:$ACK$33))-COLUMN(指数走势!$F$33)+1-760+372)))</f>
        <v>14.0160999298096</v>
      </c>
      <c r="NJ97">
        <f ca="1">IF(ISERROR(INDEX(指数走势!$F$33:$ACK$33,1,LOOKUP(2,1/(指数走势!$F$33:$ACK$33&lt;&gt;""),COLUMN(指数走势!$F$33:$ACK$33))-COLUMN(指数走势!$F$33)+1-760+373)),NA(),IF(INDEX(指数走势!$F$33:$ACK$33,1,LOOKUP(2,1/(指数走势!$F$33:$ACK$33&lt;&gt;""),COLUMN(指数走势!$F$33:$ACK$33))-COLUMN(指数走势!$F$33)+1-760+373)=0,NA(),INDEX(指数走势!$F$33:$ACK$33,1,LOOKUP(2,1/(指数走势!$F$33:$ACK$33&lt;&gt;""),COLUMN(指数走势!$F$33:$ACK$33))-COLUMN(指数走势!$F$33)+1-760+373)))</f>
        <v>14.2238998413086</v>
      </c>
      <c r="NK97">
        <f ca="1">IF(ISERROR(INDEX(指数走势!$F$33:$ACK$33,1,LOOKUP(2,1/(指数走势!$F$33:$ACK$33&lt;&gt;""),COLUMN(指数走势!$F$33:$ACK$33))-COLUMN(指数走势!$F$33)+1-760+374)),NA(),IF(INDEX(指数走势!$F$33:$ACK$33,1,LOOKUP(2,1/(指数走势!$F$33:$ACK$33&lt;&gt;""),COLUMN(指数走势!$F$33:$ACK$33))-COLUMN(指数走势!$F$33)+1-760+374)=0,NA(),INDEX(指数走势!$F$33:$ACK$33,1,LOOKUP(2,1/(指数走势!$F$33:$ACK$33&lt;&gt;""),COLUMN(指数走势!$F$33:$ACK$33))-COLUMN(指数走势!$F$33)+1-760+374)))</f>
        <v>14.1612997055054</v>
      </c>
      <c r="NL97">
        <f ca="1">IF(ISERROR(INDEX(指数走势!$F$33:$ACK$33,1,LOOKUP(2,1/(指数走势!$F$33:$ACK$33&lt;&gt;""),COLUMN(指数走势!$F$33:$ACK$33))-COLUMN(指数走势!$F$33)+1-760+375)),NA(),IF(INDEX(指数走势!$F$33:$ACK$33,1,LOOKUP(2,1/(指数走势!$F$33:$ACK$33&lt;&gt;""),COLUMN(指数走势!$F$33:$ACK$33))-COLUMN(指数走势!$F$33)+1-760+375)=0,NA(),INDEX(指数走势!$F$33:$ACK$33,1,LOOKUP(2,1/(指数走势!$F$33:$ACK$33&lt;&gt;""),COLUMN(指数走势!$F$33:$ACK$33))-COLUMN(指数走势!$F$33)+1-760+375)))</f>
        <v>14.279899597168</v>
      </c>
      <c r="NM97">
        <f ca="1">IF(ISERROR(INDEX(指数走势!$F$33:$ACK$33,1,LOOKUP(2,1/(指数走势!$F$33:$ACK$33&lt;&gt;""),COLUMN(指数走势!$F$33:$ACK$33))-COLUMN(指数走势!$F$33)+1-760+376)),NA(),IF(INDEX(指数走势!$F$33:$ACK$33,1,LOOKUP(2,1/(指数走势!$F$33:$ACK$33&lt;&gt;""),COLUMN(指数走势!$F$33:$ACK$33))-COLUMN(指数走势!$F$33)+1-760+376)=0,NA(),INDEX(指数走势!$F$33:$ACK$33,1,LOOKUP(2,1/(指数走势!$F$33:$ACK$33&lt;&gt;""),COLUMN(指数走势!$F$33:$ACK$33))-COLUMN(指数走势!$F$33)+1-760+376)))</f>
        <v>14.4141998291016</v>
      </c>
      <c r="NN97">
        <f ca="1">IF(ISERROR(INDEX(指数走势!$F$33:$ACK$33,1,LOOKUP(2,1/(指数走势!$F$33:$ACK$33&lt;&gt;""),COLUMN(指数走势!$F$33:$ACK$33))-COLUMN(指数走势!$F$33)+1-760+377)),NA(),IF(INDEX(指数走势!$F$33:$ACK$33,1,LOOKUP(2,1/(指数走势!$F$33:$ACK$33&lt;&gt;""),COLUMN(指数走势!$F$33:$ACK$33))-COLUMN(指数走势!$F$33)+1-760+377)=0,NA(),INDEX(指数走势!$F$33:$ACK$33,1,LOOKUP(2,1/(指数走势!$F$33:$ACK$33&lt;&gt;""),COLUMN(指数走势!$F$33:$ACK$33))-COLUMN(指数走势!$F$33)+1-760+377)))</f>
        <v>14.4961996078491</v>
      </c>
      <c r="NO97">
        <f ca="1">IF(ISERROR(INDEX(指数走势!$F$33:$ACK$33,1,LOOKUP(2,1/(指数走势!$F$33:$ACK$33&lt;&gt;""),COLUMN(指数走势!$F$33:$ACK$33))-COLUMN(指数走势!$F$33)+1-760+378)),NA(),IF(INDEX(指数走势!$F$33:$ACK$33,1,LOOKUP(2,1/(指数走势!$F$33:$ACK$33&lt;&gt;""),COLUMN(指数走势!$F$33:$ACK$33))-COLUMN(指数走势!$F$33)+1-760+378)=0,NA(),INDEX(指数走势!$F$33:$ACK$33,1,LOOKUP(2,1/(指数走势!$F$33:$ACK$33&lt;&gt;""),COLUMN(指数走势!$F$33:$ACK$33))-COLUMN(指数走势!$F$33)+1-760+378)))</f>
        <v>14.4643001556396</v>
      </c>
      <c r="NP97">
        <f ca="1">IF(ISERROR(INDEX(指数走势!$F$33:$ACK$33,1,LOOKUP(2,1/(指数走势!$F$33:$ACK$33&lt;&gt;""),COLUMN(指数走势!$F$33:$ACK$33))-COLUMN(指数走势!$F$33)+1-760+379)),NA(),IF(INDEX(指数走势!$F$33:$ACK$33,1,LOOKUP(2,1/(指数走势!$F$33:$ACK$33&lt;&gt;""),COLUMN(指数走势!$F$33:$ACK$33))-COLUMN(指数走势!$F$33)+1-760+379)=0,NA(),INDEX(指数走势!$F$33:$ACK$33,1,LOOKUP(2,1/(指数走势!$F$33:$ACK$33&lt;&gt;""),COLUMN(指数走势!$F$33:$ACK$33))-COLUMN(指数走势!$F$33)+1-760+379)))</f>
        <v>14.4687995910645</v>
      </c>
      <c r="NQ97">
        <f ca="1">IF(ISERROR(INDEX(指数走势!$F$33:$ACK$33,1,LOOKUP(2,1/(指数走势!$F$33:$ACK$33&lt;&gt;""),COLUMN(指数走势!$F$33:$ACK$33))-COLUMN(指数走势!$F$33)+1-760+380)),NA(),IF(INDEX(指数走势!$F$33:$ACK$33,1,LOOKUP(2,1/(指数走势!$F$33:$ACK$33&lt;&gt;""),COLUMN(指数走势!$F$33:$ACK$33))-COLUMN(指数走势!$F$33)+1-760+380)=0,NA(),INDEX(指数走势!$F$33:$ACK$33,1,LOOKUP(2,1/(指数走势!$F$33:$ACK$33&lt;&gt;""),COLUMN(指数走势!$F$33:$ACK$33))-COLUMN(指数走势!$F$33)+1-760+380)))</f>
        <v>14.6150999069214</v>
      </c>
      <c r="NR97">
        <f ca="1">IF(ISERROR(INDEX(指数走势!$F$33:$ACK$33,1,LOOKUP(2,1/(指数走势!$F$33:$ACK$33&lt;&gt;""),COLUMN(指数走势!$F$33:$ACK$33))-COLUMN(指数走势!$F$33)+1-760+381)),NA(),IF(INDEX(指数走势!$F$33:$ACK$33,1,LOOKUP(2,1/(指数走势!$F$33:$ACK$33&lt;&gt;""),COLUMN(指数走势!$F$33:$ACK$33))-COLUMN(指数走势!$F$33)+1-760+381)=0,NA(),INDEX(指数走势!$F$33:$ACK$33,1,LOOKUP(2,1/(指数走势!$F$33:$ACK$33&lt;&gt;""),COLUMN(指数走势!$F$33:$ACK$33))-COLUMN(指数走势!$F$33)+1-760+381)))</f>
        <v>14.6106996536255</v>
      </c>
      <c r="NS97">
        <f ca="1">IF(ISERROR(INDEX(指数走势!$F$33:$ACK$33,1,LOOKUP(2,1/(指数走势!$F$33:$ACK$33&lt;&gt;""),COLUMN(指数走势!$F$33:$ACK$33))-COLUMN(指数走势!$F$33)+1-760+382)),NA(),IF(INDEX(指数走势!$F$33:$ACK$33,1,LOOKUP(2,1/(指数走势!$F$33:$ACK$33&lt;&gt;""),COLUMN(指数走势!$F$33:$ACK$33))-COLUMN(指数走势!$F$33)+1-760+382)=0,NA(),INDEX(指数走势!$F$33:$ACK$33,1,LOOKUP(2,1/(指数走势!$F$33:$ACK$33&lt;&gt;""),COLUMN(指数走势!$F$33:$ACK$33))-COLUMN(指数走势!$F$33)+1-760+382)))</f>
        <v>14.6930999755859</v>
      </c>
      <c r="NT97">
        <f ca="1">IF(ISERROR(INDEX(指数走势!$F$33:$ACK$33,1,LOOKUP(2,1/(指数走势!$F$33:$ACK$33&lt;&gt;""),COLUMN(指数走势!$F$33:$ACK$33))-COLUMN(指数走势!$F$33)+1-760+383)),NA(),IF(INDEX(指数走势!$F$33:$ACK$33,1,LOOKUP(2,1/(指数走势!$F$33:$ACK$33&lt;&gt;""),COLUMN(指数走势!$F$33:$ACK$33))-COLUMN(指数走势!$F$33)+1-760+383)=0,NA(),INDEX(指数走势!$F$33:$ACK$33,1,LOOKUP(2,1/(指数走势!$F$33:$ACK$33&lt;&gt;""),COLUMN(指数走势!$F$33:$ACK$33))-COLUMN(指数走势!$F$33)+1-760+383)))</f>
        <v>14.708399772644</v>
      </c>
      <c r="NU97">
        <f ca="1">IF(ISERROR(INDEX(指数走势!$F$33:$ACK$33,1,LOOKUP(2,1/(指数走势!$F$33:$ACK$33&lt;&gt;""),COLUMN(指数走势!$F$33:$ACK$33))-COLUMN(指数走势!$F$33)+1-760+384)),NA(),IF(INDEX(指数走势!$F$33:$ACK$33,1,LOOKUP(2,1/(指数走势!$F$33:$ACK$33&lt;&gt;""),COLUMN(指数走势!$F$33:$ACK$33))-COLUMN(指数走势!$F$33)+1-760+384)=0,NA(),INDEX(指数走势!$F$33:$ACK$33,1,LOOKUP(2,1/(指数走势!$F$33:$ACK$33&lt;&gt;""),COLUMN(指数走势!$F$33:$ACK$33))-COLUMN(指数走势!$F$33)+1-760+384)))</f>
        <v>14.836199760437</v>
      </c>
      <c r="NV97">
        <f ca="1">IF(ISERROR(INDEX(指数走势!$F$33:$ACK$33,1,LOOKUP(2,1/(指数走势!$F$33:$ACK$33&lt;&gt;""),COLUMN(指数走势!$F$33:$ACK$33))-COLUMN(指数走势!$F$33)+1-760+385)),NA(),IF(INDEX(指数走势!$F$33:$ACK$33,1,LOOKUP(2,1/(指数走势!$F$33:$ACK$33&lt;&gt;""),COLUMN(指数走势!$F$33:$ACK$33))-COLUMN(指数走势!$F$33)+1-760+385)=0,NA(),INDEX(指数走势!$F$33:$ACK$33,1,LOOKUP(2,1/(指数走势!$F$33:$ACK$33&lt;&gt;""),COLUMN(指数走势!$F$33:$ACK$33))-COLUMN(指数走势!$F$33)+1-760+385)))</f>
        <v>14.5620002746582</v>
      </c>
      <c r="NW97">
        <f ca="1">IF(ISERROR(INDEX(指数走势!$F$33:$ACK$33,1,LOOKUP(2,1/(指数走势!$F$33:$ACK$33&lt;&gt;""),COLUMN(指数走势!$F$33:$ACK$33))-COLUMN(指数走势!$F$33)+1-760+386)),NA(),IF(INDEX(指数走势!$F$33:$ACK$33,1,LOOKUP(2,1/(指数走势!$F$33:$ACK$33&lt;&gt;""),COLUMN(指数走势!$F$33:$ACK$33))-COLUMN(指数走势!$F$33)+1-760+386)=0,NA(),INDEX(指数走势!$F$33:$ACK$33,1,LOOKUP(2,1/(指数走势!$F$33:$ACK$33&lt;&gt;""),COLUMN(指数走势!$F$33:$ACK$33))-COLUMN(指数走势!$F$33)+1-760+386)))</f>
        <v>14.5712995529175</v>
      </c>
      <c r="NX97">
        <f ca="1">IF(ISERROR(INDEX(指数走势!$F$33:$ACK$33,1,LOOKUP(2,1/(指数走势!$F$33:$ACK$33&lt;&gt;""),COLUMN(指数走势!$F$33:$ACK$33))-COLUMN(指数走势!$F$33)+1-760+387)),NA(),IF(INDEX(指数走势!$F$33:$ACK$33,1,LOOKUP(2,1/(指数走势!$F$33:$ACK$33&lt;&gt;""),COLUMN(指数走势!$F$33:$ACK$33))-COLUMN(指数走势!$F$33)+1-760+387)=0,NA(),INDEX(指数走势!$F$33:$ACK$33,1,LOOKUP(2,1/(指数走势!$F$33:$ACK$33&lt;&gt;""),COLUMN(指数走势!$F$33:$ACK$33))-COLUMN(指数走势!$F$33)+1-760+387)))</f>
        <v>14.4819002151489</v>
      </c>
      <c r="NY97">
        <f ca="1">IF(ISERROR(INDEX(指数走势!$F$33:$ACK$33,1,LOOKUP(2,1/(指数走势!$F$33:$ACK$33&lt;&gt;""),COLUMN(指数走势!$F$33:$ACK$33))-COLUMN(指数走势!$F$33)+1-760+388)),NA(),IF(INDEX(指数走势!$F$33:$ACK$33,1,LOOKUP(2,1/(指数走势!$F$33:$ACK$33&lt;&gt;""),COLUMN(指数走势!$F$33:$ACK$33))-COLUMN(指数走势!$F$33)+1-760+388)=0,NA(),INDEX(指数走势!$F$33:$ACK$33,1,LOOKUP(2,1/(指数走势!$F$33:$ACK$33&lt;&gt;""),COLUMN(指数走势!$F$33:$ACK$33))-COLUMN(指数走势!$F$33)+1-760+388)))</f>
        <v>14.5790004730225</v>
      </c>
      <c r="NZ97">
        <f ca="1">IF(ISERROR(INDEX(指数走势!$F$33:$ACK$33,1,LOOKUP(2,1/(指数走势!$F$33:$ACK$33&lt;&gt;""),COLUMN(指数走势!$F$33:$ACK$33))-COLUMN(指数走势!$F$33)+1-760+389)),NA(),IF(INDEX(指数走势!$F$33:$ACK$33,1,LOOKUP(2,1/(指数走势!$F$33:$ACK$33&lt;&gt;""),COLUMN(指数走势!$F$33:$ACK$33))-COLUMN(指数走势!$F$33)+1-760+389)=0,NA(),INDEX(指数走势!$F$33:$ACK$33,1,LOOKUP(2,1/(指数走势!$F$33:$ACK$33&lt;&gt;""),COLUMN(指数走势!$F$33:$ACK$33))-COLUMN(指数走势!$F$33)+1-760+389)))</f>
        <v>14.524299621582</v>
      </c>
      <c r="OA97">
        <f ca="1">IF(ISERROR(INDEX(指数走势!$F$33:$ACK$33,1,LOOKUP(2,1/(指数走势!$F$33:$ACK$33&lt;&gt;""),COLUMN(指数走势!$F$33:$ACK$33))-COLUMN(指数走势!$F$33)+1-760+390)),NA(),IF(INDEX(指数走势!$F$33:$ACK$33,1,LOOKUP(2,1/(指数走势!$F$33:$ACK$33&lt;&gt;""),COLUMN(指数走势!$F$33:$ACK$33))-COLUMN(指数走势!$F$33)+1-760+390)=0,NA(),INDEX(指数走势!$F$33:$ACK$33,1,LOOKUP(2,1/(指数走势!$F$33:$ACK$33&lt;&gt;""),COLUMN(指数走势!$F$33:$ACK$33))-COLUMN(指数走势!$F$33)+1-760+390)))</f>
        <v>14.5107002258301</v>
      </c>
      <c r="OB97">
        <f ca="1">IF(ISERROR(INDEX(指数走势!$F$33:$ACK$33,1,LOOKUP(2,1/(指数走势!$F$33:$ACK$33&lt;&gt;""),COLUMN(指数走势!$F$33:$ACK$33))-COLUMN(指数走势!$F$33)+1-760+391)),NA(),IF(INDEX(指数走势!$F$33:$ACK$33,1,LOOKUP(2,1/(指数走势!$F$33:$ACK$33&lt;&gt;""),COLUMN(指数走势!$F$33:$ACK$33))-COLUMN(指数走势!$F$33)+1-760+391)=0,NA(),INDEX(指数走势!$F$33:$ACK$33,1,LOOKUP(2,1/(指数走势!$F$33:$ACK$33&lt;&gt;""),COLUMN(指数走势!$F$33:$ACK$33))-COLUMN(指数走势!$F$33)+1-760+391)))</f>
        <v>14.4973001480103</v>
      </c>
      <c r="OC97">
        <f ca="1">IF(ISERROR(INDEX(指数走势!$F$33:$ACK$33,1,LOOKUP(2,1/(指数走势!$F$33:$ACK$33&lt;&gt;""),COLUMN(指数走势!$F$33:$ACK$33))-COLUMN(指数走势!$F$33)+1-760+392)),NA(),IF(INDEX(指数走势!$F$33:$ACK$33,1,LOOKUP(2,1/(指数走势!$F$33:$ACK$33&lt;&gt;""),COLUMN(指数走势!$F$33:$ACK$33))-COLUMN(指数走势!$F$33)+1-760+392)=0,NA(),INDEX(指数走势!$F$33:$ACK$33,1,LOOKUP(2,1/(指数走势!$F$33:$ACK$33&lt;&gt;""),COLUMN(指数走势!$F$33:$ACK$33))-COLUMN(指数走势!$F$33)+1-760+392)))</f>
        <v>14.6817998886108</v>
      </c>
      <c r="OD97">
        <f ca="1">IF(ISERROR(INDEX(指数走势!$F$33:$ACK$33,1,LOOKUP(2,1/(指数走势!$F$33:$ACK$33&lt;&gt;""),COLUMN(指数走势!$F$33:$ACK$33))-COLUMN(指数走势!$F$33)+1-760+393)),NA(),IF(INDEX(指数走势!$F$33:$ACK$33,1,LOOKUP(2,1/(指数走势!$F$33:$ACK$33&lt;&gt;""),COLUMN(指数走势!$F$33:$ACK$33))-COLUMN(指数走势!$F$33)+1-760+393)=0,NA(),INDEX(指数走势!$F$33:$ACK$33,1,LOOKUP(2,1/(指数走势!$F$33:$ACK$33&lt;&gt;""),COLUMN(指数走势!$F$33:$ACK$33))-COLUMN(指数走势!$F$33)+1-760+393)))</f>
        <v>14.7024002075195</v>
      </c>
      <c r="OE97">
        <f ca="1">IF(ISERROR(INDEX(指数走势!$F$33:$ACK$33,1,LOOKUP(2,1/(指数走势!$F$33:$ACK$33&lt;&gt;""),COLUMN(指数走势!$F$33:$ACK$33))-COLUMN(指数走势!$F$33)+1-760+394)),NA(),IF(INDEX(指数走势!$F$33:$ACK$33,1,LOOKUP(2,1/(指数走势!$F$33:$ACK$33&lt;&gt;""),COLUMN(指数走势!$F$33:$ACK$33))-COLUMN(指数走势!$F$33)+1-760+394)=0,NA(),INDEX(指数走势!$F$33:$ACK$33,1,LOOKUP(2,1/(指数走势!$F$33:$ACK$33&lt;&gt;""),COLUMN(指数走势!$F$33:$ACK$33))-COLUMN(指数走势!$F$33)+1-760+394)))</f>
        <v>14.7023000717163</v>
      </c>
      <c r="OF97">
        <f ca="1">IF(ISERROR(INDEX(指数走势!$F$33:$ACK$33,1,LOOKUP(2,1/(指数走势!$F$33:$ACK$33&lt;&gt;""),COLUMN(指数走势!$F$33:$ACK$33))-COLUMN(指数走势!$F$33)+1-760+395)),NA(),IF(INDEX(指数走势!$F$33:$ACK$33,1,LOOKUP(2,1/(指数走势!$F$33:$ACK$33&lt;&gt;""),COLUMN(指数走势!$F$33:$ACK$33))-COLUMN(指数走势!$F$33)+1-760+395)=0,NA(),INDEX(指数走势!$F$33:$ACK$33,1,LOOKUP(2,1/(指数走势!$F$33:$ACK$33&lt;&gt;""),COLUMN(指数走势!$F$33:$ACK$33))-COLUMN(指数走势!$F$33)+1-760+395)))</f>
        <v>14.7103996276855</v>
      </c>
      <c r="OG97">
        <f ca="1">IF(ISERROR(INDEX(指数走势!$F$33:$ACK$33,1,LOOKUP(2,1/(指数走势!$F$33:$ACK$33&lt;&gt;""),COLUMN(指数走势!$F$33:$ACK$33))-COLUMN(指数走势!$F$33)+1-760+396)),NA(),IF(INDEX(指数走势!$F$33:$ACK$33,1,LOOKUP(2,1/(指数走势!$F$33:$ACK$33&lt;&gt;""),COLUMN(指数走势!$F$33:$ACK$33))-COLUMN(指数走势!$F$33)+1-760+396)=0,NA(),INDEX(指数走势!$F$33:$ACK$33,1,LOOKUP(2,1/(指数走势!$F$33:$ACK$33&lt;&gt;""),COLUMN(指数走势!$F$33:$ACK$33))-COLUMN(指数走势!$F$33)+1-760+396)))</f>
        <v>14.7648000717163</v>
      </c>
      <c r="OH97">
        <f ca="1">IF(ISERROR(INDEX(指数走势!$F$33:$ACK$33,1,LOOKUP(2,1/(指数走势!$F$33:$ACK$33&lt;&gt;""),COLUMN(指数走势!$F$33:$ACK$33))-COLUMN(指数走势!$F$33)+1-760+397)),NA(),IF(INDEX(指数走势!$F$33:$ACK$33,1,LOOKUP(2,1/(指数走势!$F$33:$ACK$33&lt;&gt;""),COLUMN(指数走势!$F$33:$ACK$33))-COLUMN(指数走势!$F$33)+1-760+397)=0,NA(),INDEX(指数走势!$F$33:$ACK$33,1,LOOKUP(2,1/(指数走势!$F$33:$ACK$33&lt;&gt;""),COLUMN(指数走势!$F$33:$ACK$33))-COLUMN(指数走势!$F$33)+1-760+397)))</f>
        <v>14.5543003082275</v>
      </c>
      <c r="OI97">
        <f ca="1">IF(ISERROR(INDEX(指数走势!$F$33:$ACK$33,1,LOOKUP(2,1/(指数走势!$F$33:$ACK$33&lt;&gt;""),COLUMN(指数走势!$F$33:$ACK$33))-COLUMN(指数走势!$F$33)+1-760+398)),NA(),IF(INDEX(指数走势!$F$33:$ACK$33,1,LOOKUP(2,1/(指数走势!$F$33:$ACK$33&lt;&gt;""),COLUMN(指数走势!$F$33:$ACK$33))-COLUMN(指数走势!$F$33)+1-760+398)=0,NA(),INDEX(指数走势!$F$33:$ACK$33,1,LOOKUP(2,1/(指数走势!$F$33:$ACK$33&lt;&gt;""),COLUMN(指数走势!$F$33:$ACK$33))-COLUMN(指数走势!$F$33)+1-760+398)))</f>
        <v>14.1646995544434</v>
      </c>
      <c r="OJ97">
        <f ca="1">IF(ISERROR(INDEX(指数走势!$F$33:$ACK$33,1,LOOKUP(2,1/(指数走势!$F$33:$ACK$33&lt;&gt;""),COLUMN(指数走势!$F$33:$ACK$33))-COLUMN(指数走势!$F$33)+1-760+399)),NA(),IF(INDEX(指数走势!$F$33:$ACK$33,1,LOOKUP(2,1/(指数走势!$F$33:$ACK$33&lt;&gt;""),COLUMN(指数走势!$F$33:$ACK$33))-COLUMN(指数走势!$F$33)+1-760+399)=0,NA(),INDEX(指数走势!$F$33:$ACK$33,1,LOOKUP(2,1/(指数走势!$F$33:$ACK$33&lt;&gt;""),COLUMN(指数走势!$F$33:$ACK$33))-COLUMN(指数走势!$F$33)+1-760+399)))</f>
        <v>13.9657001495361</v>
      </c>
      <c r="OK97">
        <f ca="1">IF(ISERROR(INDEX(指数走势!$F$33:$ACK$33,1,LOOKUP(2,1/(指数走势!$F$33:$ACK$33&lt;&gt;""),COLUMN(指数走势!$F$33:$ACK$33))-COLUMN(指数走势!$F$33)+1-760+400)),NA(),IF(INDEX(指数走势!$F$33:$ACK$33,1,LOOKUP(2,1/(指数走势!$F$33:$ACK$33&lt;&gt;""),COLUMN(指数走势!$F$33:$ACK$33))-COLUMN(指数走势!$F$33)+1-760+400)=0,NA(),INDEX(指数走势!$F$33:$ACK$33,1,LOOKUP(2,1/(指数走势!$F$33:$ACK$33&lt;&gt;""),COLUMN(指数走势!$F$33:$ACK$33))-COLUMN(指数走势!$F$33)+1-760+400)))</f>
        <v>13.9305000305176</v>
      </c>
      <c r="OL97">
        <f ca="1">IF(ISERROR(INDEX(指数走势!$F$33:$ACK$33,1,LOOKUP(2,1/(指数走势!$F$33:$ACK$33&lt;&gt;""),COLUMN(指数走势!$F$33:$ACK$33))-COLUMN(指数走势!$F$33)+1-760+401)),NA(),IF(INDEX(指数走势!$F$33:$ACK$33,1,LOOKUP(2,1/(指数走势!$F$33:$ACK$33&lt;&gt;""),COLUMN(指数走势!$F$33:$ACK$33))-COLUMN(指数走势!$F$33)+1-760+401)=0,NA(),INDEX(指数走势!$F$33:$ACK$33,1,LOOKUP(2,1/(指数走势!$F$33:$ACK$33&lt;&gt;""),COLUMN(指数走势!$F$33:$ACK$33))-COLUMN(指数走势!$F$33)+1-760+401)))</f>
        <v>14.0347003936768</v>
      </c>
      <c r="OM97">
        <f ca="1">IF(ISERROR(INDEX(指数走势!$F$33:$ACK$33,1,LOOKUP(2,1/(指数走势!$F$33:$ACK$33&lt;&gt;""),COLUMN(指数走势!$F$33:$ACK$33))-COLUMN(指数走势!$F$33)+1-760+402)),NA(),IF(INDEX(指数走势!$F$33:$ACK$33,1,LOOKUP(2,1/(指数走势!$F$33:$ACK$33&lt;&gt;""),COLUMN(指数走势!$F$33:$ACK$33))-COLUMN(指数走势!$F$33)+1-760+402)=0,NA(),INDEX(指数走势!$F$33:$ACK$33,1,LOOKUP(2,1/(指数走势!$F$33:$ACK$33&lt;&gt;""),COLUMN(指数走势!$F$33:$ACK$33))-COLUMN(指数走势!$F$33)+1-760+402)))</f>
        <v>14.0544004440308</v>
      </c>
      <c r="ON97">
        <f ca="1">IF(ISERROR(INDEX(指数走势!$F$33:$ACK$33,1,LOOKUP(2,1/(指数走势!$F$33:$ACK$33&lt;&gt;""),COLUMN(指数走势!$F$33:$ACK$33))-COLUMN(指数走势!$F$33)+1-760+403)),NA(),IF(INDEX(指数走势!$F$33:$ACK$33,1,LOOKUP(2,1/(指数走势!$F$33:$ACK$33&lt;&gt;""),COLUMN(指数走势!$F$33:$ACK$33))-COLUMN(指数走势!$F$33)+1-760+403)=0,NA(),INDEX(指数走势!$F$33:$ACK$33,1,LOOKUP(2,1/(指数走势!$F$33:$ACK$33&lt;&gt;""),COLUMN(指数走势!$F$33:$ACK$33))-COLUMN(指数走势!$F$33)+1-760+403)))</f>
        <v>13.9621000289917</v>
      </c>
      <c r="OO97">
        <f ca="1">IF(ISERROR(INDEX(指数走势!$F$33:$ACK$33,1,LOOKUP(2,1/(指数走势!$F$33:$ACK$33&lt;&gt;""),COLUMN(指数走势!$F$33:$ACK$33))-COLUMN(指数走势!$F$33)+1-760+404)),NA(),IF(INDEX(指数走势!$F$33:$ACK$33,1,LOOKUP(2,1/(指数走势!$F$33:$ACK$33&lt;&gt;""),COLUMN(指数走势!$F$33:$ACK$33))-COLUMN(指数走势!$F$33)+1-760+404)=0,NA(),INDEX(指数走势!$F$33:$ACK$33,1,LOOKUP(2,1/(指数走势!$F$33:$ACK$33&lt;&gt;""),COLUMN(指数走势!$F$33:$ACK$33))-COLUMN(指数走势!$F$33)+1-760+404)))</f>
        <v>13.7781000137329</v>
      </c>
      <c r="OP97">
        <f ca="1">IF(ISERROR(INDEX(指数走势!$F$33:$ACK$33,1,LOOKUP(2,1/(指数走势!$F$33:$ACK$33&lt;&gt;""),COLUMN(指数走势!$F$33:$ACK$33))-COLUMN(指数走势!$F$33)+1-760+405)),NA(),IF(INDEX(指数走势!$F$33:$ACK$33,1,LOOKUP(2,1/(指数走势!$F$33:$ACK$33&lt;&gt;""),COLUMN(指数走势!$F$33:$ACK$33))-COLUMN(指数走势!$F$33)+1-760+405)=0,NA(),INDEX(指数走势!$F$33:$ACK$33,1,LOOKUP(2,1/(指数走势!$F$33:$ACK$33&lt;&gt;""),COLUMN(指数走势!$F$33:$ACK$33))-COLUMN(指数走势!$F$33)+1-760+405)))</f>
        <v>13.7402000427246</v>
      </c>
      <c r="OQ97">
        <f ca="1">IF(ISERROR(INDEX(指数走势!$F$33:$ACK$33,1,LOOKUP(2,1/(指数走势!$F$33:$ACK$33&lt;&gt;""),COLUMN(指数走势!$F$33:$ACK$33))-COLUMN(指数走势!$F$33)+1-760+406)),NA(),IF(INDEX(指数走势!$F$33:$ACK$33,1,LOOKUP(2,1/(指数走势!$F$33:$ACK$33&lt;&gt;""),COLUMN(指数走势!$F$33:$ACK$33))-COLUMN(指数走势!$F$33)+1-760+406)=0,NA(),INDEX(指数走势!$F$33:$ACK$33,1,LOOKUP(2,1/(指数走势!$F$33:$ACK$33&lt;&gt;""),COLUMN(指数走势!$F$33:$ACK$33))-COLUMN(指数走势!$F$33)+1-760+406)))</f>
        <v>14.0593004226685</v>
      </c>
      <c r="OR97">
        <f ca="1">IF(ISERROR(INDEX(指数走势!$F$33:$ACK$33,1,LOOKUP(2,1/(指数走势!$F$33:$ACK$33&lt;&gt;""),COLUMN(指数走势!$F$33:$ACK$33))-COLUMN(指数走势!$F$33)+1-760+407)),NA(),IF(INDEX(指数走势!$F$33:$ACK$33,1,LOOKUP(2,1/(指数走势!$F$33:$ACK$33&lt;&gt;""),COLUMN(指数走势!$F$33:$ACK$33))-COLUMN(指数走势!$F$33)+1-760+407)=0,NA(),INDEX(指数走势!$F$33:$ACK$33,1,LOOKUP(2,1/(指数走势!$F$33:$ACK$33&lt;&gt;""),COLUMN(指数走势!$F$33:$ACK$33))-COLUMN(指数走势!$F$33)+1-760+407)))</f>
        <v>13.9940004348755</v>
      </c>
      <c r="OS97">
        <f ca="1">IF(ISERROR(INDEX(指数走势!$F$33:$ACK$33,1,LOOKUP(2,1/(指数走势!$F$33:$ACK$33&lt;&gt;""),COLUMN(指数走势!$F$33:$ACK$33))-COLUMN(指数走势!$F$33)+1-760+408)),NA(),IF(INDEX(指数走势!$F$33:$ACK$33,1,LOOKUP(2,1/(指数走势!$F$33:$ACK$33&lt;&gt;""),COLUMN(指数走势!$F$33:$ACK$33))-COLUMN(指数走势!$F$33)+1-760+408)=0,NA(),INDEX(指数走势!$F$33:$ACK$33,1,LOOKUP(2,1/(指数走势!$F$33:$ACK$33&lt;&gt;""),COLUMN(指数走势!$F$33:$ACK$33))-COLUMN(指数走势!$F$33)+1-760+408)))</f>
        <v>14.0424003601074</v>
      </c>
      <c r="OT97">
        <f ca="1">IF(ISERROR(INDEX(指数走势!$F$33:$ACK$33,1,LOOKUP(2,1/(指数走势!$F$33:$ACK$33&lt;&gt;""),COLUMN(指数走势!$F$33:$ACK$33))-COLUMN(指数走势!$F$33)+1-760+409)),NA(),IF(INDEX(指数走势!$F$33:$ACK$33,1,LOOKUP(2,1/(指数走势!$F$33:$ACK$33&lt;&gt;""),COLUMN(指数走势!$F$33:$ACK$33))-COLUMN(指数走势!$F$33)+1-760+409)=0,NA(),INDEX(指数走势!$F$33:$ACK$33,1,LOOKUP(2,1/(指数走势!$F$33:$ACK$33&lt;&gt;""),COLUMN(指数走势!$F$33:$ACK$33))-COLUMN(指数走势!$F$33)+1-760+409)))</f>
        <v>14.0574998855591</v>
      </c>
      <c r="OU97">
        <f ca="1">IF(ISERROR(INDEX(指数走势!$F$33:$ACK$33,1,LOOKUP(2,1/(指数走势!$F$33:$ACK$33&lt;&gt;""),COLUMN(指数走势!$F$33:$ACK$33))-COLUMN(指数走势!$F$33)+1-760+410)),NA(),IF(INDEX(指数走势!$F$33:$ACK$33,1,LOOKUP(2,1/(指数走势!$F$33:$ACK$33&lt;&gt;""),COLUMN(指数走势!$F$33:$ACK$33))-COLUMN(指数走势!$F$33)+1-760+410)=0,NA(),INDEX(指数走势!$F$33:$ACK$33,1,LOOKUP(2,1/(指数走势!$F$33:$ACK$33&lt;&gt;""),COLUMN(指数走势!$F$33:$ACK$33))-COLUMN(指数走势!$F$33)+1-760+410)))</f>
        <v>14.0440998077393</v>
      </c>
      <c r="OV97">
        <f ca="1">IF(ISERROR(INDEX(指数走势!$F$33:$ACK$33,1,LOOKUP(2,1/(指数走势!$F$33:$ACK$33&lt;&gt;""),COLUMN(指数走势!$F$33:$ACK$33))-COLUMN(指数走势!$F$33)+1-760+411)),NA(),IF(INDEX(指数走势!$F$33:$ACK$33,1,LOOKUP(2,1/(指数走势!$F$33:$ACK$33&lt;&gt;""),COLUMN(指数走势!$F$33:$ACK$33))-COLUMN(指数走势!$F$33)+1-760+411)=0,NA(),INDEX(指数走势!$F$33:$ACK$33,1,LOOKUP(2,1/(指数走势!$F$33:$ACK$33&lt;&gt;""),COLUMN(指数走势!$F$33:$ACK$33))-COLUMN(指数走势!$F$33)+1-760+411)))</f>
        <v>14.0249004364014</v>
      </c>
      <c r="OW97">
        <f ca="1">IF(ISERROR(INDEX(指数走势!$F$33:$ACK$33,1,LOOKUP(2,1/(指数走势!$F$33:$ACK$33&lt;&gt;""),COLUMN(指数走势!$F$33:$ACK$33))-COLUMN(指数走势!$F$33)+1-760+412)),NA(),IF(INDEX(指数走势!$F$33:$ACK$33,1,LOOKUP(2,1/(指数走势!$F$33:$ACK$33&lt;&gt;""),COLUMN(指数走势!$F$33:$ACK$33))-COLUMN(指数走势!$F$33)+1-760+412)=0,NA(),INDEX(指数走势!$F$33:$ACK$33,1,LOOKUP(2,1/(指数走势!$F$33:$ACK$33&lt;&gt;""),COLUMN(指数走势!$F$33:$ACK$33))-COLUMN(指数走势!$F$33)+1-760+412)))</f>
        <v>13.9041004180908</v>
      </c>
      <c r="OX97">
        <f ca="1">IF(ISERROR(INDEX(指数走势!$F$33:$ACK$33,1,LOOKUP(2,1/(指数走势!$F$33:$ACK$33&lt;&gt;""),COLUMN(指数走势!$F$33:$ACK$33))-COLUMN(指数走势!$F$33)+1-760+413)),NA(),IF(INDEX(指数走势!$F$33:$ACK$33,1,LOOKUP(2,1/(指数走势!$F$33:$ACK$33&lt;&gt;""),COLUMN(指数走势!$F$33:$ACK$33))-COLUMN(指数走势!$F$33)+1-760+413)=0,NA(),INDEX(指数走势!$F$33:$ACK$33,1,LOOKUP(2,1/(指数走势!$F$33:$ACK$33&lt;&gt;""),COLUMN(指数走势!$F$33:$ACK$33))-COLUMN(指数走势!$F$33)+1-760+413)))</f>
        <v>13.9977998733521</v>
      </c>
      <c r="OY97">
        <f ca="1">IF(ISERROR(INDEX(指数走势!$F$33:$ACK$33,1,LOOKUP(2,1/(指数走势!$F$33:$ACK$33&lt;&gt;""),COLUMN(指数走势!$F$33:$ACK$33))-COLUMN(指数走势!$F$33)+1-760+414)),NA(),IF(INDEX(指数走势!$F$33:$ACK$33,1,LOOKUP(2,1/(指数走势!$F$33:$ACK$33&lt;&gt;""),COLUMN(指数走势!$F$33:$ACK$33))-COLUMN(指数走势!$F$33)+1-760+414)=0,NA(),INDEX(指数走势!$F$33:$ACK$33,1,LOOKUP(2,1/(指数走势!$F$33:$ACK$33&lt;&gt;""),COLUMN(指数走势!$F$33:$ACK$33))-COLUMN(指数走势!$F$33)+1-760+414)))</f>
        <v>14.0673999786377</v>
      </c>
      <c r="OZ97">
        <f ca="1">IF(ISERROR(INDEX(指数走势!$F$33:$ACK$33,1,LOOKUP(2,1/(指数走势!$F$33:$ACK$33&lt;&gt;""),COLUMN(指数走势!$F$33:$ACK$33))-COLUMN(指数走势!$F$33)+1-760+415)),NA(),IF(INDEX(指数走势!$F$33:$ACK$33,1,LOOKUP(2,1/(指数走势!$F$33:$ACK$33&lt;&gt;""),COLUMN(指数走势!$F$33:$ACK$33))-COLUMN(指数走势!$F$33)+1-760+415)=0,NA(),INDEX(指数走势!$F$33:$ACK$33,1,LOOKUP(2,1/(指数走势!$F$33:$ACK$33&lt;&gt;""),COLUMN(指数走势!$F$33:$ACK$33))-COLUMN(指数走势!$F$33)+1-760+415)))</f>
        <v>14.0732002258301</v>
      </c>
      <c r="PA97">
        <f ca="1">IF(ISERROR(INDEX(指数走势!$F$33:$ACK$33,1,LOOKUP(2,1/(指数走势!$F$33:$ACK$33&lt;&gt;""),COLUMN(指数走势!$F$33:$ACK$33))-COLUMN(指数走势!$F$33)+1-760+416)),NA(),IF(INDEX(指数走势!$F$33:$ACK$33,1,LOOKUP(2,1/(指数走势!$F$33:$ACK$33&lt;&gt;""),COLUMN(指数走势!$F$33:$ACK$33))-COLUMN(指数走势!$F$33)+1-760+416)=0,NA(),INDEX(指数走势!$F$33:$ACK$33,1,LOOKUP(2,1/(指数走势!$F$33:$ACK$33&lt;&gt;""),COLUMN(指数走势!$F$33:$ACK$33))-COLUMN(指数走势!$F$33)+1-760+416)))</f>
        <v>13.9652004241943</v>
      </c>
      <c r="PB97">
        <f ca="1">IF(ISERROR(INDEX(指数走势!$F$33:$ACK$33,1,LOOKUP(2,1/(指数走势!$F$33:$ACK$33&lt;&gt;""),COLUMN(指数走势!$F$33:$ACK$33))-COLUMN(指数走势!$F$33)+1-760+417)),NA(),IF(INDEX(指数走势!$F$33:$ACK$33,1,LOOKUP(2,1/(指数走势!$F$33:$ACK$33&lt;&gt;""),COLUMN(指数走势!$F$33:$ACK$33))-COLUMN(指数走势!$F$33)+1-760+417)=0,NA(),INDEX(指数走势!$F$33:$ACK$33,1,LOOKUP(2,1/(指数走势!$F$33:$ACK$33&lt;&gt;""),COLUMN(指数走势!$F$33:$ACK$33))-COLUMN(指数走势!$F$33)+1-760+417)))</f>
        <v>14.1183004379272</v>
      </c>
      <c r="PC97">
        <f ca="1">IF(ISERROR(INDEX(指数走势!$F$33:$ACK$33,1,LOOKUP(2,1/(指数走势!$F$33:$ACK$33&lt;&gt;""),COLUMN(指数走势!$F$33:$ACK$33))-COLUMN(指数走势!$F$33)+1-760+418)),NA(),IF(INDEX(指数走势!$F$33:$ACK$33,1,LOOKUP(2,1/(指数走势!$F$33:$ACK$33&lt;&gt;""),COLUMN(指数走势!$F$33:$ACK$33))-COLUMN(指数走势!$F$33)+1-760+418)=0,NA(),INDEX(指数走势!$F$33:$ACK$33,1,LOOKUP(2,1/(指数走势!$F$33:$ACK$33&lt;&gt;""),COLUMN(指数走势!$F$33:$ACK$33))-COLUMN(指数走势!$F$33)+1-760+418)))</f>
        <v>14.2378997802734</v>
      </c>
      <c r="PD97">
        <f ca="1">IF(ISERROR(INDEX(指数走势!$F$33:$ACK$33,1,LOOKUP(2,1/(指数走势!$F$33:$ACK$33&lt;&gt;""),COLUMN(指数走势!$F$33:$ACK$33))-COLUMN(指数走势!$F$33)+1-760+419)),NA(),IF(INDEX(指数走势!$F$33:$ACK$33,1,LOOKUP(2,1/(指数走势!$F$33:$ACK$33&lt;&gt;""),COLUMN(指数走势!$F$33:$ACK$33))-COLUMN(指数走势!$F$33)+1-760+419)=0,NA(),INDEX(指数走势!$F$33:$ACK$33,1,LOOKUP(2,1/(指数走势!$F$33:$ACK$33&lt;&gt;""),COLUMN(指数走势!$F$33:$ACK$33))-COLUMN(指数走势!$F$33)+1-760+419)))</f>
        <v>14.3169002532959</v>
      </c>
      <c r="PE97">
        <f ca="1">IF(ISERROR(INDEX(指数走势!$F$33:$ACK$33,1,LOOKUP(2,1/(指数走势!$F$33:$ACK$33&lt;&gt;""),COLUMN(指数走势!$F$33:$ACK$33))-COLUMN(指数走势!$F$33)+1-760+420)),NA(),IF(INDEX(指数走势!$F$33:$ACK$33,1,LOOKUP(2,1/(指数走势!$F$33:$ACK$33&lt;&gt;""),COLUMN(指数走势!$F$33:$ACK$33))-COLUMN(指数走势!$F$33)+1-760+420)=0,NA(),INDEX(指数走势!$F$33:$ACK$33,1,LOOKUP(2,1/(指数走势!$F$33:$ACK$33&lt;&gt;""),COLUMN(指数走势!$F$33:$ACK$33))-COLUMN(指数走势!$F$33)+1-760+420)))</f>
        <v>14.3190002441406</v>
      </c>
      <c r="PF97">
        <f ca="1">IF(ISERROR(INDEX(指数走势!$F$33:$ACK$33,1,LOOKUP(2,1/(指数走势!$F$33:$ACK$33&lt;&gt;""),COLUMN(指数走势!$F$33:$ACK$33))-COLUMN(指数走势!$F$33)+1-760+421)),NA(),IF(INDEX(指数走势!$F$33:$ACK$33,1,LOOKUP(2,1/(指数走势!$F$33:$ACK$33&lt;&gt;""),COLUMN(指数走势!$F$33:$ACK$33))-COLUMN(指数走势!$F$33)+1-760+421)=0,NA(),INDEX(指数走势!$F$33:$ACK$33,1,LOOKUP(2,1/(指数走势!$F$33:$ACK$33&lt;&gt;""),COLUMN(指数走势!$F$33:$ACK$33))-COLUMN(指数走势!$F$33)+1-760+421)))</f>
        <v>14.4388999938965</v>
      </c>
      <c r="PG97">
        <f ca="1">IF(ISERROR(INDEX(指数走势!$F$33:$ACK$33,1,LOOKUP(2,1/(指数走势!$F$33:$ACK$33&lt;&gt;""),COLUMN(指数走势!$F$33:$ACK$33))-COLUMN(指数走势!$F$33)+1-760+422)),NA(),IF(INDEX(指数走势!$F$33:$ACK$33,1,LOOKUP(2,1/(指数走势!$F$33:$ACK$33&lt;&gt;""),COLUMN(指数走势!$F$33:$ACK$33))-COLUMN(指数走势!$F$33)+1-760+422)=0,NA(),INDEX(指数走势!$F$33:$ACK$33,1,LOOKUP(2,1/(指数走势!$F$33:$ACK$33&lt;&gt;""),COLUMN(指数走势!$F$33:$ACK$33))-COLUMN(指数走势!$F$33)+1-760+422)))</f>
        <v>14.3853998184204</v>
      </c>
      <c r="PH97">
        <f ca="1">IF(ISERROR(INDEX(指数走势!$F$33:$ACK$33,1,LOOKUP(2,1/(指数走势!$F$33:$ACK$33&lt;&gt;""),COLUMN(指数走势!$F$33:$ACK$33))-COLUMN(指数走势!$F$33)+1-760+423)),NA(),IF(INDEX(指数走势!$F$33:$ACK$33,1,LOOKUP(2,1/(指数走势!$F$33:$ACK$33&lt;&gt;""),COLUMN(指数走势!$F$33:$ACK$33))-COLUMN(指数走势!$F$33)+1-760+423)=0,NA(),INDEX(指数走势!$F$33:$ACK$33,1,LOOKUP(2,1/(指数走势!$F$33:$ACK$33&lt;&gt;""),COLUMN(指数走势!$F$33:$ACK$33))-COLUMN(指数走势!$F$33)+1-760+423)))</f>
        <v>14.4495000839233</v>
      </c>
      <c r="PI97">
        <f ca="1">IF(ISERROR(INDEX(指数走势!$F$33:$ACK$33,1,LOOKUP(2,1/(指数走势!$F$33:$ACK$33&lt;&gt;""),COLUMN(指数走势!$F$33:$ACK$33))-COLUMN(指数走势!$F$33)+1-760+424)),NA(),IF(INDEX(指数走势!$F$33:$ACK$33,1,LOOKUP(2,1/(指数走势!$F$33:$ACK$33&lt;&gt;""),COLUMN(指数走势!$F$33:$ACK$33))-COLUMN(指数走势!$F$33)+1-760+424)=0,NA(),INDEX(指数走势!$F$33:$ACK$33,1,LOOKUP(2,1/(指数走势!$F$33:$ACK$33&lt;&gt;""),COLUMN(指数走势!$F$33:$ACK$33))-COLUMN(指数走势!$F$33)+1-760+424)))</f>
        <v>14.4829998016357</v>
      </c>
      <c r="PJ97">
        <f ca="1">IF(ISERROR(INDEX(指数走势!$F$33:$ACK$33,1,LOOKUP(2,1/(指数走势!$F$33:$ACK$33&lt;&gt;""),COLUMN(指数走势!$F$33:$ACK$33))-COLUMN(指数走势!$F$33)+1-760+425)),NA(),IF(INDEX(指数走势!$F$33:$ACK$33,1,LOOKUP(2,1/(指数走势!$F$33:$ACK$33&lt;&gt;""),COLUMN(指数走势!$F$33:$ACK$33))-COLUMN(指数走势!$F$33)+1-760+425)=0,NA(),INDEX(指数走势!$F$33:$ACK$33,1,LOOKUP(2,1/(指数走势!$F$33:$ACK$33&lt;&gt;""),COLUMN(指数走势!$F$33:$ACK$33))-COLUMN(指数走势!$F$33)+1-760+425)))</f>
        <v>14.3692998886108</v>
      </c>
      <c r="PK97">
        <f ca="1">IF(ISERROR(INDEX(指数走势!$F$33:$ACK$33,1,LOOKUP(2,1/(指数走势!$F$33:$ACK$33&lt;&gt;""),COLUMN(指数走势!$F$33:$ACK$33))-COLUMN(指数走势!$F$33)+1-760+426)),NA(),IF(INDEX(指数走势!$F$33:$ACK$33,1,LOOKUP(2,1/(指数走势!$F$33:$ACK$33&lt;&gt;""),COLUMN(指数走势!$F$33:$ACK$33))-COLUMN(指数走势!$F$33)+1-760+426)=0,NA(),INDEX(指数走势!$F$33:$ACK$33,1,LOOKUP(2,1/(指数走势!$F$33:$ACK$33&lt;&gt;""),COLUMN(指数走势!$F$33:$ACK$33))-COLUMN(指数走势!$F$33)+1-760+426)))</f>
        <v>14.4666996002197</v>
      </c>
      <c r="PL97">
        <f ca="1">IF(ISERROR(INDEX(指数走势!$F$33:$ACK$33,1,LOOKUP(2,1/(指数走势!$F$33:$ACK$33&lt;&gt;""),COLUMN(指数走势!$F$33:$ACK$33))-COLUMN(指数走势!$F$33)+1-760+427)),NA(),IF(INDEX(指数走势!$F$33:$ACK$33,1,LOOKUP(2,1/(指数走势!$F$33:$ACK$33&lt;&gt;""),COLUMN(指数走势!$F$33:$ACK$33))-COLUMN(指数走势!$F$33)+1-760+427)=0,NA(),INDEX(指数走势!$F$33:$ACK$33,1,LOOKUP(2,1/(指数走势!$F$33:$ACK$33&lt;&gt;""),COLUMN(指数走势!$F$33:$ACK$33))-COLUMN(指数走势!$F$33)+1-760+427)))</f>
        <v>14.4499998092651</v>
      </c>
      <c r="PM97">
        <f ca="1">IF(ISERROR(INDEX(指数走势!$F$33:$ACK$33,1,LOOKUP(2,1/(指数走势!$F$33:$ACK$33&lt;&gt;""),COLUMN(指数走势!$F$33:$ACK$33))-COLUMN(指数走势!$F$33)+1-760+428)),NA(),IF(INDEX(指数走势!$F$33:$ACK$33,1,LOOKUP(2,1/(指数走势!$F$33:$ACK$33&lt;&gt;""),COLUMN(指数走势!$F$33:$ACK$33))-COLUMN(指数走势!$F$33)+1-760+428)=0,NA(),INDEX(指数走势!$F$33:$ACK$33,1,LOOKUP(2,1/(指数走势!$F$33:$ACK$33&lt;&gt;""),COLUMN(指数走势!$F$33:$ACK$33))-COLUMN(指数走势!$F$33)+1-760+428)))</f>
        <v>14.5708999633789</v>
      </c>
      <c r="PN97">
        <f ca="1">IF(ISERROR(INDEX(指数走势!$F$33:$ACK$33,1,LOOKUP(2,1/(指数走势!$F$33:$ACK$33&lt;&gt;""),COLUMN(指数走势!$F$33:$ACK$33))-COLUMN(指数走势!$F$33)+1-760+429)),NA(),IF(INDEX(指数走势!$F$33:$ACK$33,1,LOOKUP(2,1/(指数走势!$F$33:$ACK$33&lt;&gt;""),COLUMN(指数走势!$F$33:$ACK$33))-COLUMN(指数走势!$F$33)+1-760+429)=0,NA(),INDEX(指数走势!$F$33:$ACK$33,1,LOOKUP(2,1/(指数走势!$F$33:$ACK$33&lt;&gt;""),COLUMN(指数走势!$F$33:$ACK$33))-COLUMN(指数走势!$F$33)+1-760+429)))</f>
        <v>14.5201997756958</v>
      </c>
      <c r="PO97">
        <f ca="1">IF(ISERROR(INDEX(指数走势!$F$33:$ACK$33,1,LOOKUP(2,1/(指数走势!$F$33:$ACK$33&lt;&gt;""),COLUMN(指数走势!$F$33:$ACK$33))-COLUMN(指数走势!$F$33)+1-760+430)),NA(),IF(INDEX(指数走势!$F$33:$ACK$33,1,LOOKUP(2,1/(指数走势!$F$33:$ACK$33&lt;&gt;""),COLUMN(指数走势!$F$33:$ACK$33))-COLUMN(指数走势!$F$33)+1-760+430)=0,NA(),INDEX(指数走势!$F$33:$ACK$33,1,LOOKUP(2,1/(指数走势!$F$33:$ACK$33&lt;&gt;""),COLUMN(指数走势!$F$33:$ACK$33))-COLUMN(指数走势!$F$33)+1-760+430)))</f>
        <v>14.3877000808716</v>
      </c>
      <c r="PP97">
        <f ca="1">IF(ISERROR(INDEX(指数走势!$F$33:$ACK$33,1,LOOKUP(2,1/(指数走势!$F$33:$ACK$33&lt;&gt;""),COLUMN(指数走势!$F$33:$ACK$33))-COLUMN(指数走势!$F$33)+1-760+431)),NA(),IF(INDEX(指数走势!$F$33:$ACK$33,1,LOOKUP(2,1/(指数走势!$F$33:$ACK$33&lt;&gt;""),COLUMN(指数走势!$F$33:$ACK$33))-COLUMN(指数走势!$F$33)+1-760+431)=0,NA(),INDEX(指数走势!$F$33:$ACK$33,1,LOOKUP(2,1/(指数走势!$F$33:$ACK$33&lt;&gt;""),COLUMN(指数走势!$F$33:$ACK$33))-COLUMN(指数走势!$F$33)+1-760+431)))</f>
        <v>14.5192003250122</v>
      </c>
      <c r="PQ97">
        <f ca="1">IF(ISERROR(INDEX(指数走势!$F$33:$ACK$33,1,LOOKUP(2,1/(指数走势!$F$33:$ACK$33&lt;&gt;""),COLUMN(指数走势!$F$33:$ACK$33))-COLUMN(指数走势!$F$33)+1-760+432)),NA(),IF(INDEX(指数走势!$F$33:$ACK$33,1,LOOKUP(2,1/(指数走势!$F$33:$ACK$33&lt;&gt;""),COLUMN(指数走势!$F$33:$ACK$33))-COLUMN(指数走势!$F$33)+1-760+432)=0,NA(),INDEX(指数走势!$F$33:$ACK$33,1,LOOKUP(2,1/(指数走势!$F$33:$ACK$33&lt;&gt;""),COLUMN(指数走势!$F$33:$ACK$33))-COLUMN(指数走势!$F$33)+1-760+432)))</f>
        <v>14.5583000183105</v>
      </c>
      <c r="PR97">
        <f ca="1">IF(ISERROR(INDEX(指数走势!$F$33:$ACK$33,1,LOOKUP(2,1/(指数走势!$F$33:$ACK$33&lt;&gt;""),COLUMN(指数走势!$F$33:$ACK$33))-COLUMN(指数走势!$F$33)+1-760+433)),NA(),IF(INDEX(指数走势!$F$33:$ACK$33,1,LOOKUP(2,1/(指数走势!$F$33:$ACK$33&lt;&gt;""),COLUMN(指数走势!$F$33:$ACK$33))-COLUMN(指数走势!$F$33)+1-760+433)=0,NA(),INDEX(指数走势!$F$33:$ACK$33,1,LOOKUP(2,1/(指数走势!$F$33:$ACK$33&lt;&gt;""),COLUMN(指数走势!$F$33:$ACK$33))-COLUMN(指数走势!$F$33)+1-760+433)))</f>
        <v>14.3331003189087</v>
      </c>
      <c r="PS97">
        <f ca="1">IF(ISERROR(INDEX(指数走势!$F$33:$ACK$33,1,LOOKUP(2,1/(指数走势!$F$33:$ACK$33&lt;&gt;""),COLUMN(指数走势!$F$33:$ACK$33))-COLUMN(指数走势!$F$33)+1-760+434)),NA(),IF(INDEX(指数走势!$F$33:$ACK$33,1,LOOKUP(2,1/(指数走势!$F$33:$ACK$33&lt;&gt;""),COLUMN(指数走势!$F$33:$ACK$33))-COLUMN(指数走势!$F$33)+1-760+434)=0,NA(),INDEX(指数走势!$F$33:$ACK$33,1,LOOKUP(2,1/(指数走势!$F$33:$ACK$33&lt;&gt;""),COLUMN(指数走势!$F$33:$ACK$33))-COLUMN(指数走势!$F$33)+1-760+434)))</f>
        <v>14.3121995925903</v>
      </c>
      <c r="PT97">
        <f ca="1">IF(ISERROR(INDEX(指数走势!$F$33:$ACK$33,1,LOOKUP(2,1/(指数走势!$F$33:$ACK$33&lt;&gt;""),COLUMN(指数走势!$F$33:$ACK$33))-COLUMN(指数走势!$F$33)+1-760+435)),NA(),IF(INDEX(指数走势!$F$33:$ACK$33,1,LOOKUP(2,1/(指数走势!$F$33:$ACK$33&lt;&gt;""),COLUMN(指数走势!$F$33:$ACK$33))-COLUMN(指数走势!$F$33)+1-760+435)=0,NA(),INDEX(指数走势!$F$33:$ACK$33,1,LOOKUP(2,1/(指数走势!$F$33:$ACK$33&lt;&gt;""),COLUMN(指数走势!$F$33:$ACK$33))-COLUMN(指数走势!$F$33)+1-760+435)))</f>
        <v>14.2793998718262</v>
      </c>
      <c r="PU97">
        <f ca="1">IF(ISERROR(INDEX(指数走势!$F$33:$ACK$33,1,LOOKUP(2,1/(指数走势!$F$33:$ACK$33&lt;&gt;""),COLUMN(指数走势!$F$33:$ACK$33))-COLUMN(指数走势!$F$33)+1-760+436)),NA(),IF(INDEX(指数走势!$F$33:$ACK$33,1,LOOKUP(2,1/(指数走势!$F$33:$ACK$33&lt;&gt;""),COLUMN(指数走势!$F$33:$ACK$33))-COLUMN(指数走势!$F$33)+1-760+436)=0,NA(),INDEX(指数走势!$F$33:$ACK$33,1,LOOKUP(2,1/(指数走势!$F$33:$ACK$33&lt;&gt;""),COLUMN(指数走势!$F$33:$ACK$33))-COLUMN(指数走势!$F$33)+1-760+436)))</f>
        <v>14.37380027771</v>
      </c>
      <c r="PV97">
        <f ca="1">IF(ISERROR(INDEX(指数走势!$F$33:$ACK$33,1,LOOKUP(2,1/(指数走势!$F$33:$ACK$33&lt;&gt;""),COLUMN(指数走势!$F$33:$ACK$33))-COLUMN(指数走势!$F$33)+1-760+437)),NA(),IF(INDEX(指数走势!$F$33:$ACK$33,1,LOOKUP(2,1/(指数走势!$F$33:$ACK$33&lt;&gt;""),COLUMN(指数走势!$F$33:$ACK$33))-COLUMN(指数走势!$F$33)+1-760+437)=0,NA(),INDEX(指数走势!$F$33:$ACK$33,1,LOOKUP(2,1/(指数走势!$F$33:$ACK$33&lt;&gt;""),COLUMN(指数走势!$F$33:$ACK$33))-COLUMN(指数走势!$F$33)+1-760+437)))</f>
        <v>14.5131998062134</v>
      </c>
      <c r="PW97">
        <f ca="1">IF(ISERROR(INDEX(指数走势!$F$33:$ACK$33,1,LOOKUP(2,1/(指数走势!$F$33:$ACK$33&lt;&gt;""),COLUMN(指数走势!$F$33:$ACK$33))-COLUMN(指数走势!$F$33)+1-760+438)),NA(),IF(INDEX(指数走势!$F$33:$ACK$33,1,LOOKUP(2,1/(指数走势!$F$33:$ACK$33&lt;&gt;""),COLUMN(指数走势!$F$33:$ACK$33))-COLUMN(指数走势!$F$33)+1-760+438)=0,NA(),INDEX(指数走势!$F$33:$ACK$33,1,LOOKUP(2,1/(指数走势!$F$33:$ACK$33&lt;&gt;""),COLUMN(指数走势!$F$33:$ACK$33))-COLUMN(指数走势!$F$33)+1-760+438)))</f>
        <v>14.4795999526978</v>
      </c>
      <c r="PX97">
        <f ca="1">IF(ISERROR(INDEX(指数走势!$F$33:$ACK$33,1,LOOKUP(2,1/(指数走势!$F$33:$ACK$33&lt;&gt;""),COLUMN(指数走势!$F$33:$ACK$33))-COLUMN(指数走势!$F$33)+1-760+439)),NA(),IF(INDEX(指数走势!$F$33:$ACK$33,1,LOOKUP(2,1/(指数走势!$F$33:$ACK$33&lt;&gt;""),COLUMN(指数走势!$F$33:$ACK$33))-COLUMN(指数走势!$F$33)+1-760+439)=0,NA(),INDEX(指数走势!$F$33:$ACK$33,1,LOOKUP(2,1/(指数走势!$F$33:$ACK$33&lt;&gt;""),COLUMN(指数走势!$F$33:$ACK$33))-COLUMN(指数走势!$F$33)+1-760+439)))</f>
        <v>14.4331998825073</v>
      </c>
      <c r="PY97">
        <f ca="1">IF(ISERROR(INDEX(指数走势!$F$33:$ACK$33,1,LOOKUP(2,1/(指数走势!$F$33:$ACK$33&lt;&gt;""),COLUMN(指数走势!$F$33:$ACK$33))-COLUMN(指数走势!$F$33)+1-760+440)),NA(),IF(INDEX(指数走势!$F$33:$ACK$33,1,LOOKUP(2,1/(指数走势!$F$33:$ACK$33&lt;&gt;""),COLUMN(指数走势!$F$33:$ACK$33))-COLUMN(指数走势!$F$33)+1-760+440)=0,NA(),INDEX(指数走势!$F$33:$ACK$33,1,LOOKUP(2,1/(指数走势!$F$33:$ACK$33&lt;&gt;""),COLUMN(指数走势!$F$33:$ACK$33))-COLUMN(指数走势!$F$33)+1-760+440)))</f>
        <v>14.4930000305176</v>
      </c>
      <c r="PZ97">
        <f ca="1">IF(ISERROR(INDEX(指数走势!$F$33:$ACK$33,1,LOOKUP(2,1/(指数走势!$F$33:$ACK$33&lt;&gt;""),COLUMN(指数走势!$F$33:$ACK$33))-COLUMN(指数走势!$F$33)+1-760+441)),NA(),IF(INDEX(指数走势!$F$33:$ACK$33,1,LOOKUP(2,1/(指数走势!$F$33:$ACK$33&lt;&gt;""),COLUMN(指数走势!$F$33:$ACK$33))-COLUMN(指数走势!$F$33)+1-760+441)=0,NA(),INDEX(指数走势!$F$33:$ACK$33,1,LOOKUP(2,1/(指数走势!$F$33:$ACK$33&lt;&gt;""),COLUMN(指数走势!$F$33:$ACK$33))-COLUMN(指数走势!$F$33)+1-760+441)))</f>
        <v>14.4513998031616</v>
      </c>
      <c r="QA97">
        <f ca="1">IF(ISERROR(INDEX(指数走势!$F$33:$ACK$33,1,LOOKUP(2,1/(指数走势!$F$33:$ACK$33&lt;&gt;""),COLUMN(指数走势!$F$33:$ACK$33))-COLUMN(指数走势!$F$33)+1-760+442)),NA(),IF(INDEX(指数走势!$F$33:$ACK$33,1,LOOKUP(2,1/(指数走势!$F$33:$ACK$33&lt;&gt;""),COLUMN(指数走势!$F$33:$ACK$33))-COLUMN(指数走势!$F$33)+1-760+442)=0,NA(),INDEX(指数走势!$F$33:$ACK$33,1,LOOKUP(2,1/(指数走势!$F$33:$ACK$33&lt;&gt;""),COLUMN(指数走势!$F$33:$ACK$33))-COLUMN(指数走势!$F$33)+1-760+442)))</f>
        <v>14.4071998596191</v>
      </c>
      <c r="QB97">
        <f ca="1">IF(ISERROR(INDEX(指数走势!$F$33:$ACK$33,1,LOOKUP(2,1/(指数走势!$F$33:$ACK$33&lt;&gt;""),COLUMN(指数走势!$F$33:$ACK$33))-COLUMN(指数走势!$F$33)+1-760+443)),NA(),IF(INDEX(指数走势!$F$33:$ACK$33,1,LOOKUP(2,1/(指数走势!$F$33:$ACK$33&lt;&gt;""),COLUMN(指数走势!$F$33:$ACK$33))-COLUMN(指数走势!$F$33)+1-760+443)=0,NA(),INDEX(指数走势!$F$33:$ACK$33,1,LOOKUP(2,1/(指数走势!$F$33:$ACK$33&lt;&gt;""),COLUMN(指数走势!$F$33:$ACK$33))-COLUMN(指数走势!$F$33)+1-760+443)))</f>
        <v>14.6765003204346</v>
      </c>
      <c r="QC97">
        <f ca="1">IF(ISERROR(INDEX(指数走势!$F$33:$ACK$33,1,LOOKUP(2,1/(指数走势!$F$33:$ACK$33&lt;&gt;""),COLUMN(指数走势!$F$33:$ACK$33))-COLUMN(指数走势!$F$33)+1-760+444)),NA(),IF(INDEX(指数走势!$F$33:$ACK$33,1,LOOKUP(2,1/(指数走势!$F$33:$ACK$33&lt;&gt;""),COLUMN(指数走势!$F$33:$ACK$33))-COLUMN(指数走势!$F$33)+1-760+444)=0,NA(),INDEX(指数走势!$F$33:$ACK$33,1,LOOKUP(2,1/(指数走势!$F$33:$ACK$33&lt;&gt;""),COLUMN(指数走势!$F$33:$ACK$33))-COLUMN(指数走势!$F$33)+1-760+444)))</f>
        <v>14.7058000564575</v>
      </c>
      <c r="QD97">
        <f ca="1">IF(ISERROR(INDEX(指数走势!$F$33:$ACK$33,1,LOOKUP(2,1/(指数走势!$F$33:$ACK$33&lt;&gt;""),COLUMN(指数走势!$F$33:$ACK$33))-COLUMN(指数走势!$F$33)+1-760+445)),NA(),IF(INDEX(指数走势!$F$33:$ACK$33,1,LOOKUP(2,1/(指数走势!$F$33:$ACK$33&lt;&gt;""),COLUMN(指数走势!$F$33:$ACK$33))-COLUMN(指数走势!$F$33)+1-760+445)=0,NA(),INDEX(指数走势!$F$33:$ACK$33,1,LOOKUP(2,1/(指数走势!$F$33:$ACK$33&lt;&gt;""),COLUMN(指数走势!$F$33:$ACK$33))-COLUMN(指数走势!$F$33)+1-760+445)))</f>
        <v>14.7260999679565</v>
      </c>
      <c r="QE97">
        <f ca="1">IF(ISERROR(INDEX(指数走势!$F$33:$ACK$33,1,LOOKUP(2,1/(指数走势!$F$33:$ACK$33&lt;&gt;""),COLUMN(指数走势!$F$33:$ACK$33))-COLUMN(指数走势!$F$33)+1-760+446)),NA(),IF(INDEX(指数走势!$F$33:$ACK$33,1,LOOKUP(2,1/(指数走势!$F$33:$ACK$33&lt;&gt;""),COLUMN(指数走势!$F$33:$ACK$33))-COLUMN(指数走势!$F$33)+1-760+446)=0,NA(),INDEX(指数走势!$F$33:$ACK$33,1,LOOKUP(2,1/(指数走势!$F$33:$ACK$33&lt;&gt;""),COLUMN(指数走势!$F$33:$ACK$33))-COLUMN(指数走势!$F$33)+1-760+446)))</f>
        <v>14.7236003875732</v>
      </c>
      <c r="QF97">
        <f ca="1">IF(ISERROR(INDEX(指数走势!$F$33:$ACK$33,1,LOOKUP(2,1/(指数走势!$F$33:$ACK$33&lt;&gt;""),COLUMN(指数走势!$F$33:$ACK$33))-COLUMN(指数走势!$F$33)+1-760+447)),NA(),IF(INDEX(指数走势!$F$33:$ACK$33,1,LOOKUP(2,1/(指数走势!$F$33:$ACK$33&lt;&gt;""),COLUMN(指数走势!$F$33:$ACK$33))-COLUMN(指数走势!$F$33)+1-760+447)=0,NA(),INDEX(指数走势!$F$33:$ACK$33,1,LOOKUP(2,1/(指数走势!$F$33:$ACK$33&lt;&gt;""),COLUMN(指数走势!$F$33:$ACK$33))-COLUMN(指数走势!$F$33)+1-760+447)))</f>
        <v>14.6143999099731</v>
      </c>
      <c r="QG97">
        <f ca="1">IF(ISERROR(INDEX(指数走势!$F$33:$ACK$33,1,LOOKUP(2,1/(指数走势!$F$33:$ACK$33&lt;&gt;""),COLUMN(指数走势!$F$33:$ACK$33))-COLUMN(指数走势!$F$33)+1-760+448)),NA(),IF(INDEX(指数走势!$F$33:$ACK$33,1,LOOKUP(2,1/(指数走势!$F$33:$ACK$33&lt;&gt;""),COLUMN(指数走势!$F$33:$ACK$33))-COLUMN(指数走势!$F$33)+1-760+448)=0,NA(),INDEX(指数走势!$F$33:$ACK$33,1,LOOKUP(2,1/(指数走势!$F$33:$ACK$33&lt;&gt;""),COLUMN(指数走势!$F$33:$ACK$33))-COLUMN(指数走势!$F$33)+1-760+448)))</f>
        <v>14.4453001022339</v>
      </c>
      <c r="QH97">
        <f ca="1">IF(ISERROR(INDEX(指数走势!$F$33:$ACK$33,1,LOOKUP(2,1/(指数走势!$F$33:$ACK$33&lt;&gt;""),COLUMN(指数走势!$F$33:$ACK$33))-COLUMN(指数走势!$F$33)+1-760+449)),NA(),IF(INDEX(指数走势!$F$33:$ACK$33,1,LOOKUP(2,1/(指数走势!$F$33:$ACK$33&lt;&gt;""),COLUMN(指数走势!$F$33:$ACK$33))-COLUMN(指数走势!$F$33)+1-760+449)=0,NA(),INDEX(指数走势!$F$33:$ACK$33,1,LOOKUP(2,1/(指数走势!$F$33:$ACK$33&lt;&gt;""),COLUMN(指数走势!$F$33:$ACK$33))-COLUMN(指数走势!$F$33)+1-760+449)))</f>
        <v>14.430100440979</v>
      </c>
      <c r="QI97">
        <f ca="1">IF(ISERROR(INDEX(指数走势!$F$33:$ACK$33,1,LOOKUP(2,1/(指数走势!$F$33:$ACK$33&lt;&gt;""),COLUMN(指数走势!$F$33:$ACK$33))-COLUMN(指数走势!$F$33)+1-760+450)),NA(),IF(INDEX(指数走势!$F$33:$ACK$33,1,LOOKUP(2,1/(指数走势!$F$33:$ACK$33&lt;&gt;""),COLUMN(指数走势!$F$33:$ACK$33))-COLUMN(指数走势!$F$33)+1-760+450)=0,NA(),INDEX(指数走势!$F$33:$ACK$33,1,LOOKUP(2,1/(指数走势!$F$33:$ACK$33&lt;&gt;""),COLUMN(指数走势!$F$33:$ACK$33))-COLUMN(指数走势!$F$33)+1-760+450)))</f>
        <v>14.4481000900269</v>
      </c>
      <c r="QJ97">
        <f ca="1">IF(ISERROR(INDEX(指数走势!$F$33:$ACK$33,1,LOOKUP(2,1/(指数走势!$F$33:$ACK$33&lt;&gt;""),COLUMN(指数走势!$F$33:$ACK$33))-COLUMN(指数走势!$F$33)+1-760+451)),NA(),IF(INDEX(指数走势!$F$33:$ACK$33,1,LOOKUP(2,1/(指数走势!$F$33:$ACK$33&lt;&gt;""),COLUMN(指数走势!$F$33:$ACK$33))-COLUMN(指数走势!$F$33)+1-760+451)=0,NA(),INDEX(指数走势!$F$33:$ACK$33,1,LOOKUP(2,1/(指数走势!$F$33:$ACK$33&lt;&gt;""),COLUMN(指数走势!$F$33:$ACK$33))-COLUMN(指数走势!$F$33)+1-760+451)))</f>
        <v>14.4158000946045</v>
      </c>
      <c r="QK97">
        <f ca="1">IF(ISERROR(INDEX(指数走势!$F$33:$ACK$33,1,LOOKUP(2,1/(指数走势!$F$33:$ACK$33&lt;&gt;""),COLUMN(指数走势!$F$33:$ACK$33))-COLUMN(指数走势!$F$33)+1-760+452)),NA(),IF(INDEX(指数走势!$F$33:$ACK$33,1,LOOKUP(2,1/(指数走势!$F$33:$ACK$33&lt;&gt;""),COLUMN(指数走势!$F$33:$ACK$33))-COLUMN(指数走势!$F$33)+1-760+452)=0,NA(),INDEX(指数走势!$F$33:$ACK$33,1,LOOKUP(2,1/(指数走势!$F$33:$ACK$33&lt;&gt;""),COLUMN(指数走势!$F$33:$ACK$33))-COLUMN(指数走势!$F$33)+1-760+452)))</f>
        <v>14.4277000427246</v>
      </c>
      <c r="QL97">
        <f ca="1">IF(ISERROR(INDEX(指数走势!$F$33:$ACK$33,1,LOOKUP(2,1/(指数走势!$F$33:$ACK$33&lt;&gt;""),COLUMN(指数走势!$F$33:$ACK$33))-COLUMN(指数走势!$F$33)+1-760+453)),NA(),IF(INDEX(指数走势!$F$33:$ACK$33,1,LOOKUP(2,1/(指数走势!$F$33:$ACK$33&lt;&gt;""),COLUMN(指数走势!$F$33:$ACK$33))-COLUMN(指数走势!$F$33)+1-760+453)=0,NA(),INDEX(指数走势!$F$33:$ACK$33,1,LOOKUP(2,1/(指数走势!$F$33:$ACK$33&lt;&gt;""),COLUMN(指数走势!$F$33:$ACK$33))-COLUMN(指数走势!$F$33)+1-760+453)))</f>
        <v>14.3013000488281</v>
      </c>
      <c r="QM97">
        <f ca="1">IF(ISERROR(INDEX(指数走势!$F$33:$ACK$33,1,LOOKUP(2,1/(指数走势!$F$33:$ACK$33&lt;&gt;""),COLUMN(指数走势!$F$33:$ACK$33))-COLUMN(指数走势!$F$33)+1-760+454)),NA(),IF(INDEX(指数走势!$F$33:$ACK$33,1,LOOKUP(2,1/(指数走势!$F$33:$ACK$33&lt;&gt;""),COLUMN(指数走势!$F$33:$ACK$33))-COLUMN(指数走势!$F$33)+1-760+454)=0,NA(),INDEX(指数走势!$F$33:$ACK$33,1,LOOKUP(2,1/(指数走势!$F$33:$ACK$33&lt;&gt;""),COLUMN(指数走势!$F$33:$ACK$33))-COLUMN(指数走势!$F$33)+1-760+454)))</f>
        <v>14.2293996810913</v>
      </c>
      <c r="QN97">
        <f ca="1">IF(ISERROR(INDEX(指数走势!$F$33:$ACK$33,1,LOOKUP(2,1/(指数走势!$F$33:$ACK$33&lt;&gt;""),COLUMN(指数走势!$F$33:$ACK$33))-COLUMN(指数走势!$F$33)+1-760+455)),NA(),IF(INDEX(指数走势!$F$33:$ACK$33,1,LOOKUP(2,1/(指数走势!$F$33:$ACK$33&lt;&gt;""),COLUMN(指数走势!$F$33:$ACK$33))-COLUMN(指数走势!$F$33)+1-760+455)=0,NA(),INDEX(指数走势!$F$33:$ACK$33,1,LOOKUP(2,1/(指数走势!$F$33:$ACK$33&lt;&gt;""),COLUMN(指数走势!$F$33:$ACK$33))-COLUMN(指数走势!$F$33)+1-760+455)))</f>
        <v>14.2550001144409</v>
      </c>
      <c r="QO97">
        <f ca="1">IF(ISERROR(INDEX(指数走势!$F$33:$ACK$33,1,LOOKUP(2,1/(指数走势!$F$33:$ACK$33&lt;&gt;""),COLUMN(指数走势!$F$33:$ACK$33))-COLUMN(指数走势!$F$33)+1-760+456)),NA(),IF(INDEX(指数走势!$F$33:$ACK$33,1,LOOKUP(2,1/(指数走势!$F$33:$ACK$33&lt;&gt;""),COLUMN(指数走势!$F$33:$ACK$33))-COLUMN(指数走势!$F$33)+1-760+456)=0,NA(),INDEX(指数走势!$F$33:$ACK$33,1,LOOKUP(2,1/(指数走势!$F$33:$ACK$33&lt;&gt;""),COLUMN(指数走势!$F$33:$ACK$33))-COLUMN(指数走势!$F$33)+1-760+456)))</f>
        <v>14.2688999176025</v>
      </c>
      <c r="QP97">
        <f ca="1">IF(ISERROR(INDEX(指数走势!$F$33:$ACK$33,1,LOOKUP(2,1/(指数走势!$F$33:$ACK$33&lt;&gt;""),COLUMN(指数走势!$F$33:$ACK$33))-COLUMN(指数走势!$F$33)+1-760+457)),NA(),IF(INDEX(指数走势!$F$33:$ACK$33,1,LOOKUP(2,1/(指数走势!$F$33:$ACK$33&lt;&gt;""),COLUMN(指数走势!$F$33:$ACK$33))-COLUMN(指数走势!$F$33)+1-760+457)=0,NA(),INDEX(指数走势!$F$33:$ACK$33,1,LOOKUP(2,1/(指数走势!$F$33:$ACK$33&lt;&gt;""),COLUMN(指数走势!$F$33:$ACK$33))-COLUMN(指数走势!$F$33)+1-760+457)))</f>
        <v>14.2440004348755</v>
      </c>
      <c r="QQ97">
        <f ca="1">IF(ISERROR(INDEX(指数走势!$F$33:$ACK$33,1,LOOKUP(2,1/(指数走势!$F$33:$ACK$33&lt;&gt;""),COLUMN(指数走势!$F$33:$ACK$33))-COLUMN(指数走势!$F$33)+1-760+458)),NA(),IF(INDEX(指数走势!$F$33:$ACK$33,1,LOOKUP(2,1/(指数走势!$F$33:$ACK$33&lt;&gt;""),COLUMN(指数走势!$F$33:$ACK$33))-COLUMN(指数走势!$F$33)+1-760+458)=0,NA(),INDEX(指数走势!$F$33:$ACK$33,1,LOOKUP(2,1/(指数走势!$F$33:$ACK$33&lt;&gt;""),COLUMN(指数走势!$F$33:$ACK$33))-COLUMN(指数走势!$F$33)+1-760+458)))</f>
        <v>13.2722997665405</v>
      </c>
      <c r="QR97">
        <f ca="1">IF(ISERROR(INDEX(指数走势!$F$33:$ACK$33,1,LOOKUP(2,1/(指数走势!$F$33:$ACK$33&lt;&gt;""),COLUMN(指数走势!$F$33:$ACK$33))-COLUMN(指数走势!$F$33)+1-760+459)),NA(),IF(INDEX(指数走势!$F$33:$ACK$33,1,LOOKUP(2,1/(指数走势!$F$33:$ACK$33&lt;&gt;""),COLUMN(指数走势!$F$33:$ACK$33))-COLUMN(指数走势!$F$33)+1-760+459)=0,NA(),INDEX(指数走势!$F$33:$ACK$33,1,LOOKUP(2,1/(指数走势!$F$33:$ACK$33&lt;&gt;""),COLUMN(指数走势!$F$33:$ACK$33))-COLUMN(指数走势!$F$33)+1-760+459)))</f>
        <v>13.5018997192383</v>
      </c>
      <c r="QS97">
        <f ca="1">IF(ISERROR(INDEX(指数走势!$F$33:$ACK$33,1,LOOKUP(2,1/(指数走势!$F$33:$ACK$33&lt;&gt;""),COLUMN(指数走势!$F$33:$ACK$33))-COLUMN(指数走势!$F$33)+1-760+460)),NA(),IF(INDEX(指数走势!$F$33:$ACK$33,1,LOOKUP(2,1/(指数走势!$F$33:$ACK$33&lt;&gt;""),COLUMN(指数走势!$F$33:$ACK$33))-COLUMN(指数走势!$F$33)+1-760+460)=0,NA(),INDEX(指数走势!$F$33:$ACK$33,1,LOOKUP(2,1/(指数走势!$F$33:$ACK$33&lt;&gt;""),COLUMN(指数走势!$F$33:$ACK$33))-COLUMN(指数走势!$F$33)+1-760+460)))</f>
        <v>13.6552000045776</v>
      </c>
      <c r="QT97">
        <f ca="1">IF(ISERROR(INDEX(指数走势!$F$33:$ACK$33,1,LOOKUP(2,1/(指数走势!$F$33:$ACK$33&lt;&gt;""),COLUMN(指数走势!$F$33:$ACK$33))-COLUMN(指数走势!$F$33)+1-760+461)),NA(),IF(INDEX(指数走势!$F$33:$ACK$33,1,LOOKUP(2,1/(指数走势!$F$33:$ACK$33&lt;&gt;""),COLUMN(指数走势!$F$33:$ACK$33))-COLUMN(指数走势!$F$33)+1-760+461)=0,NA(),INDEX(指数走势!$F$33:$ACK$33,1,LOOKUP(2,1/(指数走势!$F$33:$ACK$33&lt;&gt;""),COLUMN(指数走势!$F$33:$ACK$33))-COLUMN(指数走势!$F$33)+1-760+461)))</f>
        <v>13.7869997024536</v>
      </c>
      <c r="QU97">
        <f ca="1">IF(ISERROR(INDEX(指数走势!$F$33:$ACK$33,1,LOOKUP(2,1/(指数走势!$F$33:$ACK$33&lt;&gt;""),COLUMN(指数走势!$F$33:$ACK$33))-COLUMN(指数走势!$F$33)+1-760+462)),NA(),IF(INDEX(指数走势!$F$33:$ACK$33,1,LOOKUP(2,1/(指数走势!$F$33:$ACK$33&lt;&gt;""),COLUMN(指数走势!$F$33:$ACK$33))-COLUMN(指数走势!$F$33)+1-760+462)=0,NA(),INDEX(指数走势!$F$33:$ACK$33,1,LOOKUP(2,1/(指数走势!$F$33:$ACK$33&lt;&gt;""),COLUMN(指数走势!$F$33:$ACK$33))-COLUMN(指数走势!$F$33)+1-760+462)))</f>
        <v>13.845100402832</v>
      </c>
      <c r="QV97">
        <f ca="1">IF(ISERROR(INDEX(指数走势!$F$33:$ACK$33,1,LOOKUP(2,1/(指数走势!$F$33:$ACK$33&lt;&gt;""),COLUMN(指数走势!$F$33:$ACK$33))-COLUMN(指数走势!$F$33)+1-760+463)),NA(),IF(INDEX(指数走势!$F$33:$ACK$33,1,LOOKUP(2,1/(指数走势!$F$33:$ACK$33&lt;&gt;""),COLUMN(指数走势!$F$33:$ACK$33))-COLUMN(指数走势!$F$33)+1-760+463)=0,NA(),INDEX(指数走势!$F$33:$ACK$33,1,LOOKUP(2,1/(指数走势!$F$33:$ACK$33&lt;&gt;""),COLUMN(指数走势!$F$33:$ACK$33))-COLUMN(指数走势!$F$33)+1-760+463)))</f>
        <v>13.9428997039795</v>
      </c>
      <c r="QW97">
        <f ca="1">IF(ISERROR(INDEX(指数走势!$F$33:$ACK$33,1,LOOKUP(2,1/(指数走势!$F$33:$ACK$33&lt;&gt;""),COLUMN(指数走势!$F$33:$ACK$33))-COLUMN(指数走势!$F$33)+1-760+464)),NA(),IF(INDEX(指数走势!$F$33:$ACK$33,1,LOOKUP(2,1/(指数走势!$F$33:$ACK$33&lt;&gt;""),COLUMN(指数走势!$F$33:$ACK$33))-COLUMN(指数走势!$F$33)+1-760+464)=0,NA(),INDEX(指数走势!$F$33:$ACK$33,1,LOOKUP(2,1/(指数走势!$F$33:$ACK$33&lt;&gt;""),COLUMN(指数走势!$F$33:$ACK$33))-COLUMN(指数走势!$F$33)+1-760+464)))</f>
        <v>13.9821996688843</v>
      </c>
      <c r="QX97">
        <f ca="1">IF(ISERROR(INDEX(指数走势!$F$33:$ACK$33,1,LOOKUP(2,1/(指数走势!$F$33:$ACK$33&lt;&gt;""),COLUMN(指数走势!$F$33:$ACK$33))-COLUMN(指数走势!$F$33)+1-760+465)),NA(),IF(INDEX(指数走势!$F$33:$ACK$33,1,LOOKUP(2,1/(指数走势!$F$33:$ACK$33&lt;&gt;""),COLUMN(指数走势!$F$33:$ACK$33))-COLUMN(指数走势!$F$33)+1-760+465)=0,NA(),INDEX(指数走势!$F$33:$ACK$33,1,LOOKUP(2,1/(指数走势!$F$33:$ACK$33&lt;&gt;""),COLUMN(指数走势!$F$33:$ACK$33))-COLUMN(指数走势!$F$33)+1-760+465)))</f>
        <v>14.0438995361328</v>
      </c>
      <c r="QY97">
        <f ca="1">IF(ISERROR(INDEX(指数走势!$F$33:$ACK$33,1,LOOKUP(2,1/(指数走势!$F$33:$ACK$33&lt;&gt;""),COLUMN(指数走势!$F$33:$ACK$33))-COLUMN(指数走势!$F$33)+1-760+466)),NA(),IF(INDEX(指数走势!$F$33:$ACK$33,1,LOOKUP(2,1/(指数走势!$F$33:$ACK$33&lt;&gt;""),COLUMN(指数走势!$F$33:$ACK$33))-COLUMN(指数走势!$F$33)+1-760+466)=0,NA(),INDEX(指数走势!$F$33:$ACK$33,1,LOOKUP(2,1/(指数走势!$F$33:$ACK$33&lt;&gt;""),COLUMN(指数走势!$F$33:$ACK$33))-COLUMN(指数走势!$F$33)+1-760+466)))</f>
        <v>14.0586996078491</v>
      </c>
      <c r="QZ97">
        <f ca="1">IF(ISERROR(INDEX(指数走势!$F$33:$ACK$33,1,LOOKUP(2,1/(指数走势!$F$33:$ACK$33&lt;&gt;""),COLUMN(指数走势!$F$33:$ACK$33))-COLUMN(指数走势!$F$33)+1-760+467)),NA(),IF(INDEX(指数走势!$F$33:$ACK$33,1,LOOKUP(2,1/(指数走势!$F$33:$ACK$33&lt;&gt;""),COLUMN(指数走势!$F$33:$ACK$33))-COLUMN(指数走势!$F$33)+1-760+467)=0,NA(),INDEX(指数走势!$F$33:$ACK$33,1,LOOKUP(2,1/(指数走势!$F$33:$ACK$33&lt;&gt;""),COLUMN(指数走势!$F$33:$ACK$33))-COLUMN(指数走势!$F$33)+1-760+467)))</f>
        <v>14.0593996047974</v>
      </c>
      <c r="RA97">
        <f ca="1">IF(ISERROR(INDEX(指数走势!$F$33:$ACK$33,1,LOOKUP(2,1/(指数走势!$F$33:$ACK$33&lt;&gt;""),COLUMN(指数走势!$F$33:$ACK$33))-COLUMN(指数走势!$F$33)+1-760+468)),NA(),IF(INDEX(指数走势!$F$33:$ACK$33,1,LOOKUP(2,1/(指数走势!$F$33:$ACK$33&lt;&gt;""),COLUMN(指数走势!$F$33:$ACK$33))-COLUMN(指数走势!$F$33)+1-760+468)=0,NA(),INDEX(指数走势!$F$33:$ACK$33,1,LOOKUP(2,1/(指数走势!$F$33:$ACK$33&lt;&gt;""),COLUMN(指数走势!$F$33:$ACK$33))-COLUMN(指数走势!$F$33)+1-760+468)))</f>
        <v>14.0820999145508</v>
      </c>
      <c r="RB97">
        <f ca="1">IF(ISERROR(INDEX(指数走势!$F$33:$ACK$33,1,LOOKUP(2,1/(指数走势!$F$33:$ACK$33&lt;&gt;""),COLUMN(指数走势!$F$33:$ACK$33))-COLUMN(指数走势!$F$33)+1-760+469)),NA(),IF(INDEX(指数走势!$F$33:$ACK$33,1,LOOKUP(2,1/(指数走势!$F$33:$ACK$33&lt;&gt;""),COLUMN(指数走势!$F$33:$ACK$33))-COLUMN(指数走势!$F$33)+1-760+469)=0,NA(),INDEX(指数走势!$F$33:$ACK$33,1,LOOKUP(2,1/(指数走势!$F$33:$ACK$33&lt;&gt;""),COLUMN(指数走势!$F$33:$ACK$33))-COLUMN(指数走势!$F$33)+1-760+469)))</f>
        <v>14.1272001266479</v>
      </c>
      <c r="RC97">
        <f ca="1">IF(ISERROR(INDEX(指数走势!$F$33:$ACK$33,1,LOOKUP(2,1/(指数走势!$F$33:$ACK$33&lt;&gt;""),COLUMN(指数走势!$F$33:$ACK$33))-COLUMN(指数走势!$F$33)+1-760+470)),NA(),IF(INDEX(指数走势!$F$33:$ACK$33,1,LOOKUP(2,1/(指数走势!$F$33:$ACK$33&lt;&gt;""),COLUMN(指数走势!$F$33:$ACK$33))-COLUMN(指数走势!$F$33)+1-760+470)=0,NA(),INDEX(指数走势!$F$33:$ACK$33,1,LOOKUP(2,1/(指数走势!$F$33:$ACK$33&lt;&gt;""),COLUMN(指数走势!$F$33:$ACK$33))-COLUMN(指数走势!$F$33)+1-760+470)))</f>
        <v>14.086799621582</v>
      </c>
      <c r="RD97">
        <f ca="1">IF(ISERROR(INDEX(指数走势!$F$33:$ACK$33,1,LOOKUP(2,1/(指数走势!$F$33:$ACK$33&lt;&gt;""),COLUMN(指数走势!$F$33:$ACK$33))-COLUMN(指数走势!$F$33)+1-760+471)),NA(),IF(INDEX(指数走势!$F$33:$ACK$33,1,LOOKUP(2,1/(指数走势!$F$33:$ACK$33&lt;&gt;""),COLUMN(指数走势!$F$33:$ACK$33))-COLUMN(指数走势!$F$33)+1-760+471)=0,NA(),INDEX(指数走势!$F$33:$ACK$33,1,LOOKUP(2,1/(指数走势!$F$33:$ACK$33&lt;&gt;""),COLUMN(指数走势!$F$33:$ACK$33))-COLUMN(指数走势!$F$33)+1-760+471)))</f>
        <v>14.0982999801636</v>
      </c>
      <c r="RE97">
        <f ca="1">IF(ISERROR(INDEX(指数走势!$F$33:$ACK$33,1,LOOKUP(2,1/(指数走势!$F$33:$ACK$33&lt;&gt;""),COLUMN(指数走势!$F$33:$ACK$33))-COLUMN(指数走势!$F$33)+1-760+472)),NA(),IF(INDEX(指数走势!$F$33:$ACK$33,1,LOOKUP(2,1/(指数走势!$F$33:$ACK$33&lt;&gt;""),COLUMN(指数走势!$F$33:$ACK$33))-COLUMN(指数走势!$F$33)+1-760+472)=0,NA(),INDEX(指数走势!$F$33:$ACK$33,1,LOOKUP(2,1/(指数走势!$F$33:$ACK$33&lt;&gt;""),COLUMN(指数走势!$F$33:$ACK$33))-COLUMN(指数走势!$F$33)+1-760+472)))</f>
        <v>14.0943002700806</v>
      </c>
      <c r="RF97">
        <f ca="1">IF(ISERROR(INDEX(指数走势!$F$33:$ACK$33,1,LOOKUP(2,1/(指数走势!$F$33:$ACK$33&lt;&gt;""),COLUMN(指数走势!$F$33:$ACK$33))-COLUMN(指数走势!$F$33)+1-760+473)),NA(),IF(INDEX(指数走势!$F$33:$ACK$33,1,LOOKUP(2,1/(指数走势!$F$33:$ACK$33&lt;&gt;""),COLUMN(指数走势!$F$33:$ACK$33))-COLUMN(指数走势!$F$33)+1-760+473)=0,NA(),INDEX(指数走势!$F$33:$ACK$33,1,LOOKUP(2,1/(指数走势!$F$33:$ACK$33&lt;&gt;""),COLUMN(指数走势!$F$33:$ACK$33))-COLUMN(指数走势!$F$33)+1-760+473)))</f>
        <v>14.1922998428345</v>
      </c>
      <c r="RG97">
        <f ca="1">IF(ISERROR(INDEX(指数走势!$F$33:$ACK$33,1,LOOKUP(2,1/(指数走势!$F$33:$ACK$33&lt;&gt;""),COLUMN(指数走势!$F$33:$ACK$33))-COLUMN(指数走势!$F$33)+1-760+474)),NA(),IF(INDEX(指数走势!$F$33:$ACK$33,1,LOOKUP(2,1/(指数走势!$F$33:$ACK$33&lt;&gt;""),COLUMN(指数走势!$F$33:$ACK$33))-COLUMN(指数走势!$F$33)+1-760+474)=0,NA(),INDEX(指数走势!$F$33:$ACK$33,1,LOOKUP(2,1/(指数走势!$F$33:$ACK$33&lt;&gt;""),COLUMN(指数走势!$F$33:$ACK$33))-COLUMN(指数走势!$F$33)+1-760+474)))</f>
        <v>14.2285003662109</v>
      </c>
      <c r="RH97">
        <f ca="1">IF(ISERROR(INDEX(指数走势!$F$33:$ACK$33,1,LOOKUP(2,1/(指数走势!$F$33:$ACK$33&lt;&gt;""),COLUMN(指数走势!$F$33:$ACK$33))-COLUMN(指数走势!$F$33)+1-760+475)),NA(),IF(INDEX(指数走势!$F$33:$ACK$33,1,LOOKUP(2,1/(指数走势!$F$33:$ACK$33&lt;&gt;""),COLUMN(指数走势!$F$33:$ACK$33))-COLUMN(指数走势!$F$33)+1-760+475)=0,NA(),INDEX(指数走势!$F$33:$ACK$33,1,LOOKUP(2,1/(指数走势!$F$33:$ACK$33&lt;&gt;""),COLUMN(指数走势!$F$33:$ACK$33))-COLUMN(指数走势!$F$33)+1-760+475)))</f>
        <v>14.2132997512817</v>
      </c>
      <c r="RI97">
        <f ca="1">IF(ISERROR(INDEX(指数走势!$F$33:$ACK$33,1,LOOKUP(2,1/(指数走势!$F$33:$ACK$33&lt;&gt;""),COLUMN(指数走势!$F$33:$ACK$33))-COLUMN(指数走势!$F$33)+1-760+476)),NA(),IF(INDEX(指数走势!$F$33:$ACK$33,1,LOOKUP(2,1/(指数走势!$F$33:$ACK$33&lt;&gt;""),COLUMN(指数走势!$F$33:$ACK$33))-COLUMN(指数走势!$F$33)+1-760+476)=0,NA(),INDEX(指数走势!$F$33:$ACK$33,1,LOOKUP(2,1/(指数走势!$F$33:$ACK$33&lt;&gt;""),COLUMN(指数走势!$F$33:$ACK$33))-COLUMN(指数走势!$F$33)+1-760+476)))</f>
        <v>14.3515996932983</v>
      </c>
      <c r="RJ97">
        <f ca="1">IF(ISERROR(INDEX(指数走势!$F$33:$ACK$33,1,LOOKUP(2,1/(指数走势!$F$33:$ACK$33&lt;&gt;""),COLUMN(指数走势!$F$33:$ACK$33))-COLUMN(指数走势!$F$33)+1-760+477)),NA(),IF(INDEX(指数走势!$F$33:$ACK$33,1,LOOKUP(2,1/(指数走势!$F$33:$ACK$33&lt;&gt;""),COLUMN(指数走势!$F$33:$ACK$33))-COLUMN(指数走势!$F$33)+1-760+477)=0,NA(),INDEX(指数走势!$F$33:$ACK$33,1,LOOKUP(2,1/(指数走势!$F$33:$ACK$33&lt;&gt;""),COLUMN(指数走势!$F$33:$ACK$33))-COLUMN(指数走势!$F$33)+1-760+477)))</f>
        <v>14.4718999862671</v>
      </c>
      <c r="RK97">
        <f ca="1">IF(ISERROR(INDEX(指数走势!$F$33:$ACK$33,1,LOOKUP(2,1/(指数走势!$F$33:$ACK$33&lt;&gt;""),COLUMN(指数走势!$F$33:$ACK$33))-COLUMN(指数走势!$F$33)+1-760+478)),NA(),IF(INDEX(指数走势!$F$33:$ACK$33,1,LOOKUP(2,1/(指数走势!$F$33:$ACK$33&lt;&gt;""),COLUMN(指数走势!$F$33:$ACK$33))-COLUMN(指数走势!$F$33)+1-760+478)=0,NA(),INDEX(指数走势!$F$33:$ACK$33,1,LOOKUP(2,1/(指数走势!$F$33:$ACK$33&lt;&gt;""),COLUMN(指数走势!$F$33:$ACK$33))-COLUMN(指数走势!$F$33)+1-760+478)))</f>
        <v>14.5003004074097</v>
      </c>
      <c r="RL97">
        <f ca="1">IF(ISERROR(INDEX(指数走势!$F$33:$ACK$33,1,LOOKUP(2,1/(指数走势!$F$33:$ACK$33&lt;&gt;""),COLUMN(指数走势!$F$33:$ACK$33))-COLUMN(指数走势!$F$33)+1-760+479)),NA(),IF(INDEX(指数走势!$F$33:$ACK$33,1,LOOKUP(2,1/(指数走势!$F$33:$ACK$33&lt;&gt;""),COLUMN(指数走势!$F$33:$ACK$33))-COLUMN(指数走势!$F$33)+1-760+479)=0,NA(),INDEX(指数走势!$F$33:$ACK$33,1,LOOKUP(2,1/(指数走势!$F$33:$ACK$33&lt;&gt;""),COLUMN(指数走势!$F$33:$ACK$33))-COLUMN(指数走势!$F$33)+1-760+479)))</f>
        <v>14.4589996337891</v>
      </c>
      <c r="RM97">
        <f ca="1">IF(ISERROR(INDEX(指数走势!$F$33:$ACK$33,1,LOOKUP(2,1/(指数走势!$F$33:$ACK$33&lt;&gt;""),COLUMN(指数走势!$F$33:$ACK$33))-COLUMN(指数走势!$F$33)+1-760+480)),NA(),IF(INDEX(指数走势!$F$33:$ACK$33,1,LOOKUP(2,1/(指数走势!$F$33:$ACK$33&lt;&gt;""),COLUMN(指数走势!$F$33:$ACK$33))-COLUMN(指数走势!$F$33)+1-760+480)=0,NA(),INDEX(指数走势!$F$33:$ACK$33,1,LOOKUP(2,1/(指数走势!$F$33:$ACK$33&lt;&gt;""),COLUMN(指数走势!$F$33:$ACK$33))-COLUMN(指数走势!$F$33)+1-760+480)))</f>
        <v>14.5380001068115</v>
      </c>
      <c r="RN97">
        <f ca="1">IF(ISERROR(INDEX(指数走势!$F$33:$ACK$33,1,LOOKUP(2,1/(指数走势!$F$33:$ACK$33&lt;&gt;""),COLUMN(指数走势!$F$33:$ACK$33))-COLUMN(指数走势!$F$33)+1-760+481)),NA(),IF(INDEX(指数走势!$F$33:$ACK$33,1,LOOKUP(2,1/(指数走势!$F$33:$ACK$33&lt;&gt;""),COLUMN(指数走势!$F$33:$ACK$33))-COLUMN(指数走势!$F$33)+1-760+481)=0,NA(),INDEX(指数走势!$F$33:$ACK$33,1,LOOKUP(2,1/(指数走势!$F$33:$ACK$33&lt;&gt;""),COLUMN(指数走势!$F$33:$ACK$33))-COLUMN(指数走势!$F$33)+1-760+481)))</f>
        <v>14.5710000991821</v>
      </c>
      <c r="RO97">
        <f ca="1">IF(ISERROR(INDEX(指数走势!$F$33:$ACK$33,1,LOOKUP(2,1/(指数走势!$F$33:$ACK$33&lt;&gt;""),COLUMN(指数走势!$F$33:$ACK$33))-COLUMN(指数走势!$F$33)+1-760+482)),NA(),IF(INDEX(指数走势!$F$33:$ACK$33,1,LOOKUP(2,1/(指数走势!$F$33:$ACK$33&lt;&gt;""),COLUMN(指数走势!$F$33:$ACK$33))-COLUMN(指数走势!$F$33)+1-760+482)=0,NA(),INDEX(指数走势!$F$33:$ACK$33,1,LOOKUP(2,1/(指数走势!$F$33:$ACK$33&lt;&gt;""),COLUMN(指数走势!$F$33:$ACK$33))-COLUMN(指数走势!$F$33)+1-760+482)))</f>
        <v>14.6990003585815</v>
      </c>
      <c r="RP97">
        <f ca="1">IF(ISERROR(INDEX(指数走势!$F$33:$ACK$33,1,LOOKUP(2,1/(指数走势!$F$33:$ACK$33&lt;&gt;""),COLUMN(指数走势!$F$33:$ACK$33))-COLUMN(指数走势!$F$33)+1-760+483)),NA(),IF(INDEX(指数走势!$F$33:$ACK$33,1,LOOKUP(2,1/(指数走势!$F$33:$ACK$33&lt;&gt;""),COLUMN(指数走势!$F$33:$ACK$33))-COLUMN(指数走势!$F$33)+1-760+483)=0,NA(),INDEX(指数走势!$F$33:$ACK$33,1,LOOKUP(2,1/(指数走势!$F$33:$ACK$33&lt;&gt;""),COLUMN(指数走势!$F$33:$ACK$33))-COLUMN(指数走势!$F$33)+1-760+483)))</f>
        <v>14.6015996932983</v>
      </c>
      <c r="RQ97">
        <f ca="1">IF(ISERROR(INDEX(指数走势!$F$33:$ACK$33,1,LOOKUP(2,1/(指数走势!$F$33:$ACK$33&lt;&gt;""),COLUMN(指数走势!$F$33:$ACK$33))-COLUMN(指数走势!$F$33)+1-760+484)),NA(),IF(INDEX(指数走势!$F$33:$ACK$33,1,LOOKUP(2,1/(指数走势!$F$33:$ACK$33&lt;&gt;""),COLUMN(指数走势!$F$33:$ACK$33))-COLUMN(指数走势!$F$33)+1-760+484)=0,NA(),INDEX(指数走势!$F$33:$ACK$33,1,LOOKUP(2,1/(指数走势!$F$33:$ACK$33&lt;&gt;""),COLUMN(指数走势!$F$33:$ACK$33))-COLUMN(指数走势!$F$33)+1-760+484)))</f>
        <v>14.540599822998</v>
      </c>
      <c r="RR97">
        <f ca="1">IF(ISERROR(INDEX(指数走势!$F$33:$ACK$33,1,LOOKUP(2,1/(指数走势!$F$33:$ACK$33&lt;&gt;""),COLUMN(指数走势!$F$33:$ACK$33))-COLUMN(指数走势!$F$33)+1-760+485)),NA(),IF(INDEX(指数走势!$F$33:$ACK$33,1,LOOKUP(2,1/(指数走势!$F$33:$ACK$33&lt;&gt;""),COLUMN(指数走势!$F$33:$ACK$33))-COLUMN(指数走势!$F$33)+1-760+485)=0,NA(),INDEX(指数走势!$F$33:$ACK$33,1,LOOKUP(2,1/(指数走势!$F$33:$ACK$33&lt;&gt;""),COLUMN(指数走势!$F$33:$ACK$33))-COLUMN(指数走势!$F$33)+1-760+485)))</f>
        <v>14.5406999588013</v>
      </c>
      <c r="RS97">
        <f ca="1">IF(ISERROR(INDEX(指数走势!$F$33:$ACK$33,1,LOOKUP(2,1/(指数走势!$F$33:$ACK$33&lt;&gt;""),COLUMN(指数走势!$F$33:$ACK$33))-COLUMN(指数走势!$F$33)+1-760+486)),NA(),IF(INDEX(指数走势!$F$33:$ACK$33,1,LOOKUP(2,1/(指数走势!$F$33:$ACK$33&lt;&gt;""),COLUMN(指数走势!$F$33:$ACK$33))-COLUMN(指数走势!$F$33)+1-760+486)=0,NA(),INDEX(指数走势!$F$33:$ACK$33,1,LOOKUP(2,1/(指数走势!$F$33:$ACK$33&lt;&gt;""),COLUMN(指数走势!$F$33:$ACK$33))-COLUMN(指数走势!$F$33)+1-760+486)))</f>
        <v>14.6010999679565</v>
      </c>
      <c r="RT97">
        <f ca="1">IF(ISERROR(INDEX(指数走势!$F$33:$ACK$33,1,LOOKUP(2,1/(指数走势!$F$33:$ACK$33&lt;&gt;""),COLUMN(指数走势!$F$33:$ACK$33))-COLUMN(指数走势!$F$33)+1-760+487)),NA(),IF(INDEX(指数走势!$F$33:$ACK$33,1,LOOKUP(2,1/(指数走势!$F$33:$ACK$33&lt;&gt;""),COLUMN(指数走势!$F$33:$ACK$33))-COLUMN(指数走势!$F$33)+1-760+487)=0,NA(),INDEX(指数走势!$F$33:$ACK$33,1,LOOKUP(2,1/(指数走势!$F$33:$ACK$33&lt;&gt;""),COLUMN(指数走势!$F$33:$ACK$33))-COLUMN(指数走势!$F$33)+1-760+487)))</f>
        <v>14.6367998123169</v>
      </c>
      <c r="RU97">
        <f ca="1">IF(ISERROR(INDEX(指数走势!$F$33:$ACK$33,1,LOOKUP(2,1/(指数走势!$F$33:$ACK$33&lt;&gt;""),COLUMN(指数走势!$F$33:$ACK$33))-COLUMN(指数走势!$F$33)+1-760+488)),NA(),IF(INDEX(指数走势!$F$33:$ACK$33,1,LOOKUP(2,1/(指数走势!$F$33:$ACK$33&lt;&gt;""),COLUMN(指数走势!$F$33:$ACK$33))-COLUMN(指数走势!$F$33)+1-760+488)=0,NA(),INDEX(指数走势!$F$33:$ACK$33,1,LOOKUP(2,1/(指数走势!$F$33:$ACK$33&lt;&gt;""),COLUMN(指数走势!$F$33:$ACK$33))-COLUMN(指数走势!$F$33)+1-760+488)))</f>
        <v>14.6101999282837</v>
      </c>
      <c r="RV97">
        <f ca="1">IF(ISERROR(INDEX(指数走势!$F$33:$ACK$33,1,LOOKUP(2,1/(指数走势!$F$33:$ACK$33&lt;&gt;""),COLUMN(指数走势!$F$33:$ACK$33))-COLUMN(指数走势!$F$33)+1-760+489)),NA(),IF(INDEX(指数走势!$F$33:$ACK$33,1,LOOKUP(2,1/(指数走势!$F$33:$ACK$33&lt;&gt;""),COLUMN(指数走势!$F$33:$ACK$33))-COLUMN(指数走势!$F$33)+1-760+489)=0,NA(),INDEX(指数走势!$F$33:$ACK$33,1,LOOKUP(2,1/(指数走势!$F$33:$ACK$33&lt;&gt;""),COLUMN(指数走势!$F$33:$ACK$33))-COLUMN(指数走势!$F$33)+1-760+489)))</f>
        <v>14.4805002212524</v>
      </c>
      <c r="RW97">
        <f ca="1">IF(ISERROR(INDEX(指数走势!$F$33:$ACK$33,1,LOOKUP(2,1/(指数走势!$F$33:$ACK$33&lt;&gt;""),COLUMN(指数走势!$F$33:$ACK$33))-COLUMN(指数走势!$F$33)+1-760+490)),NA(),IF(INDEX(指数走势!$F$33:$ACK$33,1,LOOKUP(2,1/(指数走势!$F$33:$ACK$33&lt;&gt;""),COLUMN(指数走势!$F$33:$ACK$33))-COLUMN(指数走势!$F$33)+1-760+490)=0,NA(),INDEX(指数走势!$F$33:$ACK$33,1,LOOKUP(2,1/(指数走势!$F$33:$ACK$33&lt;&gt;""),COLUMN(指数走势!$F$33:$ACK$33))-COLUMN(指数走势!$F$33)+1-760+490)))</f>
        <v>14.4760999679565</v>
      </c>
      <c r="RX97">
        <f ca="1">IF(ISERROR(INDEX(指数走势!$F$33:$ACK$33,1,LOOKUP(2,1/(指数走势!$F$33:$ACK$33&lt;&gt;""),COLUMN(指数走势!$F$33:$ACK$33))-COLUMN(指数走势!$F$33)+1-760+491)),NA(),IF(INDEX(指数走势!$F$33:$ACK$33,1,LOOKUP(2,1/(指数走势!$F$33:$ACK$33&lt;&gt;""),COLUMN(指数走势!$F$33:$ACK$33))-COLUMN(指数走势!$F$33)+1-760+491)=0,NA(),INDEX(指数走势!$F$33:$ACK$33,1,LOOKUP(2,1/(指数走势!$F$33:$ACK$33&lt;&gt;""),COLUMN(指数走势!$F$33:$ACK$33))-COLUMN(指数走势!$F$33)+1-760+491)))</f>
        <v>14.4569997787476</v>
      </c>
      <c r="RY97">
        <f ca="1">IF(ISERROR(INDEX(指数走势!$F$33:$ACK$33,1,LOOKUP(2,1/(指数走势!$F$33:$ACK$33&lt;&gt;""),COLUMN(指数走势!$F$33:$ACK$33))-COLUMN(指数走势!$F$33)+1-760+492)),NA(),IF(INDEX(指数走势!$F$33:$ACK$33,1,LOOKUP(2,1/(指数走势!$F$33:$ACK$33&lt;&gt;""),COLUMN(指数走势!$F$33:$ACK$33))-COLUMN(指数走势!$F$33)+1-760+492)=0,NA(),INDEX(指数走势!$F$33:$ACK$33,1,LOOKUP(2,1/(指数走势!$F$33:$ACK$33&lt;&gt;""),COLUMN(指数走势!$F$33:$ACK$33))-COLUMN(指数走势!$F$33)+1-760+492)))</f>
        <v>14.4483995437622</v>
      </c>
      <c r="RZ97">
        <f ca="1">IF(ISERROR(INDEX(指数走势!$F$33:$ACK$33,1,LOOKUP(2,1/(指数走势!$F$33:$ACK$33&lt;&gt;""),COLUMN(指数走势!$F$33:$ACK$33))-COLUMN(指数走势!$F$33)+1-760+493)),NA(),IF(INDEX(指数走势!$F$33:$ACK$33,1,LOOKUP(2,1/(指数走势!$F$33:$ACK$33&lt;&gt;""),COLUMN(指数走势!$F$33:$ACK$33))-COLUMN(指数走势!$F$33)+1-760+493)=0,NA(),INDEX(指数走势!$F$33:$ACK$33,1,LOOKUP(2,1/(指数走势!$F$33:$ACK$33&lt;&gt;""),COLUMN(指数走势!$F$33:$ACK$33))-COLUMN(指数走势!$F$33)+1-760+493)))</f>
        <v>14.5361003875732</v>
      </c>
      <c r="SA97">
        <f ca="1">IF(ISERROR(INDEX(指数走势!$F$33:$ACK$33,1,LOOKUP(2,1/(指数走势!$F$33:$ACK$33&lt;&gt;""),COLUMN(指数走势!$F$33:$ACK$33))-COLUMN(指数走势!$F$33)+1-760+494)),NA(),IF(INDEX(指数走势!$F$33:$ACK$33,1,LOOKUP(2,1/(指数走势!$F$33:$ACK$33&lt;&gt;""),COLUMN(指数走势!$F$33:$ACK$33))-COLUMN(指数走势!$F$33)+1-760+494)=0,NA(),INDEX(指数走势!$F$33:$ACK$33,1,LOOKUP(2,1/(指数走势!$F$33:$ACK$33&lt;&gt;""),COLUMN(指数走势!$F$33:$ACK$33))-COLUMN(指数走势!$F$33)+1-760+494)))</f>
        <v>14.4895000457764</v>
      </c>
      <c r="SB97">
        <f ca="1">IF(ISERROR(INDEX(指数走势!$F$33:$ACK$33,1,LOOKUP(2,1/(指数走势!$F$33:$ACK$33&lt;&gt;""),COLUMN(指数走势!$F$33:$ACK$33))-COLUMN(指数走势!$F$33)+1-760+495)),NA(),IF(INDEX(指数走势!$F$33:$ACK$33,1,LOOKUP(2,1/(指数走势!$F$33:$ACK$33&lt;&gt;""),COLUMN(指数走势!$F$33:$ACK$33))-COLUMN(指数走势!$F$33)+1-760+495)=0,NA(),INDEX(指数走势!$F$33:$ACK$33,1,LOOKUP(2,1/(指数走势!$F$33:$ACK$33&lt;&gt;""),COLUMN(指数走势!$F$33:$ACK$33))-COLUMN(指数走势!$F$33)+1-760+495)))</f>
        <v>14.5572996139526</v>
      </c>
      <c r="SC97">
        <f ca="1">IF(ISERROR(INDEX(指数走势!$F$33:$ACK$33,1,LOOKUP(2,1/(指数走势!$F$33:$ACK$33&lt;&gt;""),COLUMN(指数走势!$F$33:$ACK$33))-COLUMN(指数走势!$F$33)+1-760+496)),NA(),IF(INDEX(指数走势!$F$33:$ACK$33,1,LOOKUP(2,1/(指数走势!$F$33:$ACK$33&lt;&gt;""),COLUMN(指数走势!$F$33:$ACK$33))-COLUMN(指数走势!$F$33)+1-760+496)=0,NA(),INDEX(指数走势!$F$33:$ACK$33,1,LOOKUP(2,1/(指数走势!$F$33:$ACK$33&lt;&gt;""),COLUMN(指数走势!$F$33:$ACK$33))-COLUMN(指数走势!$F$33)+1-760+496)))</f>
        <v>14.608699798584</v>
      </c>
      <c r="SD97">
        <f ca="1">IF(ISERROR(INDEX(指数走势!$F$33:$ACK$33,1,LOOKUP(2,1/(指数走势!$F$33:$ACK$33&lt;&gt;""),COLUMN(指数走势!$F$33:$ACK$33))-COLUMN(指数走势!$F$33)+1-760+497)),NA(),IF(INDEX(指数走势!$F$33:$ACK$33,1,LOOKUP(2,1/(指数走势!$F$33:$ACK$33&lt;&gt;""),COLUMN(指数走势!$F$33:$ACK$33))-COLUMN(指数走势!$F$33)+1-760+497)=0,NA(),INDEX(指数走势!$F$33:$ACK$33,1,LOOKUP(2,1/(指数走势!$F$33:$ACK$33&lt;&gt;""),COLUMN(指数走势!$F$33:$ACK$33))-COLUMN(指数走势!$F$33)+1-760+497)))</f>
        <v>14.6415996551514</v>
      </c>
      <c r="SE97">
        <f ca="1">IF(ISERROR(INDEX(指数走势!$F$33:$ACK$33,1,LOOKUP(2,1/(指数走势!$F$33:$ACK$33&lt;&gt;""),COLUMN(指数走势!$F$33:$ACK$33))-COLUMN(指数走势!$F$33)+1-760+498)),NA(),IF(INDEX(指数走势!$F$33:$ACK$33,1,LOOKUP(2,1/(指数走势!$F$33:$ACK$33&lt;&gt;""),COLUMN(指数走势!$F$33:$ACK$33))-COLUMN(指数走势!$F$33)+1-760+498)=0,NA(),INDEX(指数走势!$F$33:$ACK$33,1,LOOKUP(2,1/(指数走势!$F$33:$ACK$33&lt;&gt;""),COLUMN(指数走势!$F$33:$ACK$33))-COLUMN(指数走势!$F$33)+1-760+498)))</f>
        <v>14.6423997879028</v>
      </c>
      <c r="SF97">
        <f ca="1">IF(ISERROR(INDEX(指数走势!$F$33:$ACK$33,1,LOOKUP(2,1/(指数走势!$F$33:$ACK$33&lt;&gt;""),COLUMN(指数走势!$F$33:$ACK$33))-COLUMN(指数走势!$F$33)+1-760+499)),NA(),IF(INDEX(指数走势!$F$33:$ACK$33,1,LOOKUP(2,1/(指数走势!$F$33:$ACK$33&lt;&gt;""),COLUMN(指数走势!$F$33:$ACK$33))-COLUMN(指数走势!$F$33)+1-760+499)=0,NA(),INDEX(指数走势!$F$33:$ACK$33,1,LOOKUP(2,1/(指数走势!$F$33:$ACK$33&lt;&gt;""),COLUMN(指数走势!$F$33:$ACK$33))-COLUMN(指数走势!$F$33)+1-760+499)))</f>
        <v>14.6912002563477</v>
      </c>
      <c r="SG97">
        <f ca="1">IF(ISERROR(INDEX(指数走势!$F$33:$ACK$33,1,LOOKUP(2,1/(指数走势!$F$33:$ACK$33&lt;&gt;""),COLUMN(指数走势!$F$33:$ACK$33))-COLUMN(指数走势!$F$33)+1-760+500)),NA(),IF(INDEX(指数走势!$F$33:$ACK$33,1,LOOKUP(2,1/(指数走势!$F$33:$ACK$33&lt;&gt;""),COLUMN(指数走势!$F$33:$ACK$33))-COLUMN(指数走势!$F$33)+1-760+500)=0,NA(),INDEX(指数走势!$F$33:$ACK$33,1,LOOKUP(2,1/(指数走势!$F$33:$ACK$33&lt;&gt;""),COLUMN(指数走势!$F$33:$ACK$33))-COLUMN(指数走势!$F$33)+1-760+500)))</f>
        <v>14.6314001083374</v>
      </c>
      <c r="SH97">
        <f ca="1">IF(ISERROR(INDEX(指数走势!$F$33:$ACK$33,1,LOOKUP(2,1/(指数走势!$F$33:$ACK$33&lt;&gt;""),COLUMN(指数走势!$F$33:$ACK$33))-COLUMN(指数走势!$F$33)+1-760+501)),NA(),IF(INDEX(指数走势!$F$33:$ACK$33,1,LOOKUP(2,1/(指数走势!$F$33:$ACK$33&lt;&gt;""),COLUMN(指数走势!$F$33:$ACK$33))-COLUMN(指数走势!$F$33)+1-760+501)=0,NA(),INDEX(指数走势!$F$33:$ACK$33,1,LOOKUP(2,1/(指数走势!$F$33:$ACK$33&lt;&gt;""),COLUMN(指数走势!$F$33:$ACK$33))-COLUMN(指数走势!$F$33)+1-760+501)))</f>
        <v>14.7018003463745</v>
      </c>
      <c r="SI97">
        <f ca="1">IF(ISERROR(INDEX(指数走势!$F$33:$ACK$33,1,LOOKUP(2,1/(指数走势!$F$33:$ACK$33&lt;&gt;""),COLUMN(指数走势!$F$33:$ACK$33))-COLUMN(指数走势!$F$33)+1-760+502)),NA(),IF(INDEX(指数走势!$F$33:$ACK$33,1,LOOKUP(2,1/(指数走势!$F$33:$ACK$33&lt;&gt;""),COLUMN(指数走势!$F$33:$ACK$33))-COLUMN(指数走势!$F$33)+1-760+502)=0,NA(),INDEX(指数走势!$F$33:$ACK$33,1,LOOKUP(2,1/(指数走势!$F$33:$ACK$33&lt;&gt;""),COLUMN(指数走势!$F$33:$ACK$33))-COLUMN(指数走势!$F$33)+1-760+502)))</f>
        <v>14.7069997787476</v>
      </c>
      <c r="SJ97">
        <f ca="1">IF(ISERROR(INDEX(指数走势!$F$33:$ACK$33,1,LOOKUP(2,1/(指数走势!$F$33:$ACK$33&lt;&gt;""),COLUMN(指数走势!$F$33:$ACK$33))-COLUMN(指数走势!$F$33)+1-760+503)),NA(),IF(INDEX(指数走势!$F$33:$ACK$33,1,LOOKUP(2,1/(指数走势!$F$33:$ACK$33&lt;&gt;""),COLUMN(指数走势!$F$33:$ACK$33))-COLUMN(指数走势!$F$33)+1-760+503)=0,NA(),INDEX(指数走势!$F$33:$ACK$33,1,LOOKUP(2,1/(指数走势!$F$33:$ACK$33&lt;&gt;""),COLUMN(指数走势!$F$33:$ACK$33))-COLUMN(指数走势!$F$33)+1-760+503)))</f>
        <v>14.6163997650146</v>
      </c>
      <c r="SK97">
        <f ca="1">IF(ISERROR(INDEX(指数走势!$F$33:$ACK$33,1,LOOKUP(2,1/(指数走势!$F$33:$ACK$33&lt;&gt;""),COLUMN(指数走势!$F$33:$ACK$33))-COLUMN(指数走势!$F$33)+1-760+504)),NA(),IF(INDEX(指数走势!$F$33:$ACK$33,1,LOOKUP(2,1/(指数走势!$F$33:$ACK$33&lt;&gt;""),COLUMN(指数走势!$F$33:$ACK$33))-COLUMN(指数走势!$F$33)+1-760+504)=0,NA(),INDEX(指数走势!$F$33:$ACK$33,1,LOOKUP(2,1/(指数走势!$F$33:$ACK$33&lt;&gt;""),COLUMN(指数走势!$F$33:$ACK$33))-COLUMN(指数走势!$F$33)+1-760+504)))</f>
        <v>14.6645002365112</v>
      </c>
      <c r="SL97">
        <f ca="1">IF(ISERROR(INDEX(指数走势!$F$33:$ACK$33,1,LOOKUP(2,1/(指数走势!$F$33:$ACK$33&lt;&gt;""),COLUMN(指数走势!$F$33:$ACK$33))-COLUMN(指数走势!$F$33)+1-760+505)),NA(),IF(INDEX(指数走势!$F$33:$ACK$33,1,LOOKUP(2,1/(指数走势!$F$33:$ACK$33&lt;&gt;""),COLUMN(指数走势!$F$33:$ACK$33))-COLUMN(指数走势!$F$33)+1-760+505)=0,NA(),INDEX(指数走势!$F$33:$ACK$33,1,LOOKUP(2,1/(指数走势!$F$33:$ACK$33&lt;&gt;""),COLUMN(指数走势!$F$33:$ACK$33))-COLUMN(指数走势!$F$33)+1-760+505)))</f>
        <v>14.6570997238159</v>
      </c>
      <c r="SM97">
        <f ca="1">IF(ISERROR(INDEX(指数走势!$F$33:$ACK$33,1,LOOKUP(2,1/(指数走势!$F$33:$ACK$33&lt;&gt;""),COLUMN(指数走势!$F$33:$ACK$33))-COLUMN(指数走势!$F$33)+1-760+506)),NA(),IF(INDEX(指数走势!$F$33:$ACK$33,1,LOOKUP(2,1/(指数走势!$F$33:$ACK$33&lt;&gt;""),COLUMN(指数走势!$F$33:$ACK$33))-COLUMN(指数走势!$F$33)+1-760+506)=0,NA(),INDEX(指数走势!$F$33:$ACK$33,1,LOOKUP(2,1/(指数走势!$F$33:$ACK$33&lt;&gt;""),COLUMN(指数走势!$F$33:$ACK$33))-COLUMN(指数走势!$F$33)+1-760+506)))</f>
        <v>14.6723003387451</v>
      </c>
      <c r="SN97">
        <f ca="1">IF(ISERROR(INDEX(指数走势!$F$33:$ACK$33,1,LOOKUP(2,1/(指数走势!$F$33:$ACK$33&lt;&gt;""),COLUMN(指数走势!$F$33:$ACK$33))-COLUMN(指数走势!$F$33)+1-760+507)),NA(),IF(INDEX(指数走势!$F$33:$ACK$33,1,LOOKUP(2,1/(指数走势!$F$33:$ACK$33&lt;&gt;""),COLUMN(指数走势!$F$33:$ACK$33))-COLUMN(指数走势!$F$33)+1-760+507)=0,NA(),INDEX(指数走势!$F$33:$ACK$33,1,LOOKUP(2,1/(指数走势!$F$33:$ACK$33&lt;&gt;""),COLUMN(指数走势!$F$33:$ACK$33))-COLUMN(指数走势!$F$33)+1-760+507)))</f>
        <v>14.6331996917725</v>
      </c>
      <c r="SO97">
        <f ca="1">IF(ISERROR(INDEX(指数走势!$F$33:$ACK$33,1,LOOKUP(2,1/(指数走势!$F$33:$ACK$33&lt;&gt;""),COLUMN(指数走势!$F$33:$ACK$33))-COLUMN(指数走势!$F$33)+1-760+508)),NA(),IF(INDEX(指数走势!$F$33:$ACK$33,1,LOOKUP(2,1/(指数走势!$F$33:$ACK$33&lt;&gt;""),COLUMN(指数走势!$F$33:$ACK$33))-COLUMN(指数走势!$F$33)+1-760+508)=0,NA(),INDEX(指数走势!$F$33:$ACK$33,1,LOOKUP(2,1/(指数走势!$F$33:$ACK$33&lt;&gt;""),COLUMN(指数走势!$F$33:$ACK$33))-COLUMN(指数走势!$F$33)+1-760+508)))</f>
        <v>14.6430997848511</v>
      </c>
      <c r="SP97">
        <f ca="1">IF(ISERROR(INDEX(指数走势!$F$33:$ACK$33,1,LOOKUP(2,1/(指数走势!$F$33:$ACK$33&lt;&gt;""),COLUMN(指数走势!$F$33:$ACK$33))-COLUMN(指数走势!$F$33)+1-760+509)),NA(),IF(INDEX(指数走势!$F$33:$ACK$33,1,LOOKUP(2,1/(指数走势!$F$33:$ACK$33&lt;&gt;""),COLUMN(指数走势!$F$33:$ACK$33))-COLUMN(指数走势!$F$33)+1-760+509)=0,NA(),INDEX(指数走势!$F$33:$ACK$33,1,LOOKUP(2,1/(指数走势!$F$33:$ACK$33&lt;&gt;""),COLUMN(指数走势!$F$33:$ACK$33))-COLUMN(指数走势!$F$33)+1-760+509)))</f>
        <v>14.7637996673584</v>
      </c>
      <c r="SQ97">
        <f ca="1">IF(ISERROR(INDEX(指数走势!$F$33:$ACK$33,1,LOOKUP(2,1/(指数走势!$F$33:$ACK$33&lt;&gt;""),COLUMN(指数走势!$F$33:$ACK$33))-COLUMN(指数走势!$F$33)+1-760+510)),NA(),IF(INDEX(指数走势!$F$33:$ACK$33,1,LOOKUP(2,1/(指数走势!$F$33:$ACK$33&lt;&gt;""),COLUMN(指数走势!$F$33:$ACK$33))-COLUMN(指数走势!$F$33)+1-760+510)=0,NA(),INDEX(指数走势!$F$33:$ACK$33,1,LOOKUP(2,1/(指数走势!$F$33:$ACK$33&lt;&gt;""),COLUMN(指数走势!$F$33:$ACK$33))-COLUMN(指数走势!$F$33)+1-760+510)))</f>
        <v>14.9160995483398</v>
      </c>
      <c r="SR97">
        <f ca="1">IF(ISERROR(INDEX(指数走势!$F$33:$ACK$33,1,LOOKUP(2,1/(指数走势!$F$33:$ACK$33&lt;&gt;""),COLUMN(指数走势!$F$33:$ACK$33))-COLUMN(指数走势!$F$33)+1-760+511)),NA(),IF(INDEX(指数走势!$F$33:$ACK$33,1,LOOKUP(2,1/(指数走势!$F$33:$ACK$33&lt;&gt;""),COLUMN(指数走势!$F$33:$ACK$33))-COLUMN(指数走势!$F$33)+1-760+511)=0,NA(),INDEX(指数走势!$F$33:$ACK$33,1,LOOKUP(2,1/(指数走势!$F$33:$ACK$33&lt;&gt;""),COLUMN(指数走势!$F$33:$ACK$33))-COLUMN(指数走势!$F$33)+1-760+511)))</f>
        <v>15.0677003860474</v>
      </c>
      <c r="SS97">
        <f ca="1">IF(ISERROR(INDEX(指数走势!$F$33:$ACK$33,1,LOOKUP(2,1/(指数走势!$F$33:$ACK$33&lt;&gt;""),COLUMN(指数走势!$F$33:$ACK$33))-COLUMN(指数走势!$F$33)+1-760+512)),NA(),IF(INDEX(指数走势!$F$33:$ACK$33,1,LOOKUP(2,1/(指数走势!$F$33:$ACK$33&lt;&gt;""),COLUMN(指数走势!$F$33:$ACK$33))-COLUMN(指数走势!$F$33)+1-760+512)=0,NA(),INDEX(指数走势!$F$33:$ACK$33,1,LOOKUP(2,1/(指数走势!$F$33:$ACK$33&lt;&gt;""),COLUMN(指数走势!$F$33:$ACK$33))-COLUMN(指数走势!$F$33)+1-760+512)))</f>
        <v>15.0671997070312</v>
      </c>
      <c r="ST97">
        <f ca="1">IF(ISERROR(INDEX(指数走势!$F$33:$ACK$33,1,LOOKUP(2,1/(指数走势!$F$33:$ACK$33&lt;&gt;""),COLUMN(指数走势!$F$33:$ACK$33))-COLUMN(指数走势!$F$33)+1-760+513)),NA(),IF(INDEX(指数走势!$F$33:$ACK$33,1,LOOKUP(2,1/(指数走势!$F$33:$ACK$33&lt;&gt;""),COLUMN(指数走势!$F$33:$ACK$33))-COLUMN(指数走势!$F$33)+1-760+513)=0,NA(),INDEX(指数走势!$F$33:$ACK$33,1,LOOKUP(2,1/(指数走势!$F$33:$ACK$33&lt;&gt;""),COLUMN(指数走势!$F$33:$ACK$33))-COLUMN(指数走势!$F$33)+1-760+513)))</f>
        <v>14.9343996047974</v>
      </c>
      <c r="SU97">
        <f ca="1">IF(ISERROR(INDEX(指数走势!$F$33:$ACK$33,1,LOOKUP(2,1/(指数走势!$F$33:$ACK$33&lt;&gt;""),COLUMN(指数走势!$F$33:$ACK$33))-COLUMN(指数走势!$F$33)+1-760+514)),NA(),IF(INDEX(指数走势!$F$33:$ACK$33,1,LOOKUP(2,1/(指数走势!$F$33:$ACK$33&lt;&gt;""),COLUMN(指数走势!$F$33:$ACK$33))-COLUMN(指数走势!$F$33)+1-760+514)=0,NA(),INDEX(指数走势!$F$33:$ACK$33,1,LOOKUP(2,1/(指数走势!$F$33:$ACK$33&lt;&gt;""),COLUMN(指数走势!$F$33:$ACK$33))-COLUMN(指数走势!$F$33)+1-760+514)))</f>
        <v>15.0136003494263</v>
      </c>
      <c r="SV97">
        <f ca="1">IF(ISERROR(INDEX(指数走势!$F$33:$ACK$33,1,LOOKUP(2,1/(指数走势!$F$33:$ACK$33&lt;&gt;""),COLUMN(指数走势!$F$33:$ACK$33))-COLUMN(指数走势!$F$33)+1-760+515)),NA(),IF(INDEX(指数走势!$F$33:$ACK$33,1,LOOKUP(2,1/(指数走势!$F$33:$ACK$33&lt;&gt;""),COLUMN(指数走势!$F$33:$ACK$33))-COLUMN(指数走势!$F$33)+1-760+515)=0,NA(),INDEX(指数走势!$F$33:$ACK$33,1,LOOKUP(2,1/(指数走势!$F$33:$ACK$33&lt;&gt;""),COLUMN(指数走势!$F$33:$ACK$33))-COLUMN(指数走势!$F$33)+1-760+515)))</f>
        <v>15.0893001556396</v>
      </c>
      <c r="SW97">
        <f ca="1">IF(ISERROR(INDEX(指数走势!$F$33:$ACK$33,1,LOOKUP(2,1/(指数走势!$F$33:$ACK$33&lt;&gt;""),COLUMN(指数走势!$F$33:$ACK$33))-COLUMN(指数走势!$F$33)+1-760+516)),NA(),IF(INDEX(指数走势!$F$33:$ACK$33,1,LOOKUP(2,1/(指数走势!$F$33:$ACK$33&lt;&gt;""),COLUMN(指数走势!$F$33:$ACK$33))-COLUMN(指数走势!$F$33)+1-760+516)=0,NA(),INDEX(指数走势!$F$33:$ACK$33,1,LOOKUP(2,1/(指数走势!$F$33:$ACK$33&lt;&gt;""),COLUMN(指数走势!$F$33:$ACK$33))-COLUMN(指数走势!$F$33)+1-760+516)))</f>
        <v>15.0790004730225</v>
      </c>
      <c r="SX97">
        <f ca="1">IF(ISERROR(INDEX(指数走势!$F$33:$ACK$33,1,LOOKUP(2,1/(指数走势!$F$33:$ACK$33&lt;&gt;""),COLUMN(指数走势!$F$33:$ACK$33))-COLUMN(指数走势!$F$33)+1-760+517)),NA(),IF(INDEX(指数走势!$F$33:$ACK$33,1,LOOKUP(2,1/(指数走势!$F$33:$ACK$33&lt;&gt;""),COLUMN(指数走势!$F$33:$ACK$33))-COLUMN(指数走势!$F$33)+1-760+517)=0,NA(),INDEX(指数走势!$F$33:$ACK$33,1,LOOKUP(2,1/(指数走势!$F$33:$ACK$33&lt;&gt;""),COLUMN(指数走势!$F$33:$ACK$33))-COLUMN(指数走势!$F$33)+1-760+517)))</f>
        <v>15.0930004119873</v>
      </c>
      <c r="SY97">
        <f ca="1">IF(ISERROR(INDEX(指数走势!$F$33:$ACK$33,1,LOOKUP(2,1/(指数走势!$F$33:$ACK$33&lt;&gt;""),COLUMN(指数走势!$F$33:$ACK$33))-COLUMN(指数走势!$F$33)+1-760+518)),NA(),IF(INDEX(指数走势!$F$33:$ACK$33,1,LOOKUP(2,1/(指数走势!$F$33:$ACK$33&lt;&gt;""),COLUMN(指数走势!$F$33:$ACK$33))-COLUMN(指数走势!$F$33)+1-760+518)=0,NA(),INDEX(指数走势!$F$33:$ACK$33,1,LOOKUP(2,1/(指数走势!$F$33:$ACK$33&lt;&gt;""),COLUMN(指数走势!$F$33:$ACK$33))-COLUMN(指数走势!$F$33)+1-760+518)))</f>
        <v>15.152099609375</v>
      </c>
      <c r="SZ97">
        <f ca="1">IF(ISERROR(INDEX(指数走势!$F$33:$ACK$33,1,LOOKUP(2,1/(指数走势!$F$33:$ACK$33&lt;&gt;""),COLUMN(指数走势!$F$33:$ACK$33))-COLUMN(指数走势!$F$33)+1-760+519)),NA(),IF(INDEX(指数走势!$F$33:$ACK$33,1,LOOKUP(2,1/(指数走势!$F$33:$ACK$33&lt;&gt;""),COLUMN(指数走势!$F$33:$ACK$33))-COLUMN(指数走势!$F$33)+1-760+519)=0,NA(),INDEX(指数走势!$F$33:$ACK$33,1,LOOKUP(2,1/(指数走势!$F$33:$ACK$33&lt;&gt;""),COLUMN(指数走势!$F$33:$ACK$33))-COLUMN(指数走势!$F$33)+1-760+519)))</f>
        <v>15.1478996276855</v>
      </c>
      <c r="TA97">
        <f ca="1">IF(ISERROR(INDEX(指数走势!$F$33:$ACK$33,1,LOOKUP(2,1/(指数走势!$F$33:$ACK$33&lt;&gt;""),COLUMN(指数走势!$F$33:$ACK$33))-COLUMN(指数走势!$F$33)+1-760+520)),NA(),IF(INDEX(指数走势!$F$33:$ACK$33,1,LOOKUP(2,1/(指数走势!$F$33:$ACK$33&lt;&gt;""),COLUMN(指数走势!$F$33:$ACK$33))-COLUMN(指数走势!$F$33)+1-760+520)=0,NA(),INDEX(指数走势!$F$33:$ACK$33,1,LOOKUP(2,1/(指数走势!$F$33:$ACK$33&lt;&gt;""),COLUMN(指数走势!$F$33:$ACK$33))-COLUMN(指数走势!$F$33)+1-760+520)))</f>
        <v>15.2378997802734</v>
      </c>
      <c r="TB97">
        <f ca="1">IF(ISERROR(INDEX(指数走势!$F$33:$ACK$33,1,LOOKUP(2,1/(指数走势!$F$33:$ACK$33&lt;&gt;""),COLUMN(指数走势!$F$33:$ACK$33))-COLUMN(指数走势!$F$33)+1-760+521)),NA(),IF(INDEX(指数走势!$F$33:$ACK$33,1,LOOKUP(2,1/(指数走势!$F$33:$ACK$33&lt;&gt;""),COLUMN(指数走势!$F$33:$ACK$33))-COLUMN(指数走势!$F$33)+1-760+521)=0,NA(),INDEX(指数走势!$F$33:$ACK$33,1,LOOKUP(2,1/(指数走势!$F$33:$ACK$33&lt;&gt;""),COLUMN(指数走势!$F$33:$ACK$33))-COLUMN(指数走势!$F$33)+1-760+521)))</f>
        <v>15.2329998016357</v>
      </c>
      <c r="TC97">
        <f ca="1">IF(ISERROR(INDEX(指数走势!$F$33:$ACK$33,1,LOOKUP(2,1/(指数走势!$F$33:$ACK$33&lt;&gt;""),COLUMN(指数走势!$F$33:$ACK$33))-COLUMN(指数走势!$F$33)+1-760+522)),NA(),IF(INDEX(指数走势!$F$33:$ACK$33,1,LOOKUP(2,1/(指数走势!$F$33:$ACK$33&lt;&gt;""),COLUMN(指数走势!$F$33:$ACK$33))-COLUMN(指数走势!$F$33)+1-760+522)=0,NA(),INDEX(指数走势!$F$33:$ACK$33,1,LOOKUP(2,1/(指数走势!$F$33:$ACK$33&lt;&gt;""),COLUMN(指数走势!$F$33:$ACK$33))-COLUMN(指数走势!$F$33)+1-760+522)))</f>
        <v>15.3118000030518</v>
      </c>
      <c r="TD97">
        <f ca="1">IF(ISERROR(INDEX(指数走势!$F$33:$ACK$33,1,LOOKUP(2,1/(指数走势!$F$33:$ACK$33&lt;&gt;""),COLUMN(指数走势!$F$33:$ACK$33))-COLUMN(指数走势!$F$33)+1-760+523)),NA(),IF(INDEX(指数走势!$F$33:$ACK$33,1,LOOKUP(2,1/(指数走势!$F$33:$ACK$33&lt;&gt;""),COLUMN(指数走势!$F$33:$ACK$33))-COLUMN(指数走势!$F$33)+1-760+523)=0,NA(),INDEX(指数走势!$F$33:$ACK$33,1,LOOKUP(2,1/(指数走势!$F$33:$ACK$33&lt;&gt;""),COLUMN(指数走势!$F$33:$ACK$33))-COLUMN(指数走势!$F$33)+1-760+523)))</f>
        <v>15.2974004745483</v>
      </c>
      <c r="TE97">
        <f ca="1">IF(ISERROR(INDEX(指数走势!$F$33:$ACK$33,1,LOOKUP(2,1/(指数走势!$F$33:$ACK$33&lt;&gt;""),COLUMN(指数走势!$F$33:$ACK$33))-COLUMN(指数走势!$F$33)+1-760+524)),NA(),IF(INDEX(指数走势!$F$33:$ACK$33,1,LOOKUP(2,1/(指数走势!$F$33:$ACK$33&lt;&gt;""),COLUMN(指数走势!$F$33:$ACK$33))-COLUMN(指数走势!$F$33)+1-760+524)=0,NA(),INDEX(指数走势!$F$33:$ACK$33,1,LOOKUP(2,1/(指数走势!$F$33:$ACK$33&lt;&gt;""),COLUMN(指数走势!$F$33:$ACK$33))-COLUMN(指数走势!$F$33)+1-760+524)))</f>
        <v>15.3354997634888</v>
      </c>
      <c r="TF97">
        <f ca="1">IF(ISERROR(INDEX(指数走势!$F$33:$ACK$33,1,LOOKUP(2,1/(指数走势!$F$33:$ACK$33&lt;&gt;""),COLUMN(指数走势!$F$33:$ACK$33))-COLUMN(指数走势!$F$33)+1-760+525)),NA(),IF(INDEX(指数走势!$F$33:$ACK$33,1,LOOKUP(2,1/(指数走势!$F$33:$ACK$33&lt;&gt;""),COLUMN(指数走势!$F$33:$ACK$33))-COLUMN(指数走势!$F$33)+1-760+525)=0,NA(),INDEX(指数走势!$F$33:$ACK$33,1,LOOKUP(2,1/(指数走势!$F$33:$ACK$33&lt;&gt;""),COLUMN(指数走势!$F$33:$ACK$33))-COLUMN(指数走势!$F$33)+1-760+525)))</f>
        <v>15.2882995605469</v>
      </c>
      <c r="TG97">
        <f ca="1">IF(ISERROR(INDEX(指数走势!$F$33:$ACK$33,1,LOOKUP(2,1/(指数走势!$F$33:$ACK$33&lt;&gt;""),COLUMN(指数走势!$F$33:$ACK$33))-COLUMN(指数走势!$F$33)+1-760+526)),NA(),IF(INDEX(指数走势!$F$33:$ACK$33,1,LOOKUP(2,1/(指数走势!$F$33:$ACK$33&lt;&gt;""),COLUMN(指数走势!$F$33:$ACK$33))-COLUMN(指数走势!$F$33)+1-760+526)=0,NA(),INDEX(指数走势!$F$33:$ACK$33,1,LOOKUP(2,1/(指数走势!$F$33:$ACK$33&lt;&gt;""),COLUMN(指数走势!$F$33:$ACK$33))-COLUMN(指数走势!$F$33)+1-760+526)))</f>
        <v>15.2818002700806</v>
      </c>
      <c r="TH97">
        <f ca="1">IF(ISERROR(INDEX(指数走势!$F$33:$ACK$33,1,LOOKUP(2,1/(指数走势!$F$33:$ACK$33&lt;&gt;""),COLUMN(指数走势!$F$33:$ACK$33))-COLUMN(指数走势!$F$33)+1-760+527)),NA(),IF(INDEX(指数走势!$F$33:$ACK$33,1,LOOKUP(2,1/(指数走势!$F$33:$ACK$33&lt;&gt;""),COLUMN(指数走势!$F$33:$ACK$33))-COLUMN(指数走势!$F$33)+1-760+527)=0,NA(),INDEX(指数走势!$F$33:$ACK$33,1,LOOKUP(2,1/(指数走势!$F$33:$ACK$33&lt;&gt;""),COLUMN(指数走势!$F$33:$ACK$33))-COLUMN(指数走势!$F$33)+1-760+527)))</f>
        <v>15.3219003677368</v>
      </c>
      <c r="TI97">
        <f ca="1">IF(ISERROR(INDEX(指数走势!$F$33:$ACK$33,1,LOOKUP(2,1/(指数走势!$F$33:$ACK$33&lt;&gt;""),COLUMN(指数走势!$F$33:$ACK$33))-COLUMN(指数走势!$F$33)+1-760+528)),NA(),IF(INDEX(指数走势!$F$33:$ACK$33,1,LOOKUP(2,1/(指数走势!$F$33:$ACK$33&lt;&gt;""),COLUMN(指数走势!$F$33:$ACK$33))-COLUMN(指数走势!$F$33)+1-760+528)=0,NA(),INDEX(指数走势!$F$33:$ACK$33,1,LOOKUP(2,1/(指数走势!$F$33:$ACK$33&lt;&gt;""),COLUMN(指数走势!$F$33:$ACK$33))-COLUMN(指数走势!$F$33)+1-760+528)))</f>
        <v>15.3900995254517</v>
      </c>
      <c r="TJ97">
        <f ca="1">IF(ISERROR(INDEX(指数走势!$F$33:$ACK$33,1,LOOKUP(2,1/(指数走势!$F$33:$ACK$33&lt;&gt;""),COLUMN(指数走势!$F$33:$ACK$33))-COLUMN(指数走势!$F$33)+1-760+529)),NA(),IF(INDEX(指数走势!$F$33:$ACK$33,1,LOOKUP(2,1/(指数走势!$F$33:$ACK$33&lt;&gt;""),COLUMN(指数走势!$F$33:$ACK$33))-COLUMN(指数走势!$F$33)+1-760+529)=0,NA(),INDEX(指数走势!$F$33:$ACK$33,1,LOOKUP(2,1/(指数走势!$F$33:$ACK$33&lt;&gt;""),COLUMN(指数走势!$F$33:$ACK$33))-COLUMN(指数走势!$F$33)+1-760+529)))</f>
        <v>15.4750003814697</v>
      </c>
      <c r="TK97">
        <f ca="1">IF(ISERROR(INDEX(指数走势!$F$33:$ACK$33,1,LOOKUP(2,1/(指数走势!$F$33:$ACK$33&lt;&gt;""),COLUMN(指数走势!$F$33:$ACK$33))-COLUMN(指数走势!$F$33)+1-760+530)),NA(),IF(INDEX(指数走势!$F$33:$ACK$33,1,LOOKUP(2,1/(指数走势!$F$33:$ACK$33&lt;&gt;""),COLUMN(指数走势!$F$33:$ACK$33))-COLUMN(指数走势!$F$33)+1-760+530)=0,NA(),INDEX(指数走势!$F$33:$ACK$33,1,LOOKUP(2,1/(指数走势!$F$33:$ACK$33&lt;&gt;""),COLUMN(指数走势!$F$33:$ACK$33))-COLUMN(指数走势!$F$33)+1-760+530)))</f>
        <v>15.5532999038696</v>
      </c>
      <c r="TL97">
        <f ca="1">IF(ISERROR(INDEX(指数走势!$F$33:$ACK$33,1,LOOKUP(2,1/(指数走势!$F$33:$ACK$33&lt;&gt;""),COLUMN(指数走势!$F$33:$ACK$33))-COLUMN(指数走势!$F$33)+1-760+531)),NA(),IF(INDEX(指数走势!$F$33:$ACK$33,1,LOOKUP(2,1/(指数走势!$F$33:$ACK$33&lt;&gt;""),COLUMN(指数走势!$F$33:$ACK$33))-COLUMN(指数走势!$F$33)+1-760+531)=0,NA(),INDEX(指数走势!$F$33:$ACK$33,1,LOOKUP(2,1/(指数走势!$F$33:$ACK$33&lt;&gt;""),COLUMN(指数走势!$F$33:$ACK$33))-COLUMN(指数走势!$F$33)+1-760+531)))</f>
        <v>15.5635995864868</v>
      </c>
      <c r="TM97">
        <f ca="1">IF(ISERROR(INDEX(指数走势!$F$33:$ACK$33,1,LOOKUP(2,1/(指数走势!$F$33:$ACK$33&lt;&gt;""),COLUMN(指数走势!$F$33:$ACK$33))-COLUMN(指数走势!$F$33)+1-760+532)),NA(),IF(INDEX(指数走势!$F$33:$ACK$33,1,LOOKUP(2,1/(指数走势!$F$33:$ACK$33&lt;&gt;""),COLUMN(指数走势!$F$33:$ACK$33))-COLUMN(指数走势!$F$33)+1-760+532)=0,NA(),INDEX(指数走势!$F$33:$ACK$33,1,LOOKUP(2,1/(指数走势!$F$33:$ACK$33&lt;&gt;""),COLUMN(指数走势!$F$33:$ACK$33))-COLUMN(指数走势!$F$33)+1-760+532)))</f>
        <v>15.6414003372192</v>
      </c>
      <c r="TN97">
        <f ca="1">IF(ISERROR(INDEX(指数走势!$F$33:$ACK$33,1,LOOKUP(2,1/(指数走势!$F$33:$ACK$33&lt;&gt;""),COLUMN(指数走势!$F$33:$ACK$33))-COLUMN(指数走势!$F$33)+1-760+533)),NA(),IF(INDEX(指数走势!$F$33:$ACK$33,1,LOOKUP(2,1/(指数走势!$F$33:$ACK$33&lt;&gt;""),COLUMN(指数走势!$F$33:$ACK$33))-COLUMN(指数走势!$F$33)+1-760+533)=0,NA(),INDEX(指数走势!$F$33:$ACK$33,1,LOOKUP(2,1/(指数走势!$F$33:$ACK$33&lt;&gt;""),COLUMN(指数走势!$F$33:$ACK$33))-COLUMN(指数走势!$F$33)+1-760+533)))</f>
        <v>15.5836000442505</v>
      </c>
      <c r="TO97">
        <f ca="1">IF(ISERROR(INDEX(指数走势!$F$33:$ACK$33,1,LOOKUP(2,1/(指数走势!$F$33:$ACK$33&lt;&gt;""),COLUMN(指数走势!$F$33:$ACK$33))-COLUMN(指数走势!$F$33)+1-760+534)),NA(),IF(INDEX(指数走势!$F$33:$ACK$33,1,LOOKUP(2,1/(指数走势!$F$33:$ACK$33&lt;&gt;""),COLUMN(指数走势!$F$33:$ACK$33))-COLUMN(指数走势!$F$33)+1-760+534)=0,NA(),INDEX(指数走势!$F$33:$ACK$33,1,LOOKUP(2,1/(指数走势!$F$33:$ACK$33&lt;&gt;""),COLUMN(指数走势!$F$33:$ACK$33))-COLUMN(指数走势!$F$33)+1-760+534)))</f>
        <v>15.5972995758057</v>
      </c>
      <c r="TP97">
        <f ca="1">IF(ISERROR(INDEX(指数走势!$F$33:$ACK$33,1,LOOKUP(2,1/(指数走势!$F$33:$ACK$33&lt;&gt;""),COLUMN(指数走势!$F$33:$ACK$33))-COLUMN(指数走势!$F$33)+1-760+535)),NA(),IF(INDEX(指数走势!$F$33:$ACK$33,1,LOOKUP(2,1/(指数走势!$F$33:$ACK$33&lt;&gt;""),COLUMN(指数走势!$F$33:$ACK$33))-COLUMN(指数走势!$F$33)+1-760+535)=0,NA(),INDEX(指数走势!$F$33:$ACK$33,1,LOOKUP(2,1/(指数走势!$F$33:$ACK$33&lt;&gt;""),COLUMN(指数走势!$F$33:$ACK$33))-COLUMN(指数走势!$F$33)+1-760+535)))</f>
        <v>15.631799697876</v>
      </c>
      <c r="TQ97">
        <f ca="1">IF(ISERROR(INDEX(指数走势!$F$33:$ACK$33,1,LOOKUP(2,1/(指数走势!$F$33:$ACK$33&lt;&gt;""),COLUMN(指数走势!$F$33:$ACK$33))-COLUMN(指数走势!$F$33)+1-760+536)),NA(),IF(INDEX(指数走势!$F$33:$ACK$33,1,LOOKUP(2,1/(指数走势!$F$33:$ACK$33&lt;&gt;""),COLUMN(指数走势!$F$33:$ACK$33))-COLUMN(指数走势!$F$33)+1-760+536)=0,NA(),INDEX(指数走势!$F$33:$ACK$33,1,LOOKUP(2,1/(指数走势!$F$33:$ACK$33&lt;&gt;""),COLUMN(指数走势!$F$33:$ACK$33))-COLUMN(指数走势!$F$33)+1-760+536)))</f>
        <v>15.6679000854492</v>
      </c>
      <c r="TR97">
        <f ca="1">IF(ISERROR(INDEX(指数走势!$F$33:$ACK$33,1,LOOKUP(2,1/(指数走势!$F$33:$ACK$33&lt;&gt;""),COLUMN(指数走势!$F$33:$ACK$33))-COLUMN(指数走势!$F$33)+1-760+537)),NA(),IF(INDEX(指数走势!$F$33:$ACK$33,1,LOOKUP(2,1/(指数走势!$F$33:$ACK$33&lt;&gt;""),COLUMN(指数走势!$F$33:$ACK$33))-COLUMN(指数走势!$F$33)+1-760+537)=0,NA(),INDEX(指数走势!$F$33:$ACK$33,1,LOOKUP(2,1/(指数走势!$F$33:$ACK$33&lt;&gt;""),COLUMN(指数走势!$F$33:$ACK$33))-COLUMN(指数走势!$F$33)+1-760+537)))</f>
        <v>15.479100227356</v>
      </c>
      <c r="TS97">
        <f ca="1">IF(ISERROR(INDEX(指数走势!$F$33:$ACK$33,1,LOOKUP(2,1/(指数走势!$F$33:$ACK$33&lt;&gt;""),COLUMN(指数走势!$F$33:$ACK$33))-COLUMN(指数走势!$F$33)+1-760+538)),NA(),IF(INDEX(指数走势!$F$33:$ACK$33,1,LOOKUP(2,1/(指数走势!$F$33:$ACK$33&lt;&gt;""),COLUMN(指数走势!$F$33:$ACK$33))-COLUMN(指数走势!$F$33)+1-760+538)=0,NA(),INDEX(指数走势!$F$33:$ACK$33,1,LOOKUP(2,1/(指数走势!$F$33:$ACK$33&lt;&gt;""),COLUMN(指数走势!$F$33:$ACK$33))-COLUMN(指数走势!$F$33)+1-760+538)))</f>
        <v>15.4188995361328</v>
      </c>
      <c r="TT97">
        <f ca="1">IF(ISERROR(INDEX(指数走势!$F$33:$ACK$33,1,LOOKUP(2,1/(指数走势!$F$33:$ACK$33&lt;&gt;""),COLUMN(指数走势!$F$33:$ACK$33))-COLUMN(指数走势!$F$33)+1-760+539)),NA(),IF(INDEX(指数走势!$F$33:$ACK$33,1,LOOKUP(2,1/(指数走势!$F$33:$ACK$33&lt;&gt;""),COLUMN(指数走势!$F$33:$ACK$33))-COLUMN(指数走势!$F$33)+1-760+539)=0,NA(),INDEX(指数走势!$F$33:$ACK$33,1,LOOKUP(2,1/(指数走势!$F$33:$ACK$33&lt;&gt;""),COLUMN(指数走势!$F$33:$ACK$33))-COLUMN(指数走势!$F$33)+1-760+539)))</f>
        <v>15.5206003189087</v>
      </c>
      <c r="TU97">
        <f ca="1">IF(ISERROR(INDEX(指数走势!$F$33:$ACK$33,1,LOOKUP(2,1/(指数走势!$F$33:$ACK$33&lt;&gt;""),COLUMN(指数走势!$F$33:$ACK$33))-COLUMN(指数走势!$F$33)+1-760+540)),NA(),IF(INDEX(指数走势!$F$33:$ACK$33,1,LOOKUP(2,1/(指数走势!$F$33:$ACK$33&lt;&gt;""),COLUMN(指数走势!$F$33:$ACK$33))-COLUMN(指数走势!$F$33)+1-760+540)=0,NA(),INDEX(指数走势!$F$33:$ACK$33,1,LOOKUP(2,1/(指数走势!$F$33:$ACK$33&lt;&gt;""),COLUMN(指数走势!$F$33:$ACK$33))-COLUMN(指数走势!$F$33)+1-760+540)))</f>
        <v>15.6688003540039</v>
      </c>
      <c r="TV97">
        <f ca="1">IF(ISERROR(INDEX(指数走势!$F$33:$ACK$33,1,LOOKUP(2,1/(指数走势!$F$33:$ACK$33&lt;&gt;""),COLUMN(指数走势!$F$33:$ACK$33))-COLUMN(指数走势!$F$33)+1-760+541)),NA(),IF(INDEX(指数走势!$F$33:$ACK$33,1,LOOKUP(2,1/(指数走势!$F$33:$ACK$33&lt;&gt;""),COLUMN(指数走势!$F$33:$ACK$33))-COLUMN(指数走势!$F$33)+1-760+541)=0,NA(),INDEX(指数走势!$F$33:$ACK$33,1,LOOKUP(2,1/(指数走势!$F$33:$ACK$33&lt;&gt;""),COLUMN(指数走势!$F$33:$ACK$33))-COLUMN(指数走势!$F$33)+1-760+541)))</f>
        <v>15.7230997085571</v>
      </c>
      <c r="TW97">
        <f ca="1">IF(ISERROR(INDEX(指数走势!$F$33:$ACK$33,1,LOOKUP(2,1/(指数走势!$F$33:$ACK$33&lt;&gt;""),COLUMN(指数走势!$F$33:$ACK$33))-COLUMN(指数走势!$F$33)+1-760+542)),NA(),IF(INDEX(指数走势!$F$33:$ACK$33,1,LOOKUP(2,1/(指数走势!$F$33:$ACK$33&lt;&gt;""),COLUMN(指数走势!$F$33:$ACK$33))-COLUMN(指数走势!$F$33)+1-760+542)=0,NA(),INDEX(指数走势!$F$33:$ACK$33,1,LOOKUP(2,1/(指数走势!$F$33:$ACK$33&lt;&gt;""),COLUMN(指数走势!$F$33:$ACK$33))-COLUMN(指数走势!$F$33)+1-760+542)))</f>
        <v>15.7242002487183</v>
      </c>
      <c r="TX97">
        <f ca="1">IF(ISERROR(INDEX(指数走势!$F$33:$ACK$33,1,LOOKUP(2,1/(指数走势!$F$33:$ACK$33&lt;&gt;""),COLUMN(指数走势!$F$33:$ACK$33))-COLUMN(指数走势!$F$33)+1-760+543)),NA(),IF(INDEX(指数走势!$F$33:$ACK$33,1,LOOKUP(2,1/(指数走势!$F$33:$ACK$33&lt;&gt;""),COLUMN(指数走势!$F$33:$ACK$33))-COLUMN(指数走势!$F$33)+1-760+543)=0,NA(),INDEX(指数走势!$F$33:$ACK$33,1,LOOKUP(2,1/(指数走势!$F$33:$ACK$33&lt;&gt;""),COLUMN(指数走势!$F$33:$ACK$33))-COLUMN(指数走势!$F$33)+1-760+543)))</f>
        <v>15.6876001358032</v>
      </c>
      <c r="TY97">
        <f ca="1">IF(ISERROR(INDEX(指数走势!$F$33:$ACK$33,1,LOOKUP(2,1/(指数走势!$F$33:$ACK$33&lt;&gt;""),COLUMN(指数走势!$F$33:$ACK$33))-COLUMN(指数走势!$F$33)+1-760+544)),NA(),IF(INDEX(指数走势!$F$33:$ACK$33,1,LOOKUP(2,1/(指数走势!$F$33:$ACK$33&lt;&gt;""),COLUMN(指数走势!$F$33:$ACK$33))-COLUMN(指数走势!$F$33)+1-760+544)=0,NA(),INDEX(指数走势!$F$33:$ACK$33,1,LOOKUP(2,1/(指数走势!$F$33:$ACK$33&lt;&gt;""),COLUMN(指数走势!$F$33:$ACK$33))-COLUMN(指数走势!$F$33)+1-760+544)))</f>
        <v>15.7047996520996</v>
      </c>
      <c r="TZ97">
        <f ca="1">IF(ISERROR(INDEX(指数走势!$F$33:$ACK$33,1,LOOKUP(2,1/(指数走势!$F$33:$ACK$33&lt;&gt;""),COLUMN(指数走势!$F$33:$ACK$33))-COLUMN(指数走势!$F$33)+1-760+545)),NA(),IF(INDEX(指数走势!$F$33:$ACK$33,1,LOOKUP(2,1/(指数走势!$F$33:$ACK$33&lt;&gt;""),COLUMN(指数走势!$F$33:$ACK$33))-COLUMN(指数走势!$F$33)+1-760+545)=0,NA(),INDEX(指数走势!$F$33:$ACK$33,1,LOOKUP(2,1/(指数走势!$F$33:$ACK$33&lt;&gt;""),COLUMN(指数走势!$F$33:$ACK$33))-COLUMN(指数走势!$F$33)+1-760+545)))</f>
        <v>15.7881002426147</v>
      </c>
      <c r="UA97">
        <f ca="1">IF(ISERROR(INDEX(指数走势!$F$33:$ACK$33,1,LOOKUP(2,1/(指数走势!$F$33:$ACK$33&lt;&gt;""),COLUMN(指数走势!$F$33:$ACK$33))-COLUMN(指数走势!$F$33)+1-760+546)),NA(),IF(INDEX(指数走势!$F$33:$ACK$33,1,LOOKUP(2,1/(指数走势!$F$33:$ACK$33&lt;&gt;""),COLUMN(指数走势!$F$33:$ACK$33))-COLUMN(指数走势!$F$33)+1-760+546)=0,NA(),INDEX(指数走势!$F$33:$ACK$33,1,LOOKUP(2,1/(指数走势!$F$33:$ACK$33&lt;&gt;""),COLUMN(指数走势!$F$33:$ACK$33))-COLUMN(指数走势!$F$33)+1-760+546)))</f>
        <v>15.8362998962402</v>
      </c>
      <c r="UB97">
        <f ca="1">IF(ISERROR(INDEX(指数走势!$F$33:$ACK$33,1,LOOKUP(2,1/(指数走势!$F$33:$ACK$33&lt;&gt;""),COLUMN(指数走势!$F$33:$ACK$33))-COLUMN(指数走势!$F$33)+1-760+547)),NA(),IF(INDEX(指数走势!$F$33:$ACK$33,1,LOOKUP(2,1/(指数走势!$F$33:$ACK$33&lt;&gt;""),COLUMN(指数走势!$F$33:$ACK$33))-COLUMN(指数走势!$F$33)+1-760+547)=0,NA(),INDEX(指数走势!$F$33:$ACK$33,1,LOOKUP(2,1/(指数走势!$F$33:$ACK$33&lt;&gt;""),COLUMN(指数走势!$F$33:$ACK$33))-COLUMN(指数走势!$F$33)+1-760+547)))</f>
        <v>15.7771997451782</v>
      </c>
      <c r="UC97">
        <f ca="1">IF(ISERROR(INDEX(指数走势!$F$33:$ACK$33,1,LOOKUP(2,1/(指数走势!$F$33:$ACK$33&lt;&gt;""),COLUMN(指数走势!$F$33:$ACK$33))-COLUMN(指数走势!$F$33)+1-760+548)),NA(),IF(INDEX(指数走势!$F$33:$ACK$33,1,LOOKUP(2,1/(指数走势!$F$33:$ACK$33&lt;&gt;""),COLUMN(指数走势!$F$33:$ACK$33))-COLUMN(指数走势!$F$33)+1-760+548)=0,NA(),INDEX(指数走势!$F$33:$ACK$33,1,LOOKUP(2,1/(指数走势!$F$33:$ACK$33&lt;&gt;""),COLUMN(指数走势!$F$33:$ACK$33))-COLUMN(指数走势!$F$33)+1-760+548)))</f>
        <v>15.8767995834351</v>
      </c>
      <c r="UD97">
        <f ca="1">IF(ISERROR(INDEX(指数走势!$F$33:$ACK$33,1,LOOKUP(2,1/(指数走势!$F$33:$ACK$33&lt;&gt;""),COLUMN(指数走势!$F$33:$ACK$33))-COLUMN(指数走势!$F$33)+1-760+549)),NA(),IF(INDEX(指数走势!$F$33:$ACK$33,1,LOOKUP(2,1/(指数走势!$F$33:$ACK$33&lt;&gt;""),COLUMN(指数走势!$F$33:$ACK$33))-COLUMN(指数走势!$F$33)+1-760+549)=0,NA(),INDEX(指数走势!$F$33:$ACK$33,1,LOOKUP(2,1/(指数走势!$F$33:$ACK$33&lt;&gt;""),COLUMN(指数走势!$F$33:$ACK$33))-COLUMN(指数走势!$F$33)+1-760+549)))</f>
        <v>15.9839000701904</v>
      </c>
      <c r="UE97">
        <f ca="1">IF(ISERROR(INDEX(指数走势!$F$33:$ACK$33,1,LOOKUP(2,1/(指数走势!$F$33:$ACK$33&lt;&gt;""),COLUMN(指数走势!$F$33:$ACK$33))-COLUMN(指数走势!$F$33)+1-760+550)),NA(),IF(INDEX(指数走势!$F$33:$ACK$33,1,LOOKUP(2,1/(指数走势!$F$33:$ACK$33&lt;&gt;""),COLUMN(指数走势!$F$33:$ACK$33))-COLUMN(指数走势!$F$33)+1-760+550)=0,NA(),INDEX(指数走势!$F$33:$ACK$33,1,LOOKUP(2,1/(指数走势!$F$33:$ACK$33&lt;&gt;""),COLUMN(指数走势!$F$33:$ACK$33))-COLUMN(指数走势!$F$33)+1-760+550)))</f>
        <v>15.972900390625</v>
      </c>
      <c r="UF97">
        <f ca="1">IF(ISERROR(INDEX(指数走势!$F$33:$ACK$33,1,LOOKUP(2,1/(指数走势!$F$33:$ACK$33&lt;&gt;""),COLUMN(指数走势!$F$33:$ACK$33))-COLUMN(指数走势!$F$33)+1-760+551)),NA(),IF(INDEX(指数走势!$F$33:$ACK$33,1,LOOKUP(2,1/(指数走势!$F$33:$ACK$33&lt;&gt;""),COLUMN(指数走势!$F$33:$ACK$33))-COLUMN(指数走势!$F$33)+1-760+551)=0,NA(),INDEX(指数走势!$F$33:$ACK$33,1,LOOKUP(2,1/(指数走势!$F$33:$ACK$33&lt;&gt;""),COLUMN(指数走势!$F$33:$ACK$33))-COLUMN(指数走势!$F$33)+1-760+551)))</f>
        <v>16.1264991760254</v>
      </c>
      <c r="UG97">
        <f ca="1">IF(ISERROR(INDEX(指数走势!$F$33:$ACK$33,1,LOOKUP(2,1/(指数走势!$F$33:$ACK$33&lt;&gt;""),COLUMN(指数走势!$F$33:$ACK$33))-COLUMN(指数走势!$F$33)+1-760+552)),NA(),IF(INDEX(指数走势!$F$33:$ACK$33,1,LOOKUP(2,1/(指数走势!$F$33:$ACK$33&lt;&gt;""),COLUMN(指数走势!$F$33:$ACK$33))-COLUMN(指数走势!$F$33)+1-760+552)=0,NA(),INDEX(指数走势!$F$33:$ACK$33,1,LOOKUP(2,1/(指数走势!$F$33:$ACK$33&lt;&gt;""),COLUMN(指数走势!$F$33:$ACK$33))-COLUMN(指数走势!$F$33)+1-760+552)))</f>
        <v>16.1606998443604</v>
      </c>
      <c r="UH97">
        <f ca="1">IF(ISERROR(INDEX(指数走势!$F$33:$ACK$33,1,LOOKUP(2,1/(指数走势!$F$33:$ACK$33&lt;&gt;""),COLUMN(指数走势!$F$33:$ACK$33))-COLUMN(指数走势!$F$33)+1-760+553)),NA(),IF(INDEX(指数走势!$F$33:$ACK$33,1,LOOKUP(2,1/(指数走势!$F$33:$ACK$33&lt;&gt;""),COLUMN(指数走势!$F$33:$ACK$33))-COLUMN(指数走势!$F$33)+1-760+553)=0,NA(),INDEX(指数走势!$F$33:$ACK$33,1,LOOKUP(2,1/(指数走势!$F$33:$ACK$33&lt;&gt;""),COLUMN(指数走势!$F$33:$ACK$33))-COLUMN(指数走势!$F$33)+1-760+553)))</f>
        <v>16.4088001251221</v>
      </c>
      <c r="UI97">
        <f ca="1">IF(ISERROR(INDEX(指数走势!$F$33:$ACK$33,1,LOOKUP(2,1/(指数走势!$F$33:$ACK$33&lt;&gt;""),COLUMN(指数走势!$F$33:$ACK$33))-COLUMN(指数走势!$F$33)+1-760+554)),NA(),IF(INDEX(指数走势!$F$33:$ACK$33,1,LOOKUP(2,1/(指数走势!$F$33:$ACK$33&lt;&gt;""),COLUMN(指数走势!$F$33:$ACK$33))-COLUMN(指数走势!$F$33)+1-760+554)=0,NA(),INDEX(指数走势!$F$33:$ACK$33,1,LOOKUP(2,1/(指数走势!$F$33:$ACK$33&lt;&gt;""),COLUMN(指数走势!$F$33:$ACK$33))-COLUMN(指数走势!$F$33)+1-760+554)))</f>
        <v>16.6315994262695</v>
      </c>
      <c r="UJ97">
        <f ca="1">IF(ISERROR(INDEX(指数走势!$F$33:$ACK$33,1,LOOKUP(2,1/(指数走势!$F$33:$ACK$33&lt;&gt;""),COLUMN(指数走势!$F$33:$ACK$33))-COLUMN(指数走势!$F$33)+1-760+555)),NA(),IF(INDEX(指数走势!$F$33:$ACK$33,1,LOOKUP(2,1/(指数走势!$F$33:$ACK$33&lt;&gt;""),COLUMN(指数走势!$F$33:$ACK$33))-COLUMN(指数走势!$F$33)+1-760+555)=0,NA(),INDEX(指数走势!$F$33:$ACK$33,1,LOOKUP(2,1/(指数走势!$F$33:$ACK$33&lt;&gt;""),COLUMN(指数走势!$F$33:$ACK$33))-COLUMN(指数走势!$F$33)+1-760+555)))</f>
        <v>16.5736999511719</v>
      </c>
      <c r="UK97">
        <f ca="1">IF(ISERROR(INDEX(指数走势!$F$33:$ACK$33,1,LOOKUP(2,1/(指数走势!$F$33:$ACK$33&lt;&gt;""),COLUMN(指数走势!$F$33:$ACK$33))-COLUMN(指数走势!$F$33)+1-760+556)),NA(),IF(INDEX(指数走势!$F$33:$ACK$33,1,LOOKUP(2,1/(指数走势!$F$33:$ACK$33&lt;&gt;""),COLUMN(指数走势!$F$33:$ACK$33))-COLUMN(指数走势!$F$33)+1-760+556)=0,NA(),INDEX(指数走势!$F$33:$ACK$33,1,LOOKUP(2,1/(指数走势!$F$33:$ACK$33&lt;&gt;""),COLUMN(指数走势!$F$33:$ACK$33))-COLUMN(指数走势!$F$33)+1-760+556)))</f>
        <v>16.288200378418</v>
      </c>
      <c r="UL97">
        <f ca="1">IF(ISERROR(INDEX(指数走势!$F$33:$ACK$33,1,LOOKUP(2,1/(指数走势!$F$33:$ACK$33&lt;&gt;""),COLUMN(指数走势!$F$33:$ACK$33))-COLUMN(指数走势!$F$33)+1-760+557)),NA(),IF(INDEX(指数走势!$F$33:$ACK$33,1,LOOKUP(2,1/(指数走势!$F$33:$ACK$33&lt;&gt;""),COLUMN(指数走势!$F$33:$ACK$33))-COLUMN(指数走势!$F$33)+1-760+557)=0,NA(),INDEX(指数走势!$F$33:$ACK$33,1,LOOKUP(2,1/(指数走势!$F$33:$ACK$33&lt;&gt;""),COLUMN(指数走势!$F$33:$ACK$33))-COLUMN(指数走势!$F$33)+1-760+557)))</f>
        <v>16.5659008026123</v>
      </c>
      <c r="UM97">
        <f ca="1">IF(ISERROR(INDEX(指数走势!$F$33:$ACK$33,1,LOOKUP(2,1/(指数走势!$F$33:$ACK$33&lt;&gt;""),COLUMN(指数走势!$F$33:$ACK$33))-COLUMN(指数走势!$F$33)+1-760+558)),NA(),IF(INDEX(指数走势!$F$33:$ACK$33,1,LOOKUP(2,1/(指数走势!$F$33:$ACK$33&lt;&gt;""),COLUMN(指数走势!$F$33:$ACK$33))-COLUMN(指数走势!$F$33)+1-760+558)=0,NA(),INDEX(指数走势!$F$33:$ACK$33,1,LOOKUP(2,1/(指数走势!$F$33:$ACK$33&lt;&gt;""),COLUMN(指数走势!$F$33:$ACK$33))-COLUMN(指数走势!$F$33)+1-760+558)))</f>
        <v>16.5610008239746</v>
      </c>
      <c r="UN97">
        <f ca="1">IF(ISERROR(INDEX(指数走势!$F$33:$ACK$33,1,LOOKUP(2,1/(指数走势!$F$33:$ACK$33&lt;&gt;""),COLUMN(指数走势!$F$33:$ACK$33))-COLUMN(指数走势!$F$33)+1-760+559)),NA(),IF(INDEX(指数走势!$F$33:$ACK$33,1,LOOKUP(2,1/(指数走势!$F$33:$ACK$33&lt;&gt;""),COLUMN(指数走势!$F$33:$ACK$33))-COLUMN(指数走势!$F$33)+1-760+559)=0,NA(),INDEX(指数走势!$F$33:$ACK$33,1,LOOKUP(2,1/(指数走势!$F$33:$ACK$33&lt;&gt;""),COLUMN(指数走势!$F$33:$ACK$33))-COLUMN(指数走势!$F$33)+1-760+559)))</f>
        <v>16.5914001464844</v>
      </c>
      <c r="UO97">
        <f ca="1">IF(ISERROR(INDEX(指数走势!$F$33:$ACK$33,1,LOOKUP(2,1/(指数走势!$F$33:$ACK$33&lt;&gt;""),COLUMN(指数走势!$F$33:$ACK$33))-COLUMN(指数走势!$F$33)+1-760+560)),NA(),IF(INDEX(指数走势!$F$33:$ACK$33,1,LOOKUP(2,1/(指数走势!$F$33:$ACK$33&lt;&gt;""),COLUMN(指数走势!$F$33:$ACK$33))-COLUMN(指数走势!$F$33)+1-760+560)=0,NA(),INDEX(指数走势!$F$33:$ACK$33,1,LOOKUP(2,1/(指数走势!$F$33:$ACK$33&lt;&gt;""),COLUMN(指数走势!$F$33:$ACK$33))-COLUMN(指数走势!$F$33)+1-760+560)))</f>
        <v>16.5636005401611</v>
      </c>
      <c r="UP97">
        <f ca="1">IF(ISERROR(INDEX(指数走势!$F$33:$ACK$33,1,LOOKUP(2,1/(指数走势!$F$33:$ACK$33&lt;&gt;""),COLUMN(指数走势!$F$33:$ACK$33))-COLUMN(指数走势!$F$33)+1-760+561)),NA(),IF(INDEX(指数走势!$F$33:$ACK$33,1,LOOKUP(2,1/(指数走势!$F$33:$ACK$33&lt;&gt;""),COLUMN(指数走势!$F$33:$ACK$33))-COLUMN(指数走势!$F$33)+1-760+561)=0,NA(),INDEX(指数走势!$F$33:$ACK$33,1,LOOKUP(2,1/(指数走势!$F$33:$ACK$33&lt;&gt;""),COLUMN(指数走势!$F$33:$ACK$33))-COLUMN(指数走势!$F$33)+1-760+561)))</f>
        <v>16.3812999725342</v>
      </c>
      <c r="UQ97">
        <f ca="1">IF(ISERROR(INDEX(指数走势!$F$33:$ACK$33,1,LOOKUP(2,1/(指数走势!$F$33:$ACK$33&lt;&gt;""),COLUMN(指数走势!$F$33:$ACK$33))-COLUMN(指数走势!$F$33)+1-760+562)),NA(),IF(INDEX(指数走势!$F$33:$ACK$33,1,LOOKUP(2,1/(指数走势!$F$33:$ACK$33&lt;&gt;""),COLUMN(指数走势!$F$33:$ACK$33))-COLUMN(指数走势!$F$33)+1-760+562)=0,NA(),INDEX(指数走势!$F$33:$ACK$33,1,LOOKUP(2,1/(指数走势!$F$33:$ACK$33&lt;&gt;""),COLUMN(指数走势!$F$33:$ACK$33))-COLUMN(指数走势!$F$33)+1-760+562)))</f>
        <v>16.1968002319336</v>
      </c>
      <c r="UR97">
        <f ca="1">IF(ISERROR(INDEX(指数走势!$F$33:$ACK$33,1,LOOKUP(2,1/(指数走势!$F$33:$ACK$33&lt;&gt;""),COLUMN(指数走势!$F$33:$ACK$33))-COLUMN(指数走势!$F$33)+1-760+563)),NA(),IF(INDEX(指数走势!$F$33:$ACK$33,1,LOOKUP(2,1/(指数走势!$F$33:$ACK$33&lt;&gt;""),COLUMN(指数走势!$F$33:$ACK$33))-COLUMN(指数走势!$F$33)+1-760+563)=0,NA(),INDEX(指数走势!$F$33:$ACK$33,1,LOOKUP(2,1/(指数走势!$F$33:$ACK$33&lt;&gt;""),COLUMN(指数走势!$F$33:$ACK$33))-COLUMN(指数走势!$F$33)+1-760+563)))</f>
        <v>16.3428001403809</v>
      </c>
      <c r="US97">
        <f ca="1">IF(ISERROR(INDEX(指数走势!$F$33:$ACK$33,1,LOOKUP(2,1/(指数走势!$F$33:$ACK$33&lt;&gt;""),COLUMN(指数走势!$F$33:$ACK$33))-COLUMN(指数走势!$F$33)+1-760+564)),NA(),IF(INDEX(指数走势!$F$33:$ACK$33,1,LOOKUP(2,1/(指数走势!$F$33:$ACK$33&lt;&gt;""),COLUMN(指数走势!$F$33:$ACK$33))-COLUMN(指数走势!$F$33)+1-760+564)=0,NA(),INDEX(指数走势!$F$33:$ACK$33,1,LOOKUP(2,1/(指数走势!$F$33:$ACK$33&lt;&gt;""),COLUMN(指数走势!$F$33:$ACK$33))-COLUMN(指数走势!$F$33)+1-760+564)))</f>
        <v>16.3976001739502</v>
      </c>
      <c r="UT97">
        <f ca="1">IF(ISERROR(INDEX(指数走势!$F$33:$ACK$33,1,LOOKUP(2,1/(指数走势!$F$33:$ACK$33&lt;&gt;""),COLUMN(指数走势!$F$33:$ACK$33))-COLUMN(指数走势!$F$33)+1-760+565)),NA(),IF(INDEX(指数走势!$F$33:$ACK$33,1,LOOKUP(2,1/(指数走势!$F$33:$ACK$33&lt;&gt;""),COLUMN(指数走势!$F$33:$ACK$33))-COLUMN(指数走势!$F$33)+1-760+565)=0,NA(),INDEX(指数走势!$F$33:$ACK$33,1,LOOKUP(2,1/(指数走势!$F$33:$ACK$33&lt;&gt;""),COLUMN(指数走势!$F$33:$ACK$33))-COLUMN(指数走势!$F$33)+1-760+565)))</f>
        <v>16.3103008270264</v>
      </c>
      <c r="UU97">
        <f ca="1">IF(ISERROR(INDEX(指数走势!$F$33:$ACK$33,1,LOOKUP(2,1/(指数走势!$F$33:$ACK$33&lt;&gt;""),COLUMN(指数走势!$F$33:$ACK$33))-COLUMN(指数走势!$F$33)+1-760+566)),NA(),IF(INDEX(指数走势!$F$33:$ACK$33,1,LOOKUP(2,1/(指数走势!$F$33:$ACK$33&lt;&gt;""),COLUMN(指数走势!$F$33:$ACK$33))-COLUMN(指数走势!$F$33)+1-760+566)=0,NA(),INDEX(指数走势!$F$33:$ACK$33,1,LOOKUP(2,1/(指数走势!$F$33:$ACK$33&lt;&gt;""),COLUMN(指数走势!$F$33:$ACK$33))-COLUMN(指数走势!$F$33)+1-760+566)))</f>
        <v>16.3432006835938</v>
      </c>
      <c r="UV97">
        <f ca="1">IF(ISERROR(INDEX(指数走势!$F$33:$ACK$33,1,LOOKUP(2,1/(指数走势!$F$33:$ACK$33&lt;&gt;""),COLUMN(指数走势!$F$33:$ACK$33))-COLUMN(指数走势!$F$33)+1-760+567)),NA(),IF(INDEX(指数走势!$F$33:$ACK$33,1,LOOKUP(2,1/(指数走势!$F$33:$ACK$33&lt;&gt;""),COLUMN(指数走势!$F$33:$ACK$33))-COLUMN(指数走势!$F$33)+1-760+567)=0,NA(),INDEX(指数走势!$F$33:$ACK$33,1,LOOKUP(2,1/(指数走势!$F$33:$ACK$33&lt;&gt;""),COLUMN(指数走势!$F$33:$ACK$33))-COLUMN(指数走势!$F$33)+1-760+567)))</f>
        <v>16.585599899292</v>
      </c>
      <c r="UW97">
        <f ca="1">IF(ISERROR(INDEX(指数走势!$F$33:$ACK$33,1,LOOKUP(2,1/(指数走势!$F$33:$ACK$33&lt;&gt;""),COLUMN(指数走势!$F$33:$ACK$33))-COLUMN(指数走势!$F$33)+1-760+568)),NA(),IF(INDEX(指数走势!$F$33:$ACK$33,1,LOOKUP(2,1/(指数走势!$F$33:$ACK$33&lt;&gt;""),COLUMN(指数走势!$F$33:$ACK$33))-COLUMN(指数走势!$F$33)+1-760+568)=0,NA(),INDEX(指数走势!$F$33:$ACK$33,1,LOOKUP(2,1/(指数走势!$F$33:$ACK$33&lt;&gt;""),COLUMN(指数走势!$F$33:$ACK$33))-COLUMN(指数走势!$F$33)+1-760+568)))</f>
        <v>16.5834007263184</v>
      </c>
      <c r="UX97">
        <f ca="1">IF(ISERROR(INDEX(指数走势!$F$33:$ACK$33,1,LOOKUP(2,1/(指数走势!$F$33:$ACK$33&lt;&gt;""),COLUMN(指数走势!$F$33:$ACK$33))-COLUMN(指数走势!$F$33)+1-760+569)),NA(),IF(INDEX(指数走势!$F$33:$ACK$33,1,LOOKUP(2,1/(指数走势!$F$33:$ACK$33&lt;&gt;""),COLUMN(指数走势!$F$33:$ACK$33))-COLUMN(指数走势!$F$33)+1-760+569)=0,NA(),INDEX(指数走势!$F$33:$ACK$33,1,LOOKUP(2,1/(指数走势!$F$33:$ACK$33&lt;&gt;""),COLUMN(指数走势!$F$33:$ACK$33))-COLUMN(指数走势!$F$33)+1-760+569)))</f>
        <v>16.5415000915527</v>
      </c>
      <c r="UY97">
        <f ca="1">IF(ISERROR(INDEX(指数走势!$F$33:$ACK$33,1,LOOKUP(2,1/(指数走势!$F$33:$ACK$33&lt;&gt;""),COLUMN(指数走势!$F$33:$ACK$33))-COLUMN(指数走势!$F$33)+1-760+570)),NA(),IF(INDEX(指数走势!$F$33:$ACK$33,1,LOOKUP(2,1/(指数走势!$F$33:$ACK$33&lt;&gt;""),COLUMN(指数走势!$F$33:$ACK$33))-COLUMN(指数走势!$F$33)+1-760+570)=0,NA(),INDEX(指数走势!$F$33:$ACK$33,1,LOOKUP(2,1/(指数走势!$F$33:$ACK$33&lt;&gt;""),COLUMN(指数走势!$F$33:$ACK$33))-COLUMN(指数走势!$F$33)+1-760+570)))</f>
        <v>16.5400009155273</v>
      </c>
      <c r="UZ97">
        <f ca="1">IF(ISERROR(INDEX(指数走势!$F$33:$ACK$33,1,LOOKUP(2,1/(指数走势!$F$33:$ACK$33&lt;&gt;""),COLUMN(指数走势!$F$33:$ACK$33))-COLUMN(指数走势!$F$33)+1-760+571)),NA(),IF(INDEX(指数走势!$F$33:$ACK$33,1,LOOKUP(2,1/(指数走势!$F$33:$ACK$33&lt;&gt;""),COLUMN(指数走势!$F$33:$ACK$33))-COLUMN(指数走势!$F$33)+1-760+571)=0,NA(),INDEX(指数走势!$F$33:$ACK$33,1,LOOKUP(2,1/(指数走势!$F$33:$ACK$33&lt;&gt;""),COLUMN(指数走势!$F$33:$ACK$33))-COLUMN(指数走势!$F$33)+1-760+571)))</f>
        <v>16.6053009033203</v>
      </c>
      <c r="VA97">
        <f ca="1">IF(ISERROR(INDEX(指数走势!$F$33:$ACK$33,1,LOOKUP(2,1/(指数走势!$F$33:$ACK$33&lt;&gt;""),COLUMN(指数走势!$F$33:$ACK$33))-COLUMN(指数走势!$F$33)+1-760+572)),NA(),IF(INDEX(指数走势!$F$33:$ACK$33,1,LOOKUP(2,1/(指数走势!$F$33:$ACK$33&lt;&gt;""),COLUMN(指数走势!$F$33:$ACK$33))-COLUMN(指数走势!$F$33)+1-760+572)=0,NA(),INDEX(指数走势!$F$33:$ACK$33,1,LOOKUP(2,1/(指数走势!$F$33:$ACK$33&lt;&gt;""),COLUMN(指数走势!$F$33:$ACK$33))-COLUMN(指数走势!$F$33)+1-760+572)))</f>
        <v>16.400899887085</v>
      </c>
      <c r="VB97">
        <f ca="1">IF(ISERROR(INDEX(指数走势!$F$33:$ACK$33,1,LOOKUP(2,1/(指数走势!$F$33:$ACK$33&lt;&gt;""),COLUMN(指数走势!$F$33:$ACK$33))-COLUMN(指数走势!$F$33)+1-760+573)),NA(),IF(INDEX(指数走势!$F$33:$ACK$33,1,LOOKUP(2,1/(指数走势!$F$33:$ACK$33&lt;&gt;""),COLUMN(指数走势!$F$33:$ACK$33))-COLUMN(指数走势!$F$33)+1-760+573)=0,NA(),INDEX(指数走势!$F$33:$ACK$33,1,LOOKUP(2,1/(指数走势!$F$33:$ACK$33&lt;&gt;""),COLUMN(指数走势!$F$33:$ACK$33))-COLUMN(指数走势!$F$33)+1-760+573)))</f>
        <v>16.3658008575439</v>
      </c>
      <c r="VC97">
        <f ca="1">IF(ISERROR(INDEX(指数走势!$F$33:$ACK$33,1,LOOKUP(2,1/(指数走势!$F$33:$ACK$33&lt;&gt;""),COLUMN(指数走势!$F$33:$ACK$33))-COLUMN(指数走势!$F$33)+1-760+574)),NA(),IF(INDEX(指数走势!$F$33:$ACK$33,1,LOOKUP(2,1/(指数走势!$F$33:$ACK$33&lt;&gt;""),COLUMN(指数走势!$F$33:$ACK$33))-COLUMN(指数走势!$F$33)+1-760+574)=0,NA(),INDEX(指数走势!$F$33:$ACK$33,1,LOOKUP(2,1/(指数走势!$F$33:$ACK$33&lt;&gt;""),COLUMN(指数走势!$F$33:$ACK$33))-COLUMN(指数走势!$F$33)+1-760+574)))</f>
        <v>16.3827991485596</v>
      </c>
      <c r="VD97">
        <f ca="1">IF(ISERROR(INDEX(指数走势!$F$33:$ACK$33,1,LOOKUP(2,1/(指数走势!$F$33:$ACK$33&lt;&gt;""),COLUMN(指数走势!$F$33:$ACK$33))-COLUMN(指数走势!$F$33)+1-760+575)),NA(),IF(INDEX(指数走势!$F$33:$ACK$33,1,LOOKUP(2,1/(指数走势!$F$33:$ACK$33&lt;&gt;""),COLUMN(指数走势!$F$33:$ACK$33))-COLUMN(指数走势!$F$33)+1-760+575)=0,NA(),INDEX(指数走势!$F$33:$ACK$33,1,LOOKUP(2,1/(指数走势!$F$33:$ACK$33&lt;&gt;""),COLUMN(指数走势!$F$33:$ACK$33))-COLUMN(指数走势!$F$33)+1-760+575)))</f>
        <v>16.3819007873535</v>
      </c>
      <c r="VE97">
        <f ca="1">IF(ISERROR(INDEX(指数走势!$F$33:$ACK$33,1,LOOKUP(2,1/(指数走势!$F$33:$ACK$33&lt;&gt;""),COLUMN(指数走势!$F$33:$ACK$33))-COLUMN(指数走势!$F$33)+1-760+576)),NA(),IF(INDEX(指数走势!$F$33:$ACK$33,1,LOOKUP(2,1/(指数走势!$F$33:$ACK$33&lt;&gt;""),COLUMN(指数走势!$F$33:$ACK$33))-COLUMN(指数走势!$F$33)+1-760+576)=0,NA(),INDEX(指数走势!$F$33:$ACK$33,1,LOOKUP(2,1/(指数走势!$F$33:$ACK$33&lt;&gt;""),COLUMN(指数走势!$F$33:$ACK$33))-COLUMN(指数走势!$F$33)+1-760+576)))</f>
        <v>16.5090999603271</v>
      </c>
      <c r="VF97">
        <f ca="1">IF(ISERROR(INDEX(指数走势!$F$33:$ACK$33,1,LOOKUP(2,1/(指数走势!$F$33:$ACK$33&lt;&gt;""),COLUMN(指数走势!$F$33:$ACK$33))-COLUMN(指数走势!$F$33)+1-760+577)),NA(),IF(INDEX(指数走势!$F$33:$ACK$33,1,LOOKUP(2,1/(指数走势!$F$33:$ACK$33&lt;&gt;""),COLUMN(指数走势!$F$33:$ACK$33))-COLUMN(指数走势!$F$33)+1-760+577)=0,NA(),INDEX(指数走势!$F$33:$ACK$33,1,LOOKUP(2,1/(指数走势!$F$33:$ACK$33&lt;&gt;""),COLUMN(指数走势!$F$33:$ACK$33))-COLUMN(指数走势!$F$33)+1-760+577)))</f>
        <v>16.5079002380371</v>
      </c>
      <c r="VG97">
        <f ca="1">IF(ISERROR(INDEX(指数走势!$F$33:$ACK$33,1,LOOKUP(2,1/(指数走势!$F$33:$ACK$33&lt;&gt;""),COLUMN(指数走势!$F$33:$ACK$33))-COLUMN(指数走势!$F$33)+1-760+578)),NA(),IF(INDEX(指数走势!$F$33:$ACK$33,1,LOOKUP(2,1/(指数走势!$F$33:$ACK$33&lt;&gt;""),COLUMN(指数走势!$F$33:$ACK$33))-COLUMN(指数走势!$F$33)+1-760+578)=0,NA(),INDEX(指数走势!$F$33:$ACK$33,1,LOOKUP(2,1/(指数走势!$F$33:$ACK$33&lt;&gt;""),COLUMN(指数走势!$F$33:$ACK$33))-COLUMN(指数走势!$F$33)+1-760+578)))</f>
        <v>16.4109001159668</v>
      </c>
      <c r="VH97">
        <f ca="1">IF(ISERROR(INDEX(指数走势!$F$33:$ACK$33,1,LOOKUP(2,1/(指数走势!$F$33:$ACK$33&lt;&gt;""),COLUMN(指数走势!$F$33:$ACK$33))-COLUMN(指数走势!$F$33)+1-760+579)),NA(),IF(INDEX(指数走势!$F$33:$ACK$33,1,LOOKUP(2,1/(指数走势!$F$33:$ACK$33&lt;&gt;""),COLUMN(指数走势!$F$33:$ACK$33))-COLUMN(指数走势!$F$33)+1-760+579)=0,NA(),INDEX(指数走势!$F$33:$ACK$33,1,LOOKUP(2,1/(指数走势!$F$33:$ACK$33&lt;&gt;""),COLUMN(指数走势!$F$33:$ACK$33))-COLUMN(指数走势!$F$33)+1-760+579)))</f>
        <v>16.5417003631592</v>
      </c>
      <c r="VI97">
        <f ca="1">IF(ISERROR(INDEX(指数走势!$F$33:$ACK$33,1,LOOKUP(2,1/(指数走势!$F$33:$ACK$33&lt;&gt;""),COLUMN(指数走势!$F$33:$ACK$33))-COLUMN(指数走势!$F$33)+1-760+580)),NA(),IF(INDEX(指数走势!$F$33:$ACK$33,1,LOOKUP(2,1/(指数走势!$F$33:$ACK$33&lt;&gt;""),COLUMN(指数走势!$F$33:$ACK$33))-COLUMN(指数走势!$F$33)+1-760+580)=0,NA(),INDEX(指数走势!$F$33:$ACK$33,1,LOOKUP(2,1/(指数走势!$F$33:$ACK$33&lt;&gt;""),COLUMN(指数走势!$F$33:$ACK$33))-COLUMN(指数走势!$F$33)+1-760+580)))</f>
        <v>16.6235008239746</v>
      </c>
      <c r="VJ97">
        <f ca="1">IF(ISERROR(INDEX(指数走势!$F$33:$ACK$33,1,LOOKUP(2,1/(指数走势!$F$33:$ACK$33&lt;&gt;""),COLUMN(指数走势!$F$33:$ACK$33))-COLUMN(指数走势!$F$33)+1-760+581)),NA(),IF(INDEX(指数走势!$F$33:$ACK$33,1,LOOKUP(2,1/(指数走势!$F$33:$ACK$33&lt;&gt;""),COLUMN(指数走势!$F$33:$ACK$33))-COLUMN(指数走势!$F$33)+1-760+581)=0,NA(),INDEX(指数走势!$F$33:$ACK$33,1,LOOKUP(2,1/(指数走势!$F$33:$ACK$33&lt;&gt;""),COLUMN(指数走势!$F$33:$ACK$33))-COLUMN(指数走势!$F$33)+1-760+581)))</f>
        <v>16.8332004547119</v>
      </c>
      <c r="VK97">
        <f ca="1">IF(ISERROR(INDEX(指数走势!$F$33:$ACK$33,1,LOOKUP(2,1/(指数走势!$F$33:$ACK$33&lt;&gt;""),COLUMN(指数走势!$F$33:$ACK$33))-COLUMN(指数走势!$F$33)+1-760+582)),NA(),IF(INDEX(指数走势!$F$33:$ACK$33,1,LOOKUP(2,1/(指数走势!$F$33:$ACK$33&lt;&gt;""),COLUMN(指数走势!$F$33:$ACK$33))-COLUMN(指数走势!$F$33)+1-760+582)=0,NA(),INDEX(指数走势!$F$33:$ACK$33,1,LOOKUP(2,1/(指数走势!$F$33:$ACK$33&lt;&gt;""),COLUMN(指数走势!$F$33:$ACK$33))-COLUMN(指数走势!$F$33)+1-760+582)))</f>
        <v>16.6891002655029</v>
      </c>
      <c r="VL97">
        <f ca="1">IF(ISERROR(INDEX(指数走势!$F$33:$ACK$33,1,LOOKUP(2,1/(指数走势!$F$33:$ACK$33&lt;&gt;""),COLUMN(指数走势!$F$33:$ACK$33))-COLUMN(指数走势!$F$33)+1-760+583)),NA(),IF(INDEX(指数走势!$F$33:$ACK$33,1,LOOKUP(2,1/(指数走势!$F$33:$ACK$33&lt;&gt;""),COLUMN(指数走势!$F$33:$ACK$33))-COLUMN(指数走势!$F$33)+1-760+583)=0,NA(),INDEX(指数走势!$F$33:$ACK$33,1,LOOKUP(2,1/(指数走势!$F$33:$ACK$33&lt;&gt;""),COLUMN(指数走势!$F$33:$ACK$33))-COLUMN(指数走势!$F$33)+1-760+583)))</f>
        <v>16.6686992645264</v>
      </c>
      <c r="VM97">
        <f ca="1">IF(ISERROR(INDEX(指数走势!$F$33:$ACK$33,1,LOOKUP(2,1/(指数走势!$F$33:$ACK$33&lt;&gt;""),COLUMN(指数走势!$F$33:$ACK$33))-COLUMN(指数走势!$F$33)+1-760+584)),NA(),IF(INDEX(指数走势!$F$33:$ACK$33,1,LOOKUP(2,1/(指数走势!$F$33:$ACK$33&lt;&gt;""),COLUMN(指数走势!$F$33:$ACK$33))-COLUMN(指数走势!$F$33)+1-760+584)=0,NA(),INDEX(指数走势!$F$33:$ACK$33,1,LOOKUP(2,1/(指数走势!$F$33:$ACK$33&lt;&gt;""),COLUMN(指数走势!$F$33:$ACK$33))-COLUMN(指数走势!$F$33)+1-760+584)))</f>
        <v>16.5925998687744</v>
      </c>
      <c r="VN97">
        <f ca="1">IF(ISERROR(INDEX(指数走势!$F$33:$ACK$33,1,LOOKUP(2,1/(指数走势!$F$33:$ACK$33&lt;&gt;""),COLUMN(指数走势!$F$33:$ACK$33))-COLUMN(指数走势!$F$33)+1-760+585)),NA(),IF(INDEX(指数走势!$F$33:$ACK$33,1,LOOKUP(2,1/(指数走势!$F$33:$ACK$33&lt;&gt;""),COLUMN(指数走势!$F$33:$ACK$33))-COLUMN(指数走势!$F$33)+1-760+585)=0,NA(),INDEX(指数走势!$F$33:$ACK$33,1,LOOKUP(2,1/(指数走势!$F$33:$ACK$33&lt;&gt;""),COLUMN(指数走势!$F$33:$ACK$33))-COLUMN(指数走势!$F$33)+1-760+585)))</f>
        <v>16.7754001617432</v>
      </c>
      <c r="VO97">
        <f ca="1">IF(ISERROR(INDEX(指数走势!$F$33:$ACK$33,1,LOOKUP(2,1/(指数走势!$F$33:$ACK$33&lt;&gt;""),COLUMN(指数走势!$F$33:$ACK$33))-COLUMN(指数走势!$F$33)+1-760+586)),NA(),IF(INDEX(指数走势!$F$33:$ACK$33,1,LOOKUP(2,1/(指数走势!$F$33:$ACK$33&lt;&gt;""),COLUMN(指数走势!$F$33:$ACK$33))-COLUMN(指数走势!$F$33)+1-760+586)=0,NA(),INDEX(指数走势!$F$33:$ACK$33,1,LOOKUP(2,1/(指数走势!$F$33:$ACK$33&lt;&gt;""),COLUMN(指数走势!$F$33:$ACK$33))-COLUMN(指数走势!$F$33)+1-760+586)))</f>
        <v>16.8176002502441</v>
      </c>
      <c r="VP97">
        <f ca="1">IF(ISERROR(INDEX(指数走势!$F$33:$ACK$33,1,LOOKUP(2,1/(指数走势!$F$33:$ACK$33&lt;&gt;""),COLUMN(指数走势!$F$33:$ACK$33))-COLUMN(指数走势!$F$33)+1-760+587)),NA(),IF(INDEX(指数走势!$F$33:$ACK$33,1,LOOKUP(2,1/(指数走势!$F$33:$ACK$33&lt;&gt;""),COLUMN(指数走势!$F$33:$ACK$33))-COLUMN(指数走势!$F$33)+1-760+587)=0,NA(),INDEX(指数走势!$F$33:$ACK$33,1,LOOKUP(2,1/(指数走势!$F$33:$ACK$33&lt;&gt;""),COLUMN(指数走势!$F$33:$ACK$33))-COLUMN(指数走势!$F$33)+1-760+587)))</f>
        <v>16.5128993988037</v>
      </c>
      <c r="VQ97">
        <f ca="1">IF(ISERROR(INDEX(指数走势!$F$33:$ACK$33,1,LOOKUP(2,1/(指数走势!$F$33:$ACK$33&lt;&gt;""),COLUMN(指数走势!$F$33:$ACK$33))-COLUMN(指数走势!$F$33)+1-760+588)),NA(),IF(INDEX(指数走势!$F$33:$ACK$33,1,LOOKUP(2,1/(指数走势!$F$33:$ACK$33&lt;&gt;""),COLUMN(指数走势!$F$33:$ACK$33))-COLUMN(指数走势!$F$33)+1-760+588)=0,NA(),INDEX(指数走势!$F$33:$ACK$33,1,LOOKUP(2,1/(指数走势!$F$33:$ACK$33&lt;&gt;""),COLUMN(指数走势!$F$33:$ACK$33))-COLUMN(指数走势!$F$33)+1-760+588)))</f>
        <v>16.5921993255615</v>
      </c>
      <c r="VR97">
        <f ca="1">IF(ISERROR(INDEX(指数走势!$F$33:$ACK$33,1,LOOKUP(2,1/(指数走势!$F$33:$ACK$33&lt;&gt;""),COLUMN(指数走势!$F$33:$ACK$33))-COLUMN(指数走势!$F$33)+1-760+589)),NA(),IF(INDEX(指数走势!$F$33:$ACK$33,1,LOOKUP(2,1/(指数走势!$F$33:$ACK$33&lt;&gt;""),COLUMN(指数走势!$F$33:$ACK$33))-COLUMN(指数走势!$F$33)+1-760+589)=0,NA(),INDEX(指数走势!$F$33:$ACK$33,1,LOOKUP(2,1/(指数走势!$F$33:$ACK$33&lt;&gt;""),COLUMN(指数走势!$F$33:$ACK$33))-COLUMN(指数走势!$F$33)+1-760+589)))</f>
        <v>16.7921009063721</v>
      </c>
      <c r="VS97">
        <f ca="1">IF(ISERROR(INDEX(指数走势!$F$33:$ACK$33,1,LOOKUP(2,1/(指数走势!$F$33:$ACK$33&lt;&gt;""),COLUMN(指数走势!$F$33:$ACK$33))-COLUMN(指数走势!$F$33)+1-760+590)),NA(),IF(INDEX(指数走势!$F$33:$ACK$33,1,LOOKUP(2,1/(指数走势!$F$33:$ACK$33&lt;&gt;""),COLUMN(指数走势!$F$33:$ACK$33))-COLUMN(指数走势!$F$33)+1-760+590)=0,NA(),INDEX(指数走势!$F$33:$ACK$33,1,LOOKUP(2,1/(指数走势!$F$33:$ACK$33&lt;&gt;""),COLUMN(指数走势!$F$33:$ACK$33))-COLUMN(指数走势!$F$33)+1-760+590)))</f>
        <v>16.8057994842529</v>
      </c>
      <c r="VT97">
        <f ca="1">IF(ISERROR(INDEX(指数走势!$F$33:$ACK$33,1,LOOKUP(2,1/(指数走势!$F$33:$ACK$33&lt;&gt;""),COLUMN(指数走势!$F$33:$ACK$33))-COLUMN(指数走势!$F$33)+1-760+591)),NA(),IF(INDEX(指数走势!$F$33:$ACK$33,1,LOOKUP(2,1/(指数走势!$F$33:$ACK$33&lt;&gt;""),COLUMN(指数走势!$F$33:$ACK$33))-COLUMN(指数走势!$F$33)+1-760+591)=0,NA(),INDEX(指数走势!$F$33:$ACK$33,1,LOOKUP(2,1/(指数走势!$F$33:$ACK$33&lt;&gt;""),COLUMN(指数走势!$F$33:$ACK$33))-COLUMN(指数走势!$F$33)+1-760+591)))</f>
        <v>16.8486995697021</v>
      </c>
      <c r="VU97">
        <f ca="1">IF(ISERROR(INDEX(指数走势!$F$33:$ACK$33,1,LOOKUP(2,1/(指数走势!$F$33:$ACK$33&lt;&gt;""),COLUMN(指数走势!$F$33:$ACK$33))-COLUMN(指数走势!$F$33)+1-760+592)),NA(),IF(INDEX(指数走势!$F$33:$ACK$33,1,LOOKUP(2,1/(指数走势!$F$33:$ACK$33&lt;&gt;""),COLUMN(指数走势!$F$33:$ACK$33))-COLUMN(指数走势!$F$33)+1-760+592)=0,NA(),INDEX(指数走势!$F$33:$ACK$33,1,LOOKUP(2,1/(指数走势!$F$33:$ACK$33&lt;&gt;""),COLUMN(指数走势!$F$33:$ACK$33))-COLUMN(指数走势!$F$33)+1-760+592)))</f>
        <v>16.9473991394043</v>
      </c>
      <c r="VV97">
        <f ca="1">IF(ISERROR(INDEX(指数走势!$F$33:$ACK$33,1,LOOKUP(2,1/(指数走势!$F$33:$ACK$33&lt;&gt;""),COLUMN(指数走势!$F$33:$ACK$33))-COLUMN(指数走势!$F$33)+1-760+593)),NA(),IF(INDEX(指数走势!$F$33:$ACK$33,1,LOOKUP(2,1/(指数走势!$F$33:$ACK$33&lt;&gt;""),COLUMN(指数走势!$F$33:$ACK$33))-COLUMN(指数走势!$F$33)+1-760+593)=0,NA(),INDEX(指数走势!$F$33:$ACK$33,1,LOOKUP(2,1/(指数走势!$F$33:$ACK$33&lt;&gt;""),COLUMN(指数走势!$F$33:$ACK$33))-COLUMN(指数走势!$F$33)+1-760+593)))</f>
        <v>17.0898990631104</v>
      </c>
      <c r="VW97">
        <f ca="1">IF(ISERROR(INDEX(指数走势!$F$33:$ACK$33,1,LOOKUP(2,1/(指数走势!$F$33:$ACK$33&lt;&gt;""),COLUMN(指数走势!$F$33:$ACK$33))-COLUMN(指数走势!$F$33)+1-760+594)),NA(),IF(INDEX(指数走势!$F$33:$ACK$33,1,LOOKUP(2,1/(指数走势!$F$33:$ACK$33&lt;&gt;""),COLUMN(指数走势!$F$33:$ACK$33))-COLUMN(指数走势!$F$33)+1-760+594)=0,NA(),INDEX(指数走势!$F$33:$ACK$33,1,LOOKUP(2,1/(指数走势!$F$33:$ACK$33&lt;&gt;""),COLUMN(指数走势!$F$33:$ACK$33))-COLUMN(指数走势!$F$33)+1-760+594)))</f>
        <v>17.0048999786377</v>
      </c>
      <c r="VX97">
        <f ca="1">IF(ISERROR(INDEX(指数走势!$F$33:$ACK$33,1,LOOKUP(2,1/(指数走势!$F$33:$ACK$33&lt;&gt;""),COLUMN(指数走势!$F$33:$ACK$33))-COLUMN(指数走势!$F$33)+1-760+595)),NA(),IF(INDEX(指数走势!$F$33:$ACK$33,1,LOOKUP(2,1/(指数走势!$F$33:$ACK$33&lt;&gt;""),COLUMN(指数走势!$F$33:$ACK$33))-COLUMN(指数走势!$F$33)+1-760+595)=0,NA(),INDEX(指数走势!$F$33:$ACK$33,1,LOOKUP(2,1/(指数走势!$F$33:$ACK$33&lt;&gt;""),COLUMN(指数走势!$F$33:$ACK$33))-COLUMN(指数走势!$F$33)+1-760+595)))</f>
        <v>16.9601001739502</v>
      </c>
      <c r="VY97">
        <f ca="1">IF(ISERROR(INDEX(指数走势!$F$33:$ACK$33,1,LOOKUP(2,1/(指数走势!$F$33:$ACK$33&lt;&gt;""),COLUMN(指数走势!$F$33:$ACK$33))-COLUMN(指数走势!$F$33)+1-760+596)),NA(),IF(INDEX(指数走势!$F$33:$ACK$33,1,LOOKUP(2,1/(指数走势!$F$33:$ACK$33&lt;&gt;""),COLUMN(指数走势!$F$33:$ACK$33))-COLUMN(指数走势!$F$33)+1-760+596)=0,NA(),INDEX(指数走势!$F$33:$ACK$33,1,LOOKUP(2,1/(指数走势!$F$33:$ACK$33&lt;&gt;""),COLUMN(指数走势!$F$33:$ACK$33))-COLUMN(指数走势!$F$33)+1-760+596)))</f>
        <v>16.81369972229</v>
      </c>
      <c r="VZ97">
        <f ca="1">IF(ISERROR(INDEX(指数走势!$F$33:$ACK$33,1,LOOKUP(2,1/(指数走势!$F$33:$ACK$33&lt;&gt;""),COLUMN(指数走势!$F$33:$ACK$33))-COLUMN(指数走势!$F$33)+1-760+597)),NA(),IF(INDEX(指数走势!$F$33:$ACK$33,1,LOOKUP(2,1/(指数走势!$F$33:$ACK$33&lt;&gt;""),COLUMN(指数走势!$F$33:$ACK$33))-COLUMN(指数走势!$F$33)+1-760+597)=0,NA(),INDEX(指数走势!$F$33:$ACK$33,1,LOOKUP(2,1/(指数走势!$F$33:$ACK$33&lt;&gt;""),COLUMN(指数走势!$F$33:$ACK$33))-COLUMN(指数走势!$F$33)+1-760+597)))</f>
        <v>16.4543991088867</v>
      </c>
      <c r="WA97">
        <f ca="1">IF(ISERROR(INDEX(指数走势!$F$33:$ACK$33,1,LOOKUP(2,1/(指数走势!$F$33:$ACK$33&lt;&gt;""),COLUMN(指数走势!$F$33:$ACK$33))-COLUMN(指数走势!$F$33)+1-760+598)),NA(),IF(INDEX(指数走势!$F$33:$ACK$33,1,LOOKUP(2,1/(指数走势!$F$33:$ACK$33&lt;&gt;""),COLUMN(指数走势!$F$33:$ACK$33))-COLUMN(指数走势!$F$33)+1-760+598)=0,NA(),INDEX(指数走势!$F$33:$ACK$33,1,LOOKUP(2,1/(指数走势!$F$33:$ACK$33&lt;&gt;""),COLUMN(指数走势!$F$33:$ACK$33))-COLUMN(指数走势!$F$33)+1-760+598)))</f>
        <v>16.5557994842529</v>
      </c>
      <c r="WB97">
        <f ca="1">IF(ISERROR(INDEX(指数走势!$F$33:$ACK$33,1,LOOKUP(2,1/(指数走势!$F$33:$ACK$33&lt;&gt;""),COLUMN(指数走势!$F$33:$ACK$33))-COLUMN(指数走势!$F$33)+1-760+599)),NA(),IF(INDEX(指数走势!$F$33:$ACK$33,1,LOOKUP(2,1/(指数走势!$F$33:$ACK$33&lt;&gt;""),COLUMN(指数走势!$F$33:$ACK$33))-COLUMN(指数走势!$F$33)+1-760+599)=0,NA(),INDEX(指数走势!$F$33:$ACK$33,1,LOOKUP(2,1/(指数走势!$F$33:$ACK$33&lt;&gt;""),COLUMN(指数走势!$F$33:$ACK$33))-COLUMN(指数走势!$F$33)+1-760+599)))</f>
        <v>16.5151996612549</v>
      </c>
      <c r="WC97">
        <f ca="1">IF(ISERROR(INDEX(指数走势!$F$33:$ACK$33,1,LOOKUP(2,1/(指数走势!$F$33:$ACK$33&lt;&gt;""),COLUMN(指数走势!$F$33:$ACK$33))-COLUMN(指数走势!$F$33)+1-760+600)),NA(),IF(INDEX(指数走势!$F$33:$ACK$33,1,LOOKUP(2,1/(指数走势!$F$33:$ACK$33&lt;&gt;""),COLUMN(指数走势!$F$33:$ACK$33))-COLUMN(指数走势!$F$33)+1-760+600)=0,NA(),INDEX(指数走势!$F$33:$ACK$33,1,LOOKUP(2,1/(指数走势!$F$33:$ACK$33&lt;&gt;""),COLUMN(指数走势!$F$33:$ACK$33))-COLUMN(指数走势!$F$33)+1-760+600)))</f>
        <v>16.5338001251221</v>
      </c>
      <c r="WD97">
        <f ca="1">IF(ISERROR(INDEX(指数走势!$F$33:$ACK$33,1,LOOKUP(2,1/(指数走势!$F$33:$ACK$33&lt;&gt;""),COLUMN(指数走势!$F$33:$ACK$33))-COLUMN(指数走势!$F$33)+1-760+601)),NA(),IF(INDEX(指数走势!$F$33:$ACK$33,1,LOOKUP(2,1/(指数走势!$F$33:$ACK$33&lt;&gt;""),COLUMN(指数走势!$F$33:$ACK$33))-COLUMN(指数走势!$F$33)+1-760+601)=0,NA(),INDEX(指数走势!$F$33:$ACK$33,1,LOOKUP(2,1/(指数走势!$F$33:$ACK$33&lt;&gt;""),COLUMN(指数走势!$F$33:$ACK$33))-COLUMN(指数走势!$F$33)+1-760+601)))</f>
        <v>16.6909999847412</v>
      </c>
      <c r="WE97">
        <f ca="1">IF(ISERROR(INDEX(指数走势!$F$33:$ACK$33,1,LOOKUP(2,1/(指数走势!$F$33:$ACK$33&lt;&gt;""),COLUMN(指数走势!$F$33:$ACK$33))-COLUMN(指数走势!$F$33)+1-760+602)),NA(),IF(INDEX(指数走势!$F$33:$ACK$33,1,LOOKUP(2,1/(指数走势!$F$33:$ACK$33&lt;&gt;""),COLUMN(指数走势!$F$33:$ACK$33))-COLUMN(指数走势!$F$33)+1-760+602)=0,NA(),INDEX(指数走势!$F$33:$ACK$33,1,LOOKUP(2,1/(指数走势!$F$33:$ACK$33&lt;&gt;""),COLUMN(指数走势!$F$33:$ACK$33))-COLUMN(指数走势!$F$33)+1-760+602)))</f>
        <v>16.6466999053955</v>
      </c>
      <c r="WF97">
        <f ca="1">IF(ISERROR(INDEX(指数走势!$F$33:$ACK$33,1,LOOKUP(2,1/(指数走势!$F$33:$ACK$33&lt;&gt;""),COLUMN(指数走势!$F$33:$ACK$33))-COLUMN(指数走势!$F$33)+1-760+603)),NA(),IF(INDEX(指数走势!$F$33:$ACK$33,1,LOOKUP(2,1/(指数走势!$F$33:$ACK$33&lt;&gt;""),COLUMN(指数走势!$F$33:$ACK$33))-COLUMN(指数走势!$F$33)+1-760+603)=0,NA(),INDEX(指数走势!$F$33:$ACK$33,1,LOOKUP(2,1/(指数走势!$F$33:$ACK$33&lt;&gt;""),COLUMN(指数走势!$F$33:$ACK$33))-COLUMN(指数走势!$F$33)+1-760+603)))</f>
        <v>16.7397994995117</v>
      </c>
      <c r="WG97">
        <f ca="1">IF(ISERROR(INDEX(指数走势!$F$33:$ACK$33,1,LOOKUP(2,1/(指数走势!$F$33:$ACK$33&lt;&gt;""),COLUMN(指数走势!$F$33:$ACK$33))-COLUMN(指数走势!$F$33)+1-760+604)),NA(),IF(INDEX(指数走势!$F$33:$ACK$33,1,LOOKUP(2,1/(指数走势!$F$33:$ACK$33&lt;&gt;""),COLUMN(指数走势!$F$33:$ACK$33))-COLUMN(指数走势!$F$33)+1-760+604)=0,NA(),INDEX(指数走势!$F$33:$ACK$33,1,LOOKUP(2,1/(指数走势!$F$33:$ACK$33&lt;&gt;""),COLUMN(指数走势!$F$33:$ACK$33))-COLUMN(指数走势!$F$33)+1-760+604)))</f>
        <v>16.6760005950928</v>
      </c>
      <c r="WH97">
        <f ca="1">IF(ISERROR(INDEX(指数走势!$F$33:$ACK$33,1,LOOKUP(2,1/(指数走势!$F$33:$ACK$33&lt;&gt;""),COLUMN(指数走势!$F$33:$ACK$33))-COLUMN(指数走势!$F$33)+1-760+605)),NA(),IF(INDEX(指数走势!$F$33:$ACK$33,1,LOOKUP(2,1/(指数走势!$F$33:$ACK$33&lt;&gt;""),COLUMN(指数走势!$F$33:$ACK$33))-COLUMN(指数走势!$F$33)+1-760+605)=0,NA(),INDEX(指数走势!$F$33:$ACK$33,1,LOOKUP(2,1/(指数走势!$F$33:$ACK$33&lt;&gt;""),COLUMN(指数走势!$F$33:$ACK$33))-COLUMN(指数走势!$F$33)+1-760+605)))</f>
        <v>16.6951999664307</v>
      </c>
      <c r="WI97">
        <f ca="1">IF(ISERROR(INDEX(指数走势!$F$33:$ACK$33,1,LOOKUP(2,1/(指数走势!$F$33:$ACK$33&lt;&gt;""),COLUMN(指数走势!$F$33:$ACK$33))-COLUMN(指数走势!$F$33)+1-760+606)),NA(),IF(INDEX(指数走势!$F$33:$ACK$33,1,LOOKUP(2,1/(指数走势!$F$33:$ACK$33&lt;&gt;""),COLUMN(指数走势!$F$33:$ACK$33))-COLUMN(指数走势!$F$33)+1-760+606)=0,NA(),INDEX(指数走势!$F$33:$ACK$33,1,LOOKUP(2,1/(指数走势!$F$33:$ACK$33&lt;&gt;""),COLUMN(指数走势!$F$33:$ACK$33))-COLUMN(指数走势!$F$33)+1-760+606)))</f>
        <v>16.7931995391846</v>
      </c>
      <c r="WJ97">
        <f ca="1">IF(ISERROR(INDEX(指数走势!$F$33:$ACK$33,1,LOOKUP(2,1/(指数走势!$F$33:$ACK$33&lt;&gt;""),COLUMN(指数走势!$F$33:$ACK$33))-COLUMN(指数走势!$F$33)+1-760+607)),NA(),IF(INDEX(指数走势!$F$33:$ACK$33,1,LOOKUP(2,1/(指数走势!$F$33:$ACK$33&lt;&gt;""),COLUMN(指数走势!$F$33:$ACK$33))-COLUMN(指数走势!$F$33)+1-760+607)=0,NA(),INDEX(指数走势!$F$33:$ACK$33,1,LOOKUP(2,1/(指数走势!$F$33:$ACK$33&lt;&gt;""),COLUMN(指数走势!$F$33:$ACK$33))-COLUMN(指数走势!$F$33)+1-760+607)))</f>
        <v>16.6422004699707</v>
      </c>
      <c r="WK97">
        <f ca="1">IF(ISERROR(INDEX(指数走势!$F$33:$ACK$33,1,LOOKUP(2,1/(指数走势!$F$33:$ACK$33&lt;&gt;""),COLUMN(指数走势!$F$33:$ACK$33))-COLUMN(指数走势!$F$33)+1-760+608)),NA(),IF(INDEX(指数走势!$F$33:$ACK$33,1,LOOKUP(2,1/(指数走势!$F$33:$ACK$33&lt;&gt;""),COLUMN(指数走势!$F$33:$ACK$33))-COLUMN(指数走势!$F$33)+1-760+608)=0,NA(),INDEX(指数走势!$F$33:$ACK$33,1,LOOKUP(2,1/(指数走势!$F$33:$ACK$33&lt;&gt;""),COLUMN(指数走势!$F$33:$ACK$33))-COLUMN(指数走势!$F$33)+1-760+608)))</f>
        <v>16.5629997253418</v>
      </c>
      <c r="WL97">
        <f ca="1">IF(ISERROR(INDEX(指数走势!$F$33:$ACK$33,1,LOOKUP(2,1/(指数走势!$F$33:$ACK$33&lt;&gt;""),COLUMN(指数走势!$F$33:$ACK$33))-COLUMN(指数走势!$F$33)+1-760+609)),NA(),IF(INDEX(指数走势!$F$33:$ACK$33,1,LOOKUP(2,1/(指数走势!$F$33:$ACK$33&lt;&gt;""),COLUMN(指数走势!$F$33:$ACK$33))-COLUMN(指数走势!$F$33)+1-760+609)=0,NA(),INDEX(指数走势!$F$33:$ACK$33,1,LOOKUP(2,1/(指数走势!$F$33:$ACK$33&lt;&gt;""),COLUMN(指数走势!$F$33:$ACK$33))-COLUMN(指数走势!$F$33)+1-760+609)))</f>
        <v>16.4452991485596</v>
      </c>
      <c r="WM97">
        <f ca="1">IF(ISERROR(INDEX(指数走势!$F$33:$ACK$33,1,LOOKUP(2,1/(指数走势!$F$33:$ACK$33&lt;&gt;""),COLUMN(指数走势!$F$33:$ACK$33))-COLUMN(指数走势!$F$33)+1-760+610)),NA(),IF(INDEX(指数走势!$F$33:$ACK$33,1,LOOKUP(2,1/(指数走势!$F$33:$ACK$33&lt;&gt;""),COLUMN(指数走势!$F$33:$ACK$33))-COLUMN(指数走势!$F$33)+1-760+610)=0,NA(),INDEX(指数走势!$F$33:$ACK$33,1,LOOKUP(2,1/(指数走势!$F$33:$ACK$33&lt;&gt;""),COLUMN(指数走势!$F$33:$ACK$33))-COLUMN(指数走势!$F$33)+1-760+610)))</f>
        <v>16.4983005523682</v>
      </c>
      <c r="WN97">
        <f ca="1">IF(ISERROR(INDEX(指数走势!$F$33:$ACK$33,1,LOOKUP(2,1/(指数走势!$F$33:$ACK$33&lt;&gt;""),COLUMN(指数走势!$F$33:$ACK$33))-COLUMN(指数走势!$F$33)+1-760+611)),NA(),IF(INDEX(指数走势!$F$33:$ACK$33,1,LOOKUP(2,1/(指数走势!$F$33:$ACK$33&lt;&gt;""),COLUMN(指数走势!$F$33:$ACK$33))-COLUMN(指数走势!$F$33)+1-760+611)=0,NA(),INDEX(指数走势!$F$33:$ACK$33,1,LOOKUP(2,1/(指数走势!$F$33:$ACK$33&lt;&gt;""),COLUMN(指数走势!$F$33:$ACK$33))-COLUMN(指数走势!$F$33)+1-760+611)))</f>
        <v>16.4647006988525</v>
      </c>
      <c r="WO97">
        <f ca="1">IF(ISERROR(INDEX(指数走势!$F$33:$ACK$33,1,LOOKUP(2,1/(指数走势!$F$33:$ACK$33&lt;&gt;""),COLUMN(指数走势!$F$33:$ACK$33))-COLUMN(指数走势!$F$33)+1-760+612)),NA(),IF(INDEX(指数走势!$F$33:$ACK$33,1,LOOKUP(2,1/(指数走势!$F$33:$ACK$33&lt;&gt;""),COLUMN(指数走势!$F$33:$ACK$33))-COLUMN(指数走势!$F$33)+1-760+612)=0,NA(),INDEX(指数走势!$F$33:$ACK$33,1,LOOKUP(2,1/(指数走势!$F$33:$ACK$33&lt;&gt;""),COLUMN(指数走势!$F$33:$ACK$33))-COLUMN(指数走势!$F$33)+1-760+612)))</f>
        <v>16.1002006530762</v>
      </c>
      <c r="WP97">
        <f ca="1">IF(ISERROR(INDEX(指数走势!$F$33:$ACK$33,1,LOOKUP(2,1/(指数走势!$F$33:$ACK$33&lt;&gt;""),COLUMN(指数走势!$F$33:$ACK$33))-COLUMN(指数走势!$F$33)+1-760+613)),NA(),IF(INDEX(指数走势!$F$33:$ACK$33,1,LOOKUP(2,1/(指数走势!$F$33:$ACK$33&lt;&gt;""),COLUMN(指数走势!$F$33:$ACK$33))-COLUMN(指数走势!$F$33)+1-760+613)=0,NA(),INDEX(指数走势!$F$33:$ACK$33,1,LOOKUP(2,1/(指数走势!$F$33:$ACK$33&lt;&gt;""),COLUMN(指数走势!$F$33:$ACK$33))-COLUMN(指数走势!$F$33)+1-760+613)))</f>
        <v>16.0879001617432</v>
      </c>
      <c r="WQ97">
        <f ca="1">IF(ISERROR(INDEX(指数走势!$F$33:$ACK$33,1,LOOKUP(2,1/(指数走势!$F$33:$ACK$33&lt;&gt;""),COLUMN(指数走势!$F$33:$ACK$33))-COLUMN(指数走势!$F$33)+1-760+614)),NA(),IF(INDEX(指数走势!$F$33:$ACK$33,1,LOOKUP(2,1/(指数走势!$F$33:$ACK$33&lt;&gt;""),COLUMN(指数走势!$F$33:$ACK$33))-COLUMN(指数走势!$F$33)+1-760+614)=0,NA(),INDEX(指数走势!$F$33:$ACK$33,1,LOOKUP(2,1/(指数走势!$F$33:$ACK$33&lt;&gt;""),COLUMN(指数走势!$F$33:$ACK$33))-COLUMN(指数走势!$F$33)+1-760+614)))</f>
        <v>16.2236003875732</v>
      </c>
      <c r="WR97">
        <f ca="1">IF(ISERROR(INDEX(指数走势!$F$33:$ACK$33,1,LOOKUP(2,1/(指数走势!$F$33:$ACK$33&lt;&gt;""),COLUMN(指数走势!$F$33:$ACK$33))-COLUMN(指数走势!$F$33)+1-760+615)),NA(),IF(INDEX(指数走势!$F$33:$ACK$33,1,LOOKUP(2,1/(指数走势!$F$33:$ACK$33&lt;&gt;""),COLUMN(指数走势!$F$33:$ACK$33))-COLUMN(指数走势!$F$33)+1-760+615)=0,NA(),INDEX(指数走势!$F$33:$ACK$33,1,LOOKUP(2,1/(指数走势!$F$33:$ACK$33&lt;&gt;""),COLUMN(指数走势!$F$33:$ACK$33))-COLUMN(指数走势!$F$33)+1-760+615)))</f>
        <v>16.1926002502441</v>
      </c>
      <c r="WS97">
        <f ca="1">IF(ISERROR(INDEX(指数走势!$F$33:$ACK$33,1,LOOKUP(2,1/(指数走势!$F$33:$ACK$33&lt;&gt;""),COLUMN(指数走势!$F$33:$ACK$33))-COLUMN(指数走势!$F$33)+1-760+616)),NA(),IF(INDEX(指数走势!$F$33:$ACK$33,1,LOOKUP(2,1/(指数走势!$F$33:$ACK$33&lt;&gt;""),COLUMN(指数走势!$F$33:$ACK$33))-COLUMN(指数走势!$F$33)+1-760+616)=0,NA(),INDEX(指数走势!$F$33:$ACK$33,1,LOOKUP(2,1/(指数走势!$F$33:$ACK$33&lt;&gt;""),COLUMN(指数走势!$F$33:$ACK$33))-COLUMN(指数走势!$F$33)+1-760+616)))</f>
        <v>16.235200881958</v>
      </c>
      <c r="WT97">
        <f ca="1">IF(ISERROR(INDEX(指数走势!$F$33:$ACK$33,1,LOOKUP(2,1/(指数走势!$F$33:$ACK$33&lt;&gt;""),COLUMN(指数走势!$F$33:$ACK$33))-COLUMN(指数走势!$F$33)+1-760+617)),NA(),IF(INDEX(指数走势!$F$33:$ACK$33,1,LOOKUP(2,1/(指数走势!$F$33:$ACK$33&lt;&gt;""),COLUMN(指数走势!$F$33:$ACK$33))-COLUMN(指数走势!$F$33)+1-760+617)=0,NA(),INDEX(指数走势!$F$33:$ACK$33,1,LOOKUP(2,1/(指数走势!$F$33:$ACK$33&lt;&gt;""),COLUMN(指数走势!$F$33:$ACK$33))-COLUMN(指数走势!$F$33)+1-760+617)))</f>
        <v>16.2703990936279</v>
      </c>
      <c r="WU97">
        <f ca="1">IF(ISERROR(INDEX(指数走势!$F$33:$ACK$33,1,LOOKUP(2,1/(指数走势!$F$33:$ACK$33&lt;&gt;""),COLUMN(指数走势!$F$33:$ACK$33))-COLUMN(指数走势!$F$33)+1-760+618)),NA(),IF(INDEX(指数走势!$F$33:$ACK$33,1,LOOKUP(2,1/(指数走势!$F$33:$ACK$33&lt;&gt;""),COLUMN(指数走势!$F$33:$ACK$33))-COLUMN(指数走势!$F$33)+1-760+618)=0,NA(),INDEX(指数走势!$F$33:$ACK$33,1,LOOKUP(2,1/(指数走势!$F$33:$ACK$33&lt;&gt;""),COLUMN(指数走势!$F$33:$ACK$33))-COLUMN(指数走势!$F$33)+1-760+618)))</f>
        <v>16.3745002746582</v>
      </c>
      <c r="WV97">
        <f ca="1">IF(ISERROR(INDEX(指数走势!$F$33:$ACK$33,1,LOOKUP(2,1/(指数走势!$F$33:$ACK$33&lt;&gt;""),COLUMN(指数走势!$F$33:$ACK$33))-COLUMN(指数走势!$F$33)+1-760+619)),NA(),IF(INDEX(指数走势!$F$33:$ACK$33,1,LOOKUP(2,1/(指数走势!$F$33:$ACK$33&lt;&gt;""),COLUMN(指数走势!$F$33:$ACK$33))-COLUMN(指数走势!$F$33)+1-760+619)=0,NA(),INDEX(指数走势!$F$33:$ACK$33,1,LOOKUP(2,1/(指数走势!$F$33:$ACK$33&lt;&gt;""),COLUMN(指数走势!$F$33:$ACK$33))-COLUMN(指数走势!$F$33)+1-760+619)))</f>
        <v>16.3145999908447</v>
      </c>
      <c r="WW97">
        <f ca="1">IF(ISERROR(INDEX(指数走势!$F$33:$ACK$33,1,LOOKUP(2,1/(指数走势!$F$33:$ACK$33&lt;&gt;""),COLUMN(指数走势!$F$33:$ACK$33))-COLUMN(指数走势!$F$33)+1-760+620)),NA(),IF(INDEX(指数走势!$F$33:$ACK$33,1,LOOKUP(2,1/(指数走势!$F$33:$ACK$33&lt;&gt;""),COLUMN(指数走势!$F$33:$ACK$33))-COLUMN(指数走势!$F$33)+1-760+620)=0,NA(),INDEX(指数走势!$F$33:$ACK$33,1,LOOKUP(2,1/(指数走势!$F$33:$ACK$33&lt;&gt;""),COLUMN(指数走势!$F$33:$ACK$33))-COLUMN(指数走势!$F$33)+1-760+620)))</f>
        <v>16.2236003875732</v>
      </c>
      <c r="WX97">
        <f ca="1">IF(ISERROR(INDEX(指数走势!$F$33:$ACK$33,1,LOOKUP(2,1/(指数走势!$F$33:$ACK$33&lt;&gt;""),COLUMN(指数走势!$F$33:$ACK$33))-COLUMN(指数走势!$F$33)+1-760+621)),NA(),IF(INDEX(指数走势!$F$33:$ACK$33,1,LOOKUP(2,1/(指数走势!$F$33:$ACK$33&lt;&gt;""),COLUMN(指数走势!$F$33:$ACK$33))-COLUMN(指数走势!$F$33)+1-760+621)=0,NA(),INDEX(指数走势!$F$33:$ACK$33,1,LOOKUP(2,1/(指数走势!$F$33:$ACK$33&lt;&gt;""),COLUMN(指数走势!$F$33:$ACK$33))-COLUMN(指数走势!$F$33)+1-760+621)))</f>
        <v>16.2220001220703</v>
      </c>
      <c r="WY97">
        <f ca="1">IF(ISERROR(INDEX(指数走势!$F$33:$ACK$33,1,LOOKUP(2,1/(指数走势!$F$33:$ACK$33&lt;&gt;""),COLUMN(指数走势!$F$33:$ACK$33))-COLUMN(指数走势!$F$33)+1-760+622)),NA(),IF(INDEX(指数走势!$F$33:$ACK$33,1,LOOKUP(2,1/(指数走势!$F$33:$ACK$33&lt;&gt;""),COLUMN(指数走势!$F$33:$ACK$33))-COLUMN(指数走势!$F$33)+1-760+622)=0,NA(),INDEX(指数走势!$F$33:$ACK$33,1,LOOKUP(2,1/(指数走势!$F$33:$ACK$33&lt;&gt;""),COLUMN(指数走势!$F$33:$ACK$33))-COLUMN(指数走势!$F$33)+1-760+622)))</f>
        <v>16.3269004821777</v>
      </c>
      <c r="WZ97">
        <f ca="1">IF(ISERROR(INDEX(指数走势!$F$33:$ACK$33,1,LOOKUP(2,1/(指数走势!$F$33:$ACK$33&lt;&gt;""),COLUMN(指数走势!$F$33:$ACK$33))-COLUMN(指数走势!$F$33)+1-760+623)),NA(),IF(INDEX(指数走势!$F$33:$ACK$33,1,LOOKUP(2,1/(指数走势!$F$33:$ACK$33&lt;&gt;""),COLUMN(指数走势!$F$33:$ACK$33))-COLUMN(指数走势!$F$33)+1-760+623)=0,NA(),INDEX(指数走势!$F$33:$ACK$33,1,LOOKUP(2,1/(指数走势!$F$33:$ACK$33&lt;&gt;""),COLUMN(指数走势!$F$33:$ACK$33))-COLUMN(指数走势!$F$33)+1-760+623)))</f>
        <v>16.4015007019043</v>
      </c>
      <c r="XA97">
        <f ca="1">IF(ISERROR(INDEX(指数走势!$F$33:$ACK$33,1,LOOKUP(2,1/(指数走势!$F$33:$ACK$33&lt;&gt;""),COLUMN(指数走势!$F$33:$ACK$33))-COLUMN(指数走势!$F$33)+1-760+624)),NA(),IF(INDEX(指数走势!$F$33:$ACK$33,1,LOOKUP(2,1/(指数走势!$F$33:$ACK$33&lt;&gt;""),COLUMN(指数走势!$F$33:$ACK$33))-COLUMN(指数走势!$F$33)+1-760+624)=0,NA(),INDEX(指数走势!$F$33:$ACK$33,1,LOOKUP(2,1/(指数走势!$F$33:$ACK$33&lt;&gt;""),COLUMN(指数走势!$F$33:$ACK$33))-COLUMN(指数走势!$F$33)+1-760+624)))</f>
        <v>16.3400001525879</v>
      </c>
      <c r="XB97">
        <f ca="1">IF(ISERROR(INDEX(指数走势!$F$33:$ACK$33,1,LOOKUP(2,1/(指数走势!$F$33:$ACK$33&lt;&gt;""),COLUMN(指数走势!$F$33:$ACK$33))-COLUMN(指数走势!$F$33)+1-760+625)),NA(),IF(INDEX(指数走势!$F$33:$ACK$33,1,LOOKUP(2,1/(指数走势!$F$33:$ACK$33&lt;&gt;""),COLUMN(指数走势!$F$33:$ACK$33))-COLUMN(指数走势!$F$33)+1-760+625)=0,NA(),INDEX(指数走势!$F$33:$ACK$33,1,LOOKUP(2,1/(指数走势!$F$33:$ACK$33&lt;&gt;""),COLUMN(指数走势!$F$33:$ACK$33))-COLUMN(指数走势!$F$33)+1-760+625)))</f>
        <v>16.2924995422363</v>
      </c>
      <c r="XC97">
        <f ca="1">IF(ISERROR(INDEX(指数走势!$F$33:$ACK$33,1,LOOKUP(2,1/(指数走势!$F$33:$ACK$33&lt;&gt;""),COLUMN(指数走势!$F$33:$ACK$33))-COLUMN(指数走势!$F$33)+1-760+626)),NA(),IF(INDEX(指数走势!$F$33:$ACK$33,1,LOOKUP(2,1/(指数走势!$F$33:$ACK$33&lt;&gt;""),COLUMN(指数走势!$F$33:$ACK$33))-COLUMN(指数走势!$F$33)+1-760+626)=0,NA(),INDEX(指数走势!$F$33:$ACK$33,1,LOOKUP(2,1/(指数走势!$F$33:$ACK$33&lt;&gt;""),COLUMN(指数走势!$F$33:$ACK$33))-COLUMN(指数走势!$F$33)+1-760+626)))</f>
        <v>16.1769008636475</v>
      </c>
      <c r="XD97">
        <f ca="1">IF(ISERROR(INDEX(指数走势!$F$33:$ACK$33,1,LOOKUP(2,1/(指数走势!$F$33:$ACK$33&lt;&gt;""),COLUMN(指数走势!$F$33:$ACK$33))-COLUMN(指数走势!$F$33)+1-760+627)),NA(),IF(INDEX(指数走势!$F$33:$ACK$33,1,LOOKUP(2,1/(指数走势!$F$33:$ACK$33&lt;&gt;""),COLUMN(指数走势!$F$33:$ACK$33))-COLUMN(指数走势!$F$33)+1-760+627)=0,NA(),INDEX(指数走势!$F$33:$ACK$33,1,LOOKUP(2,1/(指数走势!$F$33:$ACK$33&lt;&gt;""),COLUMN(指数走势!$F$33:$ACK$33))-COLUMN(指数走势!$F$33)+1-760+627)))</f>
        <v>16.2397994995117</v>
      </c>
      <c r="XE97">
        <f ca="1">IF(ISERROR(INDEX(指数走势!$F$33:$ACK$33,1,LOOKUP(2,1/(指数走势!$F$33:$ACK$33&lt;&gt;""),COLUMN(指数走势!$F$33:$ACK$33))-COLUMN(指数走势!$F$33)+1-760+628)),NA(),IF(INDEX(指数走势!$F$33:$ACK$33,1,LOOKUP(2,1/(指数走势!$F$33:$ACK$33&lt;&gt;""),COLUMN(指数走势!$F$33:$ACK$33))-COLUMN(指数走势!$F$33)+1-760+628)=0,NA(),INDEX(指数走势!$F$33:$ACK$33,1,LOOKUP(2,1/(指数走势!$F$33:$ACK$33&lt;&gt;""),COLUMN(指数走势!$F$33:$ACK$33))-COLUMN(指数走势!$F$33)+1-760+628)))</f>
        <v>16.1557006835938</v>
      </c>
      <c r="XF97">
        <f ca="1">IF(ISERROR(INDEX(指数走势!$F$33:$ACK$33,1,LOOKUP(2,1/(指数走势!$F$33:$ACK$33&lt;&gt;""),COLUMN(指数走势!$F$33:$ACK$33))-COLUMN(指数走势!$F$33)+1-760+629)),NA(),IF(INDEX(指数走势!$F$33:$ACK$33,1,LOOKUP(2,1/(指数走势!$F$33:$ACK$33&lt;&gt;""),COLUMN(指数走势!$F$33:$ACK$33))-COLUMN(指数走势!$F$33)+1-760+629)=0,NA(),INDEX(指数走势!$F$33:$ACK$33,1,LOOKUP(2,1/(指数走势!$F$33:$ACK$33&lt;&gt;""),COLUMN(指数走势!$F$33:$ACK$33))-COLUMN(指数走势!$F$33)+1-760+629)))</f>
        <v>15.9858999252319</v>
      </c>
      <c r="XG97">
        <f ca="1">IF(ISERROR(INDEX(指数走势!$F$33:$ACK$33,1,LOOKUP(2,1/(指数走势!$F$33:$ACK$33&lt;&gt;""),COLUMN(指数走势!$F$33:$ACK$33))-COLUMN(指数走势!$F$33)+1-760+630)),NA(),IF(INDEX(指数走势!$F$33:$ACK$33,1,LOOKUP(2,1/(指数走势!$F$33:$ACK$33&lt;&gt;""),COLUMN(指数走势!$F$33:$ACK$33))-COLUMN(指数走势!$F$33)+1-760+630)=0,NA(),INDEX(指数走势!$F$33:$ACK$33,1,LOOKUP(2,1/(指数走势!$F$33:$ACK$33&lt;&gt;""),COLUMN(指数走势!$F$33:$ACK$33))-COLUMN(指数走势!$F$33)+1-760+630)))</f>
        <v>16.1695995330811</v>
      </c>
      <c r="XH97">
        <f ca="1">IF(ISERROR(INDEX(指数走势!$F$33:$ACK$33,1,LOOKUP(2,1/(指数走势!$F$33:$ACK$33&lt;&gt;""),COLUMN(指数走势!$F$33:$ACK$33))-COLUMN(指数走势!$F$33)+1-760+631)),NA(),IF(INDEX(指数走势!$F$33:$ACK$33,1,LOOKUP(2,1/(指数走势!$F$33:$ACK$33&lt;&gt;""),COLUMN(指数走势!$F$33:$ACK$33))-COLUMN(指数走势!$F$33)+1-760+631)=0,NA(),INDEX(指数走势!$F$33:$ACK$33,1,LOOKUP(2,1/(指数走势!$F$33:$ACK$33&lt;&gt;""),COLUMN(指数走势!$F$33:$ACK$33))-COLUMN(指数走势!$F$33)+1-760+631)))</f>
        <v>16.2178993225098</v>
      </c>
      <c r="XI97">
        <f ca="1">IF(ISERROR(INDEX(指数走势!$F$33:$ACK$33,1,LOOKUP(2,1/(指数走势!$F$33:$ACK$33&lt;&gt;""),COLUMN(指数走势!$F$33:$ACK$33))-COLUMN(指数走势!$F$33)+1-760+632)),NA(),IF(INDEX(指数走势!$F$33:$ACK$33,1,LOOKUP(2,1/(指数走势!$F$33:$ACK$33&lt;&gt;""),COLUMN(指数走势!$F$33:$ACK$33))-COLUMN(指数走势!$F$33)+1-760+632)=0,NA(),INDEX(指数走势!$F$33:$ACK$33,1,LOOKUP(2,1/(指数走势!$F$33:$ACK$33&lt;&gt;""),COLUMN(指数走势!$F$33:$ACK$33))-COLUMN(指数走势!$F$33)+1-760+632)))</f>
        <v>16.2612991333008</v>
      </c>
      <c r="XJ97">
        <f ca="1">IF(ISERROR(INDEX(指数走势!$F$33:$ACK$33,1,LOOKUP(2,1/(指数走势!$F$33:$ACK$33&lt;&gt;""),COLUMN(指数走势!$F$33:$ACK$33))-COLUMN(指数走势!$F$33)+1-760+633)),NA(),IF(INDEX(指数走势!$F$33:$ACK$33,1,LOOKUP(2,1/(指数走势!$F$33:$ACK$33&lt;&gt;""),COLUMN(指数走势!$F$33:$ACK$33))-COLUMN(指数走势!$F$33)+1-760+633)=0,NA(),INDEX(指数走势!$F$33:$ACK$33,1,LOOKUP(2,1/(指数走势!$F$33:$ACK$33&lt;&gt;""),COLUMN(指数走势!$F$33:$ACK$33))-COLUMN(指数走势!$F$33)+1-760+633)))</f>
        <v>16.3633003234863</v>
      </c>
      <c r="XK97">
        <f ca="1">IF(ISERROR(INDEX(指数走势!$F$33:$ACK$33,1,LOOKUP(2,1/(指数走势!$F$33:$ACK$33&lt;&gt;""),COLUMN(指数走势!$F$33:$ACK$33))-COLUMN(指数走势!$F$33)+1-760+634)),NA(),IF(INDEX(指数走势!$F$33:$ACK$33,1,LOOKUP(2,1/(指数走势!$F$33:$ACK$33&lt;&gt;""),COLUMN(指数走势!$F$33:$ACK$33))-COLUMN(指数走势!$F$33)+1-760+634)=0,NA(),INDEX(指数走势!$F$33:$ACK$33,1,LOOKUP(2,1/(指数走势!$F$33:$ACK$33&lt;&gt;""),COLUMN(指数走势!$F$33:$ACK$33))-COLUMN(指数走势!$F$33)+1-760+634)))</f>
        <v>16.3824005126953</v>
      </c>
      <c r="XL97">
        <f ca="1">IF(ISERROR(INDEX(指数走势!$F$33:$ACK$33,1,LOOKUP(2,1/(指数走势!$F$33:$ACK$33&lt;&gt;""),COLUMN(指数走势!$F$33:$ACK$33))-COLUMN(指数走势!$F$33)+1-760+635)),NA(),IF(INDEX(指数走势!$F$33:$ACK$33,1,LOOKUP(2,1/(指数走势!$F$33:$ACK$33&lt;&gt;""),COLUMN(指数走势!$F$33:$ACK$33))-COLUMN(指数走势!$F$33)+1-760+635)=0,NA(),INDEX(指数走势!$F$33:$ACK$33,1,LOOKUP(2,1/(指数走势!$F$33:$ACK$33&lt;&gt;""),COLUMN(指数走势!$F$33:$ACK$33))-COLUMN(指数走势!$F$33)+1-760+635)))</f>
        <v>16.4580993652344</v>
      </c>
      <c r="XM97">
        <f ca="1">IF(ISERROR(INDEX(指数走势!$F$33:$ACK$33,1,LOOKUP(2,1/(指数走势!$F$33:$ACK$33&lt;&gt;""),COLUMN(指数走势!$F$33:$ACK$33))-COLUMN(指数走势!$F$33)+1-760+636)),NA(),IF(INDEX(指数走势!$F$33:$ACK$33,1,LOOKUP(2,1/(指数走势!$F$33:$ACK$33&lt;&gt;""),COLUMN(指数走势!$F$33:$ACK$33))-COLUMN(指数走势!$F$33)+1-760+636)=0,NA(),INDEX(指数走势!$F$33:$ACK$33,1,LOOKUP(2,1/(指数走势!$F$33:$ACK$33&lt;&gt;""),COLUMN(指数走势!$F$33:$ACK$33))-COLUMN(指数走势!$F$33)+1-760+636)))</f>
        <v>16.5207996368408</v>
      </c>
      <c r="XN97">
        <f ca="1">IF(ISERROR(INDEX(指数走势!$F$33:$ACK$33,1,LOOKUP(2,1/(指数走势!$F$33:$ACK$33&lt;&gt;""),COLUMN(指数走势!$F$33:$ACK$33))-COLUMN(指数走势!$F$33)+1-760+637)),NA(),IF(INDEX(指数走势!$F$33:$ACK$33,1,LOOKUP(2,1/(指数走势!$F$33:$ACK$33&lt;&gt;""),COLUMN(指数走势!$F$33:$ACK$33))-COLUMN(指数走势!$F$33)+1-760+637)=0,NA(),INDEX(指数走势!$F$33:$ACK$33,1,LOOKUP(2,1/(指数走势!$F$33:$ACK$33&lt;&gt;""),COLUMN(指数走势!$F$33:$ACK$33))-COLUMN(指数走势!$F$33)+1-760+637)))</f>
        <v>16.5340995788574</v>
      </c>
      <c r="XO97">
        <f ca="1">IF(ISERROR(INDEX(指数走势!$F$33:$ACK$33,1,LOOKUP(2,1/(指数走势!$F$33:$ACK$33&lt;&gt;""),COLUMN(指数走势!$F$33:$ACK$33))-COLUMN(指数走势!$F$33)+1-760+638)),NA(),IF(INDEX(指数走势!$F$33:$ACK$33,1,LOOKUP(2,1/(指数走势!$F$33:$ACK$33&lt;&gt;""),COLUMN(指数走势!$F$33:$ACK$33))-COLUMN(指数走势!$F$33)+1-760+638)=0,NA(),INDEX(指数走势!$F$33:$ACK$33,1,LOOKUP(2,1/(指数走势!$F$33:$ACK$33&lt;&gt;""),COLUMN(指数走势!$F$33:$ACK$33))-COLUMN(指数走势!$F$33)+1-760+638)))</f>
        <v>16.5578994750977</v>
      </c>
      <c r="XP97">
        <f ca="1">IF(ISERROR(INDEX(指数走势!$F$33:$ACK$33,1,LOOKUP(2,1/(指数走势!$F$33:$ACK$33&lt;&gt;""),COLUMN(指数走势!$F$33:$ACK$33))-COLUMN(指数走势!$F$33)+1-760+639)),NA(),IF(INDEX(指数走势!$F$33:$ACK$33,1,LOOKUP(2,1/(指数走势!$F$33:$ACK$33&lt;&gt;""),COLUMN(指数走势!$F$33:$ACK$33))-COLUMN(指数走势!$F$33)+1-760+639)=0,NA(),INDEX(指数走势!$F$33:$ACK$33,1,LOOKUP(2,1/(指数走势!$F$33:$ACK$33&lt;&gt;""),COLUMN(指数走势!$F$33:$ACK$33))-COLUMN(指数走势!$F$33)+1-760+639)))</f>
        <v>16.565299987793</v>
      </c>
      <c r="XQ97">
        <f ca="1">IF(ISERROR(INDEX(指数走势!$F$33:$ACK$33,1,LOOKUP(2,1/(指数走势!$F$33:$ACK$33&lt;&gt;""),COLUMN(指数走势!$F$33:$ACK$33))-COLUMN(指数走势!$F$33)+1-760+640)),NA(),IF(INDEX(指数走势!$F$33:$ACK$33,1,LOOKUP(2,1/(指数走势!$F$33:$ACK$33&lt;&gt;""),COLUMN(指数走势!$F$33:$ACK$33))-COLUMN(指数走势!$F$33)+1-760+640)=0,NA(),INDEX(指数走势!$F$33:$ACK$33,1,LOOKUP(2,1/(指数走势!$F$33:$ACK$33&lt;&gt;""),COLUMN(指数走势!$F$33:$ACK$33))-COLUMN(指数走势!$F$33)+1-760+640)))</f>
        <v>16.5904006958008</v>
      </c>
      <c r="XR97">
        <f ca="1">IF(ISERROR(INDEX(指数走势!$F$33:$ACK$33,1,LOOKUP(2,1/(指数走势!$F$33:$ACK$33&lt;&gt;""),COLUMN(指数走势!$F$33:$ACK$33))-COLUMN(指数走势!$F$33)+1-760+641)),NA(),IF(INDEX(指数走势!$F$33:$ACK$33,1,LOOKUP(2,1/(指数走势!$F$33:$ACK$33&lt;&gt;""),COLUMN(指数走势!$F$33:$ACK$33))-COLUMN(指数走势!$F$33)+1-760+641)=0,NA(),INDEX(指数走势!$F$33:$ACK$33,1,LOOKUP(2,1/(指数走势!$F$33:$ACK$33&lt;&gt;""),COLUMN(指数走势!$F$33:$ACK$33))-COLUMN(指数走势!$F$33)+1-760+641)))</f>
        <v>16.8040008544922</v>
      </c>
      <c r="XS97">
        <f ca="1">IF(ISERROR(INDEX(指数走势!$F$33:$ACK$33,1,LOOKUP(2,1/(指数走势!$F$33:$ACK$33&lt;&gt;""),COLUMN(指数走势!$F$33:$ACK$33))-COLUMN(指数走势!$F$33)+1-760+642)),NA(),IF(INDEX(指数走势!$F$33:$ACK$33,1,LOOKUP(2,1/(指数走势!$F$33:$ACK$33&lt;&gt;""),COLUMN(指数走势!$F$33:$ACK$33))-COLUMN(指数走势!$F$33)+1-760+642)=0,NA(),INDEX(指数走势!$F$33:$ACK$33,1,LOOKUP(2,1/(指数走势!$F$33:$ACK$33&lt;&gt;""),COLUMN(指数走势!$F$33:$ACK$33))-COLUMN(指数走势!$F$33)+1-760+642)))</f>
        <v>17.0400009155273</v>
      </c>
      <c r="XT97">
        <f ca="1">IF(ISERROR(INDEX(指数走势!$F$33:$ACK$33,1,LOOKUP(2,1/(指数走势!$F$33:$ACK$33&lt;&gt;""),COLUMN(指数走势!$F$33:$ACK$33))-COLUMN(指数走势!$F$33)+1-760+643)),NA(),IF(INDEX(指数走势!$F$33:$ACK$33,1,LOOKUP(2,1/(指数走势!$F$33:$ACK$33&lt;&gt;""),COLUMN(指数走势!$F$33:$ACK$33))-COLUMN(指数走势!$F$33)+1-760+643)=0,NA(),INDEX(指数走势!$F$33:$ACK$33,1,LOOKUP(2,1/(指数走势!$F$33:$ACK$33&lt;&gt;""),COLUMN(指数走势!$F$33:$ACK$33))-COLUMN(指数走势!$F$33)+1-760+643)))</f>
        <v>17.0244007110596</v>
      </c>
      <c r="XU97">
        <f ca="1">IF(ISERROR(INDEX(指数走势!$F$33:$ACK$33,1,LOOKUP(2,1/(指数走势!$F$33:$ACK$33&lt;&gt;""),COLUMN(指数走势!$F$33:$ACK$33))-COLUMN(指数走势!$F$33)+1-760+644)),NA(),IF(INDEX(指数走势!$F$33:$ACK$33,1,LOOKUP(2,1/(指数走势!$F$33:$ACK$33&lt;&gt;""),COLUMN(指数走势!$F$33:$ACK$33))-COLUMN(指数走势!$F$33)+1-760+644)=0,NA(),INDEX(指数走势!$F$33:$ACK$33,1,LOOKUP(2,1/(指数走势!$F$33:$ACK$33&lt;&gt;""),COLUMN(指数走势!$F$33:$ACK$33))-COLUMN(指数走势!$F$33)+1-760+644)))</f>
        <v>17.0002994537354</v>
      </c>
      <c r="XV97">
        <f ca="1">IF(ISERROR(INDEX(指数走势!$F$33:$ACK$33,1,LOOKUP(2,1/(指数走势!$F$33:$ACK$33&lt;&gt;""),COLUMN(指数走势!$F$33:$ACK$33))-COLUMN(指数走势!$F$33)+1-760+645)),NA(),IF(INDEX(指数走势!$F$33:$ACK$33,1,LOOKUP(2,1/(指数走势!$F$33:$ACK$33&lt;&gt;""),COLUMN(指数走势!$F$33:$ACK$33))-COLUMN(指数走势!$F$33)+1-760+645)=0,NA(),INDEX(指数走势!$F$33:$ACK$33,1,LOOKUP(2,1/(指数走势!$F$33:$ACK$33&lt;&gt;""),COLUMN(指数走势!$F$33:$ACK$33))-COLUMN(指数走势!$F$33)+1-760+645)))</f>
        <v>17.1354007720947</v>
      </c>
      <c r="XW97">
        <f ca="1">IF(ISERROR(INDEX(指数走势!$F$33:$ACK$33,1,LOOKUP(2,1/(指数走势!$F$33:$ACK$33&lt;&gt;""),COLUMN(指数走势!$F$33:$ACK$33))-COLUMN(指数走势!$F$33)+1-760+646)),NA(),IF(INDEX(指数走势!$F$33:$ACK$33,1,LOOKUP(2,1/(指数走势!$F$33:$ACK$33&lt;&gt;""),COLUMN(指数走势!$F$33:$ACK$33))-COLUMN(指数走势!$F$33)+1-760+646)=0,NA(),INDEX(指数走势!$F$33:$ACK$33,1,LOOKUP(2,1/(指数走势!$F$33:$ACK$33&lt;&gt;""),COLUMN(指数走势!$F$33:$ACK$33))-COLUMN(指数走势!$F$33)+1-760+646)))</f>
        <v>17.2887992858887</v>
      </c>
      <c r="XX97">
        <f ca="1">IF(ISERROR(INDEX(指数走势!$F$33:$ACK$33,1,LOOKUP(2,1/(指数走势!$F$33:$ACK$33&lt;&gt;""),COLUMN(指数走势!$F$33:$ACK$33))-COLUMN(指数走势!$F$33)+1-760+647)),NA(),IF(INDEX(指数走势!$F$33:$ACK$33,1,LOOKUP(2,1/(指数走势!$F$33:$ACK$33&lt;&gt;""),COLUMN(指数走势!$F$33:$ACK$33))-COLUMN(指数走势!$F$33)+1-760+647)=0,NA(),INDEX(指数走势!$F$33:$ACK$33,1,LOOKUP(2,1/(指数走势!$F$33:$ACK$33&lt;&gt;""),COLUMN(指数走势!$F$33:$ACK$33))-COLUMN(指数走势!$F$33)+1-760+647)))</f>
        <v>17.2180995941162</v>
      </c>
      <c r="XY97">
        <f ca="1">IF(ISERROR(INDEX(指数走势!$F$33:$ACK$33,1,LOOKUP(2,1/(指数走势!$F$33:$ACK$33&lt;&gt;""),COLUMN(指数走势!$F$33:$ACK$33))-COLUMN(指数走势!$F$33)+1-760+648)),NA(),IF(INDEX(指数走势!$F$33:$ACK$33,1,LOOKUP(2,1/(指数走势!$F$33:$ACK$33&lt;&gt;""),COLUMN(指数走势!$F$33:$ACK$33))-COLUMN(指数走势!$F$33)+1-760+648)=0,NA(),INDEX(指数走势!$F$33:$ACK$33,1,LOOKUP(2,1/(指数走势!$F$33:$ACK$33&lt;&gt;""),COLUMN(指数走势!$F$33:$ACK$33))-COLUMN(指数走势!$F$33)+1-760+648)))</f>
        <v>17.1387996673584</v>
      </c>
      <c r="XZ97">
        <f ca="1">IF(ISERROR(INDEX(指数走势!$F$33:$ACK$33,1,LOOKUP(2,1/(指数走势!$F$33:$ACK$33&lt;&gt;""),COLUMN(指数走势!$F$33:$ACK$33))-COLUMN(指数走势!$F$33)+1-760+649)),NA(),IF(INDEX(指数走势!$F$33:$ACK$33,1,LOOKUP(2,1/(指数走势!$F$33:$ACK$33&lt;&gt;""),COLUMN(指数走势!$F$33:$ACK$33))-COLUMN(指数走势!$F$33)+1-760+649)=0,NA(),INDEX(指数走势!$F$33:$ACK$33,1,LOOKUP(2,1/(指数走势!$F$33:$ACK$33&lt;&gt;""),COLUMN(指数走势!$F$33:$ACK$33))-COLUMN(指数走势!$F$33)+1-760+649)))</f>
        <v>17.0764007568359</v>
      </c>
      <c r="YA97">
        <f ca="1">IF(ISERROR(INDEX(指数走势!$F$33:$ACK$33,1,LOOKUP(2,1/(指数走势!$F$33:$ACK$33&lt;&gt;""),COLUMN(指数走势!$F$33:$ACK$33))-COLUMN(指数走势!$F$33)+1-760+650)),NA(),IF(INDEX(指数走势!$F$33:$ACK$33,1,LOOKUP(2,1/(指数走势!$F$33:$ACK$33&lt;&gt;""),COLUMN(指数走势!$F$33:$ACK$33))-COLUMN(指数走势!$F$33)+1-760+650)=0,NA(),INDEX(指数走势!$F$33:$ACK$33,1,LOOKUP(2,1/(指数走势!$F$33:$ACK$33&lt;&gt;""),COLUMN(指数走势!$F$33:$ACK$33))-COLUMN(指数走势!$F$33)+1-760+650)))</f>
        <v>17.0154991149902</v>
      </c>
      <c r="YB97">
        <f ca="1">IF(ISERROR(INDEX(指数走势!$F$33:$ACK$33,1,LOOKUP(2,1/(指数走势!$F$33:$ACK$33&lt;&gt;""),COLUMN(指数走势!$F$33:$ACK$33))-COLUMN(指数走势!$F$33)+1-760+651)),NA(),IF(INDEX(指数走势!$F$33:$ACK$33,1,LOOKUP(2,1/(指数走势!$F$33:$ACK$33&lt;&gt;""),COLUMN(指数走势!$F$33:$ACK$33))-COLUMN(指数走势!$F$33)+1-760+651)=0,NA(),INDEX(指数走势!$F$33:$ACK$33,1,LOOKUP(2,1/(指数走势!$F$33:$ACK$33&lt;&gt;""),COLUMN(指数走势!$F$33:$ACK$33))-COLUMN(指数走势!$F$33)+1-760+651)))</f>
        <v>17.0492992401123</v>
      </c>
      <c r="YC97">
        <f ca="1">IF(ISERROR(INDEX(指数走势!$F$33:$ACK$33,1,LOOKUP(2,1/(指数走势!$F$33:$ACK$33&lt;&gt;""),COLUMN(指数走势!$F$33:$ACK$33))-COLUMN(指数走势!$F$33)+1-760+652)),NA(),IF(INDEX(指数走势!$F$33:$ACK$33,1,LOOKUP(2,1/(指数走势!$F$33:$ACK$33&lt;&gt;""),COLUMN(指数走势!$F$33:$ACK$33))-COLUMN(指数走势!$F$33)+1-760+652)=0,NA(),INDEX(指数走势!$F$33:$ACK$33,1,LOOKUP(2,1/(指数走势!$F$33:$ACK$33&lt;&gt;""),COLUMN(指数走势!$F$33:$ACK$33))-COLUMN(指数走势!$F$33)+1-760+652)))</f>
        <v>17.0541000366211</v>
      </c>
      <c r="YD97">
        <f ca="1">IF(ISERROR(INDEX(指数走势!$F$33:$ACK$33,1,LOOKUP(2,1/(指数走势!$F$33:$ACK$33&lt;&gt;""),COLUMN(指数走势!$F$33:$ACK$33))-COLUMN(指数走势!$F$33)+1-760+653)),NA(),IF(INDEX(指数走势!$F$33:$ACK$33,1,LOOKUP(2,1/(指数走势!$F$33:$ACK$33&lt;&gt;""),COLUMN(指数走势!$F$33:$ACK$33))-COLUMN(指数走势!$F$33)+1-760+653)=0,NA(),INDEX(指数走势!$F$33:$ACK$33,1,LOOKUP(2,1/(指数走势!$F$33:$ACK$33&lt;&gt;""),COLUMN(指数走势!$F$33:$ACK$33))-COLUMN(指数走势!$F$33)+1-760+653)))</f>
        <v>17.0571994781494</v>
      </c>
      <c r="YE97">
        <f ca="1">IF(ISERROR(INDEX(指数走势!$F$33:$ACK$33,1,LOOKUP(2,1/(指数走势!$F$33:$ACK$33&lt;&gt;""),COLUMN(指数走势!$F$33:$ACK$33))-COLUMN(指数走势!$F$33)+1-760+654)),NA(),IF(INDEX(指数走势!$F$33:$ACK$33,1,LOOKUP(2,1/(指数走势!$F$33:$ACK$33&lt;&gt;""),COLUMN(指数走势!$F$33:$ACK$33))-COLUMN(指数走势!$F$33)+1-760+654)=0,NA(),INDEX(指数走势!$F$33:$ACK$33,1,LOOKUP(2,1/(指数走势!$F$33:$ACK$33&lt;&gt;""),COLUMN(指数走势!$F$33:$ACK$33))-COLUMN(指数走势!$F$33)+1-760+654)))</f>
        <v>17.0737991333008</v>
      </c>
      <c r="YF97">
        <f ca="1">IF(ISERROR(INDEX(指数走势!$F$33:$ACK$33,1,LOOKUP(2,1/(指数走势!$F$33:$ACK$33&lt;&gt;""),COLUMN(指数走势!$F$33:$ACK$33))-COLUMN(指数走势!$F$33)+1-760+655)),NA(),IF(INDEX(指数走势!$F$33:$ACK$33,1,LOOKUP(2,1/(指数走势!$F$33:$ACK$33&lt;&gt;""),COLUMN(指数走势!$F$33:$ACK$33))-COLUMN(指数走势!$F$33)+1-760+655)=0,NA(),INDEX(指数走势!$F$33:$ACK$33,1,LOOKUP(2,1/(指数走势!$F$33:$ACK$33&lt;&gt;""),COLUMN(指数走势!$F$33:$ACK$33))-COLUMN(指数走势!$F$33)+1-760+655)))</f>
        <v>17.0976009368896</v>
      </c>
      <c r="YG97">
        <f ca="1">IF(ISERROR(INDEX(指数走势!$F$33:$ACK$33,1,LOOKUP(2,1/(指数走势!$F$33:$ACK$33&lt;&gt;""),COLUMN(指数走势!$F$33:$ACK$33))-COLUMN(指数走势!$F$33)+1-760+656)),NA(),IF(INDEX(指数走势!$F$33:$ACK$33,1,LOOKUP(2,1/(指数走势!$F$33:$ACK$33&lt;&gt;""),COLUMN(指数走势!$F$33:$ACK$33))-COLUMN(指数走势!$F$33)+1-760+656)=0,NA(),INDEX(指数走势!$F$33:$ACK$33,1,LOOKUP(2,1/(指数走势!$F$33:$ACK$33&lt;&gt;""),COLUMN(指数走势!$F$33:$ACK$33))-COLUMN(指数走势!$F$33)+1-760+656)))</f>
        <v>17.1149997711182</v>
      </c>
      <c r="YH97">
        <f ca="1">IF(ISERROR(INDEX(指数走势!$F$33:$ACK$33,1,LOOKUP(2,1/(指数走势!$F$33:$ACK$33&lt;&gt;""),COLUMN(指数走势!$F$33:$ACK$33))-COLUMN(指数走势!$F$33)+1-760+657)),NA(),IF(INDEX(指数走势!$F$33:$ACK$33,1,LOOKUP(2,1/(指数走势!$F$33:$ACK$33&lt;&gt;""),COLUMN(指数走势!$F$33:$ACK$33))-COLUMN(指数走势!$F$33)+1-760+657)=0,NA(),INDEX(指数走势!$F$33:$ACK$33,1,LOOKUP(2,1/(指数走势!$F$33:$ACK$33&lt;&gt;""),COLUMN(指数走势!$F$33:$ACK$33))-COLUMN(指数走势!$F$33)+1-760+657)))</f>
        <v>17.1502990722656</v>
      </c>
      <c r="YI97">
        <f ca="1">IF(ISERROR(INDEX(指数走势!$F$33:$ACK$33,1,LOOKUP(2,1/(指数走势!$F$33:$ACK$33&lt;&gt;""),COLUMN(指数走势!$F$33:$ACK$33))-COLUMN(指数走势!$F$33)+1-760+658)),NA(),IF(INDEX(指数走势!$F$33:$ACK$33,1,LOOKUP(2,1/(指数走势!$F$33:$ACK$33&lt;&gt;""),COLUMN(指数走势!$F$33:$ACK$33))-COLUMN(指数走势!$F$33)+1-760+658)=0,NA(),INDEX(指数走势!$F$33:$ACK$33,1,LOOKUP(2,1/(指数走势!$F$33:$ACK$33&lt;&gt;""),COLUMN(指数走势!$F$33:$ACK$33))-COLUMN(指数走势!$F$33)+1-760+658)))</f>
        <v>17.233699798584</v>
      </c>
      <c r="YJ97">
        <f ca="1">IF(ISERROR(INDEX(指数走势!$F$33:$ACK$33,1,LOOKUP(2,1/(指数走势!$F$33:$ACK$33&lt;&gt;""),COLUMN(指数走势!$F$33:$ACK$33))-COLUMN(指数走势!$F$33)+1-760+659)),NA(),IF(INDEX(指数走势!$F$33:$ACK$33,1,LOOKUP(2,1/(指数走势!$F$33:$ACK$33&lt;&gt;""),COLUMN(指数走势!$F$33:$ACK$33))-COLUMN(指数走势!$F$33)+1-760+659)=0,NA(),INDEX(指数走势!$F$33:$ACK$33,1,LOOKUP(2,1/(指数走势!$F$33:$ACK$33&lt;&gt;""),COLUMN(指数走势!$F$33:$ACK$33))-COLUMN(指数走势!$F$33)+1-760+659)))</f>
        <v>17.2828006744385</v>
      </c>
      <c r="YK97">
        <f ca="1">IF(ISERROR(INDEX(指数走势!$F$33:$ACK$33,1,LOOKUP(2,1/(指数走势!$F$33:$ACK$33&lt;&gt;""),COLUMN(指数走势!$F$33:$ACK$33))-COLUMN(指数走势!$F$33)+1-760+660)),NA(),IF(INDEX(指数走势!$F$33:$ACK$33,1,LOOKUP(2,1/(指数走势!$F$33:$ACK$33&lt;&gt;""),COLUMN(指数走势!$F$33:$ACK$33))-COLUMN(指数走势!$F$33)+1-760+660)=0,NA(),INDEX(指数走势!$F$33:$ACK$33,1,LOOKUP(2,1/(指数走势!$F$33:$ACK$33&lt;&gt;""),COLUMN(指数走势!$F$33:$ACK$33))-COLUMN(指数走势!$F$33)+1-760+660)))</f>
        <v>17.1140995025635</v>
      </c>
      <c r="YL97">
        <f ca="1">IF(ISERROR(INDEX(指数走势!$F$33:$ACK$33,1,LOOKUP(2,1/(指数走势!$F$33:$ACK$33&lt;&gt;""),COLUMN(指数走势!$F$33:$ACK$33))-COLUMN(指数走势!$F$33)+1-760+661)),NA(),IF(INDEX(指数走势!$F$33:$ACK$33,1,LOOKUP(2,1/(指数走势!$F$33:$ACK$33&lt;&gt;""),COLUMN(指数走势!$F$33:$ACK$33))-COLUMN(指数走势!$F$33)+1-760+661)=0,NA(),INDEX(指数走势!$F$33:$ACK$33,1,LOOKUP(2,1/(指数走势!$F$33:$ACK$33&lt;&gt;""),COLUMN(指数走势!$F$33:$ACK$33))-COLUMN(指数走势!$F$33)+1-760+661)))</f>
        <v>16.6903991699219</v>
      </c>
      <c r="YM97">
        <f ca="1">IF(ISERROR(INDEX(指数走势!$F$33:$ACK$33,1,LOOKUP(2,1/(指数走势!$F$33:$ACK$33&lt;&gt;""),COLUMN(指数走势!$F$33:$ACK$33))-COLUMN(指数走势!$F$33)+1-760+662)),NA(),IF(INDEX(指数走势!$F$33:$ACK$33,1,LOOKUP(2,1/(指数走势!$F$33:$ACK$33&lt;&gt;""),COLUMN(指数走势!$F$33:$ACK$33))-COLUMN(指数走势!$F$33)+1-760+662)=0,NA(),INDEX(指数走势!$F$33:$ACK$33,1,LOOKUP(2,1/(指数走势!$F$33:$ACK$33&lt;&gt;""),COLUMN(指数走势!$F$33:$ACK$33))-COLUMN(指数走势!$F$33)+1-760+662)))</f>
        <v>16.8656997680664</v>
      </c>
      <c r="YN97">
        <f ca="1">IF(ISERROR(INDEX(指数走势!$F$33:$ACK$33,1,LOOKUP(2,1/(指数走势!$F$33:$ACK$33&lt;&gt;""),COLUMN(指数走势!$F$33:$ACK$33))-COLUMN(指数走势!$F$33)+1-760+663)),NA(),IF(INDEX(指数走势!$F$33:$ACK$33,1,LOOKUP(2,1/(指数走势!$F$33:$ACK$33&lt;&gt;""),COLUMN(指数走势!$F$33:$ACK$33))-COLUMN(指数走势!$F$33)+1-760+663)=0,NA(),INDEX(指数走势!$F$33:$ACK$33,1,LOOKUP(2,1/(指数走势!$F$33:$ACK$33&lt;&gt;""),COLUMN(指数走势!$F$33:$ACK$33))-COLUMN(指数走势!$F$33)+1-760+663)))</f>
        <v>17.0265998840332</v>
      </c>
      <c r="YO97">
        <f ca="1">IF(ISERROR(INDEX(指数走势!$F$33:$ACK$33,1,LOOKUP(2,1/(指数走势!$F$33:$ACK$33&lt;&gt;""),COLUMN(指数走势!$F$33:$ACK$33))-COLUMN(指数走势!$F$33)+1-760+664)),NA(),IF(INDEX(指数走势!$F$33:$ACK$33,1,LOOKUP(2,1/(指数走势!$F$33:$ACK$33&lt;&gt;""),COLUMN(指数走势!$F$33:$ACK$33))-COLUMN(指数走势!$F$33)+1-760+664)=0,NA(),INDEX(指数走势!$F$33:$ACK$33,1,LOOKUP(2,1/(指数走势!$F$33:$ACK$33&lt;&gt;""),COLUMN(指数走势!$F$33:$ACK$33))-COLUMN(指数走势!$F$33)+1-760+664)))</f>
        <v>16.9242000579834</v>
      </c>
      <c r="YP97">
        <f ca="1">IF(ISERROR(INDEX(指数走势!$F$33:$ACK$33,1,LOOKUP(2,1/(指数走势!$F$33:$ACK$33&lt;&gt;""),COLUMN(指数走势!$F$33:$ACK$33))-COLUMN(指数走势!$F$33)+1-760+665)),NA(),IF(INDEX(指数走势!$F$33:$ACK$33,1,LOOKUP(2,1/(指数走势!$F$33:$ACK$33&lt;&gt;""),COLUMN(指数走势!$F$33:$ACK$33))-COLUMN(指数走势!$F$33)+1-760+665)=0,NA(),INDEX(指数走势!$F$33:$ACK$33,1,LOOKUP(2,1/(指数走势!$F$33:$ACK$33&lt;&gt;""),COLUMN(指数走势!$F$33:$ACK$33))-COLUMN(指数走势!$F$33)+1-760+665)))</f>
        <v>16.8899993896484</v>
      </c>
      <c r="YQ97">
        <f ca="1">IF(ISERROR(INDEX(指数走势!$F$33:$ACK$33,1,LOOKUP(2,1/(指数走势!$F$33:$ACK$33&lt;&gt;""),COLUMN(指数走势!$F$33:$ACK$33))-COLUMN(指数走势!$F$33)+1-760+666)),NA(),IF(INDEX(指数走势!$F$33:$ACK$33,1,LOOKUP(2,1/(指数走势!$F$33:$ACK$33&lt;&gt;""),COLUMN(指数走势!$F$33:$ACK$33))-COLUMN(指数走势!$F$33)+1-760+666)=0,NA(),INDEX(指数走势!$F$33:$ACK$33,1,LOOKUP(2,1/(指数走势!$F$33:$ACK$33&lt;&gt;""),COLUMN(指数走势!$F$33:$ACK$33))-COLUMN(指数走势!$F$33)+1-760+666)))</f>
        <v>17.1063995361328</v>
      </c>
      <c r="YR97">
        <f ca="1">IF(ISERROR(INDEX(指数走势!$F$33:$ACK$33,1,LOOKUP(2,1/(指数走势!$F$33:$ACK$33&lt;&gt;""),COLUMN(指数走势!$F$33:$ACK$33))-COLUMN(指数走势!$F$33)+1-760+667)),NA(),IF(INDEX(指数走势!$F$33:$ACK$33,1,LOOKUP(2,1/(指数走势!$F$33:$ACK$33&lt;&gt;""),COLUMN(指数走势!$F$33:$ACK$33))-COLUMN(指数走势!$F$33)+1-760+667)=0,NA(),INDEX(指数走势!$F$33:$ACK$33,1,LOOKUP(2,1/(指数走势!$F$33:$ACK$33&lt;&gt;""),COLUMN(指数走势!$F$33:$ACK$33))-COLUMN(指数走势!$F$33)+1-760+667)))</f>
        <v>17.1429004669189</v>
      </c>
      <c r="YS97">
        <f ca="1">IF(ISERROR(INDEX(指数走势!$F$33:$ACK$33,1,LOOKUP(2,1/(指数走势!$F$33:$ACK$33&lt;&gt;""),COLUMN(指数走势!$F$33:$ACK$33))-COLUMN(指数走势!$F$33)+1-760+668)),NA(),IF(INDEX(指数走势!$F$33:$ACK$33,1,LOOKUP(2,1/(指数走势!$F$33:$ACK$33&lt;&gt;""),COLUMN(指数走势!$F$33:$ACK$33))-COLUMN(指数走势!$F$33)+1-760+668)=0,NA(),INDEX(指数走势!$F$33:$ACK$33,1,LOOKUP(2,1/(指数走势!$F$33:$ACK$33&lt;&gt;""),COLUMN(指数走势!$F$33:$ACK$33))-COLUMN(指数走势!$F$33)+1-760+668)))</f>
        <v>17.1613998413086</v>
      </c>
      <c r="YT97">
        <f ca="1">IF(ISERROR(INDEX(指数走势!$F$33:$ACK$33,1,LOOKUP(2,1/(指数走势!$F$33:$ACK$33&lt;&gt;""),COLUMN(指数走势!$F$33:$ACK$33))-COLUMN(指数走势!$F$33)+1-760+669)),NA(),IF(INDEX(指数走势!$F$33:$ACK$33,1,LOOKUP(2,1/(指数走势!$F$33:$ACK$33&lt;&gt;""),COLUMN(指数走势!$F$33:$ACK$33))-COLUMN(指数走势!$F$33)+1-760+669)=0,NA(),INDEX(指数走势!$F$33:$ACK$33,1,LOOKUP(2,1/(指数走势!$F$33:$ACK$33&lt;&gt;""),COLUMN(指数走势!$F$33:$ACK$33))-COLUMN(指数走势!$F$33)+1-760+669)))</f>
        <v>17.154899597168</v>
      </c>
      <c r="YU97">
        <f ca="1">IF(ISERROR(INDEX(指数走势!$F$33:$ACK$33,1,LOOKUP(2,1/(指数走势!$F$33:$ACK$33&lt;&gt;""),COLUMN(指数走势!$F$33:$ACK$33))-COLUMN(指数走势!$F$33)+1-760+670)),NA(),IF(INDEX(指数走势!$F$33:$ACK$33,1,LOOKUP(2,1/(指数走势!$F$33:$ACK$33&lt;&gt;""),COLUMN(指数走势!$F$33:$ACK$33))-COLUMN(指数走势!$F$33)+1-760+670)=0,NA(),INDEX(指数走势!$F$33:$ACK$33,1,LOOKUP(2,1/(指数走势!$F$33:$ACK$33&lt;&gt;""),COLUMN(指数走势!$F$33:$ACK$33))-COLUMN(指数走势!$F$33)+1-760+670)))</f>
        <v>16.9321002960205</v>
      </c>
      <c r="YV97">
        <f ca="1">IF(ISERROR(INDEX(指数走势!$F$33:$ACK$33,1,LOOKUP(2,1/(指数走势!$F$33:$ACK$33&lt;&gt;""),COLUMN(指数走势!$F$33:$ACK$33))-COLUMN(指数走势!$F$33)+1-760+671)),NA(),IF(INDEX(指数走势!$F$33:$ACK$33,1,LOOKUP(2,1/(指数走势!$F$33:$ACK$33&lt;&gt;""),COLUMN(指数走势!$F$33:$ACK$33))-COLUMN(指数走势!$F$33)+1-760+671)=0,NA(),INDEX(指数走势!$F$33:$ACK$33,1,LOOKUP(2,1/(指数走势!$F$33:$ACK$33&lt;&gt;""),COLUMN(指数走势!$F$33:$ACK$33))-COLUMN(指数走势!$F$33)+1-760+671)))</f>
        <v>17.1028003692627</v>
      </c>
      <c r="YW97">
        <f ca="1">IF(ISERROR(INDEX(指数走势!$F$33:$ACK$33,1,LOOKUP(2,1/(指数走势!$F$33:$ACK$33&lt;&gt;""),COLUMN(指数走势!$F$33:$ACK$33))-COLUMN(指数走势!$F$33)+1-760+672)),NA(),IF(INDEX(指数走势!$F$33:$ACK$33,1,LOOKUP(2,1/(指数走势!$F$33:$ACK$33&lt;&gt;""),COLUMN(指数走势!$F$33:$ACK$33))-COLUMN(指数走势!$F$33)+1-760+672)=0,NA(),INDEX(指数走势!$F$33:$ACK$33,1,LOOKUP(2,1/(指数走势!$F$33:$ACK$33&lt;&gt;""),COLUMN(指数走势!$F$33:$ACK$33))-COLUMN(指数走势!$F$33)+1-760+672)))</f>
        <v>17.1870994567871</v>
      </c>
      <c r="YX97">
        <f ca="1">IF(ISERROR(INDEX(指数走势!$F$33:$ACK$33,1,LOOKUP(2,1/(指数走势!$F$33:$ACK$33&lt;&gt;""),COLUMN(指数走势!$F$33:$ACK$33))-COLUMN(指数走势!$F$33)+1-760+673)),NA(),IF(INDEX(指数走势!$F$33:$ACK$33,1,LOOKUP(2,1/(指数走势!$F$33:$ACK$33&lt;&gt;""),COLUMN(指数走势!$F$33:$ACK$33))-COLUMN(指数走势!$F$33)+1-760+673)=0,NA(),INDEX(指数走势!$F$33:$ACK$33,1,LOOKUP(2,1/(指数走势!$F$33:$ACK$33&lt;&gt;""),COLUMN(指数走势!$F$33:$ACK$33))-COLUMN(指数走势!$F$33)+1-760+673)))</f>
        <v>17.1587009429932</v>
      </c>
      <c r="YY97">
        <f ca="1">IF(ISERROR(INDEX(指数走势!$F$33:$ACK$33,1,LOOKUP(2,1/(指数走势!$F$33:$ACK$33&lt;&gt;""),COLUMN(指数走势!$F$33:$ACK$33))-COLUMN(指数走势!$F$33)+1-760+674)),NA(),IF(INDEX(指数走势!$F$33:$ACK$33,1,LOOKUP(2,1/(指数走势!$F$33:$ACK$33&lt;&gt;""),COLUMN(指数走势!$F$33:$ACK$33))-COLUMN(指数走势!$F$33)+1-760+674)=0,NA(),INDEX(指数走势!$F$33:$ACK$33,1,LOOKUP(2,1/(指数走势!$F$33:$ACK$33&lt;&gt;""),COLUMN(指数走势!$F$33:$ACK$33))-COLUMN(指数走势!$F$33)+1-760+674)))</f>
        <v>17.2003993988037</v>
      </c>
      <c r="YZ97">
        <f ca="1">IF(ISERROR(INDEX(指数走势!$F$33:$ACK$33,1,LOOKUP(2,1/(指数走势!$F$33:$ACK$33&lt;&gt;""),COLUMN(指数走势!$F$33:$ACK$33))-COLUMN(指数走势!$F$33)+1-760+675)),NA(),IF(INDEX(指数走势!$F$33:$ACK$33,1,LOOKUP(2,1/(指数走势!$F$33:$ACK$33&lt;&gt;""),COLUMN(指数走势!$F$33:$ACK$33))-COLUMN(指数走势!$F$33)+1-760+675)=0,NA(),INDEX(指数走势!$F$33:$ACK$33,1,LOOKUP(2,1/(指数走势!$F$33:$ACK$33&lt;&gt;""),COLUMN(指数走势!$F$33:$ACK$33))-COLUMN(指数走势!$F$33)+1-760+675)))</f>
        <v>17.3241004943848</v>
      </c>
      <c r="ZA97">
        <f ca="1">IF(ISERROR(INDEX(指数走势!$F$33:$ACK$33,1,LOOKUP(2,1/(指数走势!$F$33:$ACK$33&lt;&gt;""),COLUMN(指数走势!$F$33:$ACK$33))-COLUMN(指数走势!$F$33)+1-760+676)),NA(),IF(INDEX(指数走势!$F$33:$ACK$33,1,LOOKUP(2,1/(指数走势!$F$33:$ACK$33&lt;&gt;""),COLUMN(指数走势!$F$33:$ACK$33))-COLUMN(指数走势!$F$33)+1-760+676)=0,NA(),INDEX(指数走势!$F$33:$ACK$33,1,LOOKUP(2,1/(指数走势!$F$33:$ACK$33&lt;&gt;""),COLUMN(指数走势!$F$33:$ACK$33))-COLUMN(指数走势!$F$33)+1-760+676)))</f>
        <v>17.1664009094238</v>
      </c>
      <c r="ZB97">
        <f ca="1">IF(ISERROR(INDEX(指数走势!$F$33:$ACK$33,1,LOOKUP(2,1/(指数走势!$F$33:$ACK$33&lt;&gt;""),COLUMN(指数走势!$F$33:$ACK$33))-COLUMN(指数走势!$F$33)+1-760+677)),NA(),IF(INDEX(指数走势!$F$33:$ACK$33,1,LOOKUP(2,1/(指数走势!$F$33:$ACK$33&lt;&gt;""),COLUMN(指数走势!$F$33:$ACK$33))-COLUMN(指数走势!$F$33)+1-760+677)=0,NA(),INDEX(指数走势!$F$33:$ACK$33,1,LOOKUP(2,1/(指数走势!$F$33:$ACK$33&lt;&gt;""),COLUMN(指数走势!$F$33:$ACK$33))-COLUMN(指数走势!$F$33)+1-760+677)))</f>
        <v>16.9923000335693</v>
      </c>
      <c r="ZC97">
        <f ca="1">IF(ISERROR(INDEX(指数走势!$F$33:$ACK$33,1,LOOKUP(2,1/(指数走势!$F$33:$ACK$33&lt;&gt;""),COLUMN(指数走势!$F$33:$ACK$33))-COLUMN(指数走势!$F$33)+1-760+678)),NA(),IF(INDEX(指数走势!$F$33:$ACK$33,1,LOOKUP(2,1/(指数走势!$F$33:$ACK$33&lt;&gt;""),COLUMN(指数走势!$F$33:$ACK$33))-COLUMN(指数走势!$F$33)+1-760+678)=0,NA(),INDEX(指数走势!$F$33:$ACK$33,1,LOOKUP(2,1/(指数走势!$F$33:$ACK$33&lt;&gt;""),COLUMN(指数走势!$F$33:$ACK$33))-COLUMN(指数走势!$F$33)+1-760+678)))</f>
        <v>17.0834007263184</v>
      </c>
      <c r="ZD97">
        <f ca="1">IF(ISERROR(INDEX(指数走势!$F$33:$ACK$33,1,LOOKUP(2,1/(指数走势!$F$33:$ACK$33&lt;&gt;""),COLUMN(指数走势!$F$33:$ACK$33))-COLUMN(指数走势!$F$33)+1-760+679)),NA(),IF(INDEX(指数走势!$F$33:$ACK$33,1,LOOKUP(2,1/(指数走势!$F$33:$ACK$33&lt;&gt;""),COLUMN(指数走势!$F$33:$ACK$33))-COLUMN(指数走势!$F$33)+1-760+679)=0,NA(),INDEX(指数走势!$F$33:$ACK$33,1,LOOKUP(2,1/(指数走势!$F$33:$ACK$33&lt;&gt;""),COLUMN(指数走势!$F$33:$ACK$33))-COLUMN(指数走势!$F$33)+1-760+679)))</f>
        <v>17.1247005462646</v>
      </c>
      <c r="ZE97">
        <f ca="1">IF(ISERROR(INDEX(指数走势!$F$33:$ACK$33,1,LOOKUP(2,1/(指数走势!$F$33:$ACK$33&lt;&gt;""),COLUMN(指数走势!$F$33:$ACK$33))-COLUMN(指数走势!$F$33)+1-760+680)),NA(),IF(INDEX(指数走势!$F$33:$ACK$33,1,LOOKUP(2,1/(指数走势!$F$33:$ACK$33&lt;&gt;""),COLUMN(指数走势!$F$33:$ACK$33))-COLUMN(指数走势!$F$33)+1-760+680)=0,NA(),INDEX(指数走势!$F$33:$ACK$33,1,LOOKUP(2,1/(指数走势!$F$33:$ACK$33&lt;&gt;""),COLUMN(指数走势!$F$33:$ACK$33))-COLUMN(指数走势!$F$33)+1-760+680)))</f>
        <v>17.0492000579834</v>
      </c>
      <c r="ZF97">
        <f ca="1">IF(ISERROR(INDEX(指数走势!$F$33:$ACK$33,1,LOOKUP(2,1/(指数走势!$F$33:$ACK$33&lt;&gt;""),COLUMN(指数走势!$F$33:$ACK$33))-COLUMN(指数走势!$F$33)+1-760+681)),NA(),IF(INDEX(指数走势!$F$33:$ACK$33,1,LOOKUP(2,1/(指数走势!$F$33:$ACK$33&lt;&gt;""),COLUMN(指数走势!$F$33:$ACK$33))-COLUMN(指数走势!$F$33)+1-760+681)=0,NA(),INDEX(指数走势!$F$33:$ACK$33,1,LOOKUP(2,1/(指数走势!$F$33:$ACK$33&lt;&gt;""),COLUMN(指数走势!$F$33:$ACK$33))-COLUMN(指数走势!$F$33)+1-760+681)))</f>
        <v>17.118200302124</v>
      </c>
      <c r="ZG97">
        <f ca="1">IF(ISERROR(INDEX(指数走势!$F$33:$ACK$33,1,LOOKUP(2,1/(指数走势!$F$33:$ACK$33&lt;&gt;""),COLUMN(指数走势!$F$33:$ACK$33))-COLUMN(指数走势!$F$33)+1-760+682)),NA(),IF(INDEX(指数走势!$F$33:$ACK$33,1,LOOKUP(2,1/(指数走势!$F$33:$ACK$33&lt;&gt;""),COLUMN(指数走势!$F$33:$ACK$33))-COLUMN(指数走势!$F$33)+1-760+682)=0,NA(),INDEX(指数走势!$F$33:$ACK$33,1,LOOKUP(2,1/(指数走势!$F$33:$ACK$33&lt;&gt;""),COLUMN(指数走势!$F$33:$ACK$33))-COLUMN(指数走势!$F$33)+1-760+682)))</f>
        <v>17.1798000335693</v>
      </c>
      <c r="ZH97">
        <f ca="1">IF(ISERROR(INDEX(指数走势!$F$33:$ACK$33,1,LOOKUP(2,1/(指数走势!$F$33:$ACK$33&lt;&gt;""),COLUMN(指数走势!$F$33:$ACK$33))-COLUMN(指数走势!$F$33)+1-760+683)),NA(),IF(INDEX(指数走势!$F$33:$ACK$33,1,LOOKUP(2,1/(指数走势!$F$33:$ACK$33&lt;&gt;""),COLUMN(指数走势!$F$33:$ACK$33))-COLUMN(指数走势!$F$33)+1-760+683)=0,NA(),INDEX(指数走势!$F$33:$ACK$33,1,LOOKUP(2,1/(指数走势!$F$33:$ACK$33&lt;&gt;""),COLUMN(指数走势!$F$33:$ACK$33))-COLUMN(指数走势!$F$33)+1-760+683)))</f>
        <v>17.1798992156982</v>
      </c>
      <c r="ZI97">
        <f ca="1">IF(ISERROR(INDEX(指数走势!$F$33:$ACK$33,1,LOOKUP(2,1/(指数走势!$F$33:$ACK$33&lt;&gt;""),COLUMN(指数走势!$F$33:$ACK$33))-COLUMN(指数走势!$F$33)+1-760+684)),NA(),IF(INDEX(指数走势!$F$33:$ACK$33,1,LOOKUP(2,1/(指数走势!$F$33:$ACK$33&lt;&gt;""),COLUMN(指数走势!$F$33:$ACK$33))-COLUMN(指数走势!$F$33)+1-760+684)=0,NA(),INDEX(指数走势!$F$33:$ACK$33,1,LOOKUP(2,1/(指数走势!$F$33:$ACK$33&lt;&gt;""),COLUMN(指数走势!$F$33:$ACK$33))-COLUMN(指数走势!$F$33)+1-760+684)))</f>
        <v>17.0503005981445</v>
      </c>
      <c r="ZJ97">
        <f ca="1">IF(ISERROR(INDEX(指数走势!$F$33:$ACK$33,1,LOOKUP(2,1/(指数走势!$F$33:$ACK$33&lt;&gt;""),COLUMN(指数走势!$F$33:$ACK$33))-COLUMN(指数走势!$F$33)+1-760+685)),NA(),IF(INDEX(指数走势!$F$33:$ACK$33,1,LOOKUP(2,1/(指数走势!$F$33:$ACK$33&lt;&gt;""),COLUMN(指数走势!$F$33:$ACK$33))-COLUMN(指数走势!$F$33)+1-760+685)=0,NA(),INDEX(指数走势!$F$33:$ACK$33,1,LOOKUP(2,1/(指数走势!$F$33:$ACK$33&lt;&gt;""),COLUMN(指数走势!$F$33:$ACK$33))-COLUMN(指数走势!$F$33)+1-760+685)))</f>
        <v>17.0060005187988</v>
      </c>
      <c r="ZK97">
        <f ca="1">IF(ISERROR(INDEX(指数走势!$F$33:$ACK$33,1,LOOKUP(2,1/(指数走势!$F$33:$ACK$33&lt;&gt;""),COLUMN(指数走势!$F$33:$ACK$33))-COLUMN(指数走势!$F$33)+1-760+686)),NA(),IF(INDEX(指数走势!$F$33:$ACK$33,1,LOOKUP(2,1/(指数走势!$F$33:$ACK$33&lt;&gt;""),COLUMN(指数走势!$F$33:$ACK$33))-COLUMN(指数走势!$F$33)+1-760+686)=0,NA(),INDEX(指数走势!$F$33:$ACK$33,1,LOOKUP(2,1/(指数走势!$F$33:$ACK$33&lt;&gt;""),COLUMN(指数走势!$F$33:$ACK$33))-COLUMN(指数走势!$F$33)+1-760+686)))</f>
        <v>16.8812999725342</v>
      </c>
      <c r="ZL97">
        <f ca="1">IF(ISERROR(INDEX(指数走势!$F$33:$ACK$33,1,LOOKUP(2,1/(指数走势!$F$33:$ACK$33&lt;&gt;""),COLUMN(指数走势!$F$33:$ACK$33))-COLUMN(指数走势!$F$33)+1-760+687)),NA(),IF(INDEX(指数走势!$F$33:$ACK$33,1,LOOKUP(2,1/(指数走势!$F$33:$ACK$33&lt;&gt;""),COLUMN(指数走势!$F$33:$ACK$33))-COLUMN(指数走势!$F$33)+1-760+687)=0,NA(),INDEX(指数走势!$F$33:$ACK$33,1,LOOKUP(2,1/(指数走势!$F$33:$ACK$33&lt;&gt;""),COLUMN(指数走势!$F$33:$ACK$33))-COLUMN(指数走势!$F$33)+1-760+687)))</f>
        <v>16.9335994720459</v>
      </c>
      <c r="ZM97">
        <f ca="1">IF(ISERROR(INDEX(指数走势!$F$33:$ACK$33,1,LOOKUP(2,1/(指数走势!$F$33:$ACK$33&lt;&gt;""),COLUMN(指数走势!$F$33:$ACK$33))-COLUMN(指数走势!$F$33)+1-760+688)),NA(),IF(INDEX(指数走势!$F$33:$ACK$33,1,LOOKUP(2,1/(指数走势!$F$33:$ACK$33&lt;&gt;""),COLUMN(指数走势!$F$33:$ACK$33))-COLUMN(指数走势!$F$33)+1-760+688)=0,NA(),INDEX(指数走势!$F$33:$ACK$33,1,LOOKUP(2,1/(指数走势!$F$33:$ACK$33&lt;&gt;""),COLUMN(指数走势!$F$33:$ACK$33))-COLUMN(指数走势!$F$33)+1-760+688)))</f>
        <v>16.7626991271973</v>
      </c>
      <c r="ZN97">
        <f ca="1">IF(ISERROR(INDEX(指数走势!$F$33:$ACK$33,1,LOOKUP(2,1/(指数走势!$F$33:$ACK$33&lt;&gt;""),COLUMN(指数走势!$F$33:$ACK$33))-COLUMN(指数走势!$F$33)+1-760+689)),NA(),IF(INDEX(指数走势!$F$33:$ACK$33,1,LOOKUP(2,1/(指数走势!$F$33:$ACK$33&lt;&gt;""),COLUMN(指数走势!$F$33:$ACK$33))-COLUMN(指数走势!$F$33)+1-760+689)=0,NA(),INDEX(指数走势!$F$33:$ACK$33,1,LOOKUP(2,1/(指数走势!$F$33:$ACK$33&lt;&gt;""),COLUMN(指数走势!$F$33:$ACK$33))-COLUMN(指数走势!$F$33)+1-760+689)))</f>
        <v>16.5902996063232</v>
      </c>
      <c r="ZO97">
        <f ca="1">IF(ISERROR(INDEX(指数走势!$F$33:$ACK$33,1,LOOKUP(2,1/(指数走势!$F$33:$ACK$33&lt;&gt;""),COLUMN(指数走势!$F$33:$ACK$33))-COLUMN(指数走势!$F$33)+1-760+690)),NA(),IF(INDEX(指数走势!$F$33:$ACK$33,1,LOOKUP(2,1/(指数走势!$F$33:$ACK$33&lt;&gt;""),COLUMN(指数走势!$F$33:$ACK$33))-COLUMN(指数走势!$F$33)+1-760+690)=0,NA(),INDEX(指数走势!$F$33:$ACK$33,1,LOOKUP(2,1/(指数走势!$F$33:$ACK$33&lt;&gt;""),COLUMN(指数走势!$F$33:$ACK$33))-COLUMN(指数走势!$F$33)+1-760+690)))</f>
        <v>16.0037002563477</v>
      </c>
      <c r="ZP97">
        <f ca="1">IF(ISERROR(INDEX(指数走势!$F$33:$ACK$33,1,LOOKUP(2,1/(指数走势!$F$33:$ACK$33&lt;&gt;""),COLUMN(指数走势!$F$33:$ACK$33))-COLUMN(指数走势!$F$33)+1-760+691)),NA(),IF(INDEX(指数走势!$F$33:$ACK$33,1,LOOKUP(2,1/(指数走势!$F$33:$ACK$33&lt;&gt;""),COLUMN(指数走势!$F$33:$ACK$33))-COLUMN(指数走势!$F$33)+1-760+691)=0,NA(),INDEX(指数走势!$F$33:$ACK$33,1,LOOKUP(2,1/(指数走势!$F$33:$ACK$33&lt;&gt;""),COLUMN(指数走势!$F$33:$ACK$33))-COLUMN(指数走势!$F$33)+1-760+691)))</f>
        <v>16.2730007171631</v>
      </c>
      <c r="ZQ97">
        <f ca="1">IF(ISERROR(INDEX(指数走势!$F$33:$ACK$33,1,LOOKUP(2,1/(指数走势!$F$33:$ACK$33&lt;&gt;""),COLUMN(指数走势!$F$33:$ACK$33))-COLUMN(指数走势!$F$33)+1-760+692)),NA(),IF(INDEX(指数走势!$F$33:$ACK$33,1,LOOKUP(2,1/(指数走势!$F$33:$ACK$33&lt;&gt;""),COLUMN(指数走势!$F$33:$ACK$33))-COLUMN(指数走势!$F$33)+1-760+692)=0,NA(),INDEX(指数走势!$F$33:$ACK$33,1,LOOKUP(2,1/(指数走势!$F$33:$ACK$33&lt;&gt;""),COLUMN(指数走势!$F$33:$ACK$33))-COLUMN(指数走势!$F$33)+1-760+692)))</f>
        <v>16.4601993560791</v>
      </c>
      <c r="ZR97">
        <f ca="1">IF(ISERROR(INDEX(指数走势!$F$33:$ACK$33,1,LOOKUP(2,1/(指数走势!$F$33:$ACK$33&lt;&gt;""),COLUMN(指数走势!$F$33:$ACK$33))-COLUMN(指数走势!$F$33)+1-760+693)),NA(),IF(INDEX(指数走势!$F$33:$ACK$33,1,LOOKUP(2,1/(指数走势!$F$33:$ACK$33&lt;&gt;""),COLUMN(指数走势!$F$33:$ACK$33))-COLUMN(指数走势!$F$33)+1-760+693)=0,NA(),INDEX(指数走势!$F$33:$ACK$33,1,LOOKUP(2,1/(指数走势!$F$33:$ACK$33&lt;&gt;""),COLUMN(指数走势!$F$33:$ACK$33))-COLUMN(指数走势!$F$33)+1-760+693)))</f>
        <v>16.3444995880127</v>
      </c>
      <c r="ZS97">
        <f ca="1">IF(ISERROR(INDEX(指数走势!$F$33:$ACK$33,1,LOOKUP(2,1/(指数走势!$F$33:$ACK$33&lt;&gt;""),COLUMN(指数走势!$F$33:$ACK$33))-COLUMN(指数走势!$F$33)+1-760+694)),NA(),IF(INDEX(指数走势!$F$33:$ACK$33,1,LOOKUP(2,1/(指数走势!$F$33:$ACK$33&lt;&gt;""),COLUMN(指数走势!$F$33:$ACK$33))-COLUMN(指数走势!$F$33)+1-760+694)=0,NA(),INDEX(指数走势!$F$33:$ACK$33,1,LOOKUP(2,1/(指数走势!$F$33:$ACK$33&lt;&gt;""),COLUMN(指数走势!$F$33:$ACK$33))-COLUMN(指数走势!$F$33)+1-760+694)))</f>
        <v>16.5182991027832</v>
      </c>
      <c r="ZT97">
        <f ca="1">IF(ISERROR(INDEX(指数走势!$F$33:$ACK$33,1,LOOKUP(2,1/(指数走势!$F$33:$ACK$33&lt;&gt;""),COLUMN(指数走势!$F$33:$ACK$33))-COLUMN(指数走势!$F$33)+1-760+695)),NA(),IF(INDEX(指数走势!$F$33:$ACK$33,1,LOOKUP(2,1/(指数走势!$F$33:$ACK$33&lt;&gt;""),COLUMN(指数走势!$F$33:$ACK$33))-COLUMN(指数走势!$F$33)+1-760+695)=0,NA(),INDEX(指数走势!$F$33:$ACK$33,1,LOOKUP(2,1/(指数走势!$F$33:$ACK$33&lt;&gt;""),COLUMN(指数走势!$F$33:$ACK$33))-COLUMN(指数走势!$F$33)+1-760+695)))</f>
        <v>16.5646991729736</v>
      </c>
      <c r="ZU97">
        <f ca="1">IF(ISERROR(INDEX(指数走势!$F$33:$ACK$33,1,LOOKUP(2,1/(指数走势!$F$33:$ACK$33&lt;&gt;""),COLUMN(指数走势!$F$33:$ACK$33))-COLUMN(指数走势!$F$33)+1-760+696)),NA(),IF(INDEX(指数走势!$F$33:$ACK$33,1,LOOKUP(2,1/(指数走势!$F$33:$ACK$33&lt;&gt;""),COLUMN(指数走势!$F$33:$ACK$33))-COLUMN(指数走势!$F$33)+1-760+696)=0,NA(),INDEX(指数走势!$F$33:$ACK$33,1,LOOKUP(2,1/(指数走势!$F$33:$ACK$33&lt;&gt;""),COLUMN(指数走势!$F$33:$ACK$33))-COLUMN(指数走势!$F$33)+1-760+696)))</f>
        <v>16.5519008636475</v>
      </c>
      <c r="ZV97">
        <f ca="1">IF(ISERROR(INDEX(指数走势!$F$33:$ACK$33,1,LOOKUP(2,1/(指数走势!$F$33:$ACK$33&lt;&gt;""),COLUMN(指数走势!$F$33:$ACK$33))-COLUMN(指数走势!$F$33)+1-760+697)),NA(),IF(INDEX(指数走势!$F$33:$ACK$33,1,LOOKUP(2,1/(指数走势!$F$33:$ACK$33&lt;&gt;""),COLUMN(指数走势!$F$33:$ACK$33))-COLUMN(指数走势!$F$33)+1-760+697)=0,NA(),INDEX(指数走势!$F$33:$ACK$33,1,LOOKUP(2,1/(指数走势!$F$33:$ACK$33&lt;&gt;""),COLUMN(指数走势!$F$33:$ACK$33))-COLUMN(指数走势!$F$33)+1-760+697)))</f>
        <v>16.7553997039795</v>
      </c>
      <c r="ZW97">
        <f ca="1">IF(ISERROR(INDEX(指数走势!$F$33:$ACK$33,1,LOOKUP(2,1/(指数走势!$F$33:$ACK$33&lt;&gt;""),COLUMN(指数走势!$F$33:$ACK$33))-COLUMN(指数走势!$F$33)+1-760+698)),NA(),IF(INDEX(指数走势!$F$33:$ACK$33,1,LOOKUP(2,1/(指数走势!$F$33:$ACK$33&lt;&gt;""),COLUMN(指数走势!$F$33:$ACK$33))-COLUMN(指数走势!$F$33)+1-760+698)=0,NA(),INDEX(指数走势!$F$33:$ACK$33,1,LOOKUP(2,1/(指数走势!$F$33:$ACK$33&lt;&gt;""),COLUMN(指数走势!$F$33:$ACK$33))-COLUMN(指数走势!$F$33)+1-760+698)))</f>
        <v>16.6399002075195</v>
      </c>
      <c r="ZX97">
        <f ca="1">IF(ISERROR(INDEX(指数走势!$F$33:$ACK$33,1,LOOKUP(2,1/(指数走势!$F$33:$ACK$33&lt;&gt;""),COLUMN(指数走势!$F$33:$ACK$33))-COLUMN(指数走势!$F$33)+1-760+699)),NA(),IF(INDEX(指数走势!$F$33:$ACK$33,1,LOOKUP(2,1/(指数走势!$F$33:$ACK$33&lt;&gt;""),COLUMN(指数走势!$F$33:$ACK$33))-COLUMN(指数走势!$F$33)+1-760+699)=0,NA(),INDEX(指数走势!$F$33:$ACK$33,1,LOOKUP(2,1/(指数走势!$F$33:$ACK$33&lt;&gt;""),COLUMN(指数走势!$F$33:$ACK$33))-COLUMN(指数走势!$F$33)+1-760+699)))</f>
        <v>16.4789009094238</v>
      </c>
      <c r="ZY97">
        <f ca="1">IF(ISERROR(INDEX(指数走势!$F$33:$ACK$33,1,LOOKUP(2,1/(指数走势!$F$33:$ACK$33&lt;&gt;""),COLUMN(指数走势!$F$33:$ACK$33))-COLUMN(指数走势!$F$33)+1-760+700)),NA(),IF(INDEX(指数走势!$F$33:$ACK$33,1,LOOKUP(2,1/(指数走势!$F$33:$ACK$33&lt;&gt;""),COLUMN(指数走势!$F$33:$ACK$33))-COLUMN(指数走势!$F$33)+1-760+700)=0,NA(),INDEX(指数走势!$F$33:$ACK$33,1,LOOKUP(2,1/(指数走势!$F$33:$ACK$33&lt;&gt;""),COLUMN(指数走势!$F$33:$ACK$33))-COLUMN(指数走势!$F$33)+1-760+700)))</f>
        <v>16.528299331665</v>
      </c>
      <c r="ZZ97">
        <f ca="1">IF(ISERROR(INDEX(指数走势!$F$33:$ACK$33,1,LOOKUP(2,1/(指数走势!$F$33:$ACK$33&lt;&gt;""),COLUMN(指数走势!$F$33:$ACK$33))-COLUMN(指数走势!$F$33)+1-760+701)),NA(),IF(INDEX(指数走势!$F$33:$ACK$33,1,LOOKUP(2,1/(指数走势!$F$33:$ACK$33&lt;&gt;""),COLUMN(指数走势!$F$33:$ACK$33))-COLUMN(指数走势!$F$33)+1-760+701)=0,NA(),INDEX(指数走势!$F$33:$ACK$33,1,LOOKUP(2,1/(指数走势!$F$33:$ACK$33&lt;&gt;""),COLUMN(指数走势!$F$33:$ACK$33))-COLUMN(指数走势!$F$33)+1-760+701)))</f>
        <v>16.9099998474121</v>
      </c>
      <c r="AAA97">
        <f ca="1">IF(ISERROR(INDEX(指数走势!$F$33:$ACK$33,1,LOOKUP(2,1/(指数走势!$F$33:$ACK$33&lt;&gt;""),COLUMN(指数走势!$F$33:$ACK$33))-COLUMN(指数走势!$F$33)+1-760+702)),NA(),IF(INDEX(指数走势!$F$33:$ACK$33,1,LOOKUP(2,1/(指数走势!$F$33:$ACK$33&lt;&gt;""),COLUMN(指数走势!$F$33:$ACK$33))-COLUMN(指数走势!$F$33)+1-760+702)=0,NA(),INDEX(指数走势!$F$33:$ACK$33,1,LOOKUP(2,1/(指数走势!$F$33:$ACK$33&lt;&gt;""),COLUMN(指数走势!$F$33:$ACK$33))-COLUMN(指数走势!$F$33)+1-760+702)))</f>
        <v>16.806999206543</v>
      </c>
      <c r="AAB97">
        <f ca="1">IF(ISERROR(INDEX(指数走势!$F$33:$ACK$33,1,LOOKUP(2,1/(指数走势!$F$33:$ACK$33&lt;&gt;""),COLUMN(指数走势!$F$33:$ACK$33))-COLUMN(指数走势!$F$33)+1-760+703)),NA(),IF(INDEX(指数走势!$F$33:$ACK$33,1,LOOKUP(2,1/(指数走势!$F$33:$ACK$33&lt;&gt;""),COLUMN(指数走势!$F$33:$ACK$33))-COLUMN(指数走势!$F$33)+1-760+703)=0,NA(),INDEX(指数走势!$F$33:$ACK$33,1,LOOKUP(2,1/(指数走势!$F$33:$ACK$33&lt;&gt;""),COLUMN(指数走势!$F$33:$ACK$33))-COLUMN(指数走势!$F$33)+1-760+703)))</f>
        <v>16.8703994750977</v>
      </c>
      <c r="AAC97">
        <f ca="1">IF(ISERROR(INDEX(指数走势!$F$33:$ACK$33,1,LOOKUP(2,1/(指数走势!$F$33:$ACK$33&lt;&gt;""),COLUMN(指数走势!$F$33:$ACK$33))-COLUMN(指数走势!$F$33)+1-760+704)),NA(),IF(INDEX(指数走势!$F$33:$ACK$33,1,LOOKUP(2,1/(指数走势!$F$33:$ACK$33&lt;&gt;""),COLUMN(指数走势!$F$33:$ACK$33))-COLUMN(指数走势!$F$33)+1-760+704)=0,NA(),INDEX(指数走势!$F$33:$ACK$33,1,LOOKUP(2,1/(指数走势!$F$33:$ACK$33&lt;&gt;""),COLUMN(指数走势!$F$33:$ACK$33))-COLUMN(指数走势!$F$33)+1-760+704)))</f>
        <v>16.8731994628906</v>
      </c>
      <c r="AAD97">
        <f ca="1">IF(ISERROR(INDEX(指数走势!$F$33:$ACK$33,1,LOOKUP(2,1/(指数走势!$F$33:$ACK$33&lt;&gt;""),COLUMN(指数走势!$F$33:$ACK$33))-COLUMN(指数走势!$F$33)+1-760+705)),NA(),IF(INDEX(指数走势!$F$33:$ACK$33,1,LOOKUP(2,1/(指数走势!$F$33:$ACK$33&lt;&gt;""),COLUMN(指数走势!$F$33:$ACK$33))-COLUMN(指数走势!$F$33)+1-760+705)=0,NA(),INDEX(指数走势!$F$33:$ACK$33,1,LOOKUP(2,1/(指数走势!$F$33:$ACK$33&lt;&gt;""),COLUMN(指数走势!$F$33:$ACK$33))-COLUMN(指数走势!$F$33)+1-760+705)))</f>
        <v>17.0161991119385</v>
      </c>
      <c r="AAE97">
        <f ca="1">IF(ISERROR(INDEX(指数走势!$F$33:$ACK$33,1,LOOKUP(2,1/(指数走势!$F$33:$ACK$33&lt;&gt;""),COLUMN(指数走势!$F$33:$ACK$33))-COLUMN(指数走势!$F$33)+1-760+706)),NA(),IF(INDEX(指数走势!$F$33:$ACK$33,1,LOOKUP(2,1/(指数走势!$F$33:$ACK$33&lt;&gt;""),COLUMN(指数走势!$F$33:$ACK$33))-COLUMN(指数走势!$F$33)+1-760+706)=0,NA(),INDEX(指数走势!$F$33:$ACK$33,1,LOOKUP(2,1/(指数走势!$F$33:$ACK$33&lt;&gt;""),COLUMN(指数走势!$F$33:$ACK$33))-COLUMN(指数走势!$F$33)+1-760+706)))</f>
        <v>17.023099899292</v>
      </c>
      <c r="AAF97">
        <f ca="1">IF(ISERROR(INDEX(指数走势!$F$33:$ACK$33,1,LOOKUP(2,1/(指数走势!$F$33:$ACK$33&lt;&gt;""),COLUMN(指数走势!$F$33:$ACK$33))-COLUMN(指数走势!$F$33)+1-760+707)),NA(),IF(INDEX(指数走势!$F$33:$ACK$33,1,LOOKUP(2,1/(指数走势!$F$33:$ACK$33&lt;&gt;""),COLUMN(指数走势!$F$33:$ACK$33))-COLUMN(指数走势!$F$33)+1-760+707)=0,NA(),INDEX(指数走势!$F$33:$ACK$33,1,LOOKUP(2,1/(指数走势!$F$33:$ACK$33&lt;&gt;""),COLUMN(指数走势!$F$33:$ACK$33))-COLUMN(指数走势!$F$33)+1-760+707)))</f>
        <v>17.113000869751</v>
      </c>
      <c r="AAG97">
        <f ca="1">IF(ISERROR(INDEX(指数走势!$F$33:$ACK$33,1,LOOKUP(2,1/(指数走势!$F$33:$ACK$33&lt;&gt;""),COLUMN(指数走势!$F$33:$ACK$33))-COLUMN(指数走势!$F$33)+1-760+708)),NA(),IF(INDEX(指数走势!$F$33:$ACK$33,1,LOOKUP(2,1/(指数走势!$F$33:$ACK$33&lt;&gt;""),COLUMN(指数走势!$F$33:$ACK$33))-COLUMN(指数走势!$F$33)+1-760+708)=0,NA(),INDEX(指数走势!$F$33:$ACK$33,1,LOOKUP(2,1/(指数走势!$F$33:$ACK$33&lt;&gt;""),COLUMN(指数走势!$F$33:$ACK$33))-COLUMN(指数走势!$F$33)+1-760+708)))</f>
        <v>17.1189002990723</v>
      </c>
      <c r="AAH97">
        <f ca="1">IF(ISERROR(INDEX(指数走势!$F$33:$ACK$33,1,LOOKUP(2,1/(指数走势!$F$33:$ACK$33&lt;&gt;""),COLUMN(指数走势!$F$33:$ACK$33))-COLUMN(指数走势!$F$33)+1-760+709)),NA(),IF(INDEX(指数走势!$F$33:$ACK$33,1,LOOKUP(2,1/(指数走势!$F$33:$ACK$33&lt;&gt;""),COLUMN(指数走势!$F$33:$ACK$33))-COLUMN(指数走势!$F$33)+1-760+709)=0,NA(),INDEX(指数走势!$F$33:$ACK$33,1,LOOKUP(2,1/(指数走势!$F$33:$ACK$33&lt;&gt;""),COLUMN(指数走势!$F$33:$ACK$33))-COLUMN(指数走势!$F$33)+1-760+709)))</f>
        <v>17.2698993682861</v>
      </c>
      <c r="AAI97">
        <f ca="1">IF(ISERROR(INDEX(指数走势!$F$33:$ACK$33,1,LOOKUP(2,1/(指数走势!$F$33:$ACK$33&lt;&gt;""),COLUMN(指数走势!$F$33:$ACK$33))-COLUMN(指数走势!$F$33)+1-760+710)),NA(),IF(INDEX(指数走势!$F$33:$ACK$33,1,LOOKUP(2,1/(指数走势!$F$33:$ACK$33&lt;&gt;""),COLUMN(指数走势!$F$33:$ACK$33))-COLUMN(指数走势!$F$33)+1-760+710)=0,NA(),INDEX(指数走势!$F$33:$ACK$33,1,LOOKUP(2,1/(指数走势!$F$33:$ACK$33&lt;&gt;""),COLUMN(指数走势!$F$33:$ACK$33))-COLUMN(指数走势!$F$33)+1-760+710)))</f>
        <v>17.3139991760254</v>
      </c>
      <c r="AAJ97">
        <f ca="1">IF(ISERROR(INDEX(指数走势!$F$33:$ACK$33,1,LOOKUP(2,1/(指数走势!$F$33:$ACK$33&lt;&gt;""),COLUMN(指数走势!$F$33:$ACK$33))-COLUMN(指数走势!$F$33)+1-760+711)),NA(),IF(INDEX(指数走势!$F$33:$ACK$33,1,LOOKUP(2,1/(指数走势!$F$33:$ACK$33&lt;&gt;""),COLUMN(指数走势!$F$33:$ACK$33))-COLUMN(指数走势!$F$33)+1-760+711)=0,NA(),INDEX(指数走势!$F$33:$ACK$33,1,LOOKUP(2,1/(指数走势!$F$33:$ACK$33&lt;&gt;""),COLUMN(指数走势!$F$33:$ACK$33))-COLUMN(指数走势!$F$33)+1-760+711)))</f>
        <v>17.3311996459961</v>
      </c>
      <c r="AAK97">
        <f ca="1">IF(ISERROR(INDEX(指数走势!$F$33:$ACK$33,1,LOOKUP(2,1/(指数走势!$F$33:$ACK$33&lt;&gt;""),COLUMN(指数走势!$F$33:$ACK$33))-COLUMN(指数走势!$F$33)+1-760+712)),NA(),IF(INDEX(指数走势!$F$33:$ACK$33,1,LOOKUP(2,1/(指数走势!$F$33:$ACK$33&lt;&gt;""),COLUMN(指数走势!$F$33:$ACK$33))-COLUMN(指数走势!$F$33)+1-760+712)=0,NA(),INDEX(指数走势!$F$33:$ACK$33,1,LOOKUP(2,1/(指数走势!$F$33:$ACK$33&lt;&gt;""),COLUMN(指数走势!$F$33:$ACK$33))-COLUMN(指数走势!$F$33)+1-760+712)))</f>
        <v>17.279899597168</v>
      </c>
      <c r="AAL97">
        <f ca="1">IF(ISERROR(INDEX(指数走势!$F$33:$ACK$33,1,LOOKUP(2,1/(指数走势!$F$33:$ACK$33&lt;&gt;""),COLUMN(指数走势!$F$33:$ACK$33))-COLUMN(指数走势!$F$33)+1-760+713)),NA(),IF(INDEX(指数走势!$F$33:$ACK$33,1,LOOKUP(2,1/(指数走势!$F$33:$ACK$33&lt;&gt;""),COLUMN(指数走势!$F$33:$ACK$33))-COLUMN(指数走势!$F$33)+1-760+713)=0,NA(),INDEX(指数走势!$F$33:$ACK$33,1,LOOKUP(2,1/(指数走势!$F$33:$ACK$33&lt;&gt;""),COLUMN(指数走势!$F$33:$ACK$33))-COLUMN(指数走势!$F$33)+1-760+713)))</f>
        <v>17.2339992523193</v>
      </c>
      <c r="AAM97">
        <f ca="1">IF(ISERROR(INDEX(指数走势!$F$33:$ACK$33,1,LOOKUP(2,1/(指数走势!$F$33:$ACK$33&lt;&gt;""),COLUMN(指数走势!$F$33:$ACK$33))-COLUMN(指数走势!$F$33)+1-760+714)),NA(),IF(INDEX(指数走势!$F$33:$ACK$33,1,LOOKUP(2,1/(指数走势!$F$33:$ACK$33&lt;&gt;""),COLUMN(指数走势!$F$33:$ACK$33))-COLUMN(指数走势!$F$33)+1-760+714)=0,NA(),INDEX(指数走势!$F$33:$ACK$33,1,LOOKUP(2,1/(指数走势!$F$33:$ACK$33&lt;&gt;""),COLUMN(指数走势!$F$33:$ACK$33))-COLUMN(指数走势!$F$33)+1-760+714)))</f>
        <v>17.3255004882813</v>
      </c>
      <c r="AAN97">
        <f ca="1">IF(ISERROR(INDEX(指数走势!$F$33:$ACK$33,1,LOOKUP(2,1/(指数走势!$F$33:$ACK$33&lt;&gt;""),COLUMN(指数走势!$F$33:$ACK$33))-COLUMN(指数走势!$F$33)+1-760+715)),NA(),IF(INDEX(指数走势!$F$33:$ACK$33,1,LOOKUP(2,1/(指数走势!$F$33:$ACK$33&lt;&gt;""),COLUMN(指数走势!$F$33:$ACK$33))-COLUMN(指数走势!$F$33)+1-760+715)=0,NA(),INDEX(指数走势!$F$33:$ACK$33,1,LOOKUP(2,1/(指数走势!$F$33:$ACK$33&lt;&gt;""),COLUMN(指数走势!$F$33:$ACK$33))-COLUMN(指数走势!$F$33)+1-760+715)))</f>
        <v>17.3939990997314</v>
      </c>
      <c r="AAO97">
        <f ca="1">IF(ISERROR(INDEX(指数走势!$F$33:$ACK$33,1,LOOKUP(2,1/(指数走势!$F$33:$ACK$33&lt;&gt;""),COLUMN(指数走势!$F$33:$ACK$33))-COLUMN(指数走势!$F$33)+1-760+716)),NA(),IF(INDEX(指数走势!$F$33:$ACK$33,1,LOOKUP(2,1/(指数走势!$F$33:$ACK$33&lt;&gt;""),COLUMN(指数走势!$F$33:$ACK$33))-COLUMN(指数走势!$F$33)+1-760+716)=0,NA(),INDEX(指数走势!$F$33:$ACK$33,1,LOOKUP(2,1/(指数走势!$F$33:$ACK$33&lt;&gt;""),COLUMN(指数走势!$F$33:$ACK$33))-COLUMN(指数走势!$F$33)+1-760+716)))</f>
        <v>17.4734001159668</v>
      </c>
      <c r="AAP97">
        <f ca="1">IF(ISERROR(INDEX(指数走势!$F$33:$ACK$33,1,LOOKUP(2,1/(指数走势!$F$33:$ACK$33&lt;&gt;""),COLUMN(指数走势!$F$33:$ACK$33))-COLUMN(指数走势!$F$33)+1-760+717)),NA(),IF(INDEX(指数走势!$F$33:$ACK$33,1,LOOKUP(2,1/(指数走势!$F$33:$ACK$33&lt;&gt;""),COLUMN(指数走势!$F$33:$ACK$33))-COLUMN(指数走势!$F$33)+1-760+717)=0,NA(),INDEX(指数走势!$F$33:$ACK$33,1,LOOKUP(2,1/(指数走势!$F$33:$ACK$33&lt;&gt;""),COLUMN(指数走势!$F$33:$ACK$33))-COLUMN(指数走势!$F$33)+1-760+717)))</f>
        <v>17.5594997406006</v>
      </c>
      <c r="AAQ97">
        <f ca="1">IF(ISERROR(INDEX(指数走势!$F$33:$ACK$33,1,LOOKUP(2,1/(指数走势!$F$33:$ACK$33&lt;&gt;""),COLUMN(指数走势!$F$33:$ACK$33))-COLUMN(指数走势!$F$33)+1-760+718)),NA(),IF(INDEX(指数走势!$F$33:$ACK$33,1,LOOKUP(2,1/(指数走势!$F$33:$ACK$33&lt;&gt;""),COLUMN(指数走势!$F$33:$ACK$33))-COLUMN(指数走势!$F$33)+1-760+718)=0,NA(),INDEX(指数走势!$F$33:$ACK$33,1,LOOKUP(2,1/(指数走势!$F$33:$ACK$33&lt;&gt;""),COLUMN(指数走势!$F$33:$ACK$33))-COLUMN(指数走势!$F$33)+1-760+718)))</f>
        <v>17.7203006744385</v>
      </c>
      <c r="AAR97">
        <f ca="1">IF(ISERROR(INDEX(指数走势!$F$33:$ACK$33,1,LOOKUP(2,1/(指数走势!$F$33:$ACK$33&lt;&gt;""),COLUMN(指数走势!$F$33:$ACK$33))-COLUMN(指数走势!$F$33)+1-760+719)),NA(),IF(INDEX(指数走势!$F$33:$ACK$33,1,LOOKUP(2,1/(指数走势!$F$33:$ACK$33&lt;&gt;""),COLUMN(指数走势!$F$33:$ACK$33))-COLUMN(指数走势!$F$33)+1-760+719)=0,NA(),INDEX(指数走势!$F$33:$ACK$33,1,LOOKUP(2,1/(指数走势!$F$33:$ACK$33&lt;&gt;""),COLUMN(指数走势!$F$33:$ACK$33))-COLUMN(指数走势!$F$33)+1-760+719)))</f>
        <v>17.7672996520996</v>
      </c>
      <c r="AAS97">
        <f ca="1">IF(ISERROR(INDEX(指数走势!$F$33:$ACK$33,1,LOOKUP(2,1/(指数走势!$F$33:$ACK$33&lt;&gt;""),COLUMN(指数走势!$F$33:$ACK$33))-COLUMN(指数走势!$F$33)+1-760+720)),NA(),IF(INDEX(指数走势!$F$33:$ACK$33,1,LOOKUP(2,1/(指数走势!$F$33:$ACK$33&lt;&gt;""),COLUMN(指数走势!$F$33:$ACK$33))-COLUMN(指数走势!$F$33)+1-760+720)=0,NA(),INDEX(指数走势!$F$33:$ACK$33,1,LOOKUP(2,1/(指数走势!$F$33:$ACK$33&lt;&gt;""),COLUMN(指数走势!$F$33:$ACK$33))-COLUMN(指数走势!$F$33)+1-760+720)))</f>
        <v>17.7586994171143</v>
      </c>
      <c r="AAT97">
        <f ca="1">IF(ISERROR(INDEX(指数走势!$F$33:$ACK$33,1,LOOKUP(2,1/(指数走势!$F$33:$ACK$33&lt;&gt;""),COLUMN(指数走势!$F$33:$ACK$33))-COLUMN(指数走势!$F$33)+1-760+721)),NA(),IF(INDEX(指数走势!$F$33:$ACK$33,1,LOOKUP(2,1/(指数走势!$F$33:$ACK$33&lt;&gt;""),COLUMN(指数走势!$F$33:$ACK$33))-COLUMN(指数走势!$F$33)+1-760+721)=0,NA(),INDEX(指数走势!$F$33:$ACK$33,1,LOOKUP(2,1/(指数走势!$F$33:$ACK$33&lt;&gt;""),COLUMN(指数走势!$F$33:$ACK$33))-COLUMN(指数走势!$F$33)+1-760+721)))</f>
        <v>17.8920001983643</v>
      </c>
      <c r="AAU97">
        <f ca="1">IF(ISERROR(INDEX(指数走势!$F$33:$ACK$33,1,LOOKUP(2,1/(指数走势!$F$33:$ACK$33&lt;&gt;""),COLUMN(指数走势!$F$33:$ACK$33))-COLUMN(指数走势!$F$33)+1-760+722)),NA(),IF(INDEX(指数走势!$F$33:$ACK$33,1,LOOKUP(2,1/(指数走势!$F$33:$ACK$33&lt;&gt;""),COLUMN(指数走势!$F$33:$ACK$33))-COLUMN(指数走势!$F$33)+1-760+722)=0,NA(),INDEX(指数走势!$F$33:$ACK$33,1,LOOKUP(2,1/(指数走势!$F$33:$ACK$33&lt;&gt;""),COLUMN(指数走势!$F$33:$ACK$33))-COLUMN(指数走势!$F$33)+1-760+722)))</f>
        <v>17.8542003631592</v>
      </c>
      <c r="AAV97">
        <f ca="1">IF(ISERROR(INDEX(指数走势!$F$33:$ACK$33,1,LOOKUP(2,1/(指数走势!$F$33:$ACK$33&lt;&gt;""),COLUMN(指数走势!$F$33:$ACK$33))-COLUMN(指数走势!$F$33)+1-760+723)),NA(),IF(INDEX(指数走势!$F$33:$ACK$33,1,LOOKUP(2,1/(指数走势!$F$33:$ACK$33&lt;&gt;""),COLUMN(指数走势!$F$33:$ACK$33))-COLUMN(指数走势!$F$33)+1-760+723)=0,NA(),INDEX(指数走势!$F$33:$ACK$33,1,LOOKUP(2,1/(指数走势!$F$33:$ACK$33&lt;&gt;""),COLUMN(指数走势!$F$33:$ACK$33))-COLUMN(指数走势!$F$33)+1-760+723)))</f>
        <v>17.9444999694824</v>
      </c>
      <c r="AAW97">
        <f ca="1">IF(ISERROR(INDEX(指数走势!$F$33:$ACK$33,1,LOOKUP(2,1/(指数走势!$F$33:$ACK$33&lt;&gt;""),COLUMN(指数走势!$F$33:$ACK$33))-COLUMN(指数走势!$F$33)+1-760+724)),NA(),IF(INDEX(指数走势!$F$33:$ACK$33,1,LOOKUP(2,1/(指数走势!$F$33:$ACK$33&lt;&gt;""),COLUMN(指数走势!$F$33:$ACK$33))-COLUMN(指数走势!$F$33)+1-760+724)=0,NA(),INDEX(指数走势!$F$33:$ACK$33,1,LOOKUP(2,1/(指数走势!$F$33:$ACK$33&lt;&gt;""),COLUMN(指数走势!$F$33:$ACK$33))-COLUMN(指数走势!$F$33)+1-760+724)))</f>
        <v>17.7045993804932</v>
      </c>
      <c r="AAX97">
        <f ca="1">IF(ISERROR(INDEX(指数走势!$F$33:$ACK$33,1,LOOKUP(2,1/(指数走势!$F$33:$ACK$33&lt;&gt;""),COLUMN(指数走势!$F$33:$ACK$33))-COLUMN(指数走势!$F$33)+1-760+725)),NA(),IF(INDEX(指数走势!$F$33:$ACK$33,1,LOOKUP(2,1/(指数走势!$F$33:$ACK$33&lt;&gt;""),COLUMN(指数走势!$F$33:$ACK$33))-COLUMN(指数走势!$F$33)+1-760+725)=0,NA(),INDEX(指数走势!$F$33:$ACK$33,1,LOOKUP(2,1/(指数走势!$F$33:$ACK$33&lt;&gt;""),COLUMN(指数走势!$F$33:$ACK$33))-COLUMN(指数走势!$F$33)+1-760+725)))</f>
        <v>17.5447998046875</v>
      </c>
      <c r="AAY97">
        <f ca="1">IF(ISERROR(INDEX(指数走势!$F$33:$ACK$33,1,LOOKUP(2,1/(指数走势!$F$33:$ACK$33&lt;&gt;""),COLUMN(指数走势!$F$33:$ACK$33))-COLUMN(指数走势!$F$33)+1-760+726)),NA(),IF(INDEX(指数走势!$F$33:$ACK$33,1,LOOKUP(2,1/(指数走势!$F$33:$ACK$33&lt;&gt;""),COLUMN(指数走势!$F$33:$ACK$33))-COLUMN(指数走势!$F$33)+1-760+726)=0,NA(),INDEX(指数走势!$F$33:$ACK$33,1,LOOKUP(2,1/(指数走势!$F$33:$ACK$33&lt;&gt;""),COLUMN(指数走势!$F$33:$ACK$33))-COLUMN(指数走势!$F$33)+1-760+726)))</f>
        <v>17.5301990509033</v>
      </c>
      <c r="AAZ97">
        <f ca="1">IF(ISERROR(INDEX(指数走势!$F$33:$ACK$33,1,LOOKUP(2,1/(指数走势!$F$33:$ACK$33&lt;&gt;""),COLUMN(指数走势!$F$33:$ACK$33))-COLUMN(指数走势!$F$33)+1-760+727)),NA(),IF(INDEX(指数走势!$F$33:$ACK$33,1,LOOKUP(2,1/(指数走势!$F$33:$ACK$33&lt;&gt;""),COLUMN(指数走势!$F$33:$ACK$33))-COLUMN(指数走势!$F$33)+1-760+727)=0,NA(),INDEX(指数走势!$F$33:$ACK$33,1,LOOKUP(2,1/(指数走势!$F$33:$ACK$33&lt;&gt;""),COLUMN(指数走势!$F$33:$ACK$33))-COLUMN(指数走势!$F$33)+1-760+727)))</f>
        <v>17.6868000030518</v>
      </c>
      <c r="ABA97">
        <f ca="1">IF(ISERROR(INDEX(指数走势!$F$33:$ACK$33,1,LOOKUP(2,1/(指数走势!$F$33:$ACK$33&lt;&gt;""),COLUMN(指数走势!$F$33:$ACK$33))-COLUMN(指数走势!$F$33)+1-760+728)),NA(),IF(INDEX(指数走势!$F$33:$ACK$33,1,LOOKUP(2,1/(指数走势!$F$33:$ACK$33&lt;&gt;""),COLUMN(指数走势!$F$33:$ACK$33))-COLUMN(指数走势!$F$33)+1-760+728)=0,NA(),INDEX(指数走势!$F$33:$ACK$33,1,LOOKUP(2,1/(指数走势!$F$33:$ACK$33&lt;&gt;""),COLUMN(指数走势!$F$33:$ACK$33))-COLUMN(指数走势!$F$33)+1-760+728)))</f>
        <v>17.6702995300293</v>
      </c>
      <c r="ABB97">
        <f ca="1">IF(ISERROR(INDEX(指数走势!$F$33:$ACK$33,1,LOOKUP(2,1/(指数走势!$F$33:$ACK$33&lt;&gt;""),COLUMN(指数走势!$F$33:$ACK$33))-COLUMN(指数走势!$F$33)+1-760+729)),NA(),IF(INDEX(指数走势!$F$33:$ACK$33,1,LOOKUP(2,1/(指数走势!$F$33:$ACK$33&lt;&gt;""),COLUMN(指数走势!$F$33:$ACK$33))-COLUMN(指数走势!$F$33)+1-760+729)=0,NA(),INDEX(指数走势!$F$33:$ACK$33,1,LOOKUP(2,1/(指数走势!$F$33:$ACK$33&lt;&gt;""),COLUMN(指数走势!$F$33:$ACK$33))-COLUMN(指数走势!$F$33)+1-760+729)))</f>
        <v>17.3360004425049</v>
      </c>
      <c r="ABC97">
        <f ca="1">IF(ISERROR(INDEX(指数走势!$F$33:$ACK$33,1,LOOKUP(2,1/(指数走势!$F$33:$ACK$33&lt;&gt;""),COLUMN(指数走势!$F$33:$ACK$33))-COLUMN(指数走势!$F$33)+1-760+730)),NA(),IF(INDEX(指数走势!$F$33:$ACK$33,1,LOOKUP(2,1/(指数走势!$F$33:$ACK$33&lt;&gt;""),COLUMN(指数走势!$F$33:$ACK$33))-COLUMN(指数走势!$F$33)+1-760+730)=0,NA(),INDEX(指数走势!$F$33:$ACK$33,1,LOOKUP(2,1/(指数走势!$F$33:$ACK$33&lt;&gt;""),COLUMN(指数走势!$F$33:$ACK$33))-COLUMN(指数走势!$F$33)+1-760+730)))</f>
        <v>17.4645004272461</v>
      </c>
      <c r="ABD97">
        <f ca="1">IF(ISERROR(INDEX(指数走势!$F$33:$ACK$33,1,LOOKUP(2,1/(指数走势!$F$33:$ACK$33&lt;&gt;""),COLUMN(指数走势!$F$33:$ACK$33))-COLUMN(指数走势!$F$33)+1-760+731)),NA(),IF(INDEX(指数走势!$F$33:$ACK$33,1,LOOKUP(2,1/(指数走势!$F$33:$ACK$33&lt;&gt;""),COLUMN(指数走势!$F$33:$ACK$33))-COLUMN(指数走势!$F$33)+1-760+731)=0,NA(),INDEX(指数走势!$F$33:$ACK$33,1,LOOKUP(2,1/(指数走势!$F$33:$ACK$33&lt;&gt;""),COLUMN(指数走势!$F$33:$ACK$33))-COLUMN(指数走势!$F$33)+1-760+731)))</f>
        <v>17.6445007324219</v>
      </c>
      <c r="ABE97">
        <f ca="1">IF(ISERROR(INDEX(指数走势!$F$33:$ACK$33,1,LOOKUP(2,1/(指数走势!$F$33:$ACK$33&lt;&gt;""),COLUMN(指数走势!$F$33:$ACK$33))-COLUMN(指数走势!$F$33)+1-760+732)),NA(),IF(INDEX(指数走势!$F$33:$ACK$33,1,LOOKUP(2,1/(指数走势!$F$33:$ACK$33&lt;&gt;""),COLUMN(指数走势!$F$33:$ACK$33))-COLUMN(指数走势!$F$33)+1-760+732)=0,NA(),INDEX(指数走势!$F$33:$ACK$33,1,LOOKUP(2,1/(指数走势!$F$33:$ACK$33&lt;&gt;""),COLUMN(指数走势!$F$33:$ACK$33))-COLUMN(指数走势!$F$33)+1-760+732)))</f>
        <v>17.63330078125</v>
      </c>
      <c r="ABF97">
        <f ca="1">IF(ISERROR(INDEX(指数走势!$F$33:$ACK$33,1,LOOKUP(2,1/(指数走势!$F$33:$ACK$33&lt;&gt;""),COLUMN(指数走势!$F$33:$ACK$33))-COLUMN(指数走势!$F$33)+1-760+733)),NA(),IF(INDEX(指数走势!$F$33:$ACK$33,1,LOOKUP(2,1/(指数走势!$F$33:$ACK$33&lt;&gt;""),COLUMN(指数走势!$F$33:$ACK$33))-COLUMN(指数走势!$F$33)+1-760+733)=0,NA(),INDEX(指数走势!$F$33:$ACK$33,1,LOOKUP(2,1/(指数走势!$F$33:$ACK$33&lt;&gt;""),COLUMN(指数走势!$F$33:$ACK$33))-COLUMN(指数走势!$F$33)+1-760+733)))</f>
        <v>17.4165000915527</v>
      </c>
      <c r="ABG97">
        <f ca="1">IF(ISERROR(INDEX(指数走势!$F$33:$ACK$33,1,LOOKUP(2,1/(指数走势!$F$33:$ACK$33&lt;&gt;""),COLUMN(指数走势!$F$33:$ACK$33))-COLUMN(指数走势!$F$33)+1-760+734)),NA(),IF(INDEX(指数走势!$F$33:$ACK$33,1,LOOKUP(2,1/(指数走势!$F$33:$ACK$33&lt;&gt;""),COLUMN(指数走势!$F$33:$ACK$33))-COLUMN(指数走势!$F$33)+1-760+734)=0,NA(),INDEX(指数走势!$F$33:$ACK$33,1,LOOKUP(2,1/(指数走势!$F$33:$ACK$33&lt;&gt;""),COLUMN(指数走势!$F$33:$ACK$33))-COLUMN(指数走势!$F$33)+1-760+734)))</f>
        <v>17.4398994445801</v>
      </c>
      <c r="ABH97">
        <f ca="1">IF(ISERROR(INDEX(指数走势!$F$33:$ACK$33,1,LOOKUP(2,1/(指数走势!$F$33:$ACK$33&lt;&gt;""),COLUMN(指数走势!$F$33:$ACK$33))-COLUMN(指数走势!$F$33)+1-760+735)),NA(),IF(INDEX(指数走势!$F$33:$ACK$33,1,LOOKUP(2,1/(指数走势!$F$33:$ACK$33&lt;&gt;""),COLUMN(指数走势!$F$33:$ACK$33))-COLUMN(指数走势!$F$33)+1-760+735)=0,NA(),INDEX(指数走势!$F$33:$ACK$33,1,LOOKUP(2,1/(指数走势!$F$33:$ACK$33&lt;&gt;""),COLUMN(指数走势!$F$33:$ACK$33))-COLUMN(指数走势!$F$33)+1-760+735)))</f>
        <v>17.3302001953125</v>
      </c>
      <c r="ABI97">
        <f ca="1">IF(ISERROR(INDEX(指数走势!$F$33:$ACK$33,1,LOOKUP(2,1/(指数走势!$F$33:$ACK$33&lt;&gt;""),COLUMN(指数走势!$F$33:$ACK$33))-COLUMN(指数走势!$F$33)+1-760+736)),NA(),IF(INDEX(指数走势!$F$33:$ACK$33,1,LOOKUP(2,1/(指数走势!$F$33:$ACK$33&lt;&gt;""),COLUMN(指数走势!$F$33:$ACK$33))-COLUMN(指数走势!$F$33)+1-760+736)=0,NA(),INDEX(指数走势!$F$33:$ACK$33,1,LOOKUP(2,1/(指数走势!$F$33:$ACK$33&lt;&gt;""),COLUMN(指数走势!$F$33:$ACK$33))-COLUMN(指数走势!$F$33)+1-760+736)))</f>
        <v>17.2924995422363</v>
      </c>
      <c r="ABJ97">
        <f ca="1">IF(ISERROR(INDEX(指数走势!$F$33:$ACK$33,1,LOOKUP(2,1/(指数走势!$F$33:$ACK$33&lt;&gt;""),COLUMN(指数走势!$F$33:$ACK$33))-COLUMN(指数走势!$F$33)+1-760+737)),NA(),IF(INDEX(指数走势!$F$33:$ACK$33,1,LOOKUP(2,1/(指数走势!$F$33:$ACK$33&lt;&gt;""),COLUMN(指数走势!$F$33:$ACK$33))-COLUMN(指数走势!$F$33)+1-760+737)=0,NA(),INDEX(指数走势!$F$33:$ACK$33,1,LOOKUP(2,1/(指数走势!$F$33:$ACK$33&lt;&gt;""),COLUMN(指数走势!$F$33:$ACK$33))-COLUMN(指数走势!$F$33)+1-760+737)))</f>
        <v>17.3733997344971</v>
      </c>
      <c r="ABK97">
        <f ca="1">IF(ISERROR(INDEX(指数走势!$F$33:$ACK$33,1,LOOKUP(2,1/(指数走势!$F$33:$ACK$33&lt;&gt;""),COLUMN(指数走势!$F$33:$ACK$33))-COLUMN(指数走势!$F$33)+1-760+738)),NA(),IF(INDEX(指数走势!$F$33:$ACK$33,1,LOOKUP(2,1/(指数走势!$F$33:$ACK$33&lt;&gt;""),COLUMN(指数走势!$F$33:$ACK$33))-COLUMN(指数走势!$F$33)+1-760+738)=0,NA(),INDEX(指数走势!$F$33:$ACK$33,1,LOOKUP(2,1/(指数走势!$F$33:$ACK$33&lt;&gt;""),COLUMN(指数走势!$F$33:$ACK$33))-COLUMN(指数走势!$F$33)+1-760+738)))</f>
        <v>17.4123001098633</v>
      </c>
      <c r="ABL97">
        <f ca="1">IF(ISERROR(INDEX(指数走势!$F$33:$ACK$33,1,LOOKUP(2,1/(指数走势!$F$33:$ACK$33&lt;&gt;""),COLUMN(指数走势!$F$33:$ACK$33))-COLUMN(指数走势!$F$33)+1-760+739)),NA(),IF(INDEX(指数走势!$F$33:$ACK$33,1,LOOKUP(2,1/(指数走势!$F$33:$ACK$33&lt;&gt;""),COLUMN(指数走势!$F$33:$ACK$33))-COLUMN(指数走势!$F$33)+1-760+739)=0,NA(),INDEX(指数走势!$F$33:$ACK$33,1,LOOKUP(2,1/(指数走势!$F$33:$ACK$33&lt;&gt;""),COLUMN(指数走势!$F$33:$ACK$33))-COLUMN(指数走势!$F$33)+1-760+739)))</f>
        <v>17.3015995025635</v>
      </c>
      <c r="ABM97">
        <f ca="1">IF(ISERROR(INDEX(指数走势!$F$33:$ACK$33,1,LOOKUP(2,1/(指数走势!$F$33:$ACK$33&lt;&gt;""),COLUMN(指数走势!$F$33:$ACK$33))-COLUMN(指数走势!$F$33)+1-760+740)),NA(),IF(INDEX(指数走势!$F$33:$ACK$33,1,LOOKUP(2,1/(指数走势!$F$33:$ACK$33&lt;&gt;""),COLUMN(指数走势!$F$33:$ACK$33))-COLUMN(指数走势!$F$33)+1-760+740)=0,NA(),INDEX(指数走势!$F$33:$ACK$33,1,LOOKUP(2,1/(指数走势!$F$33:$ACK$33&lt;&gt;""),COLUMN(指数走势!$F$33:$ACK$33))-COLUMN(指数走势!$F$33)+1-760+740)))</f>
        <v>17.1660003662109</v>
      </c>
      <c r="ABN97">
        <f ca="1">IF(ISERROR(INDEX(指数走势!$F$33:$ACK$33,1,LOOKUP(2,1/(指数走势!$F$33:$ACK$33&lt;&gt;""),COLUMN(指数走势!$F$33:$ACK$33))-COLUMN(指数走势!$F$33)+1-760+741)),NA(),IF(INDEX(指数走势!$F$33:$ACK$33,1,LOOKUP(2,1/(指数走势!$F$33:$ACK$33&lt;&gt;""),COLUMN(指数走势!$F$33:$ACK$33))-COLUMN(指数走势!$F$33)+1-760+741)=0,NA(),INDEX(指数走势!$F$33:$ACK$33,1,LOOKUP(2,1/(指数走势!$F$33:$ACK$33&lt;&gt;""),COLUMN(指数走势!$F$33:$ACK$33))-COLUMN(指数走势!$F$33)+1-760+741)))</f>
        <v>16.9260997772217</v>
      </c>
      <c r="ABO97">
        <f ca="1">IF(ISERROR(INDEX(指数走势!$F$33:$ACK$33,1,LOOKUP(2,1/(指数走势!$F$33:$ACK$33&lt;&gt;""),COLUMN(指数走势!$F$33:$ACK$33))-COLUMN(指数走势!$F$33)+1-760+742)),NA(),IF(INDEX(指数走势!$F$33:$ACK$33,1,LOOKUP(2,1/(指数走势!$F$33:$ACK$33&lt;&gt;""),COLUMN(指数走势!$F$33:$ACK$33))-COLUMN(指数走势!$F$33)+1-760+742)=0,NA(),INDEX(指数走势!$F$33:$ACK$33,1,LOOKUP(2,1/(指数走势!$F$33:$ACK$33&lt;&gt;""),COLUMN(指数走势!$F$33:$ACK$33))-COLUMN(指数走势!$F$33)+1-760+742)))</f>
        <v>17.1033000946045</v>
      </c>
      <c r="ABP97">
        <f ca="1">IF(ISERROR(INDEX(指数走势!$F$33:$ACK$33,1,LOOKUP(2,1/(指数走势!$F$33:$ACK$33&lt;&gt;""),COLUMN(指数走势!$F$33:$ACK$33))-COLUMN(指数走势!$F$33)+1-760+743)),NA(),IF(INDEX(指数走势!$F$33:$ACK$33,1,LOOKUP(2,1/(指数走势!$F$33:$ACK$33&lt;&gt;""),COLUMN(指数走势!$F$33:$ACK$33))-COLUMN(指数走势!$F$33)+1-760+743)=0,NA(),INDEX(指数走势!$F$33:$ACK$33,1,LOOKUP(2,1/(指数走势!$F$33:$ACK$33&lt;&gt;""),COLUMN(指数走势!$F$33:$ACK$33))-COLUMN(指数走势!$F$33)+1-760+743)))</f>
        <v>17.0499992370605</v>
      </c>
      <c r="ABQ97">
        <f ca="1">IF(ISERROR(INDEX(指数走势!$F$33:$ACK$33,1,LOOKUP(2,1/(指数走势!$F$33:$ACK$33&lt;&gt;""),COLUMN(指数走势!$F$33:$ACK$33))-COLUMN(指数走势!$F$33)+1-760+744)),NA(),IF(INDEX(指数走势!$F$33:$ACK$33,1,LOOKUP(2,1/(指数走势!$F$33:$ACK$33&lt;&gt;""),COLUMN(指数走势!$F$33:$ACK$33))-COLUMN(指数走势!$F$33)+1-760+744)=0,NA(),INDEX(指数走势!$F$33:$ACK$33,1,LOOKUP(2,1/(指数走势!$F$33:$ACK$33&lt;&gt;""),COLUMN(指数走势!$F$33:$ACK$33))-COLUMN(指数走势!$F$33)+1-760+744)))</f>
        <v>17.0328998565674</v>
      </c>
      <c r="ABR97">
        <f ca="1">IF(ISERROR(INDEX(指数走势!$F$33:$ACK$33,1,LOOKUP(2,1/(指数走势!$F$33:$ACK$33&lt;&gt;""),COLUMN(指数走势!$F$33:$ACK$33))-COLUMN(指数走势!$F$33)+1-760+745)),NA(),IF(INDEX(指数走势!$F$33:$ACK$33,1,LOOKUP(2,1/(指数走势!$F$33:$ACK$33&lt;&gt;""),COLUMN(指数走势!$F$33:$ACK$33))-COLUMN(指数走势!$F$33)+1-760+745)=0,NA(),INDEX(指数走势!$F$33:$ACK$33,1,LOOKUP(2,1/(指数走势!$F$33:$ACK$33&lt;&gt;""),COLUMN(指数走势!$F$33:$ACK$33))-COLUMN(指数走势!$F$33)+1-760+745)))</f>
        <v>17.2110996246338</v>
      </c>
      <c r="ABS97">
        <f ca="1">IF(ISERROR(INDEX(指数走势!$F$33:$ACK$33,1,LOOKUP(2,1/(指数走势!$F$33:$ACK$33&lt;&gt;""),COLUMN(指数走势!$F$33:$ACK$33))-COLUMN(指数走势!$F$33)+1-760+746)),NA(),IF(INDEX(指数走势!$F$33:$ACK$33,1,LOOKUP(2,1/(指数走势!$F$33:$ACK$33&lt;&gt;""),COLUMN(指数走势!$F$33:$ACK$33))-COLUMN(指数走势!$F$33)+1-760+746)=0,NA(),INDEX(指数走势!$F$33:$ACK$33,1,LOOKUP(2,1/(指数走势!$F$33:$ACK$33&lt;&gt;""),COLUMN(指数走势!$F$33:$ACK$33))-COLUMN(指数走势!$F$33)+1-760+746)))</f>
        <v>17.2413997650146</v>
      </c>
      <c r="ABT97">
        <f ca="1">IF(ISERROR(INDEX(指数走势!$F$33:$ACK$33,1,LOOKUP(2,1/(指数走势!$F$33:$ACK$33&lt;&gt;""),COLUMN(指数走势!$F$33:$ACK$33))-COLUMN(指数走势!$F$33)+1-760+747)),NA(),IF(INDEX(指数走势!$F$33:$ACK$33,1,LOOKUP(2,1/(指数走势!$F$33:$ACK$33&lt;&gt;""),COLUMN(指数走势!$F$33:$ACK$33))-COLUMN(指数走势!$F$33)+1-760+747)=0,NA(),INDEX(指数走势!$F$33:$ACK$33,1,LOOKUP(2,1/(指数走势!$F$33:$ACK$33&lt;&gt;""),COLUMN(指数走势!$F$33:$ACK$33))-COLUMN(指数走势!$F$33)+1-760+747)))</f>
        <v>17.1840991973877</v>
      </c>
      <c r="ABU97">
        <f ca="1">IF(ISERROR(INDEX(指数走势!$F$33:$ACK$33,1,LOOKUP(2,1/(指数走势!$F$33:$ACK$33&lt;&gt;""),COLUMN(指数走势!$F$33:$ACK$33))-COLUMN(指数走势!$F$33)+1-760+748)),NA(),IF(INDEX(指数走势!$F$33:$ACK$33,1,LOOKUP(2,1/(指数走势!$F$33:$ACK$33&lt;&gt;""),COLUMN(指数走势!$F$33:$ACK$33))-COLUMN(指数走势!$F$33)+1-760+748)=0,NA(),INDEX(指数走势!$F$33:$ACK$33,1,LOOKUP(2,1/(指数走势!$F$33:$ACK$33&lt;&gt;""),COLUMN(指数走势!$F$33:$ACK$33))-COLUMN(指数走势!$F$33)+1-760+748)))</f>
        <v>17.2457008361816</v>
      </c>
      <c r="ABV97">
        <f ca="1">IF(ISERROR(INDEX(指数走势!$F$33:$ACK$33,1,LOOKUP(2,1/(指数走势!$F$33:$ACK$33&lt;&gt;""),COLUMN(指数走势!$F$33:$ACK$33))-COLUMN(指数走势!$F$33)+1-760+749)),NA(),IF(INDEX(指数走势!$F$33:$ACK$33,1,LOOKUP(2,1/(指数走势!$F$33:$ACK$33&lt;&gt;""),COLUMN(指数走势!$F$33:$ACK$33))-COLUMN(指数走势!$F$33)+1-760+749)=0,NA(),INDEX(指数走势!$F$33:$ACK$33,1,LOOKUP(2,1/(指数走势!$F$33:$ACK$33&lt;&gt;""),COLUMN(指数走势!$F$33:$ACK$33))-COLUMN(指数走势!$F$33)+1-760+749)))</f>
        <v>17.1417999267578</v>
      </c>
      <c r="ABW97">
        <f ca="1">IF(ISERROR(INDEX(指数走势!$F$33:$ACK$33,1,LOOKUP(2,1/(指数走势!$F$33:$ACK$33&lt;&gt;""),COLUMN(指数走势!$F$33:$ACK$33))-COLUMN(指数走势!$F$33)+1-760+750)),NA(),IF(INDEX(指数走势!$F$33:$ACK$33,1,LOOKUP(2,1/(指数走势!$F$33:$ACK$33&lt;&gt;""),COLUMN(指数走势!$F$33:$ACK$33))-COLUMN(指数走势!$F$33)+1-760+750)=0,NA(),INDEX(指数走势!$F$33:$ACK$33,1,LOOKUP(2,1/(指数走势!$F$33:$ACK$33&lt;&gt;""),COLUMN(指数走势!$F$33:$ACK$33))-COLUMN(指数走势!$F$33)+1-760+750)))</f>
        <v>17.4435997009277</v>
      </c>
      <c r="ABX97">
        <f ca="1">IF(ISERROR(INDEX(指数走势!$F$33:$ACK$33,1,LOOKUP(2,1/(指数走势!$F$33:$ACK$33&lt;&gt;""),COLUMN(指数走势!$F$33:$ACK$33))-COLUMN(指数走势!$F$33)+1-760+751)),NA(),IF(INDEX(指数走势!$F$33:$ACK$33,1,LOOKUP(2,1/(指数走势!$F$33:$ACK$33&lt;&gt;""),COLUMN(指数走势!$F$33:$ACK$33))-COLUMN(指数走势!$F$33)+1-760+751)=0,NA(),INDEX(指数走势!$F$33:$ACK$33,1,LOOKUP(2,1/(指数走势!$F$33:$ACK$33&lt;&gt;""),COLUMN(指数走势!$F$33:$ACK$33))-COLUMN(指数走势!$F$33)+1-760+751)))</f>
        <v>17.2283000946045</v>
      </c>
      <c r="ABY97">
        <f ca="1">IF(ISERROR(INDEX(指数走势!$F$33:$ACK$33,1,LOOKUP(2,1/(指数走势!$F$33:$ACK$33&lt;&gt;""),COLUMN(指数走势!$F$33:$ACK$33))-COLUMN(指数走势!$F$33)+1-760+752)),NA(),IF(INDEX(指数走势!$F$33:$ACK$33,1,LOOKUP(2,1/(指数走势!$F$33:$ACK$33&lt;&gt;""),COLUMN(指数走势!$F$33:$ACK$33))-COLUMN(指数走势!$F$33)+1-760+752)=0,NA(),INDEX(指数走势!$F$33:$ACK$33,1,LOOKUP(2,1/(指数走势!$F$33:$ACK$33&lt;&gt;""),COLUMN(指数走势!$F$33:$ACK$33))-COLUMN(指数走势!$F$33)+1-760+752)))</f>
        <v>17.2313995361328</v>
      </c>
      <c r="ABZ97">
        <f ca="1">IF(ISERROR(INDEX(指数走势!$F$33:$ACK$33,1,LOOKUP(2,1/(指数走势!$F$33:$ACK$33&lt;&gt;""),COLUMN(指数走势!$F$33:$ACK$33))-COLUMN(指数走势!$F$33)+1-760+753)),NA(),IF(INDEX(指数走势!$F$33:$ACK$33,1,LOOKUP(2,1/(指数走势!$F$33:$ACK$33&lt;&gt;""),COLUMN(指数走势!$F$33:$ACK$33))-COLUMN(指数走势!$F$33)+1-760+753)=0,NA(),INDEX(指数走势!$F$33:$ACK$33,1,LOOKUP(2,1/(指数走势!$F$33:$ACK$33&lt;&gt;""),COLUMN(指数走势!$F$33:$ACK$33))-COLUMN(指数走势!$F$33)+1-760+753)))</f>
        <v>17.2632999420166</v>
      </c>
      <c r="ACA97">
        <f ca="1">IF(ISERROR(INDEX(指数走势!$F$33:$ACK$33,1,LOOKUP(2,1/(指数走势!$F$33:$ACK$33&lt;&gt;""),COLUMN(指数走势!$F$33:$ACK$33))-COLUMN(指数走势!$F$33)+1-760+754)),NA(),IF(INDEX(指数走势!$F$33:$ACK$33,1,LOOKUP(2,1/(指数走势!$F$33:$ACK$33&lt;&gt;""),COLUMN(指数走势!$F$33:$ACK$33))-COLUMN(指数走势!$F$33)+1-760+754)=0,NA(),INDEX(指数走势!$F$33:$ACK$33,1,LOOKUP(2,1/(指数走势!$F$33:$ACK$33&lt;&gt;""),COLUMN(指数走势!$F$33:$ACK$33))-COLUMN(指数走势!$F$33)+1-760+754)))</f>
        <v>16.8841991424561</v>
      </c>
      <c r="ACB97">
        <f ca="1">IF(ISERROR(INDEX(指数走势!$F$33:$ACK$33,1,LOOKUP(2,1/(指数走势!$F$33:$ACK$33&lt;&gt;""),COLUMN(指数走势!$F$33:$ACK$33))-COLUMN(指数走势!$F$33)+1-760+755)),NA(),IF(INDEX(指数走势!$F$33:$ACK$33,1,LOOKUP(2,1/(指数走势!$F$33:$ACK$33&lt;&gt;""),COLUMN(指数走势!$F$33:$ACK$33))-COLUMN(指数走势!$F$33)+1-760+755)=0,NA(),INDEX(指数走势!$F$33:$ACK$33,1,LOOKUP(2,1/(指数走势!$F$33:$ACK$33&lt;&gt;""),COLUMN(指数走势!$F$33:$ACK$33))-COLUMN(指数走势!$F$33)+1-760+755)))</f>
        <v>17.0879001617432</v>
      </c>
      <c r="ACC97">
        <f ca="1">IF(ISERROR(INDEX(指数走势!$F$33:$ACK$33,1,LOOKUP(2,1/(指数走势!$F$33:$ACK$33&lt;&gt;""),COLUMN(指数走势!$F$33:$ACK$33))-COLUMN(指数走势!$F$33)+1-760+756)),NA(),IF(INDEX(指数走势!$F$33:$ACK$33,1,LOOKUP(2,1/(指数走势!$F$33:$ACK$33&lt;&gt;""),COLUMN(指数走势!$F$33:$ACK$33))-COLUMN(指数走势!$F$33)+1-760+756)=0,NA(),INDEX(指数走势!$F$33:$ACK$33,1,LOOKUP(2,1/(指数走势!$F$33:$ACK$33&lt;&gt;""),COLUMN(指数走势!$F$33:$ACK$33))-COLUMN(指数走势!$F$33)+1-760+756)))</f>
        <v>17.1315002441406</v>
      </c>
      <c r="ACD97">
        <f ca="1">IF(ISERROR(INDEX(指数走势!$F$33:$ACK$33,1,LOOKUP(2,1/(指数走势!$F$33:$ACK$33&lt;&gt;""),COLUMN(指数走势!$F$33:$ACK$33))-COLUMN(指数走势!$F$33)+1-760+757)),NA(),IF(INDEX(指数走势!$F$33:$ACK$33,1,LOOKUP(2,1/(指数走势!$F$33:$ACK$33&lt;&gt;""),COLUMN(指数走势!$F$33:$ACK$33))-COLUMN(指数走势!$F$33)+1-760+757)=0,NA(),INDEX(指数走势!$F$33:$ACK$33,1,LOOKUP(2,1/(指数走势!$F$33:$ACK$33&lt;&gt;""),COLUMN(指数走势!$F$33:$ACK$33))-COLUMN(指数走势!$F$33)+1-760+757)))</f>
        <v>17.198299407959</v>
      </c>
      <c r="ACE97">
        <f ca="1">IF(ISERROR(INDEX(指数走势!$F$33:$ACK$33,1,LOOKUP(2,1/(指数走势!$F$33:$ACK$33&lt;&gt;""),COLUMN(指数走势!$F$33:$ACK$33))-COLUMN(指数走势!$F$33)+1-760+758)),NA(),IF(INDEX(指数走势!$F$33:$ACK$33,1,LOOKUP(2,1/(指数走势!$F$33:$ACK$33&lt;&gt;""),COLUMN(指数走势!$F$33:$ACK$33))-COLUMN(指数走势!$F$33)+1-760+758)=0,NA(),INDEX(指数走势!$F$33:$ACK$33,1,LOOKUP(2,1/(指数走势!$F$33:$ACK$33&lt;&gt;""),COLUMN(指数走势!$F$33:$ACK$33))-COLUMN(指数走势!$F$33)+1-760+758)))</f>
        <v>16.8787994384766</v>
      </c>
      <c r="ACF97">
        <f ca="1">IF(ISERROR(INDEX(指数走势!$F$33:$ACK$33,1,LOOKUP(2,1/(指数走势!$F$33:$ACK$33&lt;&gt;""),COLUMN(指数走势!$F$33:$ACK$33))-COLUMN(指数走势!$F$33)+1-760+759)),NA(),IF(INDEX(指数走势!$F$33:$ACK$33,1,LOOKUP(2,1/(指数走势!$F$33:$ACK$33&lt;&gt;""),COLUMN(指数走势!$F$33:$ACK$33))-COLUMN(指数走势!$F$33)+1-760+759)=0,NA(),INDEX(指数走势!$F$33:$ACK$33,1,LOOKUP(2,1/(指数走势!$F$33:$ACK$33&lt;&gt;""),COLUMN(指数走势!$F$33:$ACK$33))-COLUMN(指数走势!$F$33)+1-760+759)))</f>
        <v>16.9409999847412</v>
      </c>
      <c r="ACG97">
        <f ca="1">IF(ISERROR(INDEX(指数走势!$F$33:$ACK$33,1,LOOKUP(2,1/(指数走势!$F$33:$ACK$33&lt;&gt;""),COLUMN(指数走势!$F$33:$ACK$33))-COLUMN(指数走势!$F$33)+1-760+760)),NA(),IF(INDEX(指数走势!$F$33:$ACK$33,1,LOOKUP(2,1/(指数走势!$F$33:$ACK$33&lt;&gt;""),COLUMN(指数走势!$F$33:$ACK$33))-COLUMN(指数走势!$F$33)+1-760+760)=0,NA(),INDEX(指数走势!$F$33:$ACK$33,1,LOOKUP(2,1/(指数走势!$F$33:$ACK$33&lt;&gt;""),COLUMN(指数走势!$F$33:$ACK$33))-COLUMN(指数走势!$F$33)+1-760+760)))</f>
        <v>16.9409008026123</v>
      </c>
    </row>
    <row r="98" ht="15" customHeight="1" spans="1:761">
      <c r="A98" s="1" t="s">
        <v>44</v>
      </c>
      <c r="B98" s="2" t="e">
        <f>IF(ISERROR(INDEX(指数走势!$F$34:$ACK$34,1,LOOKUP(2,1/(指数走势!$F$34:$ACK$34&lt;&gt;""),COLUMN(指数走势!$F$34:$ACK$34))-COLUMN(指数走势!$F$34)+1-760+1)),NA(),IF(INDEX(指数走势!$F$34:$ACK$34,1,LOOKUP(2,1/(指数走势!$F$34:$ACK$34&lt;&gt;""),COLUMN(指数走势!$F$34:$ACK$34))-COLUMN(指数走势!$F$34)+1-760+1)=0,NA(),INDEX(指数走势!$F$34:$ACK$34,1,LOOKUP(2,1/(指数走势!$F$34:$ACK$34&lt;&gt;""),COLUMN(指数走势!$F$34:$ACK$34))-COLUMN(指数走势!$F$34)+1-760+1)))</f>
        <v>#N/A</v>
      </c>
      <c r="C98" s="2" t="e">
        <f>IF(ISERROR(INDEX(指数走势!$F$34:$ACK$34,1,LOOKUP(2,1/(指数走势!$F$34:$ACK$34&lt;&gt;""),COLUMN(指数走势!$F$34:$ACK$34))-COLUMN(指数走势!$F$34)+1-760+2)),NA(),IF(INDEX(指数走势!$F$34:$ACK$34,1,LOOKUP(2,1/(指数走势!$F$34:$ACK$34&lt;&gt;""),COLUMN(指数走势!$F$34:$ACK$34))-COLUMN(指数走势!$F$34)+1-760+2)=0,NA(),INDEX(指数走势!$F$34:$ACK$34,1,LOOKUP(2,1/(指数走势!$F$34:$ACK$34&lt;&gt;""),COLUMN(指数走势!$F$34:$ACK$34))-COLUMN(指数走势!$F$34)+1-760+2)))</f>
        <v>#N/A</v>
      </c>
      <c r="D98" s="2" t="e">
        <f>IF(ISERROR(INDEX(指数走势!$F$34:$ACK$34,1,LOOKUP(2,1/(指数走势!$F$34:$ACK$34&lt;&gt;""),COLUMN(指数走势!$F$34:$ACK$34))-COLUMN(指数走势!$F$34)+1-760+3)),NA(),IF(INDEX(指数走势!$F$34:$ACK$34,1,LOOKUP(2,1/(指数走势!$F$34:$ACK$34&lt;&gt;""),COLUMN(指数走势!$F$34:$ACK$34))-COLUMN(指数走势!$F$34)+1-760+3)=0,NA(),INDEX(指数走势!$F$34:$ACK$34,1,LOOKUP(2,1/(指数走势!$F$34:$ACK$34&lt;&gt;""),COLUMN(指数走势!$F$34:$ACK$34))-COLUMN(指数走势!$F$34)+1-760+3)))</f>
        <v>#N/A</v>
      </c>
      <c r="E98" s="2" t="e">
        <f>IF(ISERROR(INDEX(指数走势!$F$34:$ACK$34,1,LOOKUP(2,1/(指数走势!$F$34:$ACK$34&lt;&gt;""),COLUMN(指数走势!$F$34:$ACK$34))-COLUMN(指数走势!$F$34)+1-760+4)),NA(),IF(INDEX(指数走势!$F$34:$ACK$34,1,LOOKUP(2,1/(指数走势!$F$34:$ACK$34&lt;&gt;""),COLUMN(指数走势!$F$34:$ACK$34))-COLUMN(指数走势!$F$34)+1-760+4)=0,NA(),INDEX(指数走势!$F$34:$ACK$34,1,LOOKUP(2,1/(指数走势!$F$34:$ACK$34&lt;&gt;""),COLUMN(指数走势!$F$34:$ACK$34))-COLUMN(指数走势!$F$34)+1-760+4)))</f>
        <v>#N/A</v>
      </c>
      <c r="F98" s="2" t="e">
        <f>IF(ISERROR(INDEX(指数走势!$F$34:$ACK$34,1,LOOKUP(2,1/(指数走势!$F$34:$ACK$34&lt;&gt;""),COLUMN(指数走势!$F$34:$ACK$34))-COLUMN(指数走势!$F$34)+1-760+5)),NA(),IF(INDEX(指数走势!$F$34:$ACK$34,1,LOOKUP(2,1/(指数走势!$F$34:$ACK$34&lt;&gt;""),COLUMN(指数走势!$F$34:$ACK$34))-COLUMN(指数走势!$F$34)+1-760+5)=0,NA(),INDEX(指数走势!$F$34:$ACK$34,1,LOOKUP(2,1/(指数走势!$F$34:$ACK$34&lt;&gt;""),COLUMN(指数走势!$F$34:$ACK$34))-COLUMN(指数走势!$F$34)+1-760+5)))</f>
        <v>#N/A</v>
      </c>
      <c r="G98" s="2" t="e">
        <f>IF(ISERROR(INDEX(指数走势!$F$34:$ACK$34,1,LOOKUP(2,1/(指数走势!$F$34:$ACK$34&lt;&gt;""),COLUMN(指数走势!$F$34:$ACK$34))-COLUMN(指数走势!$F$34)+1-760+6)),NA(),IF(INDEX(指数走势!$F$34:$ACK$34,1,LOOKUP(2,1/(指数走势!$F$34:$ACK$34&lt;&gt;""),COLUMN(指数走势!$F$34:$ACK$34))-COLUMN(指数走势!$F$34)+1-760+6)=0,NA(),INDEX(指数走势!$F$34:$ACK$34,1,LOOKUP(2,1/(指数走势!$F$34:$ACK$34&lt;&gt;""),COLUMN(指数走势!$F$34:$ACK$34))-COLUMN(指数走势!$F$34)+1-760+6)))</f>
        <v>#N/A</v>
      </c>
      <c r="H98" s="2" t="e">
        <f>IF(ISERROR(INDEX(指数走势!$F$34:$ACK$34,1,LOOKUP(2,1/(指数走势!$F$34:$ACK$34&lt;&gt;""),COLUMN(指数走势!$F$34:$ACK$34))-COLUMN(指数走势!$F$34)+1-760+7)),NA(),IF(INDEX(指数走势!$F$34:$ACK$34,1,LOOKUP(2,1/(指数走势!$F$34:$ACK$34&lt;&gt;""),COLUMN(指数走势!$F$34:$ACK$34))-COLUMN(指数走势!$F$34)+1-760+7)=0,NA(),INDEX(指数走势!$F$34:$ACK$34,1,LOOKUP(2,1/(指数走势!$F$34:$ACK$34&lt;&gt;""),COLUMN(指数走势!$F$34:$ACK$34))-COLUMN(指数走势!$F$34)+1-760+7)))</f>
        <v>#N/A</v>
      </c>
      <c r="I98" s="2" t="e">
        <f>IF(ISERROR(INDEX(指数走势!$F$34:$ACK$34,1,LOOKUP(2,1/(指数走势!$F$34:$ACK$34&lt;&gt;""),COLUMN(指数走势!$F$34:$ACK$34))-COLUMN(指数走势!$F$34)+1-760+8)),NA(),IF(INDEX(指数走势!$F$34:$ACK$34,1,LOOKUP(2,1/(指数走势!$F$34:$ACK$34&lt;&gt;""),COLUMN(指数走势!$F$34:$ACK$34))-COLUMN(指数走势!$F$34)+1-760+8)=0,NA(),INDEX(指数走势!$F$34:$ACK$34,1,LOOKUP(2,1/(指数走势!$F$34:$ACK$34&lt;&gt;""),COLUMN(指数走势!$F$34:$ACK$34))-COLUMN(指数走势!$F$34)+1-760+8)))</f>
        <v>#N/A</v>
      </c>
      <c r="J98" s="2" t="e">
        <f>IF(ISERROR(INDEX(指数走势!$F$34:$ACK$34,1,LOOKUP(2,1/(指数走势!$F$34:$ACK$34&lt;&gt;""),COLUMN(指数走势!$F$34:$ACK$34))-COLUMN(指数走势!$F$34)+1-760+9)),NA(),IF(INDEX(指数走势!$F$34:$ACK$34,1,LOOKUP(2,1/(指数走势!$F$34:$ACK$34&lt;&gt;""),COLUMN(指数走势!$F$34:$ACK$34))-COLUMN(指数走势!$F$34)+1-760+9)=0,NA(),INDEX(指数走势!$F$34:$ACK$34,1,LOOKUP(2,1/(指数走势!$F$34:$ACK$34&lt;&gt;""),COLUMN(指数走势!$F$34:$ACK$34))-COLUMN(指数走势!$F$34)+1-760+9)))</f>
        <v>#N/A</v>
      </c>
      <c r="K98" s="2" t="e">
        <f>IF(ISERROR(INDEX(指数走势!$F$34:$ACK$34,1,LOOKUP(2,1/(指数走势!$F$34:$ACK$34&lt;&gt;""),COLUMN(指数走势!$F$34:$ACK$34))-COLUMN(指数走势!$F$34)+1-760+10)),NA(),IF(INDEX(指数走势!$F$34:$ACK$34,1,LOOKUP(2,1/(指数走势!$F$34:$ACK$34&lt;&gt;""),COLUMN(指数走势!$F$34:$ACK$34))-COLUMN(指数走势!$F$34)+1-760+10)=0,NA(),INDEX(指数走势!$F$34:$ACK$34,1,LOOKUP(2,1/(指数走势!$F$34:$ACK$34&lt;&gt;""),COLUMN(指数走势!$F$34:$ACK$34))-COLUMN(指数走势!$F$34)+1-760+10)))</f>
        <v>#N/A</v>
      </c>
      <c r="L98" s="2" t="e">
        <f>IF(ISERROR(INDEX(指数走势!$F$34:$ACK$34,1,LOOKUP(2,1/(指数走势!$F$34:$ACK$34&lt;&gt;""),COLUMN(指数走势!$F$34:$ACK$34))-COLUMN(指数走势!$F$34)+1-760+11)),NA(),IF(INDEX(指数走势!$F$34:$ACK$34,1,LOOKUP(2,1/(指数走势!$F$34:$ACK$34&lt;&gt;""),COLUMN(指数走势!$F$34:$ACK$34))-COLUMN(指数走势!$F$34)+1-760+11)=0,NA(),INDEX(指数走势!$F$34:$ACK$34,1,LOOKUP(2,1/(指数走势!$F$34:$ACK$34&lt;&gt;""),COLUMN(指数走势!$F$34:$ACK$34))-COLUMN(指数走势!$F$34)+1-760+11)))</f>
        <v>#N/A</v>
      </c>
      <c r="M98" s="2" t="e">
        <f>IF(ISERROR(INDEX(指数走势!$F$34:$ACK$34,1,LOOKUP(2,1/(指数走势!$F$34:$ACK$34&lt;&gt;""),COLUMN(指数走势!$F$34:$ACK$34))-COLUMN(指数走势!$F$34)+1-760+12)),NA(),IF(INDEX(指数走势!$F$34:$ACK$34,1,LOOKUP(2,1/(指数走势!$F$34:$ACK$34&lt;&gt;""),COLUMN(指数走势!$F$34:$ACK$34))-COLUMN(指数走势!$F$34)+1-760+12)=0,NA(),INDEX(指数走势!$F$34:$ACK$34,1,LOOKUP(2,1/(指数走势!$F$34:$ACK$34&lt;&gt;""),COLUMN(指数走势!$F$34:$ACK$34))-COLUMN(指数走势!$F$34)+1-760+12)))</f>
        <v>#N/A</v>
      </c>
      <c r="N98" s="2" t="e">
        <f>IF(ISERROR(INDEX(指数走势!$F$34:$ACK$34,1,LOOKUP(2,1/(指数走势!$F$34:$ACK$34&lt;&gt;""),COLUMN(指数走势!$F$34:$ACK$34))-COLUMN(指数走势!$F$34)+1-760+13)),NA(),IF(INDEX(指数走势!$F$34:$ACK$34,1,LOOKUP(2,1/(指数走势!$F$34:$ACK$34&lt;&gt;""),COLUMN(指数走势!$F$34:$ACK$34))-COLUMN(指数走势!$F$34)+1-760+13)=0,NA(),INDEX(指数走势!$F$34:$ACK$34,1,LOOKUP(2,1/(指数走势!$F$34:$ACK$34&lt;&gt;""),COLUMN(指数走势!$F$34:$ACK$34))-COLUMN(指数走势!$F$34)+1-760+13)))</f>
        <v>#N/A</v>
      </c>
      <c r="O98" s="2" t="e">
        <f>IF(ISERROR(INDEX(指数走势!$F$34:$ACK$34,1,LOOKUP(2,1/(指数走势!$F$34:$ACK$34&lt;&gt;""),COLUMN(指数走势!$F$34:$ACK$34))-COLUMN(指数走势!$F$34)+1-760+14)),NA(),IF(INDEX(指数走势!$F$34:$ACK$34,1,LOOKUP(2,1/(指数走势!$F$34:$ACK$34&lt;&gt;""),COLUMN(指数走势!$F$34:$ACK$34))-COLUMN(指数走势!$F$34)+1-760+14)=0,NA(),INDEX(指数走势!$F$34:$ACK$34,1,LOOKUP(2,1/(指数走势!$F$34:$ACK$34&lt;&gt;""),COLUMN(指数走势!$F$34:$ACK$34))-COLUMN(指数走势!$F$34)+1-760+14)))</f>
        <v>#N/A</v>
      </c>
      <c r="P98" s="2" t="e">
        <f>IF(ISERROR(INDEX(指数走势!$F$34:$ACK$34,1,LOOKUP(2,1/(指数走势!$F$34:$ACK$34&lt;&gt;""),COLUMN(指数走势!$F$34:$ACK$34))-COLUMN(指数走势!$F$34)+1-760+15)),NA(),IF(INDEX(指数走势!$F$34:$ACK$34,1,LOOKUP(2,1/(指数走势!$F$34:$ACK$34&lt;&gt;""),COLUMN(指数走势!$F$34:$ACK$34))-COLUMN(指数走势!$F$34)+1-760+15)=0,NA(),INDEX(指数走势!$F$34:$ACK$34,1,LOOKUP(2,1/(指数走势!$F$34:$ACK$34&lt;&gt;""),COLUMN(指数走势!$F$34:$ACK$34))-COLUMN(指数走势!$F$34)+1-760+15)))</f>
        <v>#N/A</v>
      </c>
      <c r="Q98" s="2" t="e">
        <f>IF(ISERROR(INDEX(指数走势!$F$34:$ACK$34,1,LOOKUP(2,1/(指数走势!$F$34:$ACK$34&lt;&gt;""),COLUMN(指数走势!$F$34:$ACK$34))-COLUMN(指数走势!$F$34)+1-760+16)),NA(),IF(INDEX(指数走势!$F$34:$ACK$34,1,LOOKUP(2,1/(指数走势!$F$34:$ACK$34&lt;&gt;""),COLUMN(指数走势!$F$34:$ACK$34))-COLUMN(指数走势!$F$34)+1-760+16)=0,NA(),INDEX(指数走势!$F$34:$ACK$34,1,LOOKUP(2,1/(指数走势!$F$34:$ACK$34&lt;&gt;""),COLUMN(指数走势!$F$34:$ACK$34))-COLUMN(指数走势!$F$34)+1-760+16)))</f>
        <v>#N/A</v>
      </c>
      <c r="R98" s="2" t="e">
        <f>IF(ISERROR(INDEX(指数走势!$F$34:$ACK$34,1,LOOKUP(2,1/(指数走势!$F$34:$ACK$34&lt;&gt;""),COLUMN(指数走势!$F$34:$ACK$34))-COLUMN(指数走势!$F$34)+1-760+17)),NA(),IF(INDEX(指数走势!$F$34:$ACK$34,1,LOOKUP(2,1/(指数走势!$F$34:$ACK$34&lt;&gt;""),COLUMN(指数走势!$F$34:$ACK$34))-COLUMN(指数走势!$F$34)+1-760+17)=0,NA(),INDEX(指数走势!$F$34:$ACK$34,1,LOOKUP(2,1/(指数走势!$F$34:$ACK$34&lt;&gt;""),COLUMN(指数走势!$F$34:$ACK$34))-COLUMN(指数走势!$F$34)+1-760+17)))</f>
        <v>#N/A</v>
      </c>
      <c r="S98" s="2" t="e">
        <f>IF(ISERROR(INDEX(指数走势!$F$34:$ACK$34,1,LOOKUP(2,1/(指数走势!$F$34:$ACK$34&lt;&gt;""),COLUMN(指数走势!$F$34:$ACK$34))-COLUMN(指数走势!$F$34)+1-760+18)),NA(),IF(INDEX(指数走势!$F$34:$ACK$34,1,LOOKUP(2,1/(指数走势!$F$34:$ACK$34&lt;&gt;""),COLUMN(指数走势!$F$34:$ACK$34))-COLUMN(指数走势!$F$34)+1-760+18)=0,NA(),INDEX(指数走势!$F$34:$ACK$34,1,LOOKUP(2,1/(指数走势!$F$34:$ACK$34&lt;&gt;""),COLUMN(指数走势!$F$34:$ACK$34))-COLUMN(指数走势!$F$34)+1-760+18)))</f>
        <v>#N/A</v>
      </c>
      <c r="T98" s="2" t="e">
        <f>IF(ISERROR(INDEX(指数走势!$F$34:$ACK$34,1,LOOKUP(2,1/(指数走势!$F$34:$ACK$34&lt;&gt;""),COLUMN(指数走势!$F$34:$ACK$34))-COLUMN(指数走势!$F$34)+1-760+19)),NA(),IF(INDEX(指数走势!$F$34:$ACK$34,1,LOOKUP(2,1/(指数走势!$F$34:$ACK$34&lt;&gt;""),COLUMN(指数走势!$F$34:$ACK$34))-COLUMN(指数走势!$F$34)+1-760+19)=0,NA(),INDEX(指数走势!$F$34:$ACK$34,1,LOOKUP(2,1/(指数走势!$F$34:$ACK$34&lt;&gt;""),COLUMN(指数走势!$F$34:$ACK$34))-COLUMN(指数走势!$F$34)+1-760+19)))</f>
        <v>#N/A</v>
      </c>
      <c r="U98" s="2" t="e">
        <f>IF(ISERROR(INDEX(指数走势!$F$34:$ACK$34,1,LOOKUP(2,1/(指数走势!$F$34:$ACK$34&lt;&gt;""),COLUMN(指数走势!$F$34:$ACK$34))-COLUMN(指数走势!$F$34)+1-760+20)),NA(),IF(INDEX(指数走势!$F$34:$ACK$34,1,LOOKUP(2,1/(指数走势!$F$34:$ACK$34&lt;&gt;""),COLUMN(指数走势!$F$34:$ACK$34))-COLUMN(指数走势!$F$34)+1-760+20)=0,NA(),INDEX(指数走势!$F$34:$ACK$34,1,LOOKUP(2,1/(指数走势!$F$34:$ACK$34&lt;&gt;""),COLUMN(指数走势!$F$34:$ACK$34))-COLUMN(指数走势!$F$34)+1-760+20)))</f>
        <v>#N/A</v>
      </c>
      <c r="V98" s="2" t="e">
        <f>IF(ISERROR(INDEX(指数走势!$F$34:$ACK$34,1,LOOKUP(2,1/(指数走势!$F$34:$ACK$34&lt;&gt;""),COLUMN(指数走势!$F$34:$ACK$34))-COLUMN(指数走势!$F$34)+1-760+21)),NA(),IF(INDEX(指数走势!$F$34:$ACK$34,1,LOOKUP(2,1/(指数走势!$F$34:$ACK$34&lt;&gt;""),COLUMN(指数走势!$F$34:$ACK$34))-COLUMN(指数走势!$F$34)+1-760+21)=0,NA(),INDEX(指数走势!$F$34:$ACK$34,1,LOOKUP(2,1/(指数走势!$F$34:$ACK$34&lt;&gt;""),COLUMN(指数走势!$F$34:$ACK$34))-COLUMN(指数走势!$F$34)+1-760+21)))</f>
        <v>#N/A</v>
      </c>
      <c r="W98" s="2" t="e">
        <f>IF(ISERROR(INDEX(指数走势!$F$34:$ACK$34,1,LOOKUP(2,1/(指数走势!$F$34:$ACK$34&lt;&gt;""),COLUMN(指数走势!$F$34:$ACK$34))-COLUMN(指数走势!$F$34)+1-760+22)),NA(),IF(INDEX(指数走势!$F$34:$ACK$34,1,LOOKUP(2,1/(指数走势!$F$34:$ACK$34&lt;&gt;""),COLUMN(指数走势!$F$34:$ACK$34))-COLUMN(指数走势!$F$34)+1-760+22)=0,NA(),INDEX(指数走势!$F$34:$ACK$34,1,LOOKUP(2,1/(指数走势!$F$34:$ACK$34&lt;&gt;""),COLUMN(指数走势!$F$34:$ACK$34))-COLUMN(指数走势!$F$34)+1-760+22)))</f>
        <v>#N/A</v>
      </c>
      <c r="X98" s="2" t="e">
        <f>IF(ISERROR(INDEX(指数走势!$F$34:$ACK$34,1,LOOKUP(2,1/(指数走势!$F$34:$ACK$34&lt;&gt;""),COLUMN(指数走势!$F$34:$ACK$34))-COLUMN(指数走势!$F$34)+1-760+23)),NA(),IF(INDEX(指数走势!$F$34:$ACK$34,1,LOOKUP(2,1/(指数走势!$F$34:$ACK$34&lt;&gt;""),COLUMN(指数走势!$F$34:$ACK$34))-COLUMN(指数走势!$F$34)+1-760+23)=0,NA(),INDEX(指数走势!$F$34:$ACK$34,1,LOOKUP(2,1/(指数走势!$F$34:$ACK$34&lt;&gt;""),COLUMN(指数走势!$F$34:$ACK$34))-COLUMN(指数走势!$F$34)+1-760+23)))</f>
        <v>#N/A</v>
      </c>
      <c r="Y98" s="2" t="e">
        <f>IF(ISERROR(INDEX(指数走势!$F$34:$ACK$34,1,LOOKUP(2,1/(指数走势!$F$34:$ACK$34&lt;&gt;""),COLUMN(指数走势!$F$34:$ACK$34))-COLUMN(指数走势!$F$34)+1-760+24)),NA(),IF(INDEX(指数走势!$F$34:$ACK$34,1,LOOKUP(2,1/(指数走势!$F$34:$ACK$34&lt;&gt;""),COLUMN(指数走势!$F$34:$ACK$34))-COLUMN(指数走势!$F$34)+1-760+24)=0,NA(),INDEX(指数走势!$F$34:$ACK$34,1,LOOKUP(2,1/(指数走势!$F$34:$ACK$34&lt;&gt;""),COLUMN(指数走势!$F$34:$ACK$34))-COLUMN(指数走势!$F$34)+1-760+24)))</f>
        <v>#N/A</v>
      </c>
      <c r="Z98" s="2" t="e">
        <f>IF(ISERROR(INDEX(指数走势!$F$34:$ACK$34,1,LOOKUP(2,1/(指数走势!$F$34:$ACK$34&lt;&gt;""),COLUMN(指数走势!$F$34:$ACK$34))-COLUMN(指数走势!$F$34)+1-760+25)),NA(),IF(INDEX(指数走势!$F$34:$ACK$34,1,LOOKUP(2,1/(指数走势!$F$34:$ACK$34&lt;&gt;""),COLUMN(指数走势!$F$34:$ACK$34))-COLUMN(指数走势!$F$34)+1-760+25)=0,NA(),INDEX(指数走势!$F$34:$ACK$34,1,LOOKUP(2,1/(指数走势!$F$34:$ACK$34&lt;&gt;""),COLUMN(指数走势!$F$34:$ACK$34))-COLUMN(指数走势!$F$34)+1-760+25)))</f>
        <v>#N/A</v>
      </c>
      <c r="AA98" s="2" t="e">
        <f>IF(ISERROR(INDEX(指数走势!$F$34:$ACK$34,1,LOOKUP(2,1/(指数走势!$F$34:$ACK$34&lt;&gt;""),COLUMN(指数走势!$F$34:$ACK$34))-COLUMN(指数走势!$F$34)+1-760+26)),NA(),IF(INDEX(指数走势!$F$34:$ACK$34,1,LOOKUP(2,1/(指数走势!$F$34:$ACK$34&lt;&gt;""),COLUMN(指数走势!$F$34:$ACK$34))-COLUMN(指数走势!$F$34)+1-760+26)=0,NA(),INDEX(指数走势!$F$34:$ACK$34,1,LOOKUP(2,1/(指数走势!$F$34:$ACK$34&lt;&gt;""),COLUMN(指数走势!$F$34:$ACK$34))-COLUMN(指数走势!$F$34)+1-760+26)))</f>
        <v>#N/A</v>
      </c>
      <c r="AB98" s="2" t="e">
        <f>IF(ISERROR(INDEX(指数走势!$F$34:$ACK$34,1,LOOKUP(2,1/(指数走势!$F$34:$ACK$34&lt;&gt;""),COLUMN(指数走势!$F$34:$ACK$34))-COLUMN(指数走势!$F$34)+1-760+27)),NA(),IF(INDEX(指数走势!$F$34:$ACK$34,1,LOOKUP(2,1/(指数走势!$F$34:$ACK$34&lt;&gt;""),COLUMN(指数走势!$F$34:$ACK$34))-COLUMN(指数走势!$F$34)+1-760+27)=0,NA(),INDEX(指数走势!$F$34:$ACK$34,1,LOOKUP(2,1/(指数走势!$F$34:$ACK$34&lt;&gt;""),COLUMN(指数走势!$F$34:$ACK$34))-COLUMN(指数走势!$F$34)+1-760+27)))</f>
        <v>#N/A</v>
      </c>
      <c r="AC98" s="2" t="e">
        <f>IF(ISERROR(INDEX(指数走势!$F$34:$ACK$34,1,LOOKUP(2,1/(指数走势!$F$34:$ACK$34&lt;&gt;""),COLUMN(指数走势!$F$34:$ACK$34))-COLUMN(指数走势!$F$34)+1-760+28)),NA(),IF(INDEX(指数走势!$F$34:$ACK$34,1,LOOKUP(2,1/(指数走势!$F$34:$ACK$34&lt;&gt;""),COLUMN(指数走势!$F$34:$ACK$34))-COLUMN(指数走势!$F$34)+1-760+28)=0,NA(),INDEX(指数走势!$F$34:$ACK$34,1,LOOKUP(2,1/(指数走势!$F$34:$ACK$34&lt;&gt;""),COLUMN(指数走势!$F$34:$ACK$34))-COLUMN(指数走势!$F$34)+1-760+28)))</f>
        <v>#N/A</v>
      </c>
      <c r="AD98" s="2" t="e">
        <f>IF(ISERROR(INDEX(指数走势!$F$34:$ACK$34,1,LOOKUP(2,1/(指数走势!$F$34:$ACK$34&lt;&gt;""),COLUMN(指数走势!$F$34:$ACK$34))-COLUMN(指数走势!$F$34)+1-760+29)),NA(),IF(INDEX(指数走势!$F$34:$ACK$34,1,LOOKUP(2,1/(指数走势!$F$34:$ACK$34&lt;&gt;""),COLUMN(指数走势!$F$34:$ACK$34))-COLUMN(指数走势!$F$34)+1-760+29)=0,NA(),INDEX(指数走势!$F$34:$ACK$34,1,LOOKUP(2,1/(指数走势!$F$34:$ACK$34&lt;&gt;""),COLUMN(指数走势!$F$34:$ACK$34))-COLUMN(指数走势!$F$34)+1-760+29)))</f>
        <v>#N/A</v>
      </c>
      <c r="AE98" s="2" t="e">
        <f>IF(ISERROR(INDEX(指数走势!$F$34:$ACK$34,1,LOOKUP(2,1/(指数走势!$F$34:$ACK$34&lt;&gt;""),COLUMN(指数走势!$F$34:$ACK$34))-COLUMN(指数走势!$F$34)+1-760+30)),NA(),IF(INDEX(指数走势!$F$34:$ACK$34,1,LOOKUP(2,1/(指数走势!$F$34:$ACK$34&lt;&gt;""),COLUMN(指数走势!$F$34:$ACK$34))-COLUMN(指数走势!$F$34)+1-760+30)=0,NA(),INDEX(指数走势!$F$34:$ACK$34,1,LOOKUP(2,1/(指数走势!$F$34:$ACK$34&lt;&gt;""),COLUMN(指数走势!$F$34:$ACK$34))-COLUMN(指数走势!$F$34)+1-760+30)))</f>
        <v>#N/A</v>
      </c>
      <c r="AF98" s="2" t="e">
        <f>IF(ISERROR(INDEX(指数走势!$F$34:$ACK$34,1,LOOKUP(2,1/(指数走势!$F$34:$ACK$34&lt;&gt;""),COLUMN(指数走势!$F$34:$ACK$34))-COLUMN(指数走势!$F$34)+1-760+31)),NA(),IF(INDEX(指数走势!$F$34:$ACK$34,1,LOOKUP(2,1/(指数走势!$F$34:$ACK$34&lt;&gt;""),COLUMN(指数走势!$F$34:$ACK$34))-COLUMN(指数走势!$F$34)+1-760+31)=0,NA(),INDEX(指数走势!$F$34:$ACK$34,1,LOOKUP(2,1/(指数走势!$F$34:$ACK$34&lt;&gt;""),COLUMN(指数走势!$F$34:$ACK$34))-COLUMN(指数走势!$F$34)+1-760+31)))</f>
        <v>#N/A</v>
      </c>
      <c r="AG98" s="2" t="e">
        <f>IF(ISERROR(INDEX(指数走势!$F$34:$ACK$34,1,LOOKUP(2,1/(指数走势!$F$34:$ACK$34&lt;&gt;""),COLUMN(指数走势!$F$34:$ACK$34))-COLUMN(指数走势!$F$34)+1-760+32)),NA(),IF(INDEX(指数走势!$F$34:$ACK$34,1,LOOKUP(2,1/(指数走势!$F$34:$ACK$34&lt;&gt;""),COLUMN(指数走势!$F$34:$ACK$34))-COLUMN(指数走势!$F$34)+1-760+32)=0,NA(),INDEX(指数走势!$F$34:$ACK$34,1,LOOKUP(2,1/(指数走势!$F$34:$ACK$34&lt;&gt;""),COLUMN(指数走势!$F$34:$ACK$34))-COLUMN(指数走势!$F$34)+1-760+32)))</f>
        <v>#N/A</v>
      </c>
      <c r="AH98" s="2" t="e">
        <f>IF(ISERROR(INDEX(指数走势!$F$34:$ACK$34,1,LOOKUP(2,1/(指数走势!$F$34:$ACK$34&lt;&gt;""),COLUMN(指数走势!$F$34:$ACK$34))-COLUMN(指数走势!$F$34)+1-760+33)),NA(),IF(INDEX(指数走势!$F$34:$ACK$34,1,LOOKUP(2,1/(指数走势!$F$34:$ACK$34&lt;&gt;""),COLUMN(指数走势!$F$34:$ACK$34))-COLUMN(指数走势!$F$34)+1-760+33)=0,NA(),INDEX(指数走势!$F$34:$ACK$34,1,LOOKUP(2,1/(指数走势!$F$34:$ACK$34&lt;&gt;""),COLUMN(指数走势!$F$34:$ACK$34))-COLUMN(指数走势!$F$34)+1-760+33)))</f>
        <v>#N/A</v>
      </c>
      <c r="AI98" s="2">
        <f>IF(ISERROR(INDEX(指数走势!$F$34:$ACK$34,1,LOOKUP(2,1/(指数走势!$F$34:$ACK$34&lt;&gt;""),COLUMN(指数走势!$F$34:$ACK$34))-COLUMN(指数走势!$F$34)+1-760+34)),NA(),IF(INDEX(指数走势!$F$34:$ACK$34,1,LOOKUP(2,1/(指数走势!$F$34:$ACK$34&lt;&gt;""),COLUMN(指数走势!$F$34:$ACK$34))-COLUMN(指数走势!$F$34)+1-760+34)=0,NA(),INDEX(指数走势!$F$34:$ACK$34,1,LOOKUP(2,1/(指数走势!$F$34:$ACK$34&lt;&gt;""),COLUMN(指数走势!$F$34:$ACK$34))-COLUMN(指数走势!$F$34)+1-760+34)))</f>
        <v>22.5816993713379</v>
      </c>
      <c r="AJ98" s="2">
        <f>IF(ISERROR(INDEX(指数走势!$F$34:$ACK$34,1,LOOKUP(2,1/(指数走势!$F$34:$ACK$34&lt;&gt;""),COLUMN(指数走势!$F$34:$ACK$34))-COLUMN(指数走势!$F$34)+1-760+35)),NA(),IF(INDEX(指数走势!$F$34:$ACK$34,1,LOOKUP(2,1/(指数走势!$F$34:$ACK$34&lt;&gt;""),COLUMN(指数走势!$F$34:$ACK$34))-COLUMN(指数走势!$F$34)+1-760+35)=0,NA(),INDEX(指数走势!$F$34:$ACK$34,1,LOOKUP(2,1/(指数走势!$F$34:$ACK$34&lt;&gt;""),COLUMN(指数走势!$F$34:$ACK$34))-COLUMN(指数走势!$F$34)+1-760+35)))</f>
        <v>23.253999710083</v>
      </c>
      <c r="AK98" s="2">
        <f>IF(ISERROR(INDEX(指数走势!$F$34:$ACK$34,1,LOOKUP(2,1/(指数走势!$F$34:$ACK$34&lt;&gt;""),COLUMN(指数走势!$F$34:$ACK$34))-COLUMN(指数走势!$F$34)+1-760+36)),NA(),IF(INDEX(指数走势!$F$34:$ACK$34,1,LOOKUP(2,1/(指数走势!$F$34:$ACK$34&lt;&gt;""),COLUMN(指数走势!$F$34:$ACK$34))-COLUMN(指数走势!$F$34)+1-760+36)=0,NA(),INDEX(指数走势!$F$34:$ACK$34,1,LOOKUP(2,1/(指数走势!$F$34:$ACK$34&lt;&gt;""),COLUMN(指数走势!$F$34:$ACK$34))-COLUMN(指数走势!$F$34)+1-760+36)))</f>
        <v>23.0977001190186</v>
      </c>
      <c r="AL98" s="2">
        <f>IF(ISERROR(INDEX(指数走势!$F$34:$ACK$34,1,LOOKUP(2,1/(指数走势!$F$34:$ACK$34&lt;&gt;""),COLUMN(指数走势!$F$34:$ACK$34))-COLUMN(指数走势!$F$34)+1-760+37)),NA(),IF(INDEX(指数走势!$F$34:$ACK$34,1,LOOKUP(2,1/(指数走势!$F$34:$ACK$34&lt;&gt;""),COLUMN(指数走势!$F$34:$ACK$34))-COLUMN(指数走势!$F$34)+1-760+37)=0,NA(),INDEX(指数走势!$F$34:$ACK$34,1,LOOKUP(2,1/(指数走势!$F$34:$ACK$34&lt;&gt;""),COLUMN(指数走势!$F$34:$ACK$34))-COLUMN(指数走势!$F$34)+1-760+37)))</f>
        <v>23.2133007049561</v>
      </c>
      <c r="AM98" s="2">
        <f>IF(ISERROR(INDEX(指数走势!$F$34:$ACK$34,1,LOOKUP(2,1/(指数走势!$F$34:$ACK$34&lt;&gt;""),COLUMN(指数走势!$F$34:$ACK$34))-COLUMN(指数走势!$F$34)+1-760+38)),NA(),IF(INDEX(指数走势!$F$34:$ACK$34,1,LOOKUP(2,1/(指数走势!$F$34:$ACK$34&lt;&gt;""),COLUMN(指数走势!$F$34:$ACK$34))-COLUMN(指数走势!$F$34)+1-760+38)=0,NA(),INDEX(指数走势!$F$34:$ACK$34,1,LOOKUP(2,1/(指数走势!$F$34:$ACK$34&lt;&gt;""),COLUMN(指数走势!$F$34:$ACK$34))-COLUMN(指数走势!$F$34)+1-760+38)))</f>
        <v>23.3840007781982</v>
      </c>
      <c r="AN98" s="2">
        <f>IF(ISERROR(INDEX(指数走势!$F$34:$ACK$34,1,LOOKUP(2,1/(指数走势!$F$34:$ACK$34&lt;&gt;""),COLUMN(指数走势!$F$34:$ACK$34))-COLUMN(指数走势!$F$34)+1-760+39)),NA(),IF(INDEX(指数走势!$F$34:$ACK$34,1,LOOKUP(2,1/(指数走势!$F$34:$ACK$34&lt;&gt;""),COLUMN(指数走势!$F$34:$ACK$34))-COLUMN(指数走势!$F$34)+1-760+39)=0,NA(),INDEX(指数走势!$F$34:$ACK$34,1,LOOKUP(2,1/(指数走势!$F$34:$ACK$34&lt;&gt;""),COLUMN(指数走势!$F$34:$ACK$34))-COLUMN(指数走势!$F$34)+1-760+39)))</f>
        <v>23.1707992553711</v>
      </c>
      <c r="AO98" s="2">
        <f>IF(ISERROR(INDEX(指数走势!$F$34:$ACK$34,1,LOOKUP(2,1/(指数走势!$F$34:$ACK$34&lt;&gt;""),COLUMN(指数走势!$F$34:$ACK$34))-COLUMN(指数走势!$F$34)+1-760+40)),NA(),IF(INDEX(指数走势!$F$34:$ACK$34,1,LOOKUP(2,1/(指数走势!$F$34:$ACK$34&lt;&gt;""),COLUMN(指数走势!$F$34:$ACK$34))-COLUMN(指数走势!$F$34)+1-760+40)=0,NA(),INDEX(指数走势!$F$34:$ACK$34,1,LOOKUP(2,1/(指数走势!$F$34:$ACK$34&lt;&gt;""),COLUMN(指数走势!$F$34:$ACK$34))-COLUMN(指数走势!$F$34)+1-760+40)))</f>
        <v>23.5294990539551</v>
      </c>
      <c r="AP98" s="2">
        <f>IF(ISERROR(INDEX(指数走势!$F$34:$ACK$34,1,LOOKUP(2,1/(指数走势!$F$34:$ACK$34&lt;&gt;""),COLUMN(指数走势!$F$34:$ACK$34))-COLUMN(指数走势!$F$34)+1-760+41)),NA(),IF(INDEX(指数走势!$F$34:$ACK$34,1,LOOKUP(2,1/(指数走势!$F$34:$ACK$34&lt;&gt;""),COLUMN(指数走势!$F$34:$ACK$34))-COLUMN(指数走势!$F$34)+1-760+41)=0,NA(),INDEX(指数走势!$F$34:$ACK$34,1,LOOKUP(2,1/(指数走势!$F$34:$ACK$34&lt;&gt;""),COLUMN(指数走势!$F$34:$ACK$34))-COLUMN(指数走势!$F$34)+1-760+41)))</f>
        <v>23.476900100708</v>
      </c>
      <c r="AQ98" s="2">
        <f>IF(ISERROR(INDEX(指数走势!$F$34:$ACK$34,1,LOOKUP(2,1/(指数走势!$F$34:$ACK$34&lt;&gt;""),COLUMN(指数走势!$F$34:$ACK$34))-COLUMN(指数走势!$F$34)+1-760+42)),NA(),IF(INDEX(指数走势!$F$34:$ACK$34,1,LOOKUP(2,1/(指数走势!$F$34:$ACK$34&lt;&gt;""),COLUMN(指数走势!$F$34:$ACK$34))-COLUMN(指数走势!$F$34)+1-760+42)=0,NA(),INDEX(指数走势!$F$34:$ACK$34,1,LOOKUP(2,1/(指数走势!$F$34:$ACK$34&lt;&gt;""),COLUMN(指数走势!$F$34:$ACK$34))-COLUMN(指数走势!$F$34)+1-760+42)))</f>
        <v>23.3293991088867</v>
      </c>
      <c r="AR98" s="2">
        <f>IF(ISERROR(INDEX(指数走势!$F$34:$ACK$34,1,LOOKUP(2,1/(指数走势!$F$34:$ACK$34&lt;&gt;""),COLUMN(指数走势!$F$34:$ACK$34))-COLUMN(指数走势!$F$34)+1-760+43)),NA(),IF(INDEX(指数走势!$F$34:$ACK$34,1,LOOKUP(2,1/(指数走势!$F$34:$ACK$34&lt;&gt;""),COLUMN(指数走势!$F$34:$ACK$34))-COLUMN(指数走势!$F$34)+1-760+43)=0,NA(),INDEX(指数走势!$F$34:$ACK$34,1,LOOKUP(2,1/(指数走势!$F$34:$ACK$34&lt;&gt;""),COLUMN(指数走势!$F$34:$ACK$34))-COLUMN(指数走势!$F$34)+1-760+43)))</f>
        <v>23.2572002410889</v>
      </c>
      <c r="AS98" s="2">
        <f>IF(ISERROR(INDEX(指数走势!$F$34:$ACK$34,1,LOOKUP(2,1/(指数走势!$F$34:$ACK$34&lt;&gt;""),COLUMN(指数走势!$F$34:$ACK$34))-COLUMN(指数走势!$F$34)+1-760+44)),NA(),IF(INDEX(指数走势!$F$34:$ACK$34,1,LOOKUP(2,1/(指数走势!$F$34:$ACK$34&lt;&gt;""),COLUMN(指数走势!$F$34:$ACK$34))-COLUMN(指数走势!$F$34)+1-760+44)=0,NA(),INDEX(指数走势!$F$34:$ACK$34,1,LOOKUP(2,1/(指数走势!$F$34:$ACK$34&lt;&gt;""),COLUMN(指数走势!$F$34:$ACK$34))-COLUMN(指数走势!$F$34)+1-760+44)))</f>
        <v>23.1837005615234</v>
      </c>
      <c r="AT98" s="2">
        <f>IF(ISERROR(INDEX(指数走势!$F$34:$ACK$34,1,LOOKUP(2,1/(指数走势!$F$34:$ACK$34&lt;&gt;""),COLUMN(指数走势!$F$34:$ACK$34))-COLUMN(指数走势!$F$34)+1-760+45)),NA(),IF(INDEX(指数走势!$F$34:$ACK$34,1,LOOKUP(2,1/(指数走势!$F$34:$ACK$34&lt;&gt;""),COLUMN(指数走势!$F$34:$ACK$34))-COLUMN(指数走势!$F$34)+1-760+45)=0,NA(),INDEX(指数走势!$F$34:$ACK$34,1,LOOKUP(2,1/(指数走势!$F$34:$ACK$34&lt;&gt;""),COLUMN(指数走势!$F$34:$ACK$34))-COLUMN(指数走势!$F$34)+1-760+45)))</f>
        <v>22.9778995513916</v>
      </c>
      <c r="AU98" s="2">
        <f>IF(ISERROR(INDEX(指数走势!$F$34:$ACK$34,1,LOOKUP(2,1/(指数走势!$F$34:$ACK$34&lt;&gt;""),COLUMN(指数走势!$F$34:$ACK$34))-COLUMN(指数走势!$F$34)+1-760+46)),NA(),IF(INDEX(指数走势!$F$34:$ACK$34,1,LOOKUP(2,1/(指数走势!$F$34:$ACK$34&lt;&gt;""),COLUMN(指数走势!$F$34:$ACK$34))-COLUMN(指数走势!$F$34)+1-760+46)=0,NA(),INDEX(指数走势!$F$34:$ACK$34,1,LOOKUP(2,1/(指数走势!$F$34:$ACK$34&lt;&gt;""),COLUMN(指数走势!$F$34:$ACK$34))-COLUMN(指数走势!$F$34)+1-760+46)))</f>
        <v>22.9787998199463</v>
      </c>
      <c r="AV98" s="2">
        <f>IF(ISERROR(INDEX(指数走势!$F$34:$ACK$34,1,LOOKUP(2,1/(指数走势!$F$34:$ACK$34&lt;&gt;""),COLUMN(指数走势!$F$34:$ACK$34))-COLUMN(指数走势!$F$34)+1-760+47)),NA(),IF(INDEX(指数走势!$F$34:$ACK$34,1,LOOKUP(2,1/(指数走势!$F$34:$ACK$34&lt;&gt;""),COLUMN(指数走势!$F$34:$ACK$34))-COLUMN(指数走势!$F$34)+1-760+47)=0,NA(),INDEX(指数走势!$F$34:$ACK$34,1,LOOKUP(2,1/(指数走势!$F$34:$ACK$34&lt;&gt;""),COLUMN(指数走势!$F$34:$ACK$34))-COLUMN(指数走势!$F$34)+1-760+47)))</f>
        <v>22.8458995819092</v>
      </c>
      <c r="AW98" s="2">
        <f>IF(ISERROR(INDEX(指数走势!$F$34:$ACK$34,1,LOOKUP(2,1/(指数走势!$F$34:$ACK$34&lt;&gt;""),COLUMN(指数走势!$F$34:$ACK$34))-COLUMN(指数走势!$F$34)+1-760+48)),NA(),IF(INDEX(指数走势!$F$34:$ACK$34,1,LOOKUP(2,1/(指数走势!$F$34:$ACK$34&lt;&gt;""),COLUMN(指数走势!$F$34:$ACK$34))-COLUMN(指数走势!$F$34)+1-760+48)=0,NA(),INDEX(指数走势!$F$34:$ACK$34,1,LOOKUP(2,1/(指数走势!$F$34:$ACK$34&lt;&gt;""),COLUMN(指数走势!$F$34:$ACK$34))-COLUMN(指数走势!$F$34)+1-760+48)))</f>
        <v>23.4489994049072</v>
      </c>
      <c r="AX98" s="2">
        <f>IF(ISERROR(INDEX(指数走势!$F$34:$ACK$34,1,LOOKUP(2,1/(指数走势!$F$34:$ACK$34&lt;&gt;""),COLUMN(指数走势!$F$34:$ACK$34))-COLUMN(指数走势!$F$34)+1-760+49)),NA(),IF(INDEX(指数走势!$F$34:$ACK$34,1,LOOKUP(2,1/(指数走势!$F$34:$ACK$34&lt;&gt;""),COLUMN(指数走势!$F$34:$ACK$34))-COLUMN(指数走势!$F$34)+1-760+49)=0,NA(),INDEX(指数走势!$F$34:$ACK$34,1,LOOKUP(2,1/(指数走势!$F$34:$ACK$34&lt;&gt;""),COLUMN(指数走势!$F$34:$ACK$34))-COLUMN(指数走势!$F$34)+1-760+49)))</f>
        <v>23.2490005493164</v>
      </c>
      <c r="AY98" s="2">
        <f>IF(ISERROR(INDEX(指数走势!$F$34:$ACK$34,1,LOOKUP(2,1/(指数走势!$F$34:$ACK$34&lt;&gt;""),COLUMN(指数走势!$F$34:$ACK$34))-COLUMN(指数走势!$F$34)+1-760+50)),NA(),IF(INDEX(指数走势!$F$34:$ACK$34,1,LOOKUP(2,1/(指数走势!$F$34:$ACK$34&lt;&gt;""),COLUMN(指数走势!$F$34:$ACK$34))-COLUMN(指数走势!$F$34)+1-760+50)=0,NA(),INDEX(指数走势!$F$34:$ACK$34,1,LOOKUP(2,1/(指数走势!$F$34:$ACK$34&lt;&gt;""),COLUMN(指数走势!$F$34:$ACK$34))-COLUMN(指数走势!$F$34)+1-760+50)))</f>
        <v>23.1711006164551</v>
      </c>
      <c r="AZ98" s="2">
        <f>IF(ISERROR(INDEX(指数走势!$F$34:$ACK$34,1,LOOKUP(2,1/(指数走势!$F$34:$ACK$34&lt;&gt;""),COLUMN(指数走势!$F$34:$ACK$34))-COLUMN(指数走势!$F$34)+1-760+51)),NA(),IF(INDEX(指数走势!$F$34:$ACK$34,1,LOOKUP(2,1/(指数走势!$F$34:$ACK$34&lt;&gt;""),COLUMN(指数走势!$F$34:$ACK$34))-COLUMN(指数走势!$F$34)+1-760+51)=0,NA(),INDEX(指数走势!$F$34:$ACK$34,1,LOOKUP(2,1/(指数走势!$F$34:$ACK$34&lt;&gt;""),COLUMN(指数走势!$F$34:$ACK$34))-COLUMN(指数走势!$F$34)+1-760+51)))</f>
        <v>23.557300567627</v>
      </c>
      <c r="BA98" s="2">
        <f>IF(ISERROR(INDEX(指数走势!$F$34:$ACK$34,1,LOOKUP(2,1/(指数走势!$F$34:$ACK$34&lt;&gt;""),COLUMN(指数走势!$F$34:$ACK$34))-COLUMN(指数走势!$F$34)+1-760+52)),NA(),IF(INDEX(指数走势!$F$34:$ACK$34,1,LOOKUP(2,1/(指数走势!$F$34:$ACK$34&lt;&gt;""),COLUMN(指数走势!$F$34:$ACK$34))-COLUMN(指数走势!$F$34)+1-760+52)=0,NA(),INDEX(指数走势!$F$34:$ACK$34,1,LOOKUP(2,1/(指数走势!$F$34:$ACK$34&lt;&gt;""),COLUMN(指数走势!$F$34:$ACK$34))-COLUMN(指数走势!$F$34)+1-760+52)))</f>
        <v>23.7665004730225</v>
      </c>
      <c r="BB98" s="2">
        <f>IF(ISERROR(INDEX(指数走势!$F$34:$ACK$34,1,LOOKUP(2,1/(指数走势!$F$34:$ACK$34&lt;&gt;""),COLUMN(指数走势!$F$34:$ACK$34))-COLUMN(指数走势!$F$34)+1-760+53)),NA(),IF(INDEX(指数走势!$F$34:$ACK$34,1,LOOKUP(2,1/(指数走势!$F$34:$ACK$34&lt;&gt;""),COLUMN(指数走势!$F$34:$ACK$34))-COLUMN(指数走势!$F$34)+1-760+53)=0,NA(),INDEX(指数走势!$F$34:$ACK$34,1,LOOKUP(2,1/(指数走势!$F$34:$ACK$34&lt;&gt;""),COLUMN(指数走势!$F$34:$ACK$34))-COLUMN(指数走势!$F$34)+1-760+53)))</f>
        <v>23.6746006011963</v>
      </c>
      <c r="BC98" s="2">
        <f>IF(ISERROR(INDEX(指数走势!$F$34:$ACK$34,1,LOOKUP(2,1/(指数走势!$F$34:$ACK$34&lt;&gt;""),COLUMN(指数走势!$F$34:$ACK$34))-COLUMN(指数走势!$F$34)+1-760+54)),NA(),IF(INDEX(指数走势!$F$34:$ACK$34,1,LOOKUP(2,1/(指数走势!$F$34:$ACK$34&lt;&gt;""),COLUMN(指数走势!$F$34:$ACK$34))-COLUMN(指数走势!$F$34)+1-760+54)=0,NA(),INDEX(指数走势!$F$34:$ACK$34,1,LOOKUP(2,1/(指数走势!$F$34:$ACK$34&lt;&gt;""),COLUMN(指数走势!$F$34:$ACK$34))-COLUMN(指数走势!$F$34)+1-760+54)))</f>
        <v>23.5853004455566</v>
      </c>
      <c r="BD98" s="2">
        <f>IF(ISERROR(INDEX(指数走势!$F$34:$ACK$34,1,LOOKUP(2,1/(指数走势!$F$34:$ACK$34&lt;&gt;""),COLUMN(指数走势!$F$34:$ACK$34))-COLUMN(指数走势!$F$34)+1-760+55)),NA(),IF(INDEX(指数走势!$F$34:$ACK$34,1,LOOKUP(2,1/(指数走势!$F$34:$ACK$34&lt;&gt;""),COLUMN(指数走势!$F$34:$ACK$34))-COLUMN(指数走势!$F$34)+1-760+55)=0,NA(),INDEX(指数走势!$F$34:$ACK$34,1,LOOKUP(2,1/(指数走势!$F$34:$ACK$34&lt;&gt;""),COLUMN(指数走势!$F$34:$ACK$34))-COLUMN(指数走势!$F$34)+1-760+55)))</f>
        <v>23.7087001800537</v>
      </c>
      <c r="BE98" s="2">
        <f>IF(ISERROR(INDEX(指数走势!$F$34:$ACK$34,1,LOOKUP(2,1/(指数走势!$F$34:$ACK$34&lt;&gt;""),COLUMN(指数走势!$F$34:$ACK$34))-COLUMN(指数走势!$F$34)+1-760+56)),NA(),IF(INDEX(指数走势!$F$34:$ACK$34,1,LOOKUP(2,1/(指数走势!$F$34:$ACK$34&lt;&gt;""),COLUMN(指数走势!$F$34:$ACK$34))-COLUMN(指数走势!$F$34)+1-760+56)=0,NA(),INDEX(指数走势!$F$34:$ACK$34,1,LOOKUP(2,1/(指数走势!$F$34:$ACK$34&lt;&gt;""),COLUMN(指数走势!$F$34:$ACK$34))-COLUMN(指数走势!$F$34)+1-760+56)))</f>
        <v>23.8376007080078</v>
      </c>
      <c r="BF98" s="2">
        <f>IF(ISERROR(INDEX(指数走势!$F$34:$ACK$34,1,LOOKUP(2,1/(指数走势!$F$34:$ACK$34&lt;&gt;""),COLUMN(指数走势!$F$34:$ACK$34))-COLUMN(指数走势!$F$34)+1-760+57)),NA(),IF(INDEX(指数走势!$F$34:$ACK$34,1,LOOKUP(2,1/(指数走势!$F$34:$ACK$34&lt;&gt;""),COLUMN(指数走势!$F$34:$ACK$34))-COLUMN(指数走势!$F$34)+1-760+57)=0,NA(),INDEX(指数走势!$F$34:$ACK$34,1,LOOKUP(2,1/(指数走势!$F$34:$ACK$34&lt;&gt;""),COLUMN(指数走势!$F$34:$ACK$34))-COLUMN(指数走势!$F$34)+1-760+57)))</f>
        <v>23.6226997375488</v>
      </c>
      <c r="BG98" s="2">
        <f>IF(ISERROR(INDEX(指数走势!$F$34:$ACK$34,1,LOOKUP(2,1/(指数走势!$F$34:$ACK$34&lt;&gt;""),COLUMN(指数走势!$F$34:$ACK$34))-COLUMN(指数走势!$F$34)+1-760+58)),NA(),IF(INDEX(指数走势!$F$34:$ACK$34,1,LOOKUP(2,1/(指数走势!$F$34:$ACK$34&lt;&gt;""),COLUMN(指数走势!$F$34:$ACK$34))-COLUMN(指数走势!$F$34)+1-760+58)=0,NA(),INDEX(指数走势!$F$34:$ACK$34,1,LOOKUP(2,1/(指数走势!$F$34:$ACK$34&lt;&gt;""),COLUMN(指数走势!$F$34:$ACK$34))-COLUMN(指数走势!$F$34)+1-760+58)))</f>
        <v>23.5478000640869</v>
      </c>
      <c r="BH98" s="2">
        <f>IF(ISERROR(INDEX(指数走势!$F$34:$ACK$34,1,LOOKUP(2,1/(指数走势!$F$34:$ACK$34&lt;&gt;""),COLUMN(指数走势!$F$34:$ACK$34))-COLUMN(指数走势!$F$34)+1-760+59)),NA(),IF(INDEX(指数走势!$F$34:$ACK$34,1,LOOKUP(2,1/(指数走势!$F$34:$ACK$34&lt;&gt;""),COLUMN(指数走势!$F$34:$ACK$34))-COLUMN(指数走势!$F$34)+1-760+59)=0,NA(),INDEX(指数走势!$F$34:$ACK$34,1,LOOKUP(2,1/(指数走势!$F$34:$ACK$34&lt;&gt;""),COLUMN(指数走势!$F$34:$ACK$34))-COLUMN(指数走势!$F$34)+1-760+59)))</f>
        <v>23.4377994537354</v>
      </c>
      <c r="BI98">
        <f>IF(ISERROR(INDEX(指数走势!$F$34:$ACK$34,1,LOOKUP(2,1/(指数走势!$F$34:$ACK$34&lt;&gt;""),COLUMN(指数走势!$F$34:$ACK$34))-COLUMN(指数走势!$F$34)+1-760+60)),NA(),IF(INDEX(指数走势!$F$34:$ACK$34,1,LOOKUP(2,1/(指数走势!$F$34:$ACK$34&lt;&gt;""),COLUMN(指数走势!$F$34:$ACK$34))-COLUMN(指数走势!$F$34)+1-760+60)=0,NA(),INDEX(指数走势!$F$34:$ACK$34,1,LOOKUP(2,1/(指数走势!$F$34:$ACK$34&lt;&gt;""),COLUMN(指数走势!$F$34:$ACK$34))-COLUMN(指数走势!$F$34)+1-760+60)))</f>
        <v>23.463399887085</v>
      </c>
      <c r="BJ98">
        <f>IF(ISERROR(INDEX(指数走势!$F$34:$ACK$34,1,LOOKUP(2,1/(指数走势!$F$34:$ACK$34&lt;&gt;""),COLUMN(指数走势!$F$34:$ACK$34))-COLUMN(指数走势!$F$34)+1-760+61)),NA(),IF(INDEX(指数走势!$F$34:$ACK$34,1,LOOKUP(2,1/(指数走势!$F$34:$ACK$34&lt;&gt;""),COLUMN(指数走势!$F$34:$ACK$34))-COLUMN(指数走势!$F$34)+1-760+61)=0,NA(),INDEX(指数走势!$F$34:$ACK$34,1,LOOKUP(2,1/(指数走势!$F$34:$ACK$34&lt;&gt;""),COLUMN(指数走势!$F$34:$ACK$34))-COLUMN(指数走势!$F$34)+1-760+61)))</f>
        <v>22.9720993041992</v>
      </c>
      <c r="BK98">
        <f>IF(ISERROR(INDEX(指数走势!$F$34:$ACK$34,1,LOOKUP(2,1/(指数走势!$F$34:$ACK$34&lt;&gt;""),COLUMN(指数走势!$F$34:$ACK$34))-COLUMN(指数走势!$F$34)+1-760+62)),NA(),IF(INDEX(指数走势!$F$34:$ACK$34,1,LOOKUP(2,1/(指数走势!$F$34:$ACK$34&lt;&gt;""),COLUMN(指数走势!$F$34:$ACK$34))-COLUMN(指数走势!$F$34)+1-760+62)=0,NA(),INDEX(指数走势!$F$34:$ACK$34,1,LOOKUP(2,1/(指数走势!$F$34:$ACK$34&lt;&gt;""),COLUMN(指数走势!$F$34:$ACK$34))-COLUMN(指数走势!$F$34)+1-760+62)))</f>
        <v>22.8820991516113</v>
      </c>
      <c r="BL98">
        <f>IF(ISERROR(INDEX(指数走势!$F$34:$ACK$34,1,LOOKUP(2,1/(指数走势!$F$34:$ACK$34&lt;&gt;""),COLUMN(指数走势!$F$34:$ACK$34))-COLUMN(指数走势!$F$34)+1-760+63)),NA(),IF(INDEX(指数走势!$F$34:$ACK$34,1,LOOKUP(2,1/(指数走势!$F$34:$ACK$34&lt;&gt;""),COLUMN(指数走势!$F$34:$ACK$34))-COLUMN(指数走势!$F$34)+1-760+63)=0,NA(),INDEX(指数走势!$F$34:$ACK$34,1,LOOKUP(2,1/(指数走势!$F$34:$ACK$34&lt;&gt;""),COLUMN(指数走势!$F$34:$ACK$34))-COLUMN(指数走势!$F$34)+1-760+63)))</f>
        <v>22.7684001922607</v>
      </c>
      <c r="BM98">
        <f>IF(ISERROR(INDEX(指数走势!$F$34:$ACK$34,1,LOOKUP(2,1/(指数走势!$F$34:$ACK$34&lt;&gt;""),COLUMN(指数走势!$F$34:$ACK$34))-COLUMN(指数走势!$F$34)+1-760+64)),NA(),IF(INDEX(指数走势!$F$34:$ACK$34,1,LOOKUP(2,1/(指数走势!$F$34:$ACK$34&lt;&gt;""),COLUMN(指数走势!$F$34:$ACK$34))-COLUMN(指数走势!$F$34)+1-760+64)=0,NA(),INDEX(指数走势!$F$34:$ACK$34,1,LOOKUP(2,1/(指数走势!$F$34:$ACK$34&lt;&gt;""),COLUMN(指数走势!$F$34:$ACK$34))-COLUMN(指数走势!$F$34)+1-760+64)))</f>
        <v>22.5816993713379</v>
      </c>
      <c r="BN98">
        <f>IF(ISERROR(INDEX(指数走势!$F$34:$ACK$34,1,LOOKUP(2,1/(指数走势!$F$34:$ACK$34&lt;&gt;""),COLUMN(指数走势!$F$34:$ACK$34))-COLUMN(指数走势!$F$34)+1-760+65)),NA(),IF(INDEX(指数走势!$F$34:$ACK$34,1,LOOKUP(2,1/(指数走势!$F$34:$ACK$34&lt;&gt;""),COLUMN(指数走势!$F$34:$ACK$34))-COLUMN(指数走势!$F$34)+1-760+65)=0,NA(),INDEX(指数走势!$F$34:$ACK$34,1,LOOKUP(2,1/(指数走势!$F$34:$ACK$34&lt;&gt;""),COLUMN(指数走势!$F$34:$ACK$34))-COLUMN(指数走势!$F$34)+1-760+65)))</f>
        <v>22.7080993652344</v>
      </c>
      <c r="BO98">
        <f>IF(ISERROR(INDEX(指数走势!$F$34:$ACK$34,1,LOOKUP(2,1/(指数走势!$F$34:$ACK$34&lt;&gt;""),COLUMN(指数走势!$F$34:$ACK$34))-COLUMN(指数走势!$F$34)+1-760+66)),NA(),IF(INDEX(指数走势!$F$34:$ACK$34,1,LOOKUP(2,1/(指数走势!$F$34:$ACK$34&lt;&gt;""),COLUMN(指数走势!$F$34:$ACK$34))-COLUMN(指数走势!$F$34)+1-760+66)=0,NA(),INDEX(指数走势!$F$34:$ACK$34,1,LOOKUP(2,1/(指数走势!$F$34:$ACK$34&lt;&gt;""),COLUMN(指数走势!$F$34:$ACK$34))-COLUMN(指数走势!$F$34)+1-760+66)))</f>
        <v>22.327600479126</v>
      </c>
      <c r="BP98">
        <f>IF(ISERROR(INDEX(指数走势!$F$34:$ACK$34,1,LOOKUP(2,1/(指数走势!$F$34:$ACK$34&lt;&gt;""),COLUMN(指数走势!$F$34:$ACK$34))-COLUMN(指数走势!$F$34)+1-760+67)),NA(),IF(INDEX(指数走势!$F$34:$ACK$34,1,LOOKUP(2,1/(指数走势!$F$34:$ACK$34&lt;&gt;""),COLUMN(指数走势!$F$34:$ACK$34))-COLUMN(指数走势!$F$34)+1-760+67)=0,NA(),INDEX(指数走势!$F$34:$ACK$34,1,LOOKUP(2,1/(指数走势!$F$34:$ACK$34&lt;&gt;""),COLUMN(指数走势!$F$34:$ACK$34))-COLUMN(指数走势!$F$34)+1-760+67)))</f>
        <v>22.0545997619629</v>
      </c>
      <c r="BQ98">
        <f>IF(ISERROR(INDEX(指数走势!$F$34:$ACK$34,1,LOOKUP(2,1/(指数走势!$F$34:$ACK$34&lt;&gt;""),COLUMN(指数走势!$F$34:$ACK$34))-COLUMN(指数走势!$F$34)+1-760+68)),NA(),IF(INDEX(指数走势!$F$34:$ACK$34,1,LOOKUP(2,1/(指数走势!$F$34:$ACK$34&lt;&gt;""),COLUMN(指数走势!$F$34:$ACK$34))-COLUMN(指数走势!$F$34)+1-760+68)=0,NA(),INDEX(指数走势!$F$34:$ACK$34,1,LOOKUP(2,1/(指数走势!$F$34:$ACK$34&lt;&gt;""),COLUMN(指数走势!$F$34:$ACK$34))-COLUMN(指数走势!$F$34)+1-760+68)))</f>
        <v>22.2227993011475</v>
      </c>
      <c r="BR98">
        <f>IF(ISERROR(INDEX(指数走势!$F$34:$ACK$34,1,LOOKUP(2,1/(指数走势!$F$34:$ACK$34&lt;&gt;""),COLUMN(指数走势!$F$34:$ACK$34))-COLUMN(指数走势!$F$34)+1-760+69)),NA(),IF(INDEX(指数走势!$F$34:$ACK$34,1,LOOKUP(2,1/(指数走势!$F$34:$ACK$34&lt;&gt;""),COLUMN(指数走势!$F$34:$ACK$34))-COLUMN(指数走势!$F$34)+1-760+69)=0,NA(),INDEX(指数走势!$F$34:$ACK$34,1,LOOKUP(2,1/(指数走势!$F$34:$ACK$34&lt;&gt;""),COLUMN(指数走势!$F$34:$ACK$34))-COLUMN(指数走势!$F$34)+1-760+69)))</f>
        <v>21.8265991210938</v>
      </c>
      <c r="BS98">
        <f>IF(ISERROR(INDEX(指数走势!$F$34:$ACK$34,1,LOOKUP(2,1/(指数走势!$F$34:$ACK$34&lt;&gt;""),COLUMN(指数走势!$F$34:$ACK$34))-COLUMN(指数走势!$F$34)+1-760+70)),NA(),IF(INDEX(指数走势!$F$34:$ACK$34,1,LOOKUP(2,1/(指数走势!$F$34:$ACK$34&lt;&gt;""),COLUMN(指数走势!$F$34:$ACK$34))-COLUMN(指数走势!$F$34)+1-760+70)=0,NA(),INDEX(指数走势!$F$34:$ACK$34,1,LOOKUP(2,1/(指数走势!$F$34:$ACK$34&lt;&gt;""),COLUMN(指数走势!$F$34:$ACK$34))-COLUMN(指数走势!$F$34)+1-760+70)))</f>
        <v>22.0104007720947</v>
      </c>
      <c r="BT98">
        <f>IF(ISERROR(INDEX(指数走势!$F$34:$ACK$34,1,LOOKUP(2,1/(指数走势!$F$34:$ACK$34&lt;&gt;""),COLUMN(指数走势!$F$34:$ACK$34))-COLUMN(指数走势!$F$34)+1-760+71)),NA(),IF(INDEX(指数走势!$F$34:$ACK$34,1,LOOKUP(2,1/(指数走势!$F$34:$ACK$34&lt;&gt;""),COLUMN(指数走势!$F$34:$ACK$34))-COLUMN(指数走势!$F$34)+1-760+71)=0,NA(),INDEX(指数走势!$F$34:$ACK$34,1,LOOKUP(2,1/(指数走势!$F$34:$ACK$34&lt;&gt;""),COLUMN(指数走势!$F$34:$ACK$34))-COLUMN(指数走势!$F$34)+1-760+71)))</f>
        <v>21.7350997924805</v>
      </c>
      <c r="BU98">
        <f>IF(ISERROR(INDEX(指数走势!$F$34:$ACK$34,1,LOOKUP(2,1/(指数走势!$F$34:$ACK$34&lt;&gt;""),COLUMN(指数走势!$F$34:$ACK$34))-COLUMN(指数走势!$F$34)+1-760+72)),NA(),IF(INDEX(指数走势!$F$34:$ACK$34,1,LOOKUP(2,1/(指数走势!$F$34:$ACK$34&lt;&gt;""),COLUMN(指数走势!$F$34:$ACK$34))-COLUMN(指数走势!$F$34)+1-760+72)=0,NA(),INDEX(指数走势!$F$34:$ACK$34,1,LOOKUP(2,1/(指数走势!$F$34:$ACK$34&lt;&gt;""),COLUMN(指数走势!$F$34:$ACK$34))-COLUMN(指数走势!$F$34)+1-760+72)))</f>
        <v>22.0610008239746</v>
      </c>
      <c r="BV98">
        <f>IF(ISERROR(INDEX(指数走势!$F$34:$ACK$34,1,LOOKUP(2,1/(指数走势!$F$34:$ACK$34&lt;&gt;""),COLUMN(指数走势!$F$34:$ACK$34))-COLUMN(指数走势!$F$34)+1-760+73)),NA(),IF(INDEX(指数走势!$F$34:$ACK$34,1,LOOKUP(2,1/(指数走势!$F$34:$ACK$34&lt;&gt;""),COLUMN(指数走势!$F$34:$ACK$34))-COLUMN(指数走势!$F$34)+1-760+73)=0,NA(),INDEX(指数走势!$F$34:$ACK$34,1,LOOKUP(2,1/(指数走势!$F$34:$ACK$34&lt;&gt;""),COLUMN(指数走势!$F$34:$ACK$34))-COLUMN(指数走势!$F$34)+1-760+73)))</f>
        <v>22.4109992980957</v>
      </c>
      <c r="BW98">
        <f>IF(ISERROR(INDEX(指数走势!$F$34:$ACK$34,1,LOOKUP(2,1/(指数走势!$F$34:$ACK$34&lt;&gt;""),COLUMN(指数走势!$F$34:$ACK$34))-COLUMN(指数走势!$F$34)+1-760+74)),NA(),IF(INDEX(指数走势!$F$34:$ACK$34,1,LOOKUP(2,1/(指数走势!$F$34:$ACK$34&lt;&gt;""),COLUMN(指数走势!$F$34:$ACK$34))-COLUMN(指数走势!$F$34)+1-760+74)=0,NA(),INDEX(指数走势!$F$34:$ACK$34,1,LOOKUP(2,1/(指数走势!$F$34:$ACK$34&lt;&gt;""),COLUMN(指数走势!$F$34:$ACK$34))-COLUMN(指数走势!$F$34)+1-760+74)))</f>
        <v>22.5303993225098</v>
      </c>
      <c r="BX98">
        <f>IF(ISERROR(INDEX(指数走势!$F$34:$ACK$34,1,LOOKUP(2,1/(指数走势!$F$34:$ACK$34&lt;&gt;""),COLUMN(指数走势!$F$34:$ACK$34))-COLUMN(指数走势!$F$34)+1-760+75)),NA(),IF(INDEX(指数走势!$F$34:$ACK$34,1,LOOKUP(2,1/(指数走势!$F$34:$ACK$34&lt;&gt;""),COLUMN(指数走势!$F$34:$ACK$34))-COLUMN(指数走势!$F$34)+1-760+75)=0,NA(),INDEX(指数走势!$F$34:$ACK$34,1,LOOKUP(2,1/(指数走势!$F$34:$ACK$34&lt;&gt;""),COLUMN(指数走势!$F$34:$ACK$34))-COLUMN(指数走势!$F$34)+1-760+75)))</f>
        <v>22.7991008758545</v>
      </c>
      <c r="BY98">
        <f>IF(ISERROR(INDEX(指数走势!$F$34:$ACK$34,1,LOOKUP(2,1/(指数走势!$F$34:$ACK$34&lt;&gt;""),COLUMN(指数走势!$F$34:$ACK$34))-COLUMN(指数走势!$F$34)+1-760+76)),NA(),IF(INDEX(指数走势!$F$34:$ACK$34,1,LOOKUP(2,1/(指数走势!$F$34:$ACK$34&lt;&gt;""),COLUMN(指数走势!$F$34:$ACK$34))-COLUMN(指数走势!$F$34)+1-760+76)=0,NA(),INDEX(指数走势!$F$34:$ACK$34,1,LOOKUP(2,1/(指数走势!$F$34:$ACK$34&lt;&gt;""),COLUMN(指数走势!$F$34:$ACK$34))-COLUMN(指数走势!$F$34)+1-760+76)))</f>
        <v>22.9188995361328</v>
      </c>
      <c r="BZ98">
        <f>IF(ISERROR(INDEX(指数走势!$F$34:$ACK$34,1,LOOKUP(2,1/(指数走势!$F$34:$ACK$34&lt;&gt;""),COLUMN(指数走势!$F$34:$ACK$34))-COLUMN(指数走势!$F$34)+1-760+77)),NA(),IF(INDEX(指数走势!$F$34:$ACK$34,1,LOOKUP(2,1/(指数走势!$F$34:$ACK$34&lt;&gt;""),COLUMN(指数走势!$F$34:$ACK$34))-COLUMN(指数走势!$F$34)+1-760+77)=0,NA(),INDEX(指数走势!$F$34:$ACK$34,1,LOOKUP(2,1/(指数走势!$F$34:$ACK$34&lt;&gt;""),COLUMN(指数走势!$F$34:$ACK$34))-COLUMN(指数走势!$F$34)+1-760+77)))</f>
        <v>23.2448997497559</v>
      </c>
      <c r="CA98">
        <f>IF(ISERROR(INDEX(指数走势!$F$34:$ACK$34,1,LOOKUP(2,1/(指数走势!$F$34:$ACK$34&lt;&gt;""),COLUMN(指数走势!$F$34:$ACK$34))-COLUMN(指数走势!$F$34)+1-760+78)),NA(),IF(INDEX(指数走势!$F$34:$ACK$34,1,LOOKUP(2,1/(指数走势!$F$34:$ACK$34&lt;&gt;""),COLUMN(指数走势!$F$34:$ACK$34))-COLUMN(指数走势!$F$34)+1-760+78)=0,NA(),INDEX(指数走势!$F$34:$ACK$34,1,LOOKUP(2,1/(指数走势!$F$34:$ACK$34&lt;&gt;""),COLUMN(指数走势!$F$34:$ACK$34))-COLUMN(指数走势!$F$34)+1-760+78)))</f>
        <v>23.0914993286133</v>
      </c>
      <c r="CB98">
        <f>IF(ISERROR(INDEX(指数走势!$F$34:$ACK$34,1,LOOKUP(2,1/(指数走势!$F$34:$ACK$34&lt;&gt;""),COLUMN(指数走势!$F$34:$ACK$34))-COLUMN(指数走势!$F$34)+1-760+79)),NA(),IF(INDEX(指数走势!$F$34:$ACK$34,1,LOOKUP(2,1/(指数走势!$F$34:$ACK$34&lt;&gt;""),COLUMN(指数走势!$F$34:$ACK$34))-COLUMN(指数走势!$F$34)+1-760+79)=0,NA(),INDEX(指数走势!$F$34:$ACK$34,1,LOOKUP(2,1/(指数走势!$F$34:$ACK$34&lt;&gt;""),COLUMN(指数走势!$F$34:$ACK$34))-COLUMN(指数走势!$F$34)+1-760+79)))</f>
        <v>23.0389003753662</v>
      </c>
      <c r="CC98">
        <f>IF(ISERROR(INDEX(指数走势!$F$34:$ACK$34,1,LOOKUP(2,1/(指数走势!$F$34:$ACK$34&lt;&gt;""),COLUMN(指数走势!$F$34:$ACK$34))-COLUMN(指数走势!$F$34)+1-760+80)),NA(),IF(INDEX(指数走势!$F$34:$ACK$34,1,LOOKUP(2,1/(指数走势!$F$34:$ACK$34&lt;&gt;""),COLUMN(指数走势!$F$34:$ACK$34))-COLUMN(指数走势!$F$34)+1-760+80)=0,NA(),INDEX(指数走势!$F$34:$ACK$34,1,LOOKUP(2,1/(指数走势!$F$34:$ACK$34&lt;&gt;""),COLUMN(指数走势!$F$34:$ACK$34))-COLUMN(指数走势!$F$34)+1-760+80)))</f>
        <v>22.6368999481201</v>
      </c>
      <c r="CD98">
        <f>IF(ISERROR(INDEX(指数走势!$F$34:$ACK$34,1,LOOKUP(2,1/(指数走势!$F$34:$ACK$34&lt;&gt;""),COLUMN(指数走势!$F$34:$ACK$34))-COLUMN(指数走势!$F$34)+1-760+81)),NA(),IF(INDEX(指数走势!$F$34:$ACK$34,1,LOOKUP(2,1/(指数走势!$F$34:$ACK$34&lt;&gt;""),COLUMN(指数走势!$F$34:$ACK$34))-COLUMN(指数走势!$F$34)+1-760+81)=0,NA(),INDEX(指数走势!$F$34:$ACK$34,1,LOOKUP(2,1/(指数走势!$F$34:$ACK$34&lt;&gt;""),COLUMN(指数走势!$F$34:$ACK$34))-COLUMN(指数走势!$F$34)+1-760+81)))</f>
        <v>22.5531005859375</v>
      </c>
      <c r="CE98">
        <f>IF(ISERROR(INDEX(指数走势!$F$34:$ACK$34,1,LOOKUP(2,1/(指数走势!$F$34:$ACK$34&lt;&gt;""),COLUMN(指数走势!$F$34:$ACK$34))-COLUMN(指数走势!$F$34)+1-760+82)),NA(),IF(INDEX(指数走势!$F$34:$ACK$34,1,LOOKUP(2,1/(指数走势!$F$34:$ACK$34&lt;&gt;""),COLUMN(指数走势!$F$34:$ACK$34))-COLUMN(指数走势!$F$34)+1-760+82)=0,NA(),INDEX(指数走势!$F$34:$ACK$34,1,LOOKUP(2,1/(指数走势!$F$34:$ACK$34&lt;&gt;""),COLUMN(指数走势!$F$34:$ACK$34))-COLUMN(指数走势!$F$34)+1-760+82)))</f>
        <v>22.7730007171631</v>
      </c>
      <c r="CF98">
        <f>IF(ISERROR(INDEX(指数走势!$F$34:$ACK$34,1,LOOKUP(2,1/(指数走势!$F$34:$ACK$34&lt;&gt;""),COLUMN(指数走势!$F$34:$ACK$34))-COLUMN(指数走势!$F$34)+1-760+83)),NA(),IF(INDEX(指数走势!$F$34:$ACK$34,1,LOOKUP(2,1/(指数走势!$F$34:$ACK$34&lt;&gt;""),COLUMN(指数走势!$F$34:$ACK$34))-COLUMN(指数走势!$F$34)+1-760+83)=0,NA(),INDEX(指数走势!$F$34:$ACK$34,1,LOOKUP(2,1/(指数走势!$F$34:$ACK$34&lt;&gt;""),COLUMN(指数走势!$F$34:$ACK$34))-COLUMN(指数走势!$F$34)+1-760+83)))</f>
        <v>22.7588005065918</v>
      </c>
      <c r="CG98">
        <f>IF(ISERROR(INDEX(指数走势!$F$34:$ACK$34,1,LOOKUP(2,1/(指数走势!$F$34:$ACK$34&lt;&gt;""),COLUMN(指数走势!$F$34:$ACK$34))-COLUMN(指数走势!$F$34)+1-760+84)),NA(),IF(INDEX(指数走势!$F$34:$ACK$34,1,LOOKUP(2,1/(指数走势!$F$34:$ACK$34&lt;&gt;""),COLUMN(指数走势!$F$34:$ACK$34))-COLUMN(指数走势!$F$34)+1-760+84)=0,NA(),INDEX(指数走势!$F$34:$ACK$34,1,LOOKUP(2,1/(指数走势!$F$34:$ACK$34&lt;&gt;""),COLUMN(指数走势!$F$34:$ACK$34))-COLUMN(指数走势!$F$34)+1-760+84)))</f>
        <v>22.5294990539551</v>
      </c>
      <c r="CH98">
        <f>IF(ISERROR(INDEX(指数走势!$F$34:$ACK$34,1,LOOKUP(2,1/(指数走势!$F$34:$ACK$34&lt;&gt;""),COLUMN(指数走势!$F$34:$ACK$34))-COLUMN(指数走势!$F$34)+1-760+85)),NA(),IF(INDEX(指数走势!$F$34:$ACK$34,1,LOOKUP(2,1/(指数走势!$F$34:$ACK$34&lt;&gt;""),COLUMN(指数走势!$F$34:$ACK$34))-COLUMN(指数走势!$F$34)+1-760+85)=0,NA(),INDEX(指数走势!$F$34:$ACK$34,1,LOOKUP(2,1/(指数走势!$F$34:$ACK$34&lt;&gt;""),COLUMN(指数走势!$F$34:$ACK$34))-COLUMN(指数走势!$F$34)+1-760+85)))</f>
        <v>22.4176006317139</v>
      </c>
      <c r="CI98">
        <f>IF(ISERROR(INDEX(指数走势!$F$34:$ACK$34,1,LOOKUP(2,1/(指数走势!$F$34:$ACK$34&lt;&gt;""),COLUMN(指数走势!$F$34:$ACK$34))-COLUMN(指数走势!$F$34)+1-760+86)),NA(),IF(INDEX(指数走势!$F$34:$ACK$34,1,LOOKUP(2,1/(指数走势!$F$34:$ACK$34&lt;&gt;""),COLUMN(指数走势!$F$34:$ACK$34))-COLUMN(指数走势!$F$34)+1-760+86)=0,NA(),INDEX(指数走势!$F$34:$ACK$34,1,LOOKUP(2,1/(指数走势!$F$34:$ACK$34&lt;&gt;""),COLUMN(指数走势!$F$34:$ACK$34))-COLUMN(指数走势!$F$34)+1-760+86)))</f>
        <v>22.316499710083</v>
      </c>
      <c r="CJ98">
        <f>IF(ISERROR(INDEX(指数走势!$F$34:$ACK$34,1,LOOKUP(2,1/(指数走势!$F$34:$ACK$34&lt;&gt;""),COLUMN(指数走势!$F$34:$ACK$34))-COLUMN(指数走势!$F$34)+1-760+87)),NA(),IF(INDEX(指数走势!$F$34:$ACK$34,1,LOOKUP(2,1/(指数走势!$F$34:$ACK$34&lt;&gt;""),COLUMN(指数走势!$F$34:$ACK$34))-COLUMN(指数走势!$F$34)+1-760+87)=0,NA(),INDEX(指数走势!$F$34:$ACK$34,1,LOOKUP(2,1/(指数走势!$F$34:$ACK$34&lt;&gt;""),COLUMN(指数走势!$F$34:$ACK$34))-COLUMN(指数走势!$F$34)+1-760+87)))</f>
        <v>22.4332008361816</v>
      </c>
      <c r="CK98">
        <f>IF(ISERROR(INDEX(指数走势!$F$34:$ACK$34,1,LOOKUP(2,1/(指数走势!$F$34:$ACK$34&lt;&gt;""),COLUMN(指数走势!$F$34:$ACK$34))-COLUMN(指数走势!$F$34)+1-760+88)),NA(),IF(INDEX(指数走势!$F$34:$ACK$34,1,LOOKUP(2,1/(指数走势!$F$34:$ACK$34&lt;&gt;""),COLUMN(指数走势!$F$34:$ACK$34))-COLUMN(指数走势!$F$34)+1-760+88)=0,NA(),INDEX(指数走势!$F$34:$ACK$34,1,LOOKUP(2,1/(指数走势!$F$34:$ACK$34&lt;&gt;""),COLUMN(指数走势!$F$34:$ACK$34))-COLUMN(指数走势!$F$34)+1-760+88)))</f>
        <v>22.2919006347656</v>
      </c>
      <c r="CL98">
        <f>IF(ISERROR(INDEX(指数走势!$F$34:$ACK$34,1,LOOKUP(2,1/(指数走势!$F$34:$ACK$34&lt;&gt;""),COLUMN(指数走势!$F$34:$ACK$34))-COLUMN(指数走势!$F$34)+1-760+89)),NA(),IF(INDEX(指数走势!$F$34:$ACK$34,1,LOOKUP(2,1/(指数走势!$F$34:$ACK$34&lt;&gt;""),COLUMN(指数走势!$F$34:$ACK$34))-COLUMN(指数走势!$F$34)+1-760+89)=0,NA(),INDEX(指数走势!$F$34:$ACK$34,1,LOOKUP(2,1/(指数走势!$F$34:$ACK$34&lt;&gt;""),COLUMN(指数走势!$F$34:$ACK$34))-COLUMN(指数走势!$F$34)+1-760+89)))</f>
        <v>22.1697998046875</v>
      </c>
      <c r="CM98">
        <f>IF(ISERROR(INDEX(指数走势!$F$34:$ACK$34,1,LOOKUP(2,1/(指数走势!$F$34:$ACK$34&lt;&gt;""),COLUMN(指数走势!$F$34:$ACK$34))-COLUMN(指数走势!$F$34)+1-760+90)),NA(),IF(INDEX(指数走势!$F$34:$ACK$34,1,LOOKUP(2,1/(指数走势!$F$34:$ACK$34&lt;&gt;""),COLUMN(指数走势!$F$34:$ACK$34))-COLUMN(指数走势!$F$34)+1-760+90)=0,NA(),INDEX(指数走势!$F$34:$ACK$34,1,LOOKUP(2,1/(指数走势!$F$34:$ACK$34&lt;&gt;""),COLUMN(指数走势!$F$34:$ACK$34))-COLUMN(指数走势!$F$34)+1-760+90)))</f>
        <v>21.9599990844727</v>
      </c>
      <c r="CN98">
        <f>IF(ISERROR(INDEX(指数走势!$F$34:$ACK$34,1,LOOKUP(2,1/(指数走势!$F$34:$ACK$34&lt;&gt;""),COLUMN(指数走势!$F$34:$ACK$34))-COLUMN(指数走势!$F$34)+1-760+91)),NA(),IF(INDEX(指数走势!$F$34:$ACK$34,1,LOOKUP(2,1/(指数走势!$F$34:$ACK$34&lt;&gt;""),COLUMN(指数走势!$F$34:$ACK$34))-COLUMN(指数走势!$F$34)+1-760+91)=0,NA(),INDEX(指数走势!$F$34:$ACK$34,1,LOOKUP(2,1/(指数走势!$F$34:$ACK$34&lt;&gt;""),COLUMN(指数走势!$F$34:$ACK$34))-COLUMN(指数走势!$F$34)+1-760+91)))</f>
        <v>22.3582000732422</v>
      </c>
      <c r="CO98">
        <f>IF(ISERROR(INDEX(指数走势!$F$34:$ACK$34,1,LOOKUP(2,1/(指数走势!$F$34:$ACK$34&lt;&gt;""),COLUMN(指数走势!$F$34:$ACK$34))-COLUMN(指数走势!$F$34)+1-760+92)),NA(),IF(INDEX(指数走势!$F$34:$ACK$34,1,LOOKUP(2,1/(指数走势!$F$34:$ACK$34&lt;&gt;""),COLUMN(指数走势!$F$34:$ACK$34))-COLUMN(指数走势!$F$34)+1-760+92)=0,NA(),INDEX(指数走势!$F$34:$ACK$34,1,LOOKUP(2,1/(指数走势!$F$34:$ACK$34&lt;&gt;""),COLUMN(指数走势!$F$34:$ACK$34))-COLUMN(指数走势!$F$34)+1-760+92)))</f>
        <v>22.2413005828857</v>
      </c>
      <c r="CP98">
        <f>IF(ISERROR(INDEX(指数走势!$F$34:$ACK$34,1,LOOKUP(2,1/(指数走势!$F$34:$ACK$34&lt;&gt;""),COLUMN(指数走势!$F$34:$ACK$34))-COLUMN(指数走势!$F$34)+1-760+93)),NA(),IF(INDEX(指数走势!$F$34:$ACK$34,1,LOOKUP(2,1/(指数走势!$F$34:$ACK$34&lt;&gt;""),COLUMN(指数走势!$F$34:$ACK$34))-COLUMN(指数走势!$F$34)+1-760+93)=0,NA(),INDEX(指数走势!$F$34:$ACK$34,1,LOOKUP(2,1/(指数走势!$F$34:$ACK$34&lt;&gt;""),COLUMN(指数走势!$F$34:$ACK$34))-COLUMN(指数走势!$F$34)+1-760+93)))</f>
        <v>22.0997009277344</v>
      </c>
      <c r="CQ98">
        <f>IF(ISERROR(INDEX(指数走势!$F$34:$ACK$34,1,LOOKUP(2,1/(指数走势!$F$34:$ACK$34&lt;&gt;""),COLUMN(指数走势!$F$34:$ACK$34))-COLUMN(指数走势!$F$34)+1-760+94)),NA(),IF(INDEX(指数走势!$F$34:$ACK$34,1,LOOKUP(2,1/(指数走势!$F$34:$ACK$34&lt;&gt;""),COLUMN(指数走势!$F$34:$ACK$34))-COLUMN(指数走势!$F$34)+1-760+94)=0,NA(),INDEX(指数走势!$F$34:$ACK$34,1,LOOKUP(2,1/(指数走势!$F$34:$ACK$34&lt;&gt;""),COLUMN(指数走势!$F$34:$ACK$34))-COLUMN(指数走势!$F$34)+1-760+94)))</f>
        <v>22.1816997528076</v>
      </c>
      <c r="CR98">
        <f>IF(ISERROR(INDEX(指数走势!$F$34:$ACK$34,1,LOOKUP(2,1/(指数走势!$F$34:$ACK$34&lt;&gt;""),COLUMN(指数走势!$F$34:$ACK$34))-COLUMN(指数走势!$F$34)+1-760+95)),NA(),IF(INDEX(指数走势!$F$34:$ACK$34,1,LOOKUP(2,1/(指数走势!$F$34:$ACK$34&lt;&gt;""),COLUMN(指数走势!$F$34:$ACK$34))-COLUMN(指数走势!$F$34)+1-760+95)=0,NA(),INDEX(指数走势!$F$34:$ACK$34,1,LOOKUP(2,1/(指数走势!$F$34:$ACK$34&lt;&gt;""),COLUMN(指数走势!$F$34:$ACK$34))-COLUMN(指数走势!$F$34)+1-760+95)))</f>
        <v>22.1888008117676</v>
      </c>
      <c r="CS98">
        <f>IF(ISERROR(INDEX(指数走势!$F$34:$ACK$34,1,LOOKUP(2,1/(指数走势!$F$34:$ACK$34&lt;&gt;""),COLUMN(指数走势!$F$34:$ACK$34))-COLUMN(指数走势!$F$34)+1-760+96)),NA(),IF(INDEX(指数走势!$F$34:$ACK$34,1,LOOKUP(2,1/(指数走势!$F$34:$ACK$34&lt;&gt;""),COLUMN(指数走势!$F$34:$ACK$34))-COLUMN(指数走势!$F$34)+1-760+96)=0,NA(),INDEX(指数走势!$F$34:$ACK$34,1,LOOKUP(2,1/(指数走势!$F$34:$ACK$34&lt;&gt;""),COLUMN(指数走势!$F$34:$ACK$34))-COLUMN(指数走势!$F$34)+1-760+96)))</f>
        <v>22.1790008544922</v>
      </c>
      <c r="CT98">
        <f>IF(ISERROR(INDEX(指数走势!$F$34:$ACK$34,1,LOOKUP(2,1/(指数走势!$F$34:$ACK$34&lt;&gt;""),COLUMN(指数走势!$F$34:$ACK$34))-COLUMN(指数走势!$F$34)+1-760+97)),NA(),IF(INDEX(指数走势!$F$34:$ACK$34,1,LOOKUP(2,1/(指数走势!$F$34:$ACK$34&lt;&gt;""),COLUMN(指数走势!$F$34:$ACK$34))-COLUMN(指数走势!$F$34)+1-760+97)=0,NA(),INDEX(指数走势!$F$34:$ACK$34,1,LOOKUP(2,1/(指数走势!$F$34:$ACK$34&lt;&gt;""),COLUMN(指数走势!$F$34:$ACK$34))-COLUMN(指数走势!$F$34)+1-760+97)))</f>
        <v>22.0447998046875</v>
      </c>
      <c r="CU98">
        <f>IF(ISERROR(INDEX(指数走势!$F$34:$ACK$34,1,LOOKUP(2,1/(指数走势!$F$34:$ACK$34&lt;&gt;""),COLUMN(指数走势!$F$34:$ACK$34))-COLUMN(指数走势!$F$34)+1-760+98)),NA(),IF(INDEX(指数走势!$F$34:$ACK$34,1,LOOKUP(2,1/(指数走势!$F$34:$ACK$34&lt;&gt;""),COLUMN(指数走势!$F$34:$ACK$34))-COLUMN(指数走势!$F$34)+1-760+98)=0,NA(),INDEX(指数走势!$F$34:$ACK$34,1,LOOKUP(2,1/(指数走势!$F$34:$ACK$34&lt;&gt;""),COLUMN(指数走势!$F$34:$ACK$34))-COLUMN(指数走势!$F$34)+1-760+98)))</f>
        <v>22.0993003845215</v>
      </c>
      <c r="CV98">
        <f>IF(ISERROR(INDEX(指数走势!$F$34:$ACK$34,1,LOOKUP(2,1/(指数走势!$F$34:$ACK$34&lt;&gt;""),COLUMN(指数走势!$F$34:$ACK$34))-COLUMN(指数走势!$F$34)+1-760+99)),NA(),IF(INDEX(指数走势!$F$34:$ACK$34,1,LOOKUP(2,1/(指数走势!$F$34:$ACK$34&lt;&gt;""),COLUMN(指数走势!$F$34:$ACK$34))-COLUMN(指数走势!$F$34)+1-760+99)=0,NA(),INDEX(指数走势!$F$34:$ACK$34,1,LOOKUP(2,1/(指数走势!$F$34:$ACK$34&lt;&gt;""),COLUMN(指数走势!$F$34:$ACK$34))-COLUMN(指数走势!$F$34)+1-760+99)))</f>
        <v>22.3015995025635</v>
      </c>
      <c r="CW98">
        <f>IF(ISERROR(INDEX(指数走势!$F$34:$ACK$34,1,LOOKUP(2,1/(指数走势!$F$34:$ACK$34&lt;&gt;""),COLUMN(指数走势!$F$34:$ACK$34))-COLUMN(指数走势!$F$34)+1-760+100)),NA(),IF(INDEX(指数走势!$F$34:$ACK$34,1,LOOKUP(2,1/(指数走势!$F$34:$ACK$34&lt;&gt;""),COLUMN(指数走势!$F$34:$ACK$34))-COLUMN(指数走势!$F$34)+1-760+100)=0,NA(),INDEX(指数走势!$F$34:$ACK$34,1,LOOKUP(2,1/(指数走势!$F$34:$ACK$34&lt;&gt;""),COLUMN(指数走势!$F$34:$ACK$34))-COLUMN(指数走势!$F$34)+1-760+100)))</f>
        <v>22.0802993774414</v>
      </c>
      <c r="CX98">
        <f>IF(ISERROR(INDEX(指数走势!$F$34:$ACK$34,1,LOOKUP(2,1/(指数走势!$F$34:$ACK$34&lt;&gt;""),COLUMN(指数走势!$F$34:$ACK$34))-COLUMN(指数走势!$F$34)+1-760+101)),NA(),IF(INDEX(指数走势!$F$34:$ACK$34,1,LOOKUP(2,1/(指数走势!$F$34:$ACK$34&lt;&gt;""),COLUMN(指数走势!$F$34:$ACK$34))-COLUMN(指数走势!$F$34)+1-760+101)=0,NA(),INDEX(指数走势!$F$34:$ACK$34,1,LOOKUP(2,1/(指数走势!$F$34:$ACK$34&lt;&gt;""),COLUMN(指数走势!$F$34:$ACK$34))-COLUMN(指数走势!$F$34)+1-760+101)))</f>
        <v>21.7959995269775</v>
      </c>
      <c r="CY98">
        <f>IF(ISERROR(INDEX(指数走势!$F$34:$ACK$34,1,LOOKUP(2,1/(指数走势!$F$34:$ACK$34&lt;&gt;""),COLUMN(指数走势!$F$34:$ACK$34))-COLUMN(指数走势!$F$34)+1-760+102)),NA(),IF(INDEX(指数走势!$F$34:$ACK$34,1,LOOKUP(2,1/(指数走势!$F$34:$ACK$34&lt;&gt;""),COLUMN(指数走势!$F$34:$ACK$34))-COLUMN(指数走势!$F$34)+1-760+102)=0,NA(),INDEX(指数走势!$F$34:$ACK$34,1,LOOKUP(2,1/(指数走势!$F$34:$ACK$34&lt;&gt;""),COLUMN(指数走势!$F$34:$ACK$34))-COLUMN(指数走势!$F$34)+1-760+102)))</f>
        <v>21.8306999206543</v>
      </c>
      <c r="CZ98">
        <f>IF(ISERROR(INDEX(指数走势!$F$34:$ACK$34,1,LOOKUP(2,1/(指数走势!$F$34:$ACK$34&lt;&gt;""),COLUMN(指数走势!$F$34:$ACK$34))-COLUMN(指数走势!$F$34)+1-760+103)),NA(),IF(INDEX(指数走势!$F$34:$ACK$34,1,LOOKUP(2,1/(指数走势!$F$34:$ACK$34&lt;&gt;""),COLUMN(指数走势!$F$34:$ACK$34))-COLUMN(指数走势!$F$34)+1-760+103)=0,NA(),INDEX(指数走势!$F$34:$ACK$34,1,LOOKUP(2,1/(指数走势!$F$34:$ACK$34&lt;&gt;""),COLUMN(指数走势!$F$34:$ACK$34))-COLUMN(指数走势!$F$34)+1-760+103)))</f>
        <v>21.5792007446289</v>
      </c>
      <c r="DA98">
        <f>IF(ISERROR(INDEX(指数走势!$F$34:$ACK$34,1,LOOKUP(2,1/(指数走势!$F$34:$ACK$34&lt;&gt;""),COLUMN(指数走势!$F$34:$ACK$34))-COLUMN(指数走势!$F$34)+1-760+104)),NA(),IF(INDEX(指数走势!$F$34:$ACK$34,1,LOOKUP(2,1/(指数走势!$F$34:$ACK$34&lt;&gt;""),COLUMN(指数走势!$F$34:$ACK$34))-COLUMN(指数走势!$F$34)+1-760+104)=0,NA(),INDEX(指数走势!$F$34:$ACK$34,1,LOOKUP(2,1/(指数走势!$F$34:$ACK$34&lt;&gt;""),COLUMN(指数走势!$F$34:$ACK$34))-COLUMN(指数走势!$F$34)+1-760+104)))</f>
        <v>21.216100692749</v>
      </c>
      <c r="DB98">
        <f>IF(ISERROR(INDEX(指数走势!$F$34:$ACK$34,1,LOOKUP(2,1/(指数走势!$F$34:$ACK$34&lt;&gt;""),COLUMN(指数走势!$F$34:$ACK$34))-COLUMN(指数走势!$F$34)+1-760+105)),NA(),IF(INDEX(指数走势!$F$34:$ACK$34,1,LOOKUP(2,1/(指数走势!$F$34:$ACK$34&lt;&gt;""),COLUMN(指数走势!$F$34:$ACK$34))-COLUMN(指数走势!$F$34)+1-760+105)=0,NA(),INDEX(指数走势!$F$34:$ACK$34,1,LOOKUP(2,1/(指数走势!$F$34:$ACK$34&lt;&gt;""),COLUMN(指数走势!$F$34:$ACK$34))-COLUMN(指数走势!$F$34)+1-760+105)))</f>
        <v>21.0319004058838</v>
      </c>
      <c r="DC98">
        <f>IF(ISERROR(INDEX(指数走势!$F$34:$ACK$34,1,LOOKUP(2,1/(指数走势!$F$34:$ACK$34&lt;&gt;""),COLUMN(指数走势!$F$34:$ACK$34))-COLUMN(指数走势!$F$34)+1-760+106)),NA(),IF(INDEX(指数走势!$F$34:$ACK$34,1,LOOKUP(2,1/(指数走势!$F$34:$ACK$34&lt;&gt;""),COLUMN(指数走势!$F$34:$ACK$34))-COLUMN(指数走势!$F$34)+1-760+106)=0,NA(),INDEX(指数走势!$F$34:$ACK$34,1,LOOKUP(2,1/(指数走势!$F$34:$ACK$34&lt;&gt;""),COLUMN(指数走势!$F$34:$ACK$34))-COLUMN(指数走势!$F$34)+1-760+106)))</f>
        <v>20.6919002532959</v>
      </c>
      <c r="DD98">
        <f>IF(ISERROR(INDEX(指数走势!$F$34:$ACK$34,1,LOOKUP(2,1/(指数走势!$F$34:$ACK$34&lt;&gt;""),COLUMN(指数走势!$F$34:$ACK$34))-COLUMN(指数走势!$F$34)+1-760+107)),NA(),IF(INDEX(指数走势!$F$34:$ACK$34,1,LOOKUP(2,1/(指数走势!$F$34:$ACK$34&lt;&gt;""),COLUMN(指数走势!$F$34:$ACK$34))-COLUMN(指数走势!$F$34)+1-760+107)=0,NA(),INDEX(指数走势!$F$34:$ACK$34,1,LOOKUP(2,1/(指数走势!$F$34:$ACK$34&lt;&gt;""),COLUMN(指数走势!$F$34:$ACK$34))-COLUMN(指数走势!$F$34)+1-760+107)))</f>
        <v>20.8365001678467</v>
      </c>
      <c r="DE98">
        <f>IF(ISERROR(INDEX(指数走势!$F$34:$ACK$34,1,LOOKUP(2,1/(指数走势!$F$34:$ACK$34&lt;&gt;""),COLUMN(指数走势!$F$34:$ACK$34))-COLUMN(指数走势!$F$34)+1-760+108)),NA(),IF(INDEX(指数走势!$F$34:$ACK$34,1,LOOKUP(2,1/(指数走势!$F$34:$ACK$34&lt;&gt;""),COLUMN(指数走势!$F$34:$ACK$34))-COLUMN(指数走势!$F$34)+1-760+108)=0,NA(),INDEX(指数走势!$F$34:$ACK$34,1,LOOKUP(2,1/(指数走势!$F$34:$ACK$34&lt;&gt;""),COLUMN(指数走势!$F$34:$ACK$34))-COLUMN(指数走势!$F$34)+1-760+108)))</f>
        <v>20.8855991363525</v>
      </c>
      <c r="DF98">
        <f>IF(ISERROR(INDEX(指数走势!$F$34:$ACK$34,1,LOOKUP(2,1/(指数走势!$F$34:$ACK$34&lt;&gt;""),COLUMN(指数走势!$F$34:$ACK$34))-COLUMN(指数走势!$F$34)+1-760+109)),NA(),IF(INDEX(指数走势!$F$34:$ACK$34,1,LOOKUP(2,1/(指数走势!$F$34:$ACK$34&lt;&gt;""),COLUMN(指数走势!$F$34:$ACK$34))-COLUMN(指数走势!$F$34)+1-760+109)=0,NA(),INDEX(指数走势!$F$34:$ACK$34,1,LOOKUP(2,1/(指数走势!$F$34:$ACK$34&lt;&gt;""),COLUMN(指数走势!$F$34:$ACK$34))-COLUMN(指数走势!$F$34)+1-760+109)))</f>
        <v>21.0571002960205</v>
      </c>
      <c r="DG98">
        <f>IF(ISERROR(INDEX(指数走势!$F$34:$ACK$34,1,LOOKUP(2,1/(指数走势!$F$34:$ACK$34&lt;&gt;""),COLUMN(指数走势!$F$34:$ACK$34))-COLUMN(指数走势!$F$34)+1-760+110)),NA(),IF(INDEX(指数走势!$F$34:$ACK$34,1,LOOKUP(2,1/(指数走势!$F$34:$ACK$34&lt;&gt;""),COLUMN(指数走势!$F$34:$ACK$34))-COLUMN(指数走势!$F$34)+1-760+110)=0,NA(),INDEX(指数走势!$F$34:$ACK$34,1,LOOKUP(2,1/(指数走势!$F$34:$ACK$34&lt;&gt;""),COLUMN(指数走势!$F$34:$ACK$34))-COLUMN(指数走势!$F$34)+1-760+110)))</f>
        <v>21.6476001739502</v>
      </c>
      <c r="DH98">
        <f>IF(ISERROR(INDEX(指数走势!$F$34:$ACK$34,1,LOOKUP(2,1/(指数走势!$F$34:$ACK$34&lt;&gt;""),COLUMN(指数走势!$F$34:$ACK$34))-COLUMN(指数走势!$F$34)+1-760+111)),NA(),IF(INDEX(指数走势!$F$34:$ACK$34,1,LOOKUP(2,1/(指数走势!$F$34:$ACK$34&lt;&gt;""),COLUMN(指数走势!$F$34:$ACK$34))-COLUMN(指数走势!$F$34)+1-760+111)=0,NA(),INDEX(指数走势!$F$34:$ACK$34,1,LOOKUP(2,1/(指数走势!$F$34:$ACK$34&lt;&gt;""),COLUMN(指数走势!$F$34:$ACK$34))-COLUMN(指数走势!$F$34)+1-760+111)))</f>
        <v>22.2539005279541</v>
      </c>
      <c r="DI98">
        <f>IF(ISERROR(INDEX(指数走势!$F$34:$ACK$34,1,LOOKUP(2,1/(指数走势!$F$34:$ACK$34&lt;&gt;""),COLUMN(指数走势!$F$34:$ACK$34))-COLUMN(指数走势!$F$34)+1-760+112)),NA(),IF(INDEX(指数走势!$F$34:$ACK$34,1,LOOKUP(2,1/(指数走势!$F$34:$ACK$34&lt;&gt;""),COLUMN(指数走势!$F$34:$ACK$34))-COLUMN(指数走势!$F$34)+1-760+112)=0,NA(),INDEX(指数走势!$F$34:$ACK$34,1,LOOKUP(2,1/(指数走势!$F$34:$ACK$34&lt;&gt;""),COLUMN(指数走势!$F$34:$ACK$34))-COLUMN(指数走势!$F$34)+1-760+112)))</f>
        <v>21.9596004486084</v>
      </c>
      <c r="DJ98">
        <f>IF(ISERROR(INDEX(指数走势!$F$34:$ACK$34,1,LOOKUP(2,1/(指数走势!$F$34:$ACK$34&lt;&gt;""),COLUMN(指数走势!$F$34:$ACK$34))-COLUMN(指数走势!$F$34)+1-760+113)),NA(),IF(INDEX(指数走势!$F$34:$ACK$34,1,LOOKUP(2,1/(指数走势!$F$34:$ACK$34&lt;&gt;""),COLUMN(指数走势!$F$34:$ACK$34))-COLUMN(指数走势!$F$34)+1-760+113)=0,NA(),INDEX(指数走势!$F$34:$ACK$34,1,LOOKUP(2,1/(指数走势!$F$34:$ACK$34&lt;&gt;""),COLUMN(指数走势!$F$34:$ACK$34))-COLUMN(指数走势!$F$34)+1-760+113)))</f>
        <v>21.9037990570068</v>
      </c>
      <c r="DK98">
        <f>IF(ISERROR(INDEX(指数走势!$F$34:$ACK$34,1,LOOKUP(2,1/(指数走势!$F$34:$ACK$34&lt;&gt;""),COLUMN(指数走势!$F$34:$ACK$34))-COLUMN(指数走势!$F$34)+1-760+114)),NA(),IF(INDEX(指数走势!$F$34:$ACK$34,1,LOOKUP(2,1/(指数走势!$F$34:$ACK$34&lt;&gt;""),COLUMN(指数走势!$F$34:$ACK$34))-COLUMN(指数走势!$F$34)+1-760+114)=0,NA(),INDEX(指数走势!$F$34:$ACK$34,1,LOOKUP(2,1/(指数走势!$F$34:$ACK$34&lt;&gt;""),COLUMN(指数走势!$F$34:$ACK$34))-COLUMN(指数走势!$F$34)+1-760+114)))</f>
        <v>21.7031993865967</v>
      </c>
      <c r="DL98">
        <f>IF(ISERROR(INDEX(指数走势!$F$34:$ACK$34,1,LOOKUP(2,1/(指数走势!$F$34:$ACK$34&lt;&gt;""),COLUMN(指数走势!$F$34:$ACK$34))-COLUMN(指数走势!$F$34)+1-760+115)),NA(),IF(INDEX(指数走势!$F$34:$ACK$34,1,LOOKUP(2,1/(指数走势!$F$34:$ACK$34&lt;&gt;""),COLUMN(指数走势!$F$34:$ACK$34))-COLUMN(指数走势!$F$34)+1-760+115)=0,NA(),INDEX(指数走势!$F$34:$ACK$34,1,LOOKUP(2,1/(指数走势!$F$34:$ACK$34&lt;&gt;""),COLUMN(指数走势!$F$34:$ACK$34))-COLUMN(指数走势!$F$34)+1-760+115)))</f>
        <v>21.9377994537354</v>
      </c>
      <c r="DM98">
        <f>IF(ISERROR(INDEX(指数走势!$F$34:$ACK$34,1,LOOKUP(2,1/(指数走势!$F$34:$ACK$34&lt;&gt;""),COLUMN(指数走势!$F$34:$ACK$34))-COLUMN(指数走势!$F$34)+1-760+116)),NA(),IF(INDEX(指数走势!$F$34:$ACK$34,1,LOOKUP(2,1/(指数走势!$F$34:$ACK$34&lt;&gt;""),COLUMN(指数走势!$F$34:$ACK$34))-COLUMN(指数走势!$F$34)+1-760+116)=0,NA(),INDEX(指数走势!$F$34:$ACK$34,1,LOOKUP(2,1/(指数走势!$F$34:$ACK$34&lt;&gt;""),COLUMN(指数走势!$F$34:$ACK$34))-COLUMN(指数走势!$F$34)+1-760+116)))</f>
        <v>22.3798999786377</v>
      </c>
      <c r="DN98">
        <f>IF(ISERROR(INDEX(指数走势!$F$34:$ACK$34,1,LOOKUP(2,1/(指数走势!$F$34:$ACK$34&lt;&gt;""),COLUMN(指数走势!$F$34:$ACK$34))-COLUMN(指数走势!$F$34)+1-760+117)),NA(),IF(INDEX(指数走势!$F$34:$ACK$34,1,LOOKUP(2,1/(指数走势!$F$34:$ACK$34&lt;&gt;""),COLUMN(指数走势!$F$34:$ACK$34))-COLUMN(指数走势!$F$34)+1-760+117)=0,NA(),INDEX(指数走势!$F$34:$ACK$34,1,LOOKUP(2,1/(指数走势!$F$34:$ACK$34&lt;&gt;""),COLUMN(指数走势!$F$34:$ACK$34))-COLUMN(指数走势!$F$34)+1-760+117)))</f>
        <v>22.3314990997314</v>
      </c>
      <c r="DO98">
        <f>IF(ISERROR(INDEX(指数走势!$F$34:$ACK$34,1,LOOKUP(2,1/(指数走势!$F$34:$ACK$34&lt;&gt;""),COLUMN(指数走势!$F$34:$ACK$34))-COLUMN(指数走势!$F$34)+1-760+118)),NA(),IF(INDEX(指数走势!$F$34:$ACK$34,1,LOOKUP(2,1/(指数走势!$F$34:$ACK$34&lt;&gt;""),COLUMN(指数走势!$F$34:$ACK$34))-COLUMN(指数走势!$F$34)+1-760+118)=0,NA(),INDEX(指数走势!$F$34:$ACK$34,1,LOOKUP(2,1/(指数走势!$F$34:$ACK$34&lt;&gt;""),COLUMN(指数走势!$F$34:$ACK$34))-COLUMN(指数走势!$F$34)+1-760+118)))</f>
        <v>22.3134002685547</v>
      </c>
      <c r="DP98">
        <f>IF(ISERROR(INDEX(指数走势!$F$34:$ACK$34,1,LOOKUP(2,1/(指数走势!$F$34:$ACK$34&lt;&gt;""),COLUMN(指数走势!$F$34:$ACK$34))-COLUMN(指数走势!$F$34)+1-760+119)),NA(),IF(INDEX(指数走势!$F$34:$ACK$34,1,LOOKUP(2,1/(指数走势!$F$34:$ACK$34&lt;&gt;""),COLUMN(指数走势!$F$34:$ACK$34))-COLUMN(指数走势!$F$34)+1-760+119)=0,NA(),INDEX(指数走势!$F$34:$ACK$34,1,LOOKUP(2,1/(指数走势!$F$34:$ACK$34&lt;&gt;""),COLUMN(指数走势!$F$34:$ACK$34))-COLUMN(指数走势!$F$34)+1-760+119)))</f>
        <v>22.2693996429443</v>
      </c>
      <c r="DQ98">
        <f>IF(ISERROR(INDEX(指数走势!$F$34:$ACK$34,1,LOOKUP(2,1/(指数走势!$F$34:$ACK$34&lt;&gt;""),COLUMN(指数走势!$F$34:$ACK$34))-COLUMN(指数走势!$F$34)+1-760+120)),NA(),IF(INDEX(指数走势!$F$34:$ACK$34,1,LOOKUP(2,1/(指数走势!$F$34:$ACK$34&lt;&gt;""),COLUMN(指数走势!$F$34:$ACK$34))-COLUMN(指数走势!$F$34)+1-760+120)=0,NA(),INDEX(指数走势!$F$34:$ACK$34,1,LOOKUP(2,1/(指数走势!$F$34:$ACK$34&lt;&gt;""),COLUMN(指数走势!$F$34:$ACK$34))-COLUMN(指数走势!$F$34)+1-760+120)))</f>
        <v>22.1522006988525</v>
      </c>
      <c r="DR98">
        <f>IF(ISERROR(INDEX(指数走势!$F$34:$ACK$34,1,LOOKUP(2,1/(指数走势!$F$34:$ACK$34&lt;&gt;""),COLUMN(指数走势!$F$34:$ACK$34))-COLUMN(指数走势!$F$34)+1-760+121)),NA(),IF(INDEX(指数走势!$F$34:$ACK$34,1,LOOKUP(2,1/(指数走势!$F$34:$ACK$34&lt;&gt;""),COLUMN(指数走势!$F$34:$ACK$34))-COLUMN(指数走势!$F$34)+1-760+121)=0,NA(),INDEX(指数走势!$F$34:$ACK$34,1,LOOKUP(2,1/(指数走势!$F$34:$ACK$34&lt;&gt;""),COLUMN(指数走势!$F$34:$ACK$34))-COLUMN(指数走势!$F$34)+1-760+121)))</f>
        <v>22.1683006286621</v>
      </c>
      <c r="DS98">
        <f>IF(ISERROR(INDEX(指数走势!$F$34:$ACK$34,1,LOOKUP(2,1/(指数走势!$F$34:$ACK$34&lt;&gt;""),COLUMN(指数走势!$F$34:$ACK$34))-COLUMN(指数走势!$F$34)+1-760+122)),NA(),IF(INDEX(指数走势!$F$34:$ACK$34,1,LOOKUP(2,1/(指数走势!$F$34:$ACK$34&lt;&gt;""),COLUMN(指数走势!$F$34:$ACK$34))-COLUMN(指数走势!$F$34)+1-760+122)=0,NA(),INDEX(指数走势!$F$34:$ACK$34,1,LOOKUP(2,1/(指数走势!$F$34:$ACK$34&lt;&gt;""),COLUMN(指数走势!$F$34:$ACK$34))-COLUMN(指数走势!$F$34)+1-760+122)))</f>
        <v>22.2078990936279</v>
      </c>
      <c r="DT98">
        <f>IF(ISERROR(INDEX(指数走势!$F$34:$ACK$34,1,LOOKUP(2,1/(指数走势!$F$34:$ACK$34&lt;&gt;""),COLUMN(指数走势!$F$34:$ACK$34))-COLUMN(指数走势!$F$34)+1-760+123)),NA(),IF(INDEX(指数走势!$F$34:$ACK$34,1,LOOKUP(2,1/(指数走势!$F$34:$ACK$34&lt;&gt;""),COLUMN(指数走势!$F$34:$ACK$34))-COLUMN(指数走势!$F$34)+1-760+123)=0,NA(),INDEX(指数走势!$F$34:$ACK$34,1,LOOKUP(2,1/(指数走势!$F$34:$ACK$34&lt;&gt;""),COLUMN(指数走势!$F$34:$ACK$34))-COLUMN(指数走势!$F$34)+1-760+123)))</f>
        <v>22.3700008392334</v>
      </c>
      <c r="DU98">
        <f>IF(ISERROR(INDEX(指数走势!$F$34:$ACK$34,1,LOOKUP(2,1/(指数走势!$F$34:$ACK$34&lt;&gt;""),COLUMN(指数走势!$F$34:$ACK$34))-COLUMN(指数走势!$F$34)+1-760+124)),NA(),IF(INDEX(指数走势!$F$34:$ACK$34,1,LOOKUP(2,1/(指数走势!$F$34:$ACK$34&lt;&gt;""),COLUMN(指数走势!$F$34:$ACK$34))-COLUMN(指数走势!$F$34)+1-760+124)=0,NA(),INDEX(指数走势!$F$34:$ACK$34,1,LOOKUP(2,1/(指数走势!$F$34:$ACK$34&lt;&gt;""),COLUMN(指数走势!$F$34:$ACK$34))-COLUMN(指数走势!$F$34)+1-760+124)))</f>
        <v>22.1107006072998</v>
      </c>
      <c r="DV98">
        <f>IF(ISERROR(INDEX(指数走势!$F$34:$ACK$34,1,LOOKUP(2,1/(指数走势!$F$34:$ACK$34&lt;&gt;""),COLUMN(指数走势!$F$34:$ACK$34))-COLUMN(指数走势!$F$34)+1-760+125)),NA(),IF(INDEX(指数走势!$F$34:$ACK$34,1,LOOKUP(2,1/(指数走势!$F$34:$ACK$34&lt;&gt;""),COLUMN(指数走势!$F$34:$ACK$34))-COLUMN(指数走势!$F$34)+1-760+125)=0,NA(),INDEX(指数走势!$F$34:$ACK$34,1,LOOKUP(2,1/(指数走势!$F$34:$ACK$34&lt;&gt;""),COLUMN(指数走势!$F$34:$ACK$34))-COLUMN(指数走势!$F$34)+1-760+125)))</f>
        <v>22.1487007141113</v>
      </c>
      <c r="DW98">
        <f>IF(ISERROR(INDEX(指数走势!$F$34:$ACK$34,1,LOOKUP(2,1/(指数走势!$F$34:$ACK$34&lt;&gt;""),COLUMN(指数走势!$F$34:$ACK$34))-COLUMN(指数走势!$F$34)+1-760+126)),NA(),IF(INDEX(指数走势!$F$34:$ACK$34,1,LOOKUP(2,1/(指数走势!$F$34:$ACK$34&lt;&gt;""),COLUMN(指数走势!$F$34:$ACK$34))-COLUMN(指数走势!$F$34)+1-760+126)=0,NA(),INDEX(指数走势!$F$34:$ACK$34,1,LOOKUP(2,1/(指数走势!$F$34:$ACK$34&lt;&gt;""),COLUMN(指数走势!$F$34:$ACK$34))-COLUMN(指数走势!$F$34)+1-760+126)))</f>
        <v>22.2355995178223</v>
      </c>
      <c r="DX98">
        <f>IF(ISERROR(INDEX(指数走势!$F$34:$ACK$34,1,LOOKUP(2,1/(指数走势!$F$34:$ACK$34&lt;&gt;""),COLUMN(指数走势!$F$34:$ACK$34))-COLUMN(指数走势!$F$34)+1-760+127)),NA(),IF(INDEX(指数走势!$F$34:$ACK$34,1,LOOKUP(2,1/(指数走势!$F$34:$ACK$34&lt;&gt;""),COLUMN(指数走势!$F$34:$ACK$34))-COLUMN(指数走势!$F$34)+1-760+127)=0,NA(),INDEX(指数走势!$F$34:$ACK$34,1,LOOKUP(2,1/(指数走势!$F$34:$ACK$34&lt;&gt;""),COLUMN(指数走势!$F$34:$ACK$34))-COLUMN(指数走势!$F$34)+1-760+127)))</f>
        <v>22.1944007873535</v>
      </c>
      <c r="DY98">
        <f>IF(ISERROR(INDEX(指数走势!$F$34:$ACK$34,1,LOOKUP(2,1/(指数走势!$F$34:$ACK$34&lt;&gt;""),COLUMN(指数走势!$F$34:$ACK$34))-COLUMN(指数走势!$F$34)+1-760+128)),NA(),IF(INDEX(指数走势!$F$34:$ACK$34,1,LOOKUP(2,1/(指数走势!$F$34:$ACK$34&lt;&gt;""),COLUMN(指数走势!$F$34:$ACK$34))-COLUMN(指数走势!$F$34)+1-760+128)=0,NA(),INDEX(指数走势!$F$34:$ACK$34,1,LOOKUP(2,1/(指数走势!$F$34:$ACK$34&lt;&gt;""),COLUMN(指数走势!$F$34:$ACK$34))-COLUMN(指数走势!$F$34)+1-760+128)))</f>
        <v>21.8950004577637</v>
      </c>
      <c r="DZ98">
        <f>IF(ISERROR(INDEX(指数走势!$F$34:$ACK$34,1,LOOKUP(2,1/(指数走势!$F$34:$ACK$34&lt;&gt;""),COLUMN(指数走势!$F$34:$ACK$34))-COLUMN(指数走势!$F$34)+1-760+129)),NA(),IF(INDEX(指数走势!$F$34:$ACK$34,1,LOOKUP(2,1/(指数走势!$F$34:$ACK$34&lt;&gt;""),COLUMN(指数走势!$F$34:$ACK$34))-COLUMN(指数走势!$F$34)+1-760+129)=0,NA(),INDEX(指数走势!$F$34:$ACK$34,1,LOOKUP(2,1/(指数走势!$F$34:$ACK$34&lt;&gt;""),COLUMN(指数走势!$F$34:$ACK$34))-COLUMN(指数走势!$F$34)+1-760+129)))</f>
        <v>22.0674991607666</v>
      </c>
      <c r="EA98">
        <f>IF(ISERROR(INDEX(指数走势!$F$34:$ACK$34,1,LOOKUP(2,1/(指数走势!$F$34:$ACK$34&lt;&gt;""),COLUMN(指数走势!$F$34:$ACK$34))-COLUMN(指数走势!$F$34)+1-760+130)),NA(),IF(INDEX(指数走势!$F$34:$ACK$34,1,LOOKUP(2,1/(指数走势!$F$34:$ACK$34&lt;&gt;""),COLUMN(指数走势!$F$34:$ACK$34))-COLUMN(指数走势!$F$34)+1-760+130)=0,NA(),INDEX(指数走势!$F$34:$ACK$34,1,LOOKUP(2,1/(指数走势!$F$34:$ACK$34&lt;&gt;""),COLUMN(指数走势!$F$34:$ACK$34))-COLUMN(指数走势!$F$34)+1-760+130)))</f>
        <v>21.8691005706787</v>
      </c>
      <c r="EB98">
        <f>IF(ISERROR(INDEX(指数走势!$F$34:$ACK$34,1,LOOKUP(2,1/(指数走势!$F$34:$ACK$34&lt;&gt;""),COLUMN(指数走势!$F$34:$ACK$34))-COLUMN(指数走势!$F$34)+1-760+131)),NA(),IF(INDEX(指数走势!$F$34:$ACK$34,1,LOOKUP(2,1/(指数走势!$F$34:$ACK$34&lt;&gt;""),COLUMN(指数走势!$F$34:$ACK$34))-COLUMN(指数走势!$F$34)+1-760+131)=0,NA(),INDEX(指数走势!$F$34:$ACK$34,1,LOOKUP(2,1/(指数走势!$F$34:$ACK$34&lt;&gt;""),COLUMN(指数走势!$F$34:$ACK$34))-COLUMN(指数走势!$F$34)+1-760+131)))</f>
        <v>21.7378997802734</v>
      </c>
      <c r="EC98">
        <f>IF(ISERROR(INDEX(指数走势!$F$34:$ACK$34,1,LOOKUP(2,1/(指数走势!$F$34:$ACK$34&lt;&gt;""),COLUMN(指数走势!$F$34:$ACK$34))-COLUMN(指数走势!$F$34)+1-760+132)),NA(),IF(INDEX(指数走势!$F$34:$ACK$34,1,LOOKUP(2,1/(指数走势!$F$34:$ACK$34&lt;&gt;""),COLUMN(指数走势!$F$34:$ACK$34))-COLUMN(指数走势!$F$34)+1-760+132)=0,NA(),INDEX(指数走势!$F$34:$ACK$34,1,LOOKUP(2,1/(指数走势!$F$34:$ACK$34&lt;&gt;""),COLUMN(指数走势!$F$34:$ACK$34))-COLUMN(指数走势!$F$34)+1-760+132)))</f>
        <v>21.8462009429932</v>
      </c>
      <c r="ED98">
        <f>IF(ISERROR(INDEX(指数走势!$F$34:$ACK$34,1,LOOKUP(2,1/(指数走势!$F$34:$ACK$34&lt;&gt;""),COLUMN(指数走势!$F$34:$ACK$34))-COLUMN(指数走势!$F$34)+1-760+133)),NA(),IF(INDEX(指数走势!$F$34:$ACK$34,1,LOOKUP(2,1/(指数走势!$F$34:$ACK$34&lt;&gt;""),COLUMN(指数走势!$F$34:$ACK$34))-COLUMN(指数走势!$F$34)+1-760+133)=0,NA(),INDEX(指数走势!$F$34:$ACK$34,1,LOOKUP(2,1/(指数走势!$F$34:$ACK$34&lt;&gt;""),COLUMN(指数走势!$F$34:$ACK$34))-COLUMN(指数走势!$F$34)+1-760+133)))</f>
        <v>21.6429996490479</v>
      </c>
      <c r="EE98">
        <f>IF(ISERROR(INDEX(指数走势!$F$34:$ACK$34,1,LOOKUP(2,1/(指数走势!$F$34:$ACK$34&lt;&gt;""),COLUMN(指数走势!$F$34:$ACK$34))-COLUMN(指数走势!$F$34)+1-760+134)),NA(),IF(INDEX(指数走势!$F$34:$ACK$34,1,LOOKUP(2,1/(指数走势!$F$34:$ACK$34&lt;&gt;""),COLUMN(指数走势!$F$34:$ACK$34))-COLUMN(指数走势!$F$34)+1-760+134)=0,NA(),INDEX(指数走势!$F$34:$ACK$34,1,LOOKUP(2,1/(指数走势!$F$34:$ACK$34&lt;&gt;""),COLUMN(指数走势!$F$34:$ACK$34))-COLUMN(指数走势!$F$34)+1-760+134)))</f>
        <v>21.6121006011963</v>
      </c>
      <c r="EF98">
        <f>IF(ISERROR(INDEX(指数走势!$F$34:$ACK$34,1,LOOKUP(2,1/(指数走势!$F$34:$ACK$34&lt;&gt;""),COLUMN(指数走势!$F$34:$ACK$34))-COLUMN(指数走势!$F$34)+1-760+135)),NA(),IF(INDEX(指数走势!$F$34:$ACK$34,1,LOOKUP(2,1/(指数走势!$F$34:$ACK$34&lt;&gt;""),COLUMN(指数走势!$F$34:$ACK$34))-COLUMN(指数走势!$F$34)+1-760+135)=0,NA(),INDEX(指数走势!$F$34:$ACK$34,1,LOOKUP(2,1/(指数走势!$F$34:$ACK$34&lt;&gt;""),COLUMN(指数走势!$F$34:$ACK$34))-COLUMN(指数走势!$F$34)+1-760+135)))</f>
        <v>21.5711002349854</v>
      </c>
      <c r="EG98">
        <f>IF(ISERROR(INDEX(指数走势!$F$34:$ACK$34,1,LOOKUP(2,1/(指数走势!$F$34:$ACK$34&lt;&gt;""),COLUMN(指数走势!$F$34:$ACK$34))-COLUMN(指数走势!$F$34)+1-760+136)),NA(),IF(INDEX(指数走势!$F$34:$ACK$34,1,LOOKUP(2,1/(指数走势!$F$34:$ACK$34&lt;&gt;""),COLUMN(指数走势!$F$34:$ACK$34))-COLUMN(指数走势!$F$34)+1-760+136)=0,NA(),INDEX(指数走势!$F$34:$ACK$34,1,LOOKUP(2,1/(指数走势!$F$34:$ACK$34&lt;&gt;""),COLUMN(指数走势!$F$34:$ACK$34))-COLUMN(指数走势!$F$34)+1-760+136)))</f>
        <v>21.4433002471924</v>
      </c>
      <c r="EH98">
        <f>IF(ISERROR(INDEX(指数走势!$F$34:$ACK$34,1,LOOKUP(2,1/(指数走势!$F$34:$ACK$34&lt;&gt;""),COLUMN(指数走势!$F$34:$ACK$34))-COLUMN(指数走势!$F$34)+1-760+137)),NA(),IF(INDEX(指数走势!$F$34:$ACK$34,1,LOOKUP(2,1/(指数走势!$F$34:$ACK$34&lt;&gt;""),COLUMN(指数走势!$F$34:$ACK$34))-COLUMN(指数走势!$F$34)+1-760+137)=0,NA(),INDEX(指数走势!$F$34:$ACK$34,1,LOOKUP(2,1/(指数走势!$F$34:$ACK$34&lt;&gt;""),COLUMN(指数走势!$F$34:$ACK$34))-COLUMN(指数走势!$F$34)+1-760+137)))</f>
        <v>21.0433006286621</v>
      </c>
      <c r="EI98">
        <f>IF(ISERROR(INDEX(指数走势!$F$34:$ACK$34,1,LOOKUP(2,1/(指数走势!$F$34:$ACK$34&lt;&gt;""),COLUMN(指数走势!$F$34:$ACK$34))-COLUMN(指数走势!$F$34)+1-760+138)),NA(),IF(INDEX(指数走势!$F$34:$ACK$34,1,LOOKUP(2,1/(指数走势!$F$34:$ACK$34&lt;&gt;""),COLUMN(指数走势!$F$34:$ACK$34))-COLUMN(指数走势!$F$34)+1-760+138)=0,NA(),INDEX(指数走势!$F$34:$ACK$34,1,LOOKUP(2,1/(指数走势!$F$34:$ACK$34&lt;&gt;""),COLUMN(指数走势!$F$34:$ACK$34))-COLUMN(指数走势!$F$34)+1-760+138)))</f>
        <v>21.1728992462158</v>
      </c>
      <c r="EJ98">
        <f>IF(ISERROR(INDEX(指数走势!$F$34:$ACK$34,1,LOOKUP(2,1/(指数走势!$F$34:$ACK$34&lt;&gt;""),COLUMN(指数走势!$F$34:$ACK$34))-COLUMN(指数走势!$F$34)+1-760+139)),NA(),IF(INDEX(指数走势!$F$34:$ACK$34,1,LOOKUP(2,1/(指数走势!$F$34:$ACK$34&lt;&gt;""),COLUMN(指数走势!$F$34:$ACK$34))-COLUMN(指数走势!$F$34)+1-760+139)=0,NA(),INDEX(指数走势!$F$34:$ACK$34,1,LOOKUP(2,1/(指数走势!$F$34:$ACK$34&lt;&gt;""),COLUMN(指数走势!$F$34:$ACK$34))-COLUMN(指数走势!$F$34)+1-760+139)))</f>
        <v>21.1322002410889</v>
      </c>
      <c r="EK98">
        <f>IF(ISERROR(INDEX(指数走势!$F$34:$ACK$34,1,LOOKUP(2,1/(指数走势!$F$34:$ACK$34&lt;&gt;""),COLUMN(指数走势!$F$34:$ACK$34))-COLUMN(指数走势!$F$34)+1-760+140)),NA(),IF(INDEX(指数走势!$F$34:$ACK$34,1,LOOKUP(2,1/(指数走势!$F$34:$ACK$34&lt;&gt;""),COLUMN(指数走势!$F$34:$ACK$34))-COLUMN(指数走势!$F$34)+1-760+140)=0,NA(),INDEX(指数走势!$F$34:$ACK$34,1,LOOKUP(2,1/(指数走势!$F$34:$ACK$34&lt;&gt;""),COLUMN(指数走势!$F$34:$ACK$34))-COLUMN(指数走势!$F$34)+1-760+140)))</f>
        <v>21.1956005096436</v>
      </c>
      <c r="EL98">
        <f>IF(ISERROR(INDEX(指数走势!$F$34:$ACK$34,1,LOOKUP(2,1/(指数走势!$F$34:$ACK$34&lt;&gt;""),COLUMN(指数走势!$F$34:$ACK$34))-COLUMN(指数走势!$F$34)+1-760+141)),NA(),IF(INDEX(指数走势!$F$34:$ACK$34,1,LOOKUP(2,1/(指数走势!$F$34:$ACK$34&lt;&gt;""),COLUMN(指数走势!$F$34:$ACK$34))-COLUMN(指数走势!$F$34)+1-760+141)=0,NA(),INDEX(指数走势!$F$34:$ACK$34,1,LOOKUP(2,1/(指数走势!$F$34:$ACK$34&lt;&gt;""),COLUMN(指数走势!$F$34:$ACK$34))-COLUMN(指数走势!$F$34)+1-760+141)))</f>
        <v>21.1364994049072</v>
      </c>
      <c r="EM98">
        <f>IF(ISERROR(INDEX(指数走势!$F$34:$ACK$34,1,LOOKUP(2,1/(指数走势!$F$34:$ACK$34&lt;&gt;""),COLUMN(指数走势!$F$34:$ACK$34))-COLUMN(指数走势!$F$34)+1-760+142)),NA(),IF(INDEX(指数走势!$F$34:$ACK$34,1,LOOKUP(2,1/(指数走势!$F$34:$ACK$34&lt;&gt;""),COLUMN(指数走势!$F$34:$ACK$34))-COLUMN(指数走势!$F$34)+1-760+142)=0,NA(),INDEX(指数走势!$F$34:$ACK$34,1,LOOKUP(2,1/(指数走势!$F$34:$ACK$34&lt;&gt;""),COLUMN(指数走势!$F$34:$ACK$34))-COLUMN(指数走势!$F$34)+1-760+142)))</f>
        <v>21.1235008239746</v>
      </c>
      <c r="EN98">
        <f>IF(ISERROR(INDEX(指数走势!$F$34:$ACK$34,1,LOOKUP(2,1/(指数走势!$F$34:$ACK$34&lt;&gt;""),COLUMN(指数走势!$F$34:$ACK$34))-COLUMN(指数走势!$F$34)+1-760+143)),NA(),IF(INDEX(指数走势!$F$34:$ACK$34,1,LOOKUP(2,1/(指数走势!$F$34:$ACK$34&lt;&gt;""),COLUMN(指数走势!$F$34:$ACK$34))-COLUMN(指数走势!$F$34)+1-760+143)=0,NA(),INDEX(指数走势!$F$34:$ACK$34,1,LOOKUP(2,1/(指数走势!$F$34:$ACK$34&lt;&gt;""),COLUMN(指数走势!$F$34:$ACK$34))-COLUMN(指数走势!$F$34)+1-760+143)))</f>
        <v>20.8006000518799</v>
      </c>
      <c r="EO98">
        <f>IF(ISERROR(INDEX(指数走势!$F$34:$ACK$34,1,LOOKUP(2,1/(指数走势!$F$34:$ACK$34&lt;&gt;""),COLUMN(指数走势!$F$34:$ACK$34))-COLUMN(指数走势!$F$34)+1-760+144)),NA(),IF(INDEX(指数走势!$F$34:$ACK$34,1,LOOKUP(2,1/(指数走势!$F$34:$ACK$34&lt;&gt;""),COLUMN(指数走势!$F$34:$ACK$34))-COLUMN(指数走势!$F$34)+1-760+144)=0,NA(),INDEX(指数走势!$F$34:$ACK$34,1,LOOKUP(2,1/(指数走势!$F$34:$ACK$34&lt;&gt;""),COLUMN(指数走势!$F$34:$ACK$34))-COLUMN(指数走势!$F$34)+1-760+144)))</f>
        <v>20.675199508667</v>
      </c>
      <c r="EP98">
        <f>IF(ISERROR(INDEX(指数走势!$F$34:$ACK$34,1,LOOKUP(2,1/(指数走势!$F$34:$ACK$34&lt;&gt;""),COLUMN(指数走势!$F$34:$ACK$34))-COLUMN(指数走势!$F$34)+1-760+145)),NA(),IF(INDEX(指数走势!$F$34:$ACK$34,1,LOOKUP(2,1/(指数走势!$F$34:$ACK$34&lt;&gt;""),COLUMN(指数走势!$F$34:$ACK$34))-COLUMN(指数走势!$F$34)+1-760+145)=0,NA(),INDEX(指数走势!$F$34:$ACK$34,1,LOOKUP(2,1/(指数走势!$F$34:$ACK$34&lt;&gt;""),COLUMN(指数走势!$F$34:$ACK$34))-COLUMN(指数走势!$F$34)+1-760+145)))</f>
        <v>20.6047992706299</v>
      </c>
      <c r="EQ98">
        <f>IF(ISERROR(INDEX(指数走势!$F$34:$ACK$34,1,LOOKUP(2,1/(指数走势!$F$34:$ACK$34&lt;&gt;""),COLUMN(指数走势!$F$34:$ACK$34))-COLUMN(指数走势!$F$34)+1-760+146)),NA(),IF(INDEX(指数走势!$F$34:$ACK$34,1,LOOKUP(2,1/(指数走势!$F$34:$ACK$34&lt;&gt;""),COLUMN(指数走势!$F$34:$ACK$34))-COLUMN(指数走势!$F$34)+1-760+146)=0,NA(),INDEX(指数走势!$F$34:$ACK$34,1,LOOKUP(2,1/(指数走势!$F$34:$ACK$34&lt;&gt;""),COLUMN(指数走势!$F$34:$ACK$34))-COLUMN(指数走势!$F$34)+1-760+146)))</f>
        <v>20.3887004852295</v>
      </c>
      <c r="ER98">
        <f>IF(ISERROR(INDEX(指数走势!$F$34:$ACK$34,1,LOOKUP(2,1/(指数走势!$F$34:$ACK$34&lt;&gt;""),COLUMN(指数走势!$F$34:$ACK$34))-COLUMN(指数走势!$F$34)+1-760+147)),NA(),IF(INDEX(指数走势!$F$34:$ACK$34,1,LOOKUP(2,1/(指数走势!$F$34:$ACK$34&lt;&gt;""),COLUMN(指数走势!$F$34:$ACK$34))-COLUMN(指数走势!$F$34)+1-760+147)=0,NA(),INDEX(指数走势!$F$34:$ACK$34,1,LOOKUP(2,1/(指数走势!$F$34:$ACK$34&lt;&gt;""),COLUMN(指数走势!$F$34:$ACK$34))-COLUMN(指数走势!$F$34)+1-760+147)))</f>
        <v>20.3889999389648</v>
      </c>
      <c r="ES98">
        <f>IF(ISERROR(INDEX(指数走势!$F$34:$ACK$34,1,LOOKUP(2,1/(指数走势!$F$34:$ACK$34&lt;&gt;""),COLUMN(指数走势!$F$34:$ACK$34))-COLUMN(指数走势!$F$34)+1-760+148)),NA(),IF(INDEX(指数走势!$F$34:$ACK$34,1,LOOKUP(2,1/(指数走势!$F$34:$ACK$34&lt;&gt;""),COLUMN(指数走势!$F$34:$ACK$34))-COLUMN(指数走势!$F$34)+1-760+148)=0,NA(),INDEX(指数走势!$F$34:$ACK$34,1,LOOKUP(2,1/(指数走势!$F$34:$ACK$34&lt;&gt;""),COLUMN(指数走势!$F$34:$ACK$34))-COLUMN(指数走势!$F$34)+1-760+148)))</f>
        <v>20.1245002746582</v>
      </c>
      <c r="ET98">
        <f>IF(ISERROR(INDEX(指数走势!$F$34:$ACK$34,1,LOOKUP(2,1/(指数走势!$F$34:$ACK$34&lt;&gt;""),COLUMN(指数走势!$F$34:$ACK$34))-COLUMN(指数走势!$F$34)+1-760+149)),NA(),IF(INDEX(指数走势!$F$34:$ACK$34,1,LOOKUP(2,1/(指数走势!$F$34:$ACK$34&lt;&gt;""),COLUMN(指数走势!$F$34:$ACK$34))-COLUMN(指数走势!$F$34)+1-760+149)=0,NA(),INDEX(指数走势!$F$34:$ACK$34,1,LOOKUP(2,1/(指数走势!$F$34:$ACK$34&lt;&gt;""),COLUMN(指数走势!$F$34:$ACK$34))-COLUMN(指数走势!$F$34)+1-760+149)))</f>
        <v>20.332799911499</v>
      </c>
      <c r="EU98">
        <f>IF(ISERROR(INDEX(指数走势!$F$34:$ACK$34,1,LOOKUP(2,1/(指数走势!$F$34:$ACK$34&lt;&gt;""),COLUMN(指数走势!$F$34:$ACK$34))-COLUMN(指数走势!$F$34)+1-760+150)),NA(),IF(INDEX(指数走势!$F$34:$ACK$34,1,LOOKUP(2,1/(指数走势!$F$34:$ACK$34&lt;&gt;""),COLUMN(指数走势!$F$34:$ACK$34))-COLUMN(指数走势!$F$34)+1-760+150)=0,NA(),INDEX(指数走势!$F$34:$ACK$34,1,LOOKUP(2,1/(指数走势!$F$34:$ACK$34&lt;&gt;""),COLUMN(指数走势!$F$34:$ACK$34))-COLUMN(指数走势!$F$34)+1-760+150)))</f>
        <v>20.2670993804932</v>
      </c>
      <c r="EV98">
        <f>IF(ISERROR(INDEX(指数走势!$F$34:$ACK$34,1,LOOKUP(2,1/(指数走势!$F$34:$ACK$34&lt;&gt;""),COLUMN(指数走势!$F$34:$ACK$34))-COLUMN(指数走势!$F$34)+1-760+151)),NA(),IF(INDEX(指数走势!$F$34:$ACK$34,1,LOOKUP(2,1/(指数走势!$F$34:$ACK$34&lt;&gt;""),COLUMN(指数走势!$F$34:$ACK$34))-COLUMN(指数走势!$F$34)+1-760+151)=0,NA(),INDEX(指数走势!$F$34:$ACK$34,1,LOOKUP(2,1/(指数走势!$F$34:$ACK$34&lt;&gt;""),COLUMN(指数走势!$F$34:$ACK$34))-COLUMN(指数走势!$F$34)+1-760+151)))</f>
        <v>20.3453006744385</v>
      </c>
      <c r="EW98">
        <f>IF(ISERROR(INDEX(指数走势!$F$34:$ACK$34,1,LOOKUP(2,1/(指数走势!$F$34:$ACK$34&lt;&gt;""),COLUMN(指数走势!$F$34:$ACK$34))-COLUMN(指数走势!$F$34)+1-760+152)),NA(),IF(INDEX(指数走势!$F$34:$ACK$34,1,LOOKUP(2,1/(指数走势!$F$34:$ACK$34&lt;&gt;""),COLUMN(指数走势!$F$34:$ACK$34))-COLUMN(指数走势!$F$34)+1-760+152)=0,NA(),INDEX(指数走势!$F$34:$ACK$34,1,LOOKUP(2,1/(指数走势!$F$34:$ACK$34&lt;&gt;""),COLUMN(指数走势!$F$34:$ACK$34))-COLUMN(指数走势!$F$34)+1-760+152)))</f>
        <v>20.1424007415771</v>
      </c>
      <c r="EX98">
        <f>IF(ISERROR(INDEX(指数走势!$F$34:$ACK$34,1,LOOKUP(2,1/(指数走势!$F$34:$ACK$34&lt;&gt;""),COLUMN(指数走势!$F$34:$ACK$34))-COLUMN(指数走势!$F$34)+1-760+153)),NA(),IF(INDEX(指数走势!$F$34:$ACK$34,1,LOOKUP(2,1/(指数走势!$F$34:$ACK$34&lt;&gt;""),COLUMN(指数走势!$F$34:$ACK$34))-COLUMN(指数走势!$F$34)+1-760+153)=0,NA(),INDEX(指数走势!$F$34:$ACK$34,1,LOOKUP(2,1/(指数走势!$F$34:$ACK$34&lt;&gt;""),COLUMN(指数走势!$F$34:$ACK$34))-COLUMN(指数走势!$F$34)+1-760+153)))</f>
        <v>20.2138996124268</v>
      </c>
      <c r="EY98">
        <f>IF(ISERROR(INDEX(指数走势!$F$34:$ACK$34,1,LOOKUP(2,1/(指数走势!$F$34:$ACK$34&lt;&gt;""),COLUMN(指数走势!$F$34:$ACK$34))-COLUMN(指数走势!$F$34)+1-760+154)),NA(),IF(INDEX(指数走势!$F$34:$ACK$34,1,LOOKUP(2,1/(指数走势!$F$34:$ACK$34&lt;&gt;""),COLUMN(指数走势!$F$34:$ACK$34))-COLUMN(指数走势!$F$34)+1-760+154)=0,NA(),INDEX(指数走势!$F$34:$ACK$34,1,LOOKUP(2,1/(指数走势!$F$34:$ACK$34&lt;&gt;""),COLUMN(指数走势!$F$34:$ACK$34))-COLUMN(指数走势!$F$34)+1-760+154)))</f>
        <v>20.7418003082275</v>
      </c>
      <c r="EZ98">
        <f>IF(ISERROR(INDEX(指数走势!$F$34:$ACK$34,1,LOOKUP(2,1/(指数走势!$F$34:$ACK$34&lt;&gt;""),COLUMN(指数走势!$F$34:$ACK$34))-COLUMN(指数走势!$F$34)+1-760+155)),NA(),IF(INDEX(指数走势!$F$34:$ACK$34,1,LOOKUP(2,1/(指数走势!$F$34:$ACK$34&lt;&gt;""),COLUMN(指数走势!$F$34:$ACK$34))-COLUMN(指数走势!$F$34)+1-760+155)=0,NA(),INDEX(指数走势!$F$34:$ACK$34,1,LOOKUP(2,1/(指数走势!$F$34:$ACK$34&lt;&gt;""),COLUMN(指数走势!$F$34:$ACK$34))-COLUMN(指数走势!$F$34)+1-760+155)))</f>
        <v>20.9018993377686</v>
      </c>
      <c r="FA98">
        <f>IF(ISERROR(INDEX(指数走势!$F$34:$ACK$34,1,LOOKUP(2,1/(指数走势!$F$34:$ACK$34&lt;&gt;""),COLUMN(指数走势!$F$34:$ACK$34))-COLUMN(指数走势!$F$34)+1-760+156)),NA(),IF(INDEX(指数走势!$F$34:$ACK$34,1,LOOKUP(2,1/(指数走势!$F$34:$ACK$34&lt;&gt;""),COLUMN(指数走势!$F$34:$ACK$34))-COLUMN(指数走势!$F$34)+1-760+156)=0,NA(),INDEX(指数走势!$F$34:$ACK$34,1,LOOKUP(2,1/(指数走势!$F$34:$ACK$34&lt;&gt;""),COLUMN(指数走势!$F$34:$ACK$34))-COLUMN(指数走势!$F$34)+1-760+156)))</f>
        <v>20.6438999176025</v>
      </c>
      <c r="FB98">
        <f>IF(ISERROR(INDEX(指数走势!$F$34:$ACK$34,1,LOOKUP(2,1/(指数走势!$F$34:$ACK$34&lt;&gt;""),COLUMN(指数走势!$F$34:$ACK$34))-COLUMN(指数走势!$F$34)+1-760+157)),NA(),IF(INDEX(指数走势!$F$34:$ACK$34,1,LOOKUP(2,1/(指数走势!$F$34:$ACK$34&lt;&gt;""),COLUMN(指数走势!$F$34:$ACK$34))-COLUMN(指数走势!$F$34)+1-760+157)=0,NA(),INDEX(指数走势!$F$34:$ACK$34,1,LOOKUP(2,1/(指数走势!$F$34:$ACK$34&lt;&gt;""),COLUMN(指数走势!$F$34:$ACK$34))-COLUMN(指数走势!$F$34)+1-760+157)))</f>
        <v>20.5114994049072</v>
      </c>
      <c r="FC98">
        <f>IF(ISERROR(INDEX(指数走势!$F$34:$ACK$34,1,LOOKUP(2,1/(指数走势!$F$34:$ACK$34&lt;&gt;""),COLUMN(指数走势!$F$34:$ACK$34))-COLUMN(指数走势!$F$34)+1-760+158)),NA(),IF(INDEX(指数走势!$F$34:$ACK$34,1,LOOKUP(2,1/(指数走势!$F$34:$ACK$34&lt;&gt;""),COLUMN(指数走势!$F$34:$ACK$34))-COLUMN(指数走势!$F$34)+1-760+158)=0,NA(),INDEX(指数走势!$F$34:$ACK$34,1,LOOKUP(2,1/(指数走势!$F$34:$ACK$34&lt;&gt;""),COLUMN(指数走势!$F$34:$ACK$34))-COLUMN(指数走势!$F$34)+1-760+158)))</f>
        <v>20.266300201416</v>
      </c>
      <c r="FD98">
        <f>IF(ISERROR(INDEX(指数走势!$F$34:$ACK$34,1,LOOKUP(2,1/(指数走势!$F$34:$ACK$34&lt;&gt;""),COLUMN(指数走势!$F$34:$ACK$34))-COLUMN(指数走势!$F$34)+1-760+159)),NA(),IF(INDEX(指数走势!$F$34:$ACK$34,1,LOOKUP(2,1/(指数走势!$F$34:$ACK$34&lt;&gt;""),COLUMN(指数走势!$F$34:$ACK$34))-COLUMN(指数走势!$F$34)+1-760+159)=0,NA(),INDEX(指数走势!$F$34:$ACK$34,1,LOOKUP(2,1/(指数走势!$F$34:$ACK$34&lt;&gt;""),COLUMN(指数走势!$F$34:$ACK$34))-COLUMN(指数走势!$F$34)+1-760+159)))</f>
        <v>20.068000793457</v>
      </c>
      <c r="FE98">
        <f>IF(ISERROR(INDEX(指数走势!$F$34:$ACK$34,1,LOOKUP(2,1/(指数走势!$F$34:$ACK$34&lt;&gt;""),COLUMN(指数走势!$F$34:$ACK$34))-COLUMN(指数走势!$F$34)+1-760+160)),NA(),IF(INDEX(指数走势!$F$34:$ACK$34,1,LOOKUP(2,1/(指数走势!$F$34:$ACK$34&lt;&gt;""),COLUMN(指数走势!$F$34:$ACK$34))-COLUMN(指数走势!$F$34)+1-760+160)=0,NA(),INDEX(指数走势!$F$34:$ACK$34,1,LOOKUP(2,1/(指数走势!$F$34:$ACK$34&lt;&gt;""),COLUMN(指数走势!$F$34:$ACK$34))-COLUMN(指数走势!$F$34)+1-760+160)))</f>
        <v>19.7017993927002</v>
      </c>
      <c r="FF98">
        <f>IF(ISERROR(INDEX(指数走势!$F$34:$ACK$34,1,LOOKUP(2,1/(指数走势!$F$34:$ACK$34&lt;&gt;""),COLUMN(指数走势!$F$34:$ACK$34))-COLUMN(指数走势!$F$34)+1-760+161)),NA(),IF(INDEX(指数走势!$F$34:$ACK$34,1,LOOKUP(2,1/(指数走势!$F$34:$ACK$34&lt;&gt;""),COLUMN(指数走势!$F$34:$ACK$34))-COLUMN(指数走势!$F$34)+1-760+161)=0,NA(),INDEX(指数走势!$F$34:$ACK$34,1,LOOKUP(2,1/(指数走势!$F$34:$ACK$34&lt;&gt;""),COLUMN(指数走势!$F$34:$ACK$34))-COLUMN(指数走势!$F$34)+1-760+161)))</f>
        <v>19.7569999694824</v>
      </c>
      <c r="FG98">
        <f>IF(ISERROR(INDEX(指数走势!$F$34:$ACK$34,1,LOOKUP(2,1/(指数走势!$F$34:$ACK$34&lt;&gt;""),COLUMN(指数走势!$F$34:$ACK$34))-COLUMN(指数走势!$F$34)+1-760+162)),NA(),IF(INDEX(指数走势!$F$34:$ACK$34,1,LOOKUP(2,1/(指数走势!$F$34:$ACK$34&lt;&gt;""),COLUMN(指数走势!$F$34:$ACK$34))-COLUMN(指数走势!$F$34)+1-760+162)=0,NA(),INDEX(指数走势!$F$34:$ACK$34,1,LOOKUP(2,1/(指数走势!$F$34:$ACK$34&lt;&gt;""),COLUMN(指数走势!$F$34:$ACK$34))-COLUMN(指数走势!$F$34)+1-760+162)))</f>
        <v>19.6530990600586</v>
      </c>
      <c r="FH98">
        <f>IF(ISERROR(INDEX(指数走势!$F$34:$ACK$34,1,LOOKUP(2,1/(指数走势!$F$34:$ACK$34&lt;&gt;""),COLUMN(指数走势!$F$34:$ACK$34))-COLUMN(指数走势!$F$34)+1-760+163)),NA(),IF(INDEX(指数走势!$F$34:$ACK$34,1,LOOKUP(2,1/(指数走势!$F$34:$ACK$34&lt;&gt;""),COLUMN(指数走势!$F$34:$ACK$34))-COLUMN(指数走势!$F$34)+1-760+163)=0,NA(),INDEX(指数走势!$F$34:$ACK$34,1,LOOKUP(2,1/(指数走势!$F$34:$ACK$34&lt;&gt;""),COLUMN(指数走势!$F$34:$ACK$34))-COLUMN(指数走势!$F$34)+1-760+163)))</f>
        <v>19.9186992645264</v>
      </c>
      <c r="FI98">
        <f>IF(ISERROR(INDEX(指数走势!$F$34:$ACK$34,1,LOOKUP(2,1/(指数走势!$F$34:$ACK$34&lt;&gt;""),COLUMN(指数走势!$F$34:$ACK$34))-COLUMN(指数走势!$F$34)+1-760+164)),NA(),IF(INDEX(指数走势!$F$34:$ACK$34,1,LOOKUP(2,1/(指数走势!$F$34:$ACK$34&lt;&gt;""),COLUMN(指数走势!$F$34:$ACK$34))-COLUMN(指数走势!$F$34)+1-760+164)=0,NA(),INDEX(指数走势!$F$34:$ACK$34,1,LOOKUP(2,1/(指数走势!$F$34:$ACK$34&lt;&gt;""),COLUMN(指数走势!$F$34:$ACK$34))-COLUMN(指数走势!$F$34)+1-760+164)))</f>
        <v>19.8176002502441</v>
      </c>
      <c r="FJ98">
        <f>IF(ISERROR(INDEX(指数走势!$F$34:$ACK$34,1,LOOKUP(2,1/(指数走势!$F$34:$ACK$34&lt;&gt;""),COLUMN(指数走势!$F$34:$ACK$34))-COLUMN(指数走势!$F$34)+1-760+165)),NA(),IF(INDEX(指数走势!$F$34:$ACK$34,1,LOOKUP(2,1/(指数走势!$F$34:$ACK$34&lt;&gt;""),COLUMN(指数走势!$F$34:$ACK$34))-COLUMN(指数走势!$F$34)+1-760+165)=0,NA(),INDEX(指数走势!$F$34:$ACK$34,1,LOOKUP(2,1/(指数走势!$F$34:$ACK$34&lt;&gt;""),COLUMN(指数走势!$F$34:$ACK$34))-COLUMN(指数走势!$F$34)+1-760+165)))</f>
        <v>19.7479000091553</v>
      </c>
      <c r="FK98">
        <f>IF(ISERROR(INDEX(指数走势!$F$34:$ACK$34,1,LOOKUP(2,1/(指数走势!$F$34:$ACK$34&lt;&gt;""),COLUMN(指数走势!$F$34:$ACK$34))-COLUMN(指数走势!$F$34)+1-760+166)),NA(),IF(INDEX(指数走势!$F$34:$ACK$34,1,LOOKUP(2,1/(指数走势!$F$34:$ACK$34&lt;&gt;""),COLUMN(指数走势!$F$34:$ACK$34))-COLUMN(指数走势!$F$34)+1-760+166)=0,NA(),INDEX(指数走势!$F$34:$ACK$34,1,LOOKUP(2,1/(指数走势!$F$34:$ACK$34&lt;&gt;""),COLUMN(指数走势!$F$34:$ACK$34))-COLUMN(指数走势!$F$34)+1-760+166)))</f>
        <v>19.8078994750977</v>
      </c>
      <c r="FL98">
        <f>IF(ISERROR(INDEX(指数走势!$F$34:$ACK$34,1,LOOKUP(2,1/(指数走势!$F$34:$ACK$34&lt;&gt;""),COLUMN(指数走势!$F$34:$ACK$34))-COLUMN(指数走势!$F$34)+1-760+167)),NA(),IF(INDEX(指数走势!$F$34:$ACK$34,1,LOOKUP(2,1/(指数走势!$F$34:$ACK$34&lt;&gt;""),COLUMN(指数走势!$F$34:$ACK$34))-COLUMN(指数走势!$F$34)+1-760+167)=0,NA(),INDEX(指数走势!$F$34:$ACK$34,1,LOOKUP(2,1/(指数走势!$F$34:$ACK$34&lt;&gt;""),COLUMN(指数走势!$F$34:$ACK$34))-COLUMN(指数走势!$F$34)+1-760+167)))</f>
        <v>19.3101005554199</v>
      </c>
      <c r="FM98">
        <f>IF(ISERROR(INDEX(指数走势!$F$34:$ACK$34,1,LOOKUP(2,1/(指数走势!$F$34:$ACK$34&lt;&gt;""),COLUMN(指数走势!$F$34:$ACK$34))-COLUMN(指数走势!$F$34)+1-760+168)),NA(),IF(INDEX(指数走势!$F$34:$ACK$34,1,LOOKUP(2,1/(指数走势!$F$34:$ACK$34&lt;&gt;""),COLUMN(指数走势!$F$34:$ACK$34))-COLUMN(指数走势!$F$34)+1-760+168)=0,NA(),INDEX(指数走势!$F$34:$ACK$34,1,LOOKUP(2,1/(指数走势!$F$34:$ACK$34&lt;&gt;""),COLUMN(指数走势!$F$34:$ACK$34))-COLUMN(指数走势!$F$34)+1-760+168)))</f>
        <v>19.4708995819092</v>
      </c>
      <c r="FN98">
        <f>IF(ISERROR(INDEX(指数走势!$F$34:$ACK$34,1,LOOKUP(2,1/(指数走势!$F$34:$ACK$34&lt;&gt;""),COLUMN(指数走势!$F$34:$ACK$34))-COLUMN(指数走势!$F$34)+1-760+169)),NA(),IF(INDEX(指数走势!$F$34:$ACK$34,1,LOOKUP(2,1/(指数走势!$F$34:$ACK$34&lt;&gt;""),COLUMN(指数走势!$F$34:$ACK$34))-COLUMN(指数走势!$F$34)+1-760+169)=0,NA(),INDEX(指数走势!$F$34:$ACK$34,1,LOOKUP(2,1/(指数走势!$F$34:$ACK$34&lt;&gt;""),COLUMN(指数走势!$F$34:$ACK$34))-COLUMN(指数走势!$F$34)+1-760+169)))</f>
        <v>19.3491992950439</v>
      </c>
      <c r="FO98">
        <f>IF(ISERROR(INDEX(指数走势!$F$34:$ACK$34,1,LOOKUP(2,1/(指数走势!$F$34:$ACK$34&lt;&gt;""),COLUMN(指数走势!$F$34:$ACK$34))-COLUMN(指数走势!$F$34)+1-760+170)),NA(),IF(INDEX(指数走势!$F$34:$ACK$34,1,LOOKUP(2,1/(指数走势!$F$34:$ACK$34&lt;&gt;""),COLUMN(指数走势!$F$34:$ACK$34))-COLUMN(指数走势!$F$34)+1-760+170)=0,NA(),INDEX(指数走势!$F$34:$ACK$34,1,LOOKUP(2,1/(指数走势!$F$34:$ACK$34&lt;&gt;""),COLUMN(指数走势!$F$34:$ACK$34))-COLUMN(指数走势!$F$34)+1-760+170)))</f>
        <v>18.6769008636475</v>
      </c>
      <c r="FP98">
        <f>IF(ISERROR(INDEX(指数走势!$F$34:$ACK$34,1,LOOKUP(2,1/(指数走势!$F$34:$ACK$34&lt;&gt;""),COLUMN(指数走势!$F$34:$ACK$34))-COLUMN(指数走势!$F$34)+1-760+171)),NA(),IF(INDEX(指数走势!$F$34:$ACK$34,1,LOOKUP(2,1/(指数走势!$F$34:$ACK$34&lt;&gt;""),COLUMN(指数走势!$F$34:$ACK$34))-COLUMN(指数走势!$F$34)+1-760+171)=0,NA(),INDEX(指数走势!$F$34:$ACK$34,1,LOOKUP(2,1/(指数走势!$F$34:$ACK$34&lt;&gt;""),COLUMN(指数走势!$F$34:$ACK$34))-COLUMN(指数走势!$F$34)+1-760+171)))</f>
        <v>18.9176998138428</v>
      </c>
      <c r="FQ98">
        <f>IF(ISERROR(INDEX(指数走势!$F$34:$ACK$34,1,LOOKUP(2,1/(指数走势!$F$34:$ACK$34&lt;&gt;""),COLUMN(指数走势!$F$34:$ACK$34))-COLUMN(指数走势!$F$34)+1-760+172)),NA(),IF(INDEX(指数走势!$F$34:$ACK$34,1,LOOKUP(2,1/(指数走势!$F$34:$ACK$34&lt;&gt;""),COLUMN(指数走势!$F$34:$ACK$34))-COLUMN(指数走势!$F$34)+1-760+172)=0,NA(),INDEX(指数走势!$F$34:$ACK$34,1,LOOKUP(2,1/(指数走势!$F$34:$ACK$34&lt;&gt;""),COLUMN(指数走势!$F$34:$ACK$34))-COLUMN(指数走势!$F$34)+1-760+172)))</f>
        <v>19.1387004852295</v>
      </c>
      <c r="FR98">
        <f>IF(ISERROR(INDEX(指数走势!$F$34:$ACK$34,1,LOOKUP(2,1/(指数走势!$F$34:$ACK$34&lt;&gt;""),COLUMN(指数走势!$F$34:$ACK$34))-COLUMN(指数走势!$F$34)+1-760+173)),NA(),IF(INDEX(指数走势!$F$34:$ACK$34,1,LOOKUP(2,1/(指数走势!$F$34:$ACK$34&lt;&gt;""),COLUMN(指数走势!$F$34:$ACK$34))-COLUMN(指数走势!$F$34)+1-760+173)=0,NA(),INDEX(指数走势!$F$34:$ACK$34,1,LOOKUP(2,1/(指数走势!$F$34:$ACK$34&lt;&gt;""),COLUMN(指数走势!$F$34:$ACK$34))-COLUMN(指数走势!$F$34)+1-760+173)))</f>
        <v>19.5396995544434</v>
      </c>
      <c r="FS98">
        <f>IF(ISERROR(INDEX(指数走势!$F$34:$ACK$34,1,LOOKUP(2,1/(指数走势!$F$34:$ACK$34&lt;&gt;""),COLUMN(指数走势!$F$34:$ACK$34))-COLUMN(指数走势!$F$34)+1-760+174)),NA(),IF(INDEX(指数走势!$F$34:$ACK$34,1,LOOKUP(2,1/(指数走势!$F$34:$ACK$34&lt;&gt;""),COLUMN(指数走势!$F$34:$ACK$34))-COLUMN(指数走势!$F$34)+1-760+174)=0,NA(),INDEX(指数走势!$F$34:$ACK$34,1,LOOKUP(2,1/(指数走势!$F$34:$ACK$34&lt;&gt;""),COLUMN(指数走势!$F$34:$ACK$34))-COLUMN(指数走势!$F$34)+1-760+174)))</f>
        <v>19.3584003448486</v>
      </c>
      <c r="FT98">
        <f>IF(ISERROR(INDEX(指数走势!$F$34:$ACK$34,1,LOOKUP(2,1/(指数走势!$F$34:$ACK$34&lt;&gt;""),COLUMN(指数走势!$F$34:$ACK$34))-COLUMN(指数走势!$F$34)+1-760+175)),NA(),IF(INDEX(指数走势!$F$34:$ACK$34,1,LOOKUP(2,1/(指数走势!$F$34:$ACK$34&lt;&gt;""),COLUMN(指数走势!$F$34:$ACK$34))-COLUMN(指数走势!$F$34)+1-760+175)=0,NA(),INDEX(指数走势!$F$34:$ACK$34,1,LOOKUP(2,1/(指数走势!$F$34:$ACK$34&lt;&gt;""),COLUMN(指数走势!$F$34:$ACK$34))-COLUMN(指数走势!$F$34)+1-760+175)))</f>
        <v>18.9915008544922</v>
      </c>
      <c r="FU98">
        <f>IF(ISERROR(INDEX(指数走势!$F$34:$ACK$34,1,LOOKUP(2,1/(指数走势!$F$34:$ACK$34&lt;&gt;""),COLUMN(指数走势!$F$34:$ACK$34))-COLUMN(指数走势!$F$34)+1-760+176)),NA(),IF(INDEX(指数走势!$F$34:$ACK$34,1,LOOKUP(2,1/(指数走势!$F$34:$ACK$34&lt;&gt;""),COLUMN(指数走势!$F$34:$ACK$34))-COLUMN(指数走势!$F$34)+1-760+176)=0,NA(),INDEX(指数走势!$F$34:$ACK$34,1,LOOKUP(2,1/(指数走势!$F$34:$ACK$34&lt;&gt;""),COLUMN(指数走势!$F$34:$ACK$34))-COLUMN(指数走势!$F$34)+1-760+176)))</f>
        <v>18.5156002044678</v>
      </c>
      <c r="FV98">
        <f>IF(ISERROR(INDEX(指数走势!$F$34:$ACK$34,1,LOOKUP(2,1/(指数走势!$F$34:$ACK$34&lt;&gt;""),COLUMN(指数走势!$F$34:$ACK$34))-COLUMN(指数走势!$F$34)+1-760+177)),NA(),IF(INDEX(指数走势!$F$34:$ACK$34,1,LOOKUP(2,1/(指数走势!$F$34:$ACK$34&lt;&gt;""),COLUMN(指数走势!$F$34:$ACK$34))-COLUMN(指数走势!$F$34)+1-760+177)=0,NA(),INDEX(指数走势!$F$34:$ACK$34,1,LOOKUP(2,1/(指数走势!$F$34:$ACK$34&lt;&gt;""),COLUMN(指数走势!$F$34:$ACK$34))-COLUMN(指数走势!$F$34)+1-760+177)))</f>
        <v>18.1916999816895</v>
      </c>
      <c r="FW98">
        <f>IF(ISERROR(INDEX(指数走势!$F$34:$ACK$34,1,LOOKUP(2,1/(指数走势!$F$34:$ACK$34&lt;&gt;""),COLUMN(指数走势!$F$34:$ACK$34))-COLUMN(指数走势!$F$34)+1-760+178)),NA(),IF(INDEX(指数走势!$F$34:$ACK$34,1,LOOKUP(2,1/(指数走势!$F$34:$ACK$34&lt;&gt;""),COLUMN(指数走势!$F$34:$ACK$34))-COLUMN(指数走势!$F$34)+1-760+178)=0,NA(),INDEX(指数走势!$F$34:$ACK$34,1,LOOKUP(2,1/(指数走势!$F$34:$ACK$34&lt;&gt;""),COLUMN(指数走势!$F$34:$ACK$34))-COLUMN(指数走势!$F$34)+1-760+178)))</f>
        <v>18.217399597168</v>
      </c>
      <c r="FX98">
        <f>IF(ISERROR(INDEX(指数走势!$F$34:$ACK$34,1,LOOKUP(2,1/(指数走势!$F$34:$ACK$34&lt;&gt;""),COLUMN(指数走势!$F$34:$ACK$34))-COLUMN(指数走势!$F$34)+1-760+179)),NA(),IF(INDEX(指数走势!$F$34:$ACK$34,1,LOOKUP(2,1/(指数走势!$F$34:$ACK$34&lt;&gt;""),COLUMN(指数走势!$F$34:$ACK$34))-COLUMN(指数走势!$F$34)+1-760+179)=0,NA(),INDEX(指数走势!$F$34:$ACK$34,1,LOOKUP(2,1/(指数走势!$F$34:$ACK$34&lt;&gt;""),COLUMN(指数走势!$F$34:$ACK$34))-COLUMN(指数走势!$F$34)+1-760+179)))</f>
        <v>17.8230991363525</v>
      </c>
      <c r="FY98">
        <f>IF(ISERROR(INDEX(指数走势!$F$34:$ACK$34,1,LOOKUP(2,1/(指数走势!$F$34:$ACK$34&lt;&gt;""),COLUMN(指数走势!$F$34:$ACK$34))-COLUMN(指数走势!$F$34)+1-760+180)),NA(),IF(INDEX(指数走势!$F$34:$ACK$34,1,LOOKUP(2,1/(指数走势!$F$34:$ACK$34&lt;&gt;""),COLUMN(指数走势!$F$34:$ACK$34))-COLUMN(指数走势!$F$34)+1-760+180)=0,NA(),INDEX(指数走势!$F$34:$ACK$34,1,LOOKUP(2,1/(指数走势!$F$34:$ACK$34&lt;&gt;""),COLUMN(指数走势!$F$34:$ACK$34))-COLUMN(指数走势!$F$34)+1-760+180)))</f>
        <v>17.6243991851807</v>
      </c>
      <c r="FZ98">
        <f>IF(ISERROR(INDEX(指数走势!$F$34:$ACK$34,1,LOOKUP(2,1/(指数走势!$F$34:$ACK$34&lt;&gt;""),COLUMN(指数走势!$F$34:$ACK$34))-COLUMN(指数走势!$F$34)+1-760+181)),NA(),IF(INDEX(指数走势!$F$34:$ACK$34,1,LOOKUP(2,1/(指数走势!$F$34:$ACK$34&lt;&gt;""),COLUMN(指数走势!$F$34:$ACK$34))-COLUMN(指数走势!$F$34)+1-760+181)=0,NA(),INDEX(指数走势!$F$34:$ACK$34,1,LOOKUP(2,1/(指数走势!$F$34:$ACK$34&lt;&gt;""),COLUMN(指数走势!$F$34:$ACK$34))-COLUMN(指数走势!$F$34)+1-760+181)))</f>
        <v>18.698299407959</v>
      </c>
      <c r="GA98">
        <f>IF(ISERROR(INDEX(指数走势!$F$34:$ACK$34,1,LOOKUP(2,1/(指数走势!$F$34:$ACK$34&lt;&gt;""),COLUMN(指数走势!$F$34:$ACK$34))-COLUMN(指数走势!$F$34)+1-760+182)),NA(),IF(INDEX(指数走势!$F$34:$ACK$34,1,LOOKUP(2,1/(指数走势!$F$34:$ACK$34&lt;&gt;""),COLUMN(指数走势!$F$34:$ACK$34))-COLUMN(指数走势!$F$34)+1-760+182)=0,NA(),INDEX(指数走势!$F$34:$ACK$34,1,LOOKUP(2,1/(指数走势!$F$34:$ACK$34&lt;&gt;""),COLUMN(指数走势!$F$34:$ACK$34))-COLUMN(指数走势!$F$34)+1-760+182)))</f>
        <v>19.2017002105713</v>
      </c>
      <c r="GB98">
        <f>IF(ISERROR(INDEX(指数走势!$F$34:$ACK$34,1,LOOKUP(2,1/(指数走势!$F$34:$ACK$34&lt;&gt;""),COLUMN(指数走势!$F$34:$ACK$34))-COLUMN(指数走势!$F$34)+1-760+183)),NA(),IF(INDEX(指数走势!$F$34:$ACK$34,1,LOOKUP(2,1/(指数走势!$F$34:$ACK$34&lt;&gt;""),COLUMN(指数走势!$F$34:$ACK$34))-COLUMN(指数走势!$F$34)+1-760+183)=0,NA(),INDEX(指数走势!$F$34:$ACK$34,1,LOOKUP(2,1/(指数走势!$F$34:$ACK$34&lt;&gt;""),COLUMN(指数走势!$F$34:$ACK$34))-COLUMN(指数走势!$F$34)+1-760+183)))</f>
        <v>19.4246006011963</v>
      </c>
      <c r="GC98">
        <f>IF(ISERROR(INDEX(指数走势!$F$34:$ACK$34,1,LOOKUP(2,1/(指数走势!$F$34:$ACK$34&lt;&gt;""),COLUMN(指数走势!$F$34:$ACK$34))-COLUMN(指数走势!$F$34)+1-760+184)),NA(),IF(INDEX(指数走势!$F$34:$ACK$34,1,LOOKUP(2,1/(指数走势!$F$34:$ACK$34&lt;&gt;""),COLUMN(指数走势!$F$34:$ACK$34))-COLUMN(指数走势!$F$34)+1-760+184)=0,NA(),INDEX(指数走势!$F$34:$ACK$34,1,LOOKUP(2,1/(指数走势!$F$34:$ACK$34&lt;&gt;""),COLUMN(指数走势!$F$34:$ACK$34))-COLUMN(指数走势!$F$34)+1-760+184)))</f>
        <v>19.5804004669189</v>
      </c>
      <c r="GD98">
        <f>IF(ISERROR(INDEX(指数走势!$F$34:$ACK$34,1,LOOKUP(2,1/(指数走势!$F$34:$ACK$34&lt;&gt;""),COLUMN(指数走势!$F$34:$ACK$34))-COLUMN(指数走势!$F$34)+1-760+185)),NA(),IF(INDEX(指数走势!$F$34:$ACK$34,1,LOOKUP(2,1/(指数走势!$F$34:$ACK$34&lt;&gt;""),COLUMN(指数走势!$F$34:$ACK$34))-COLUMN(指数走势!$F$34)+1-760+185)=0,NA(),INDEX(指数走势!$F$34:$ACK$34,1,LOOKUP(2,1/(指数走势!$F$34:$ACK$34&lt;&gt;""),COLUMN(指数走势!$F$34:$ACK$34))-COLUMN(指数走势!$F$34)+1-760+185)))</f>
        <v>19.593900680542</v>
      </c>
      <c r="GE98">
        <f>IF(ISERROR(INDEX(指数走势!$F$34:$ACK$34,1,LOOKUP(2,1/(指数走势!$F$34:$ACK$34&lt;&gt;""),COLUMN(指数走势!$F$34:$ACK$34))-COLUMN(指数走势!$F$34)+1-760+186)),NA(),IF(INDEX(指数走势!$F$34:$ACK$34,1,LOOKUP(2,1/(指数走势!$F$34:$ACK$34&lt;&gt;""),COLUMN(指数走势!$F$34:$ACK$34))-COLUMN(指数走势!$F$34)+1-760+186)=0,NA(),INDEX(指数走势!$F$34:$ACK$34,1,LOOKUP(2,1/(指数走势!$F$34:$ACK$34&lt;&gt;""),COLUMN(指数走势!$F$34:$ACK$34))-COLUMN(指数走势!$F$34)+1-760+186)))</f>
        <v>19.7658004760742</v>
      </c>
      <c r="GF98">
        <f>IF(ISERROR(INDEX(指数走势!$F$34:$ACK$34,1,LOOKUP(2,1/(指数走势!$F$34:$ACK$34&lt;&gt;""),COLUMN(指数走势!$F$34:$ACK$34))-COLUMN(指数走势!$F$34)+1-760+187)),NA(),IF(INDEX(指数走势!$F$34:$ACK$34,1,LOOKUP(2,1/(指数走势!$F$34:$ACK$34&lt;&gt;""),COLUMN(指数走势!$F$34:$ACK$34))-COLUMN(指数走势!$F$34)+1-760+187)=0,NA(),INDEX(指数走势!$F$34:$ACK$34,1,LOOKUP(2,1/(指数走势!$F$34:$ACK$34&lt;&gt;""),COLUMN(指数走势!$F$34:$ACK$34))-COLUMN(指数走势!$F$34)+1-760+187)))</f>
        <v>19.9202003479004</v>
      </c>
      <c r="GG98">
        <f>IF(ISERROR(INDEX(指数走势!$F$34:$ACK$34,1,LOOKUP(2,1/(指数走势!$F$34:$ACK$34&lt;&gt;""),COLUMN(指数走势!$F$34:$ACK$34))-COLUMN(指数走势!$F$34)+1-760+188)),NA(),IF(INDEX(指数走势!$F$34:$ACK$34,1,LOOKUP(2,1/(指数走势!$F$34:$ACK$34&lt;&gt;""),COLUMN(指数走势!$F$34:$ACK$34))-COLUMN(指数走势!$F$34)+1-760+188)=0,NA(),INDEX(指数走势!$F$34:$ACK$34,1,LOOKUP(2,1/(指数走势!$F$34:$ACK$34&lt;&gt;""),COLUMN(指数走势!$F$34:$ACK$34))-COLUMN(指数走势!$F$34)+1-760+188)))</f>
        <v>19.979700088501</v>
      </c>
      <c r="GH98">
        <f>IF(ISERROR(INDEX(指数走势!$F$34:$ACK$34,1,LOOKUP(2,1/(指数走势!$F$34:$ACK$34&lt;&gt;""),COLUMN(指数走势!$F$34:$ACK$34))-COLUMN(指数走势!$F$34)+1-760+189)),NA(),IF(INDEX(指数走势!$F$34:$ACK$34,1,LOOKUP(2,1/(指数走势!$F$34:$ACK$34&lt;&gt;""),COLUMN(指数走势!$F$34:$ACK$34))-COLUMN(指数走势!$F$34)+1-760+189)=0,NA(),INDEX(指数走势!$F$34:$ACK$34,1,LOOKUP(2,1/(指数走势!$F$34:$ACK$34&lt;&gt;""),COLUMN(指数走势!$F$34:$ACK$34))-COLUMN(指数走势!$F$34)+1-760+189)))</f>
        <v>19.9480991363525</v>
      </c>
      <c r="GI98">
        <f>IF(ISERROR(INDEX(指数走势!$F$34:$ACK$34,1,LOOKUP(2,1/(指数走势!$F$34:$ACK$34&lt;&gt;""),COLUMN(指数走势!$F$34:$ACK$34))-COLUMN(指数走势!$F$34)+1-760+190)),NA(),IF(INDEX(指数走势!$F$34:$ACK$34,1,LOOKUP(2,1/(指数走势!$F$34:$ACK$34&lt;&gt;""),COLUMN(指数走势!$F$34:$ACK$34))-COLUMN(指数走势!$F$34)+1-760+190)=0,NA(),INDEX(指数走势!$F$34:$ACK$34,1,LOOKUP(2,1/(指数走势!$F$34:$ACK$34&lt;&gt;""),COLUMN(指数走势!$F$34:$ACK$34))-COLUMN(指数走势!$F$34)+1-760+190)))</f>
        <v>20.3572998046875</v>
      </c>
      <c r="GJ98">
        <f>IF(ISERROR(INDEX(指数走势!$F$34:$ACK$34,1,LOOKUP(2,1/(指数走势!$F$34:$ACK$34&lt;&gt;""),COLUMN(指数走势!$F$34:$ACK$34))-COLUMN(指数走势!$F$34)+1-760+191)),NA(),IF(INDEX(指数走势!$F$34:$ACK$34,1,LOOKUP(2,1/(指数走势!$F$34:$ACK$34&lt;&gt;""),COLUMN(指数走势!$F$34:$ACK$34))-COLUMN(指数走势!$F$34)+1-760+191)=0,NA(),INDEX(指数走势!$F$34:$ACK$34,1,LOOKUP(2,1/(指数走势!$F$34:$ACK$34&lt;&gt;""),COLUMN(指数走势!$F$34:$ACK$34))-COLUMN(指数走势!$F$34)+1-760+191)))</f>
        <v>20.0548992156982</v>
      </c>
      <c r="GK98">
        <f>IF(ISERROR(INDEX(指数走势!$F$34:$ACK$34,1,LOOKUP(2,1/(指数走势!$F$34:$ACK$34&lt;&gt;""),COLUMN(指数走势!$F$34:$ACK$34))-COLUMN(指数走势!$F$34)+1-760+192)),NA(),IF(INDEX(指数走势!$F$34:$ACK$34,1,LOOKUP(2,1/(指数走势!$F$34:$ACK$34&lt;&gt;""),COLUMN(指数走势!$F$34:$ACK$34))-COLUMN(指数走势!$F$34)+1-760+192)=0,NA(),INDEX(指数走势!$F$34:$ACK$34,1,LOOKUP(2,1/(指数走势!$F$34:$ACK$34&lt;&gt;""),COLUMN(指数走势!$F$34:$ACK$34))-COLUMN(指数走势!$F$34)+1-760+192)))</f>
        <v>20.5918006896973</v>
      </c>
      <c r="GL98">
        <f>IF(ISERROR(INDEX(指数走势!$F$34:$ACK$34,1,LOOKUP(2,1/(指数走势!$F$34:$ACK$34&lt;&gt;""),COLUMN(指数走势!$F$34:$ACK$34))-COLUMN(指数走势!$F$34)+1-760+193)),NA(),IF(INDEX(指数走势!$F$34:$ACK$34,1,LOOKUP(2,1/(指数走势!$F$34:$ACK$34&lt;&gt;""),COLUMN(指数走势!$F$34:$ACK$34))-COLUMN(指数走势!$F$34)+1-760+193)=0,NA(),INDEX(指数走势!$F$34:$ACK$34,1,LOOKUP(2,1/(指数走势!$F$34:$ACK$34&lt;&gt;""),COLUMN(指数走势!$F$34:$ACK$34))-COLUMN(指数走势!$F$34)+1-760+193)))</f>
        <v>20.7630996704102</v>
      </c>
      <c r="GM98">
        <f>IF(ISERROR(INDEX(指数走势!$F$34:$ACK$34,1,LOOKUP(2,1/(指数走势!$F$34:$ACK$34&lt;&gt;""),COLUMN(指数走势!$F$34:$ACK$34))-COLUMN(指数走势!$F$34)+1-760+194)),NA(),IF(INDEX(指数走势!$F$34:$ACK$34,1,LOOKUP(2,1/(指数走势!$F$34:$ACK$34&lt;&gt;""),COLUMN(指数走势!$F$34:$ACK$34))-COLUMN(指数走势!$F$34)+1-760+194)=0,NA(),INDEX(指数走势!$F$34:$ACK$34,1,LOOKUP(2,1/(指数走势!$F$34:$ACK$34&lt;&gt;""),COLUMN(指数走势!$F$34:$ACK$34))-COLUMN(指数走势!$F$34)+1-760+194)))</f>
        <v>20.7677001953125</v>
      </c>
      <c r="GN98">
        <f>IF(ISERROR(INDEX(指数走势!$F$34:$ACK$34,1,LOOKUP(2,1/(指数走势!$F$34:$ACK$34&lt;&gt;""),COLUMN(指数走势!$F$34:$ACK$34))-COLUMN(指数走势!$F$34)+1-760+195)),NA(),IF(INDEX(指数走势!$F$34:$ACK$34,1,LOOKUP(2,1/(指数走势!$F$34:$ACK$34&lt;&gt;""),COLUMN(指数走势!$F$34:$ACK$34))-COLUMN(指数走势!$F$34)+1-760+195)=0,NA(),INDEX(指数走势!$F$34:$ACK$34,1,LOOKUP(2,1/(指数走势!$F$34:$ACK$34&lt;&gt;""),COLUMN(指数走势!$F$34:$ACK$34))-COLUMN(指数走势!$F$34)+1-760+195)))</f>
        <v>20.7469997406006</v>
      </c>
      <c r="GO98">
        <f>IF(ISERROR(INDEX(指数走势!$F$34:$ACK$34,1,LOOKUP(2,1/(指数走势!$F$34:$ACK$34&lt;&gt;""),COLUMN(指数走势!$F$34:$ACK$34))-COLUMN(指数走势!$F$34)+1-760+196)),NA(),IF(INDEX(指数走势!$F$34:$ACK$34,1,LOOKUP(2,1/(指数走势!$F$34:$ACK$34&lt;&gt;""),COLUMN(指数走势!$F$34:$ACK$34))-COLUMN(指数走势!$F$34)+1-760+196)=0,NA(),INDEX(指数走势!$F$34:$ACK$34,1,LOOKUP(2,1/(指数走势!$F$34:$ACK$34&lt;&gt;""),COLUMN(指数走势!$F$34:$ACK$34))-COLUMN(指数走势!$F$34)+1-760+196)))</f>
        <v>20.6996994018555</v>
      </c>
      <c r="GP98">
        <f>IF(ISERROR(INDEX(指数走势!$F$34:$ACK$34,1,LOOKUP(2,1/(指数走势!$F$34:$ACK$34&lt;&gt;""),COLUMN(指数走势!$F$34:$ACK$34))-COLUMN(指数走势!$F$34)+1-760+197)),NA(),IF(INDEX(指数走势!$F$34:$ACK$34,1,LOOKUP(2,1/(指数走势!$F$34:$ACK$34&lt;&gt;""),COLUMN(指数走势!$F$34:$ACK$34))-COLUMN(指数走势!$F$34)+1-760+197)=0,NA(),INDEX(指数走势!$F$34:$ACK$34,1,LOOKUP(2,1/(指数走势!$F$34:$ACK$34&lt;&gt;""),COLUMN(指数走势!$F$34:$ACK$34))-COLUMN(指数走势!$F$34)+1-760+197)))</f>
        <v>20.4426002502441</v>
      </c>
      <c r="GQ98">
        <f>IF(ISERROR(INDEX(指数走势!$F$34:$ACK$34,1,LOOKUP(2,1/(指数走势!$F$34:$ACK$34&lt;&gt;""),COLUMN(指数走势!$F$34:$ACK$34))-COLUMN(指数走势!$F$34)+1-760+198)),NA(),IF(INDEX(指数走势!$F$34:$ACK$34,1,LOOKUP(2,1/(指数走势!$F$34:$ACK$34&lt;&gt;""),COLUMN(指数走势!$F$34:$ACK$34))-COLUMN(指数走势!$F$34)+1-760+198)=0,NA(),INDEX(指数走势!$F$34:$ACK$34,1,LOOKUP(2,1/(指数走势!$F$34:$ACK$34&lt;&gt;""),COLUMN(指数走势!$F$34:$ACK$34))-COLUMN(指数走势!$F$34)+1-760+198)))</f>
        <v>20.6457004547119</v>
      </c>
      <c r="GR98">
        <f>IF(ISERROR(INDEX(指数走势!$F$34:$ACK$34,1,LOOKUP(2,1/(指数走势!$F$34:$ACK$34&lt;&gt;""),COLUMN(指数走势!$F$34:$ACK$34))-COLUMN(指数走势!$F$34)+1-760+199)),NA(),IF(INDEX(指数走势!$F$34:$ACK$34,1,LOOKUP(2,1/(指数走势!$F$34:$ACK$34&lt;&gt;""),COLUMN(指数走势!$F$34:$ACK$34))-COLUMN(指数走势!$F$34)+1-760+199)=0,NA(),INDEX(指数走势!$F$34:$ACK$34,1,LOOKUP(2,1/(指数走势!$F$34:$ACK$34&lt;&gt;""),COLUMN(指数走势!$F$34:$ACK$34))-COLUMN(指数走势!$F$34)+1-760+199)))</f>
        <v>21.0918998718262</v>
      </c>
      <c r="GS98">
        <f>IF(ISERROR(INDEX(指数走势!$F$34:$ACK$34,1,LOOKUP(2,1/(指数走势!$F$34:$ACK$34&lt;&gt;""),COLUMN(指数走势!$F$34:$ACK$34))-COLUMN(指数走势!$F$34)+1-760+200)),NA(),IF(INDEX(指数走势!$F$34:$ACK$34,1,LOOKUP(2,1/(指数走势!$F$34:$ACK$34&lt;&gt;""),COLUMN(指数走势!$F$34:$ACK$34))-COLUMN(指数走势!$F$34)+1-760+200)=0,NA(),INDEX(指数走势!$F$34:$ACK$34,1,LOOKUP(2,1/(指数走势!$F$34:$ACK$34&lt;&gt;""),COLUMN(指数走势!$F$34:$ACK$34))-COLUMN(指数走势!$F$34)+1-760+200)))</f>
        <v>21.1760997772217</v>
      </c>
      <c r="GT98">
        <f>IF(ISERROR(INDEX(指数走势!$F$34:$ACK$34,1,LOOKUP(2,1/(指数走势!$F$34:$ACK$34&lt;&gt;""),COLUMN(指数走势!$F$34:$ACK$34))-COLUMN(指数走势!$F$34)+1-760+201)),NA(),IF(INDEX(指数走势!$F$34:$ACK$34,1,LOOKUP(2,1/(指数走势!$F$34:$ACK$34&lt;&gt;""),COLUMN(指数走势!$F$34:$ACK$34))-COLUMN(指数走势!$F$34)+1-760+201)=0,NA(),INDEX(指数走势!$F$34:$ACK$34,1,LOOKUP(2,1/(指数走势!$F$34:$ACK$34&lt;&gt;""),COLUMN(指数走势!$F$34:$ACK$34))-COLUMN(指数走势!$F$34)+1-760+201)))</f>
        <v>21.1215000152588</v>
      </c>
      <c r="GU98">
        <f>IF(ISERROR(INDEX(指数走势!$F$34:$ACK$34,1,LOOKUP(2,1/(指数走势!$F$34:$ACK$34&lt;&gt;""),COLUMN(指数走势!$F$34:$ACK$34))-COLUMN(指数走势!$F$34)+1-760+202)),NA(),IF(INDEX(指数走势!$F$34:$ACK$34,1,LOOKUP(2,1/(指数走势!$F$34:$ACK$34&lt;&gt;""),COLUMN(指数走势!$F$34:$ACK$34))-COLUMN(指数走势!$F$34)+1-760+202)=0,NA(),INDEX(指数走势!$F$34:$ACK$34,1,LOOKUP(2,1/(指数走势!$F$34:$ACK$34&lt;&gt;""),COLUMN(指数走势!$F$34:$ACK$34))-COLUMN(指数走势!$F$34)+1-760+202)))</f>
        <v>21.0335006713867</v>
      </c>
      <c r="GV98">
        <f>IF(ISERROR(INDEX(指数走势!$F$34:$ACK$34,1,LOOKUP(2,1/(指数走势!$F$34:$ACK$34&lt;&gt;""),COLUMN(指数走势!$F$34:$ACK$34))-COLUMN(指数走势!$F$34)+1-760+203)),NA(),IF(INDEX(指数走势!$F$34:$ACK$34,1,LOOKUP(2,1/(指数走势!$F$34:$ACK$34&lt;&gt;""),COLUMN(指数走势!$F$34:$ACK$34))-COLUMN(指数走势!$F$34)+1-760+203)=0,NA(),INDEX(指数走势!$F$34:$ACK$34,1,LOOKUP(2,1/(指数走势!$F$34:$ACK$34&lt;&gt;""),COLUMN(指数走势!$F$34:$ACK$34))-COLUMN(指数走势!$F$34)+1-760+203)))</f>
        <v>21.1993007659912</v>
      </c>
      <c r="GW98">
        <f>IF(ISERROR(INDEX(指数走势!$F$34:$ACK$34,1,LOOKUP(2,1/(指数走势!$F$34:$ACK$34&lt;&gt;""),COLUMN(指数走势!$F$34:$ACK$34))-COLUMN(指数走势!$F$34)+1-760+204)),NA(),IF(INDEX(指数走势!$F$34:$ACK$34,1,LOOKUP(2,1/(指数走势!$F$34:$ACK$34&lt;&gt;""),COLUMN(指数走势!$F$34:$ACK$34))-COLUMN(指数走势!$F$34)+1-760+204)=0,NA(),INDEX(指数走势!$F$34:$ACK$34,1,LOOKUP(2,1/(指数走势!$F$34:$ACK$34&lt;&gt;""),COLUMN(指数走势!$F$34:$ACK$34))-COLUMN(指数走势!$F$34)+1-760+204)))</f>
        <v>21.5023994445801</v>
      </c>
      <c r="GX98">
        <f>IF(ISERROR(INDEX(指数走势!$F$34:$ACK$34,1,LOOKUP(2,1/(指数走势!$F$34:$ACK$34&lt;&gt;""),COLUMN(指数走势!$F$34:$ACK$34))-COLUMN(指数走势!$F$34)+1-760+205)),NA(),IF(INDEX(指数走势!$F$34:$ACK$34,1,LOOKUP(2,1/(指数走势!$F$34:$ACK$34&lt;&gt;""),COLUMN(指数走势!$F$34:$ACK$34))-COLUMN(指数走势!$F$34)+1-760+205)=0,NA(),INDEX(指数走势!$F$34:$ACK$34,1,LOOKUP(2,1/(指数走势!$F$34:$ACK$34&lt;&gt;""),COLUMN(指数走势!$F$34:$ACK$34))-COLUMN(指数走势!$F$34)+1-760+205)))</f>
        <v>21.361400604248</v>
      </c>
      <c r="GY98">
        <f>IF(ISERROR(INDEX(指数走势!$F$34:$ACK$34,1,LOOKUP(2,1/(指数走势!$F$34:$ACK$34&lt;&gt;""),COLUMN(指数走势!$F$34:$ACK$34))-COLUMN(指数走势!$F$34)+1-760+206)),NA(),IF(INDEX(指数走势!$F$34:$ACK$34,1,LOOKUP(2,1/(指数走势!$F$34:$ACK$34&lt;&gt;""),COLUMN(指数走势!$F$34:$ACK$34))-COLUMN(指数走势!$F$34)+1-760+206)=0,NA(),INDEX(指数走势!$F$34:$ACK$34,1,LOOKUP(2,1/(指数走势!$F$34:$ACK$34&lt;&gt;""),COLUMN(指数走势!$F$34:$ACK$34))-COLUMN(指数走势!$F$34)+1-760+206)))</f>
        <v>21.4101009368896</v>
      </c>
      <c r="GZ98">
        <f>IF(ISERROR(INDEX(指数走势!$F$34:$ACK$34,1,LOOKUP(2,1/(指数走势!$F$34:$ACK$34&lt;&gt;""),COLUMN(指数走势!$F$34:$ACK$34))-COLUMN(指数走势!$F$34)+1-760+207)),NA(),IF(INDEX(指数走势!$F$34:$ACK$34,1,LOOKUP(2,1/(指数走势!$F$34:$ACK$34&lt;&gt;""),COLUMN(指数走势!$F$34:$ACK$34))-COLUMN(指数走势!$F$34)+1-760+207)=0,NA(),INDEX(指数走势!$F$34:$ACK$34,1,LOOKUP(2,1/(指数走势!$F$34:$ACK$34&lt;&gt;""),COLUMN(指数走势!$F$34:$ACK$34))-COLUMN(指数走势!$F$34)+1-760+207)))</f>
        <v>21.3705005645752</v>
      </c>
      <c r="HA98">
        <f>IF(ISERROR(INDEX(指数走势!$F$34:$ACK$34,1,LOOKUP(2,1/(指数走势!$F$34:$ACK$34&lt;&gt;""),COLUMN(指数走势!$F$34:$ACK$34))-COLUMN(指数走势!$F$34)+1-760+208)),NA(),IF(INDEX(指数走势!$F$34:$ACK$34,1,LOOKUP(2,1/(指数走势!$F$34:$ACK$34&lt;&gt;""),COLUMN(指数走势!$F$34:$ACK$34))-COLUMN(指数走势!$F$34)+1-760+208)=0,NA(),INDEX(指数走势!$F$34:$ACK$34,1,LOOKUP(2,1/(指数走势!$F$34:$ACK$34&lt;&gt;""),COLUMN(指数走势!$F$34:$ACK$34))-COLUMN(指数走势!$F$34)+1-760+208)))</f>
        <v>21.1161003112793</v>
      </c>
      <c r="HB98">
        <f>IF(ISERROR(INDEX(指数走势!$F$34:$ACK$34,1,LOOKUP(2,1/(指数走势!$F$34:$ACK$34&lt;&gt;""),COLUMN(指数走势!$F$34:$ACK$34))-COLUMN(指数走势!$F$34)+1-760+209)),NA(),IF(INDEX(指数走势!$F$34:$ACK$34,1,LOOKUP(2,1/(指数走势!$F$34:$ACK$34&lt;&gt;""),COLUMN(指数走势!$F$34:$ACK$34))-COLUMN(指数走势!$F$34)+1-760+209)=0,NA(),INDEX(指数走势!$F$34:$ACK$34,1,LOOKUP(2,1/(指数走势!$F$34:$ACK$34&lt;&gt;""),COLUMN(指数走势!$F$34:$ACK$34))-COLUMN(指数走势!$F$34)+1-760+209)))</f>
        <v>20.8267993927002</v>
      </c>
      <c r="HC98">
        <f>IF(ISERROR(INDEX(指数走势!$F$34:$ACK$34,1,LOOKUP(2,1/(指数走势!$F$34:$ACK$34&lt;&gt;""),COLUMN(指数走势!$F$34:$ACK$34))-COLUMN(指数走势!$F$34)+1-760+210)),NA(),IF(INDEX(指数走势!$F$34:$ACK$34,1,LOOKUP(2,1/(指数走势!$F$34:$ACK$34&lt;&gt;""),COLUMN(指数走势!$F$34:$ACK$34))-COLUMN(指数走势!$F$34)+1-760+210)=0,NA(),INDEX(指数走势!$F$34:$ACK$34,1,LOOKUP(2,1/(指数走势!$F$34:$ACK$34&lt;&gt;""),COLUMN(指数走势!$F$34:$ACK$34))-COLUMN(指数走势!$F$34)+1-760+210)))</f>
        <v>20.8971004486084</v>
      </c>
      <c r="HD98">
        <f>IF(ISERROR(INDEX(指数走势!$F$34:$ACK$34,1,LOOKUP(2,1/(指数走势!$F$34:$ACK$34&lt;&gt;""),COLUMN(指数走势!$F$34:$ACK$34))-COLUMN(指数走势!$F$34)+1-760+211)),NA(),IF(INDEX(指数走势!$F$34:$ACK$34,1,LOOKUP(2,1/(指数走势!$F$34:$ACK$34&lt;&gt;""),COLUMN(指数走势!$F$34:$ACK$34))-COLUMN(指数走势!$F$34)+1-760+211)=0,NA(),INDEX(指数走势!$F$34:$ACK$34,1,LOOKUP(2,1/(指数走势!$F$34:$ACK$34&lt;&gt;""),COLUMN(指数走势!$F$34:$ACK$34))-COLUMN(指数走势!$F$34)+1-760+211)))</f>
        <v>20.3705997467041</v>
      </c>
      <c r="HE98">
        <f>IF(ISERROR(INDEX(指数走势!$F$34:$ACK$34,1,LOOKUP(2,1/(指数走势!$F$34:$ACK$34&lt;&gt;""),COLUMN(指数走势!$F$34:$ACK$34))-COLUMN(指数走势!$F$34)+1-760+212)),NA(),IF(INDEX(指数走势!$F$34:$ACK$34,1,LOOKUP(2,1/(指数走势!$F$34:$ACK$34&lt;&gt;""),COLUMN(指数走势!$F$34:$ACK$34))-COLUMN(指数走势!$F$34)+1-760+212)=0,NA(),INDEX(指数走势!$F$34:$ACK$34,1,LOOKUP(2,1/(指数走势!$F$34:$ACK$34&lt;&gt;""),COLUMN(指数走势!$F$34:$ACK$34))-COLUMN(指数走势!$F$34)+1-760+212)))</f>
        <v>20.7266998291016</v>
      </c>
      <c r="HF98">
        <f>IF(ISERROR(INDEX(指数走势!$F$34:$ACK$34,1,LOOKUP(2,1/(指数走势!$F$34:$ACK$34&lt;&gt;""),COLUMN(指数走势!$F$34:$ACK$34))-COLUMN(指数走势!$F$34)+1-760+213)),NA(),IF(INDEX(指数走势!$F$34:$ACK$34,1,LOOKUP(2,1/(指数走势!$F$34:$ACK$34&lt;&gt;""),COLUMN(指数走势!$F$34:$ACK$34))-COLUMN(指数走势!$F$34)+1-760+213)=0,NA(),INDEX(指数走势!$F$34:$ACK$34,1,LOOKUP(2,1/(指数走势!$F$34:$ACK$34&lt;&gt;""),COLUMN(指数走势!$F$34:$ACK$34))-COLUMN(指数走势!$F$34)+1-760+213)))</f>
        <v>21.1940994262695</v>
      </c>
      <c r="HG98">
        <f>IF(ISERROR(INDEX(指数走势!$F$34:$ACK$34,1,LOOKUP(2,1/(指数走势!$F$34:$ACK$34&lt;&gt;""),COLUMN(指数走势!$F$34:$ACK$34))-COLUMN(指数走势!$F$34)+1-760+214)),NA(),IF(INDEX(指数走势!$F$34:$ACK$34,1,LOOKUP(2,1/(指数走势!$F$34:$ACK$34&lt;&gt;""),COLUMN(指数走势!$F$34:$ACK$34))-COLUMN(指数走势!$F$34)+1-760+214)=0,NA(),INDEX(指数走势!$F$34:$ACK$34,1,LOOKUP(2,1/(指数走势!$F$34:$ACK$34&lt;&gt;""),COLUMN(指数走势!$F$34:$ACK$34))-COLUMN(指数走势!$F$34)+1-760+214)))</f>
        <v>21.5751991271973</v>
      </c>
      <c r="HH98">
        <f>IF(ISERROR(INDEX(指数走势!$F$34:$ACK$34,1,LOOKUP(2,1/(指数走势!$F$34:$ACK$34&lt;&gt;""),COLUMN(指数走势!$F$34:$ACK$34))-COLUMN(指数走势!$F$34)+1-760+215)),NA(),IF(INDEX(指数走势!$F$34:$ACK$34,1,LOOKUP(2,1/(指数走势!$F$34:$ACK$34&lt;&gt;""),COLUMN(指数走势!$F$34:$ACK$34))-COLUMN(指数走势!$F$34)+1-760+215)=0,NA(),INDEX(指数走势!$F$34:$ACK$34,1,LOOKUP(2,1/(指数走势!$F$34:$ACK$34&lt;&gt;""),COLUMN(指数走势!$F$34:$ACK$34))-COLUMN(指数走势!$F$34)+1-760+215)))</f>
        <v>21.4748001098633</v>
      </c>
      <c r="HI98">
        <f>IF(ISERROR(INDEX(指数走势!$F$34:$ACK$34,1,LOOKUP(2,1/(指数走势!$F$34:$ACK$34&lt;&gt;""),COLUMN(指数走势!$F$34:$ACK$34))-COLUMN(指数走势!$F$34)+1-760+216)),NA(),IF(INDEX(指数走势!$F$34:$ACK$34,1,LOOKUP(2,1/(指数走势!$F$34:$ACK$34&lt;&gt;""),COLUMN(指数走势!$F$34:$ACK$34))-COLUMN(指数走势!$F$34)+1-760+216)=0,NA(),INDEX(指数走势!$F$34:$ACK$34,1,LOOKUP(2,1/(指数走势!$F$34:$ACK$34&lt;&gt;""),COLUMN(指数走势!$F$34:$ACK$34))-COLUMN(指数走势!$F$34)+1-760+216)))</f>
        <v>21.353099822998</v>
      </c>
      <c r="HJ98">
        <f>IF(ISERROR(INDEX(指数走势!$F$34:$ACK$34,1,LOOKUP(2,1/(指数走势!$F$34:$ACK$34&lt;&gt;""),COLUMN(指数走势!$F$34:$ACK$34))-COLUMN(指数走势!$F$34)+1-760+217)),NA(),IF(INDEX(指数走势!$F$34:$ACK$34,1,LOOKUP(2,1/(指数走势!$F$34:$ACK$34&lt;&gt;""),COLUMN(指数走势!$F$34:$ACK$34))-COLUMN(指数走势!$F$34)+1-760+217)=0,NA(),INDEX(指数走势!$F$34:$ACK$34,1,LOOKUP(2,1/(指数走势!$F$34:$ACK$34&lt;&gt;""),COLUMN(指数走势!$F$34:$ACK$34))-COLUMN(指数走势!$F$34)+1-760+217)))</f>
        <v>21.0403003692627</v>
      </c>
      <c r="HK98">
        <f>IF(ISERROR(INDEX(指数走势!$F$34:$ACK$34,1,LOOKUP(2,1/(指数走势!$F$34:$ACK$34&lt;&gt;""),COLUMN(指数走势!$F$34:$ACK$34))-COLUMN(指数走势!$F$34)+1-760+218)),NA(),IF(INDEX(指数走势!$F$34:$ACK$34,1,LOOKUP(2,1/(指数走势!$F$34:$ACK$34&lt;&gt;""),COLUMN(指数走势!$F$34:$ACK$34))-COLUMN(指数走势!$F$34)+1-760+218)=0,NA(),INDEX(指数走势!$F$34:$ACK$34,1,LOOKUP(2,1/(指数走势!$F$34:$ACK$34&lt;&gt;""),COLUMN(指数走势!$F$34:$ACK$34))-COLUMN(指数走势!$F$34)+1-760+218)))</f>
        <v>21.1383991241455</v>
      </c>
      <c r="HL98">
        <f>IF(ISERROR(INDEX(指数走势!$F$34:$ACK$34,1,LOOKUP(2,1/(指数走势!$F$34:$ACK$34&lt;&gt;""),COLUMN(指数走势!$F$34:$ACK$34))-COLUMN(指数走势!$F$34)+1-760+219)),NA(),IF(INDEX(指数走势!$F$34:$ACK$34,1,LOOKUP(2,1/(指数走势!$F$34:$ACK$34&lt;&gt;""),COLUMN(指数走势!$F$34:$ACK$34))-COLUMN(指数走势!$F$34)+1-760+219)=0,NA(),INDEX(指数走势!$F$34:$ACK$34,1,LOOKUP(2,1/(指数走势!$F$34:$ACK$34&lt;&gt;""),COLUMN(指数走势!$F$34:$ACK$34))-COLUMN(指数走势!$F$34)+1-760+219)))</f>
        <v>20.8384990692139</v>
      </c>
      <c r="HM98">
        <f>IF(ISERROR(INDEX(指数走势!$F$34:$ACK$34,1,LOOKUP(2,1/(指数走势!$F$34:$ACK$34&lt;&gt;""),COLUMN(指数走势!$F$34:$ACK$34))-COLUMN(指数走势!$F$34)+1-760+220)),NA(),IF(INDEX(指数走势!$F$34:$ACK$34,1,LOOKUP(2,1/(指数走势!$F$34:$ACK$34&lt;&gt;""),COLUMN(指数走势!$F$34:$ACK$34))-COLUMN(指数走势!$F$34)+1-760+220)=0,NA(),INDEX(指数走势!$F$34:$ACK$34,1,LOOKUP(2,1/(指数走势!$F$34:$ACK$34&lt;&gt;""),COLUMN(指数走势!$F$34:$ACK$34))-COLUMN(指数走势!$F$34)+1-760+220)))</f>
        <v>20.843900680542</v>
      </c>
      <c r="HN98">
        <f>IF(ISERROR(INDEX(指数走势!$F$34:$ACK$34,1,LOOKUP(2,1/(指数走势!$F$34:$ACK$34&lt;&gt;""),COLUMN(指数走势!$F$34:$ACK$34))-COLUMN(指数走势!$F$34)+1-760+221)),NA(),IF(INDEX(指数走势!$F$34:$ACK$34,1,LOOKUP(2,1/(指数走势!$F$34:$ACK$34&lt;&gt;""),COLUMN(指数走势!$F$34:$ACK$34))-COLUMN(指数走势!$F$34)+1-760+221)=0,NA(),INDEX(指数走势!$F$34:$ACK$34,1,LOOKUP(2,1/(指数走势!$F$34:$ACK$34&lt;&gt;""),COLUMN(指数走势!$F$34:$ACK$34))-COLUMN(指数走势!$F$34)+1-760+221)))</f>
        <v>20.6644992828369</v>
      </c>
      <c r="HO98">
        <f>IF(ISERROR(INDEX(指数走势!$F$34:$ACK$34,1,LOOKUP(2,1/(指数走势!$F$34:$ACK$34&lt;&gt;""),COLUMN(指数走势!$F$34:$ACK$34))-COLUMN(指数走势!$F$34)+1-760+222)),NA(),IF(INDEX(指数走势!$F$34:$ACK$34,1,LOOKUP(2,1/(指数走势!$F$34:$ACK$34&lt;&gt;""),COLUMN(指数走势!$F$34:$ACK$34))-COLUMN(指数走势!$F$34)+1-760+222)=0,NA(),INDEX(指数走势!$F$34:$ACK$34,1,LOOKUP(2,1/(指数走势!$F$34:$ACK$34&lt;&gt;""),COLUMN(指数走势!$F$34:$ACK$34))-COLUMN(指数走势!$F$34)+1-760+222)))</f>
        <v>20.9619007110596</v>
      </c>
      <c r="HP98">
        <f>IF(ISERROR(INDEX(指数走势!$F$34:$ACK$34,1,LOOKUP(2,1/(指数走势!$F$34:$ACK$34&lt;&gt;""),COLUMN(指数走势!$F$34:$ACK$34))-COLUMN(指数走势!$F$34)+1-760+223)),NA(),IF(INDEX(指数走势!$F$34:$ACK$34,1,LOOKUP(2,1/(指数走势!$F$34:$ACK$34&lt;&gt;""),COLUMN(指数走势!$F$34:$ACK$34))-COLUMN(指数走势!$F$34)+1-760+223)=0,NA(),INDEX(指数走势!$F$34:$ACK$34,1,LOOKUP(2,1/(指数走势!$F$34:$ACK$34&lt;&gt;""),COLUMN(指数走势!$F$34:$ACK$34))-COLUMN(指数走势!$F$34)+1-760+223)))</f>
        <v>20.4032001495361</v>
      </c>
      <c r="HQ98">
        <f>IF(ISERROR(INDEX(指数走势!$F$34:$ACK$34,1,LOOKUP(2,1/(指数走势!$F$34:$ACK$34&lt;&gt;""),COLUMN(指数走势!$F$34:$ACK$34))-COLUMN(指数走势!$F$34)+1-760+224)),NA(),IF(INDEX(指数走势!$F$34:$ACK$34,1,LOOKUP(2,1/(指数走势!$F$34:$ACK$34&lt;&gt;""),COLUMN(指数走势!$F$34:$ACK$34))-COLUMN(指数走势!$F$34)+1-760+224)=0,NA(),INDEX(指数走势!$F$34:$ACK$34,1,LOOKUP(2,1/(指数走势!$F$34:$ACK$34&lt;&gt;""),COLUMN(指数走势!$F$34:$ACK$34))-COLUMN(指数走势!$F$34)+1-760+224)))</f>
        <v>20.8997001647949</v>
      </c>
      <c r="HR98">
        <f>IF(ISERROR(INDEX(指数走势!$F$34:$ACK$34,1,LOOKUP(2,1/(指数走势!$F$34:$ACK$34&lt;&gt;""),COLUMN(指数走势!$F$34:$ACK$34))-COLUMN(指数走势!$F$34)+1-760+225)),NA(),IF(INDEX(指数走势!$F$34:$ACK$34,1,LOOKUP(2,1/(指数走势!$F$34:$ACK$34&lt;&gt;""),COLUMN(指数走势!$F$34:$ACK$34))-COLUMN(指数走势!$F$34)+1-760+225)=0,NA(),INDEX(指数走势!$F$34:$ACK$34,1,LOOKUP(2,1/(指数走势!$F$34:$ACK$34&lt;&gt;""),COLUMN(指数走势!$F$34:$ACK$34))-COLUMN(指数走势!$F$34)+1-760+225)))</f>
        <v>20.8922004699707</v>
      </c>
      <c r="HS98">
        <f>IF(ISERROR(INDEX(指数走势!$F$34:$ACK$34,1,LOOKUP(2,1/(指数走势!$F$34:$ACK$34&lt;&gt;""),COLUMN(指数走势!$F$34:$ACK$34))-COLUMN(指数走势!$F$34)+1-760+226)),NA(),IF(INDEX(指数走势!$F$34:$ACK$34,1,LOOKUP(2,1/(指数走势!$F$34:$ACK$34&lt;&gt;""),COLUMN(指数走势!$F$34:$ACK$34))-COLUMN(指数走势!$F$34)+1-760+226)=0,NA(),INDEX(指数走势!$F$34:$ACK$34,1,LOOKUP(2,1/(指数走势!$F$34:$ACK$34&lt;&gt;""),COLUMN(指数走势!$F$34:$ACK$34))-COLUMN(指数走势!$F$34)+1-760+226)))</f>
        <v>20.6912002563477</v>
      </c>
      <c r="HT98">
        <f>IF(ISERROR(INDEX(指数走势!$F$34:$ACK$34,1,LOOKUP(2,1/(指数走势!$F$34:$ACK$34&lt;&gt;""),COLUMN(指数走势!$F$34:$ACK$34))-COLUMN(指数走势!$F$34)+1-760+227)),NA(),IF(INDEX(指数走势!$F$34:$ACK$34,1,LOOKUP(2,1/(指数走势!$F$34:$ACK$34&lt;&gt;""),COLUMN(指数走势!$F$34:$ACK$34))-COLUMN(指数走势!$F$34)+1-760+227)=0,NA(),INDEX(指数走势!$F$34:$ACK$34,1,LOOKUP(2,1/(指数走势!$F$34:$ACK$34&lt;&gt;""),COLUMN(指数走势!$F$34:$ACK$34))-COLUMN(指数走势!$F$34)+1-760+227)))</f>
        <v>20.3780994415283</v>
      </c>
      <c r="HU98">
        <f>IF(ISERROR(INDEX(指数走势!$F$34:$ACK$34,1,LOOKUP(2,1/(指数走势!$F$34:$ACK$34&lt;&gt;""),COLUMN(指数走势!$F$34:$ACK$34))-COLUMN(指数走势!$F$34)+1-760+228)),NA(),IF(INDEX(指数走势!$F$34:$ACK$34,1,LOOKUP(2,1/(指数走势!$F$34:$ACK$34&lt;&gt;""),COLUMN(指数走势!$F$34:$ACK$34))-COLUMN(指数走势!$F$34)+1-760+228)=0,NA(),INDEX(指数走势!$F$34:$ACK$34,1,LOOKUP(2,1/(指数走势!$F$34:$ACK$34&lt;&gt;""),COLUMN(指数走势!$F$34:$ACK$34))-COLUMN(指数走势!$F$34)+1-760+228)))</f>
        <v>20.2245998382568</v>
      </c>
      <c r="HV98">
        <f>IF(ISERROR(INDEX(指数走势!$F$34:$ACK$34,1,LOOKUP(2,1/(指数走势!$F$34:$ACK$34&lt;&gt;""),COLUMN(指数走势!$F$34:$ACK$34))-COLUMN(指数走势!$F$34)+1-760+229)),NA(),IF(INDEX(指数走势!$F$34:$ACK$34,1,LOOKUP(2,1/(指数走势!$F$34:$ACK$34&lt;&gt;""),COLUMN(指数走势!$F$34:$ACK$34))-COLUMN(指数走势!$F$34)+1-760+229)=0,NA(),INDEX(指数走势!$F$34:$ACK$34,1,LOOKUP(2,1/(指数走势!$F$34:$ACK$34&lt;&gt;""),COLUMN(指数走势!$F$34:$ACK$34))-COLUMN(指数走势!$F$34)+1-760+229)))</f>
        <v>20.3631000518799</v>
      </c>
      <c r="HW98">
        <f>IF(ISERROR(INDEX(指数走势!$F$34:$ACK$34,1,LOOKUP(2,1/(指数走势!$F$34:$ACK$34&lt;&gt;""),COLUMN(指数走势!$F$34:$ACK$34))-COLUMN(指数走势!$F$34)+1-760+230)),NA(),IF(INDEX(指数走势!$F$34:$ACK$34,1,LOOKUP(2,1/(指数走势!$F$34:$ACK$34&lt;&gt;""),COLUMN(指数走势!$F$34:$ACK$34))-COLUMN(指数走势!$F$34)+1-760+230)=0,NA(),INDEX(指数走势!$F$34:$ACK$34,1,LOOKUP(2,1/(指数走势!$F$34:$ACK$34&lt;&gt;""),COLUMN(指数走势!$F$34:$ACK$34))-COLUMN(指数走势!$F$34)+1-760+230)))</f>
        <v>20.4570999145508</v>
      </c>
      <c r="HX98">
        <f>IF(ISERROR(INDEX(指数走势!$F$34:$ACK$34,1,LOOKUP(2,1/(指数走势!$F$34:$ACK$34&lt;&gt;""),COLUMN(指数走势!$F$34:$ACK$34))-COLUMN(指数走势!$F$34)+1-760+231)),NA(),IF(INDEX(指数走势!$F$34:$ACK$34,1,LOOKUP(2,1/(指数走势!$F$34:$ACK$34&lt;&gt;""),COLUMN(指数走势!$F$34:$ACK$34))-COLUMN(指数走势!$F$34)+1-760+231)=0,NA(),INDEX(指数走势!$F$34:$ACK$34,1,LOOKUP(2,1/(指数走势!$F$34:$ACK$34&lt;&gt;""),COLUMN(指数走势!$F$34:$ACK$34))-COLUMN(指数走势!$F$34)+1-760+231)))</f>
        <v>21.1765003204346</v>
      </c>
      <c r="HY98">
        <f>IF(ISERROR(INDEX(指数走势!$F$34:$ACK$34,1,LOOKUP(2,1/(指数走势!$F$34:$ACK$34&lt;&gt;""),COLUMN(指数走势!$F$34:$ACK$34))-COLUMN(指数走势!$F$34)+1-760+232)),NA(),IF(INDEX(指数走势!$F$34:$ACK$34,1,LOOKUP(2,1/(指数走势!$F$34:$ACK$34&lt;&gt;""),COLUMN(指数走势!$F$34:$ACK$34))-COLUMN(指数走势!$F$34)+1-760+232)=0,NA(),INDEX(指数走势!$F$34:$ACK$34,1,LOOKUP(2,1/(指数走势!$F$34:$ACK$34&lt;&gt;""),COLUMN(指数走势!$F$34:$ACK$34))-COLUMN(指数走势!$F$34)+1-760+232)))</f>
        <v>22.2998008728027</v>
      </c>
      <c r="HZ98">
        <f>IF(ISERROR(INDEX(指数走势!$F$34:$ACK$34,1,LOOKUP(2,1/(指数走势!$F$34:$ACK$34&lt;&gt;""),COLUMN(指数走势!$F$34:$ACK$34))-COLUMN(指数走势!$F$34)+1-760+233)),NA(),IF(INDEX(指数走势!$F$34:$ACK$34,1,LOOKUP(2,1/(指数走势!$F$34:$ACK$34&lt;&gt;""),COLUMN(指数走势!$F$34:$ACK$34))-COLUMN(指数走势!$F$34)+1-760+233)=0,NA(),INDEX(指数走势!$F$34:$ACK$34,1,LOOKUP(2,1/(指数走势!$F$34:$ACK$34&lt;&gt;""),COLUMN(指数走势!$F$34:$ACK$34))-COLUMN(指数走势!$F$34)+1-760+233)))</f>
        <v>22.5093002319336</v>
      </c>
      <c r="IA98">
        <f>IF(ISERROR(INDEX(指数走势!$F$34:$ACK$34,1,LOOKUP(2,1/(指数走势!$F$34:$ACK$34&lt;&gt;""),COLUMN(指数走势!$F$34:$ACK$34))-COLUMN(指数走势!$F$34)+1-760+234)),NA(),IF(INDEX(指数走势!$F$34:$ACK$34,1,LOOKUP(2,1/(指数走势!$F$34:$ACK$34&lt;&gt;""),COLUMN(指数走势!$F$34:$ACK$34))-COLUMN(指数走势!$F$34)+1-760+234)=0,NA(),INDEX(指数走势!$F$34:$ACK$34,1,LOOKUP(2,1/(指数走势!$F$34:$ACK$34&lt;&gt;""),COLUMN(指数走势!$F$34:$ACK$34))-COLUMN(指数走势!$F$34)+1-760+234)))</f>
        <v>22.9706001281738</v>
      </c>
      <c r="IB98">
        <f>IF(ISERROR(INDEX(指数走势!$F$34:$ACK$34,1,LOOKUP(2,1/(指数走势!$F$34:$ACK$34&lt;&gt;""),COLUMN(指数走势!$F$34:$ACK$34))-COLUMN(指数走势!$F$34)+1-760+235)),NA(),IF(INDEX(指数走势!$F$34:$ACK$34,1,LOOKUP(2,1/(指数走势!$F$34:$ACK$34&lt;&gt;""),COLUMN(指数走势!$F$34:$ACK$34))-COLUMN(指数走势!$F$34)+1-760+235)=0,NA(),INDEX(指数走势!$F$34:$ACK$34,1,LOOKUP(2,1/(指数走势!$F$34:$ACK$34&lt;&gt;""),COLUMN(指数走势!$F$34:$ACK$34))-COLUMN(指数走势!$F$34)+1-760+235)))</f>
        <v>22.9719009399414</v>
      </c>
      <c r="IC98">
        <f>IF(ISERROR(INDEX(指数走势!$F$34:$ACK$34,1,LOOKUP(2,1/(指数走势!$F$34:$ACK$34&lt;&gt;""),COLUMN(指数走势!$F$34:$ACK$34))-COLUMN(指数走势!$F$34)+1-760+236)),NA(),IF(INDEX(指数走势!$F$34:$ACK$34,1,LOOKUP(2,1/(指数走势!$F$34:$ACK$34&lt;&gt;""),COLUMN(指数走势!$F$34:$ACK$34))-COLUMN(指数走势!$F$34)+1-760+236)=0,NA(),INDEX(指数走势!$F$34:$ACK$34,1,LOOKUP(2,1/(指数走势!$F$34:$ACK$34&lt;&gt;""),COLUMN(指数走势!$F$34:$ACK$34))-COLUMN(指数走势!$F$34)+1-760+236)))</f>
        <v>22.676399230957</v>
      </c>
      <c r="ID98">
        <f>IF(ISERROR(INDEX(指数走势!$F$34:$ACK$34,1,LOOKUP(2,1/(指数走势!$F$34:$ACK$34&lt;&gt;""),COLUMN(指数走势!$F$34:$ACK$34))-COLUMN(指数走势!$F$34)+1-760+237)),NA(),IF(INDEX(指数走势!$F$34:$ACK$34,1,LOOKUP(2,1/(指数走势!$F$34:$ACK$34&lt;&gt;""),COLUMN(指数走势!$F$34:$ACK$34))-COLUMN(指数走势!$F$34)+1-760+237)=0,NA(),INDEX(指数走势!$F$34:$ACK$34,1,LOOKUP(2,1/(指数走势!$F$34:$ACK$34&lt;&gt;""),COLUMN(指数走势!$F$34:$ACK$34))-COLUMN(指数走势!$F$34)+1-760+237)))</f>
        <v>23.0020008087158</v>
      </c>
      <c r="IE98">
        <f>IF(ISERROR(INDEX(指数走势!$F$34:$ACK$34,1,LOOKUP(2,1/(指数走势!$F$34:$ACK$34&lt;&gt;""),COLUMN(指数走势!$F$34:$ACK$34))-COLUMN(指数走势!$F$34)+1-760+238)),NA(),IF(INDEX(指数走势!$F$34:$ACK$34,1,LOOKUP(2,1/(指数走势!$F$34:$ACK$34&lt;&gt;""),COLUMN(指数走势!$F$34:$ACK$34))-COLUMN(指数走势!$F$34)+1-760+238)=0,NA(),INDEX(指数走势!$F$34:$ACK$34,1,LOOKUP(2,1/(指数走势!$F$34:$ACK$34&lt;&gt;""),COLUMN(指数走势!$F$34:$ACK$34))-COLUMN(指数走势!$F$34)+1-760+238)))</f>
        <v>22.8875999450684</v>
      </c>
      <c r="IF98">
        <f>IF(ISERROR(INDEX(指数走势!$F$34:$ACK$34,1,LOOKUP(2,1/(指数走势!$F$34:$ACK$34&lt;&gt;""),COLUMN(指数走势!$F$34:$ACK$34))-COLUMN(指数走势!$F$34)+1-760+239)),NA(),IF(INDEX(指数走势!$F$34:$ACK$34,1,LOOKUP(2,1/(指数走势!$F$34:$ACK$34&lt;&gt;""),COLUMN(指数走势!$F$34:$ACK$34))-COLUMN(指数走势!$F$34)+1-760+239)=0,NA(),INDEX(指数走势!$F$34:$ACK$34,1,LOOKUP(2,1/(指数走势!$F$34:$ACK$34&lt;&gt;""),COLUMN(指数走势!$F$34:$ACK$34))-COLUMN(指数走势!$F$34)+1-760+239)))</f>
        <v>22.7721996307373</v>
      </c>
      <c r="IG98">
        <f>IF(ISERROR(INDEX(指数走势!$F$34:$ACK$34,1,LOOKUP(2,1/(指数走势!$F$34:$ACK$34&lt;&gt;""),COLUMN(指数走势!$F$34:$ACK$34))-COLUMN(指数走势!$F$34)+1-760+240)),NA(),IF(INDEX(指数走势!$F$34:$ACK$34,1,LOOKUP(2,1/(指数走势!$F$34:$ACK$34&lt;&gt;""),COLUMN(指数走势!$F$34:$ACK$34))-COLUMN(指数走势!$F$34)+1-760+240)=0,NA(),INDEX(指数走势!$F$34:$ACK$34,1,LOOKUP(2,1/(指数走势!$F$34:$ACK$34&lt;&gt;""),COLUMN(指数走势!$F$34:$ACK$34))-COLUMN(指数走势!$F$34)+1-760+240)))</f>
        <v>22.7670993804932</v>
      </c>
      <c r="IH98">
        <f>IF(ISERROR(INDEX(指数走势!$F$34:$ACK$34,1,LOOKUP(2,1/(指数走势!$F$34:$ACK$34&lt;&gt;""),COLUMN(指数走势!$F$34:$ACK$34))-COLUMN(指数走势!$F$34)+1-760+241)),NA(),IF(INDEX(指数走势!$F$34:$ACK$34,1,LOOKUP(2,1/(指数走势!$F$34:$ACK$34&lt;&gt;""),COLUMN(指数走势!$F$34:$ACK$34))-COLUMN(指数走势!$F$34)+1-760+241)=0,NA(),INDEX(指数走势!$F$34:$ACK$34,1,LOOKUP(2,1/(指数走势!$F$34:$ACK$34&lt;&gt;""),COLUMN(指数走势!$F$34:$ACK$34))-COLUMN(指数走势!$F$34)+1-760+241)))</f>
        <v>22.5545997619629</v>
      </c>
      <c r="II98">
        <f>IF(ISERROR(INDEX(指数走势!$F$34:$ACK$34,1,LOOKUP(2,1/(指数走势!$F$34:$ACK$34&lt;&gt;""),COLUMN(指数走势!$F$34:$ACK$34))-COLUMN(指数走势!$F$34)+1-760+242)),NA(),IF(INDEX(指数走势!$F$34:$ACK$34,1,LOOKUP(2,1/(指数走势!$F$34:$ACK$34&lt;&gt;""),COLUMN(指数走势!$F$34:$ACK$34))-COLUMN(指数走势!$F$34)+1-760+242)=0,NA(),INDEX(指数走势!$F$34:$ACK$34,1,LOOKUP(2,1/(指数走势!$F$34:$ACK$34&lt;&gt;""),COLUMN(指数走势!$F$34:$ACK$34))-COLUMN(指数走势!$F$34)+1-760+242)))</f>
        <v>22.5944995880127</v>
      </c>
      <c r="IJ98">
        <f>IF(ISERROR(INDEX(指数走势!$F$34:$ACK$34,1,LOOKUP(2,1/(指数走势!$F$34:$ACK$34&lt;&gt;""),COLUMN(指数走势!$F$34:$ACK$34))-COLUMN(指数走势!$F$34)+1-760+243)),NA(),IF(INDEX(指数走势!$F$34:$ACK$34,1,LOOKUP(2,1/(指数走势!$F$34:$ACK$34&lt;&gt;""),COLUMN(指数走势!$F$34:$ACK$34))-COLUMN(指数走势!$F$34)+1-760+243)=0,NA(),INDEX(指数走势!$F$34:$ACK$34,1,LOOKUP(2,1/(指数走势!$F$34:$ACK$34&lt;&gt;""),COLUMN(指数走势!$F$34:$ACK$34))-COLUMN(指数走势!$F$34)+1-760+243)))</f>
        <v>22.8409996032715</v>
      </c>
      <c r="IK98">
        <f>IF(ISERROR(INDEX(指数走势!$F$34:$ACK$34,1,LOOKUP(2,1/(指数走势!$F$34:$ACK$34&lt;&gt;""),COLUMN(指数走势!$F$34:$ACK$34))-COLUMN(指数走势!$F$34)+1-760+244)),NA(),IF(INDEX(指数走势!$F$34:$ACK$34,1,LOOKUP(2,1/(指数走势!$F$34:$ACK$34&lt;&gt;""),COLUMN(指数走势!$F$34:$ACK$34))-COLUMN(指数走势!$F$34)+1-760+244)=0,NA(),INDEX(指数走势!$F$34:$ACK$34,1,LOOKUP(2,1/(指数走势!$F$34:$ACK$34&lt;&gt;""),COLUMN(指数走势!$F$34:$ACK$34))-COLUMN(指数走势!$F$34)+1-760+244)))</f>
        <v>22.9449996948242</v>
      </c>
      <c r="IL98">
        <f>IF(ISERROR(INDEX(指数走势!$F$34:$ACK$34,1,LOOKUP(2,1/(指数走势!$F$34:$ACK$34&lt;&gt;""),COLUMN(指数走势!$F$34:$ACK$34))-COLUMN(指数走势!$F$34)+1-760+245)),NA(),IF(INDEX(指数走势!$F$34:$ACK$34,1,LOOKUP(2,1/(指数走势!$F$34:$ACK$34&lt;&gt;""),COLUMN(指数走势!$F$34:$ACK$34))-COLUMN(指数走势!$F$34)+1-760+245)=0,NA(),INDEX(指数走势!$F$34:$ACK$34,1,LOOKUP(2,1/(指数走势!$F$34:$ACK$34&lt;&gt;""),COLUMN(指数走势!$F$34:$ACK$34))-COLUMN(指数走势!$F$34)+1-760+245)))</f>
        <v>22.7810001373291</v>
      </c>
      <c r="IM98">
        <f>IF(ISERROR(INDEX(指数走势!$F$34:$ACK$34,1,LOOKUP(2,1/(指数走势!$F$34:$ACK$34&lt;&gt;""),COLUMN(指数走势!$F$34:$ACK$34))-COLUMN(指数走势!$F$34)+1-760+246)),NA(),IF(INDEX(指数走势!$F$34:$ACK$34,1,LOOKUP(2,1/(指数走势!$F$34:$ACK$34&lt;&gt;""),COLUMN(指数走势!$F$34:$ACK$34))-COLUMN(指数走势!$F$34)+1-760+246)=0,NA(),INDEX(指数走势!$F$34:$ACK$34,1,LOOKUP(2,1/(指数走势!$F$34:$ACK$34&lt;&gt;""),COLUMN(指数走势!$F$34:$ACK$34))-COLUMN(指数走势!$F$34)+1-760+246)))</f>
        <v>22.7873992919922</v>
      </c>
      <c r="IN98">
        <f>IF(ISERROR(INDEX(指数走势!$F$34:$ACK$34,1,LOOKUP(2,1/(指数走势!$F$34:$ACK$34&lt;&gt;""),COLUMN(指数走势!$F$34:$ACK$34))-COLUMN(指数走势!$F$34)+1-760+247)),NA(),IF(INDEX(指数走势!$F$34:$ACK$34,1,LOOKUP(2,1/(指数走势!$F$34:$ACK$34&lt;&gt;""),COLUMN(指数走势!$F$34:$ACK$34))-COLUMN(指数走势!$F$34)+1-760+247)=0,NA(),INDEX(指数走势!$F$34:$ACK$34,1,LOOKUP(2,1/(指数走势!$F$34:$ACK$34&lt;&gt;""),COLUMN(指数走势!$F$34:$ACK$34))-COLUMN(指数走势!$F$34)+1-760+247)))</f>
        <v>22.4356994628906</v>
      </c>
      <c r="IO98">
        <f>IF(ISERROR(INDEX(指数走势!$F$34:$ACK$34,1,LOOKUP(2,1/(指数走势!$F$34:$ACK$34&lt;&gt;""),COLUMN(指数走势!$F$34:$ACK$34))-COLUMN(指数走势!$F$34)+1-760+248)),NA(),IF(INDEX(指数走势!$F$34:$ACK$34,1,LOOKUP(2,1/(指数走势!$F$34:$ACK$34&lt;&gt;""),COLUMN(指数走势!$F$34:$ACK$34))-COLUMN(指数走势!$F$34)+1-760+248)=0,NA(),INDEX(指数走势!$F$34:$ACK$34,1,LOOKUP(2,1/(指数走势!$F$34:$ACK$34&lt;&gt;""),COLUMN(指数走势!$F$34:$ACK$34))-COLUMN(指数走势!$F$34)+1-760+248)))</f>
        <v>22.1814994812012</v>
      </c>
      <c r="IP98">
        <f>IF(ISERROR(INDEX(指数走势!$F$34:$ACK$34,1,LOOKUP(2,1/(指数走势!$F$34:$ACK$34&lt;&gt;""),COLUMN(指数走势!$F$34:$ACK$34))-COLUMN(指数走势!$F$34)+1-760+249)),NA(),IF(INDEX(指数走势!$F$34:$ACK$34,1,LOOKUP(2,1/(指数走势!$F$34:$ACK$34&lt;&gt;""),COLUMN(指数走势!$F$34:$ACK$34))-COLUMN(指数走势!$F$34)+1-760+249)=0,NA(),INDEX(指数走势!$F$34:$ACK$34,1,LOOKUP(2,1/(指数走势!$F$34:$ACK$34&lt;&gt;""),COLUMN(指数走势!$F$34:$ACK$34))-COLUMN(指数走势!$F$34)+1-760+249)))</f>
        <v>22.363000869751</v>
      </c>
      <c r="IQ98">
        <f>IF(ISERROR(INDEX(指数走势!$F$34:$ACK$34,1,LOOKUP(2,1/(指数走势!$F$34:$ACK$34&lt;&gt;""),COLUMN(指数走势!$F$34:$ACK$34))-COLUMN(指数走势!$F$34)+1-760+250)),NA(),IF(INDEX(指数走势!$F$34:$ACK$34,1,LOOKUP(2,1/(指数走势!$F$34:$ACK$34&lt;&gt;""),COLUMN(指数走势!$F$34:$ACK$34))-COLUMN(指数走势!$F$34)+1-760+250)=0,NA(),INDEX(指数走势!$F$34:$ACK$34,1,LOOKUP(2,1/(指数走势!$F$34:$ACK$34&lt;&gt;""),COLUMN(指数走势!$F$34:$ACK$34))-COLUMN(指数走势!$F$34)+1-760+250)))</f>
        <v>22.1184997558594</v>
      </c>
      <c r="IR98">
        <f>IF(ISERROR(INDEX(指数走势!$F$34:$ACK$34,1,LOOKUP(2,1/(指数走势!$F$34:$ACK$34&lt;&gt;""),COLUMN(指数走势!$F$34:$ACK$34))-COLUMN(指数走势!$F$34)+1-760+251)),NA(),IF(INDEX(指数走势!$F$34:$ACK$34,1,LOOKUP(2,1/(指数走势!$F$34:$ACK$34&lt;&gt;""),COLUMN(指数走势!$F$34:$ACK$34))-COLUMN(指数走势!$F$34)+1-760+251)=0,NA(),INDEX(指数走势!$F$34:$ACK$34,1,LOOKUP(2,1/(指数走势!$F$34:$ACK$34&lt;&gt;""),COLUMN(指数走势!$F$34:$ACK$34))-COLUMN(指数走势!$F$34)+1-760+251)))</f>
        <v>22.19580078125</v>
      </c>
      <c r="IS98">
        <f>IF(ISERROR(INDEX(指数走势!$F$34:$ACK$34,1,LOOKUP(2,1/(指数走势!$F$34:$ACK$34&lt;&gt;""),COLUMN(指数走势!$F$34:$ACK$34))-COLUMN(指数走势!$F$34)+1-760+252)),NA(),IF(INDEX(指数走势!$F$34:$ACK$34,1,LOOKUP(2,1/(指数走势!$F$34:$ACK$34&lt;&gt;""),COLUMN(指数走势!$F$34:$ACK$34))-COLUMN(指数走势!$F$34)+1-760+252)=0,NA(),INDEX(指数走势!$F$34:$ACK$34,1,LOOKUP(2,1/(指数走势!$F$34:$ACK$34&lt;&gt;""),COLUMN(指数走势!$F$34:$ACK$34))-COLUMN(指数走势!$F$34)+1-760+252)))</f>
        <v>22.1144008636475</v>
      </c>
      <c r="IT98">
        <f>IF(ISERROR(INDEX(指数走势!$F$34:$ACK$34,1,LOOKUP(2,1/(指数走势!$F$34:$ACK$34&lt;&gt;""),COLUMN(指数走势!$F$34:$ACK$34))-COLUMN(指数走势!$F$34)+1-760+253)),NA(),IF(INDEX(指数走势!$F$34:$ACK$34,1,LOOKUP(2,1/(指数走势!$F$34:$ACK$34&lt;&gt;""),COLUMN(指数走势!$F$34:$ACK$34))-COLUMN(指数走势!$F$34)+1-760+253)=0,NA(),INDEX(指数走势!$F$34:$ACK$34,1,LOOKUP(2,1/(指数走势!$F$34:$ACK$34&lt;&gt;""),COLUMN(指数走势!$F$34:$ACK$34))-COLUMN(指数走势!$F$34)+1-760+253)))</f>
        <v>22.0699996948242</v>
      </c>
      <c r="IU98">
        <f>IF(ISERROR(INDEX(指数走势!$F$34:$ACK$34,1,LOOKUP(2,1/(指数走势!$F$34:$ACK$34&lt;&gt;""),COLUMN(指数走势!$F$34:$ACK$34))-COLUMN(指数走势!$F$34)+1-760+254)),NA(),IF(INDEX(指数走势!$F$34:$ACK$34,1,LOOKUP(2,1/(指数走势!$F$34:$ACK$34&lt;&gt;""),COLUMN(指数走势!$F$34:$ACK$34))-COLUMN(指数走势!$F$34)+1-760+254)=0,NA(),INDEX(指数走势!$F$34:$ACK$34,1,LOOKUP(2,1/(指数走势!$F$34:$ACK$34&lt;&gt;""),COLUMN(指数走势!$F$34:$ACK$34))-COLUMN(指数走势!$F$34)+1-760+254)))</f>
        <v>22.0835990905762</v>
      </c>
      <c r="IV98">
        <f>IF(ISERROR(INDEX(指数走势!$F$34:$ACK$34,1,LOOKUP(2,1/(指数走势!$F$34:$ACK$34&lt;&gt;""),COLUMN(指数走势!$F$34:$ACK$34))-COLUMN(指数走势!$F$34)+1-760+255)),NA(),IF(INDEX(指数走势!$F$34:$ACK$34,1,LOOKUP(2,1/(指数走势!$F$34:$ACK$34&lt;&gt;""),COLUMN(指数走势!$F$34:$ACK$34))-COLUMN(指数走势!$F$34)+1-760+255)=0,NA(),INDEX(指数走势!$F$34:$ACK$34,1,LOOKUP(2,1/(指数走势!$F$34:$ACK$34&lt;&gt;""),COLUMN(指数走势!$F$34:$ACK$34))-COLUMN(指数走势!$F$34)+1-760+255)))</f>
        <v>22.3166007995605</v>
      </c>
      <c r="IW98">
        <f>IF(ISERROR(INDEX(指数走势!$F$34:$ACK$34,1,LOOKUP(2,1/(指数走势!$F$34:$ACK$34&lt;&gt;""),COLUMN(指数走势!$F$34:$ACK$34))-COLUMN(指数走势!$F$34)+1-760+256)),NA(),IF(INDEX(指数走势!$F$34:$ACK$34,1,LOOKUP(2,1/(指数走势!$F$34:$ACK$34&lt;&gt;""),COLUMN(指数走势!$F$34:$ACK$34))-COLUMN(指数走势!$F$34)+1-760+256)=0,NA(),INDEX(指数走势!$F$34:$ACK$34,1,LOOKUP(2,1/(指数走势!$F$34:$ACK$34&lt;&gt;""),COLUMN(指数走势!$F$34:$ACK$34))-COLUMN(指数走势!$F$34)+1-760+256)))</f>
        <v>22.1494007110596</v>
      </c>
      <c r="IX98">
        <f>IF(ISERROR(INDEX(指数走势!$F$34:$ACK$34,1,LOOKUP(2,1/(指数走势!$F$34:$ACK$34&lt;&gt;""),COLUMN(指数走势!$F$34:$ACK$34))-COLUMN(指数走势!$F$34)+1-760+257)),NA(),IF(INDEX(指数走势!$F$34:$ACK$34,1,LOOKUP(2,1/(指数走势!$F$34:$ACK$34&lt;&gt;""),COLUMN(指数走势!$F$34:$ACK$34))-COLUMN(指数走势!$F$34)+1-760+257)=0,NA(),INDEX(指数走势!$F$34:$ACK$34,1,LOOKUP(2,1/(指数走势!$F$34:$ACK$34&lt;&gt;""),COLUMN(指数走势!$F$34:$ACK$34))-COLUMN(指数走势!$F$34)+1-760+257)))</f>
        <v>22.0097999572754</v>
      </c>
      <c r="IY98">
        <f>IF(ISERROR(INDEX(指数走势!$F$34:$ACK$34,1,LOOKUP(2,1/(指数走势!$F$34:$ACK$34&lt;&gt;""),COLUMN(指数走势!$F$34:$ACK$34))-COLUMN(指数走势!$F$34)+1-760+258)),NA(),IF(INDEX(指数走势!$F$34:$ACK$34,1,LOOKUP(2,1/(指数走势!$F$34:$ACK$34&lt;&gt;""),COLUMN(指数走势!$F$34:$ACK$34))-COLUMN(指数走势!$F$34)+1-760+258)=0,NA(),INDEX(指数走势!$F$34:$ACK$34,1,LOOKUP(2,1/(指数走势!$F$34:$ACK$34&lt;&gt;""),COLUMN(指数走势!$F$34:$ACK$34))-COLUMN(指数走势!$F$34)+1-760+258)))</f>
        <v>21.8512992858887</v>
      </c>
      <c r="IZ98">
        <f>IF(ISERROR(INDEX(指数走势!$F$34:$ACK$34,1,LOOKUP(2,1/(指数走势!$F$34:$ACK$34&lt;&gt;""),COLUMN(指数走势!$F$34:$ACK$34))-COLUMN(指数走势!$F$34)+1-760+259)),NA(),IF(INDEX(指数走势!$F$34:$ACK$34,1,LOOKUP(2,1/(指数走势!$F$34:$ACK$34&lt;&gt;""),COLUMN(指数走势!$F$34:$ACK$34))-COLUMN(指数走势!$F$34)+1-760+259)=0,NA(),INDEX(指数走势!$F$34:$ACK$34,1,LOOKUP(2,1/(指数走势!$F$34:$ACK$34&lt;&gt;""),COLUMN(指数走势!$F$34:$ACK$34))-COLUMN(指数走势!$F$34)+1-760+259)))</f>
        <v>21.8570995330811</v>
      </c>
      <c r="JA98">
        <f>IF(ISERROR(INDEX(指数走势!$F$34:$ACK$34,1,LOOKUP(2,1/(指数走势!$F$34:$ACK$34&lt;&gt;""),COLUMN(指数走势!$F$34:$ACK$34))-COLUMN(指数走势!$F$34)+1-760+260)),NA(),IF(INDEX(指数走势!$F$34:$ACK$34,1,LOOKUP(2,1/(指数走势!$F$34:$ACK$34&lt;&gt;""),COLUMN(指数走势!$F$34:$ACK$34))-COLUMN(指数走势!$F$34)+1-760+260)=0,NA(),INDEX(指数走势!$F$34:$ACK$34,1,LOOKUP(2,1/(指数走势!$F$34:$ACK$34&lt;&gt;""),COLUMN(指数走势!$F$34:$ACK$34))-COLUMN(指数走势!$F$34)+1-760+260)))</f>
        <v>21.8738994598389</v>
      </c>
      <c r="JB98">
        <f>IF(ISERROR(INDEX(指数走势!$F$34:$ACK$34,1,LOOKUP(2,1/(指数走势!$F$34:$ACK$34&lt;&gt;""),COLUMN(指数走势!$F$34:$ACK$34))-COLUMN(指数走势!$F$34)+1-760+261)),NA(),IF(INDEX(指数走势!$F$34:$ACK$34,1,LOOKUP(2,1/(指数走势!$F$34:$ACK$34&lt;&gt;""),COLUMN(指数走势!$F$34:$ACK$34))-COLUMN(指数走势!$F$34)+1-760+261)=0,NA(),INDEX(指数走势!$F$34:$ACK$34,1,LOOKUP(2,1/(指数走势!$F$34:$ACK$34&lt;&gt;""),COLUMN(指数走势!$F$34:$ACK$34))-COLUMN(指数走势!$F$34)+1-760+261)))</f>
        <v>21.7450008392334</v>
      </c>
      <c r="JC98">
        <f>IF(ISERROR(INDEX(指数走势!$F$34:$ACK$34,1,LOOKUP(2,1/(指数走势!$F$34:$ACK$34&lt;&gt;""),COLUMN(指数走势!$F$34:$ACK$34))-COLUMN(指数走势!$F$34)+1-760+262)),NA(),IF(INDEX(指数走势!$F$34:$ACK$34,1,LOOKUP(2,1/(指数走势!$F$34:$ACK$34&lt;&gt;""),COLUMN(指数走势!$F$34:$ACK$34))-COLUMN(指数走势!$F$34)+1-760+262)=0,NA(),INDEX(指数走势!$F$34:$ACK$34,1,LOOKUP(2,1/(指数走势!$F$34:$ACK$34&lt;&gt;""),COLUMN(指数走势!$F$34:$ACK$34))-COLUMN(指数走势!$F$34)+1-760+262)))</f>
        <v>21.8132991790771</v>
      </c>
      <c r="JD98">
        <f>IF(ISERROR(INDEX(指数走势!$F$34:$ACK$34,1,LOOKUP(2,1/(指数走势!$F$34:$ACK$34&lt;&gt;""),COLUMN(指数走势!$F$34:$ACK$34))-COLUMN(指数走势!$F$34)+1-760+263)),NA(),IF(INDEX(指数走势!$F$34:$ACK$34,1,LOOKUP(2,1/(指数走势!$F$34:$ACK$34&lt;&gt;""),COLUMN(指数走势!$F$34:$ACK$34))-COLUMN(指数走势!$F$34)+1-760+263)=0,NA(),INDEX(指数走势!$F$34:$ACK$34,1,LOOKUP(2,1/(指数走势!$F$34:$ACK$34&lt;&gt;""),COLUMN(指数走势!$F$34:$ACK$34))-COLUMN(指数走势!$F$34)+1-760+263)))</f>
        <v>21.7621994018555</v>
      </c>
      <c r="JE98">
        <f>IF(ISERROR(INDEX(指数走势!$F$34:$ACK$34,1,LOOKUP(2,1/(指数走势!$F$34:$ACK$34&lt;&gt;""),COLUMN(指数走势!$F$34:$ACK$34))-COLUMN(指数走势!$F$34)+1-760+264)),NA(),IF(INDEX(指数走势!$F$34:$ACK$34,1,LOOKUP(2,1/(指数走势!$F$34:$ACK$34&lt;&gt;""),COLUMN(指数走势!$F$34:$ACK$34))-COLUMN(指数走势!$F$34)+1-760+264)=0,NA(),INDEX(指数走势!$F$34:$ACK$34,1,LOOKUP(2,1/(指数走势!$F$34:$ACK$34&lt;&gt;""),COLUMN(指数走势!$F$34:$ACK$34))-COLUMN(指数走势!$F$34)+1-760+264)))</f>
        <v>21.823299407959</v>
      </c>
      <c r="JF98">
        <f>IF(ISERROR(INDEX(指数走势!$F$34:$ACK$34,1,LOOKUP(2,1/(指数走势!$F$34:$ACK$34&lt;&gt;""),COLUMN(指数走势!$F$34:$ACK$34))-COLUMN(指数走势!$F$34)+1-760+265)),NA(),IF(INDEX(指数走势!$F$34:$ACK$34,1,LOOKUP(2,1/(指数走势!$F$34:$ACK$34&lt;&gt;""),COLUMN(指数走势!$F$34:$ACK$34))-COLUMN(指数走势!$F$34)+1-760+265)=0,NA(),INDEX(指数走势!$F$34:$ACK$34,1,LOOKUP(2,1/(指数走势!$F$34:$ACK$34&lt;&gt;""),COLUMN(指数走势!$F$34:$ACK$34))-COLUMN(指数走势!$F$34)+1-760+265)))</f>
        <v>21.600700378418</v>
      </c>
      <c r="JG98">
        <f>IF(ISERROR(INDEX(指数走势!$F$34:$ACK$34,1,LOOKUP(2,1/(指数走势!$F$34:$ACK$34&lt;&gt;""),COLUMN(指数走势!$F$34:$ACK$34))-COLUMN(指数走势!$F$34)+1-760+266)),NA(),IF(INDEX(指数走势!$F$34:$ACK$34,1,LOOKUP(2,1/(指数走势!$F$34:$ACK$34&lt;&gt;""),COLUMN(指数走势!$F$34:$ACK$34))-COLUMN(指数走势!$F$34)+1-760+266)=0,NA(),INDEX(指数走势!$F$34:$ACK$34,1,LOOKUP(2,1/(指数走势!$F$34:$ACK$34&lt;&gt;""),COLUMN(指数走势!$F$34:$ACK$34))-COLUMN(指数走势!$F$34)+1-760+266)))</f>
        <v>21.2716999053955</v>
      </c>
      <c r="JH98">
        <f>IF(ISERROR(INDEX(指数走势!$F$34:$ACK$34,1,LOOKUP(2,1/(指数走势!$F$34:$ACK$34&lt;&gt;""),COLUMN(指数走势!$F$34:$ACK$34))-COLUMN(指数走势!$F$34)+1-760+267)),NA(),IF(INDEX(指数走势!$F$34:$ACK$34,1,LOOKUP(2,1/(指数走势!$F$34:$ACK$34&lt;&gt;""),COLUMN(指数走势!$F$34:$ACK$34))-COLUMN(指数走势!$F$34)+1-760+267)=0,NA(),INDEX(指数走势!$F$34:$ACK$34,1,LOOKUP(2,1/(指数走势!$F$34:$ACK$34&lt;&gt;""),COLUMN(指数走势!$F$34:$ACK$34))-COLUMN(指数走势!$F$34)+1-760+267)))</f>
        <v>21.2514991760254</v>
      </c>
      <c r="JI98">
        <f>IF(ISERROR(INDEX(指数走势!$F$34:$ACK$34,1,LOOKUP(2,1/(指数走势!$F$34:$ACK$34&lt;&gt;""),COLUMN(指数走势!$F$34:$ACK$34))-COLUMN(指数走势!$F$34)+1-760+268)),NA(),IF(INDEX(指数走势!$F$34:$ACK$34,1,LOOKUP(2,1/(指数走势!$F$34:$ACK$34&lt;&gt;""),COLUMN(指数走势!$F$34:$ACK$34))-COLUMN(指数走势!$F$34)+1-760+268)=0,NA(),INDEX(指数走势!$F$34:$ACK$34,1,LOOKUP(2,1/(指数走势!$F$34:$ACK$34&lt;&gt;""),COLUMN(指数走势!$F$34:$ACK$34))-COLUMN(指数走势!$F$34)+1-760+268)))</f>
        <v>20.9344997406006</v>
      </c>
      <c r="JJ98">
        <f>IF(ISERROR(INDEX(指数走势!$F$34:$ACK$34,1,LOOKUP(2,1/(指数走势!$F$34:$ACK$34&lt;&gt;""),COLUMN(指数走势!$F$34:$ACK$34))-COLUMN(指数走势!$F$34)+1-760+269)),NA(),IF(INDEX(指数走势!$F$34:$ACK$34,1,LOOKUP(2,1/(指数走势!$F$34:$ACK$34&lt;&gt;""),COLUMN(指数走势!$F$34:$ACK$34))-COLUMN(指数走势!$F$34)+1-760+269)=0,NA(),INDEX(指数走势!$F$34:$ACK$34,1,LOOKUP(2,1/(指数走势!$F$34:$ACK$34&lt;&gt;""),COLUMN(指数走势!$F$34:$ACK$34))-COLUMN(指数走势!$F$34)+1-760+269)))</f>
        <v>20.8015995025635</v>
      </c>
      <c r="JK98">
        <f>IF(ISERROR(INDEX(指数走势!$F$34:$ACK$34,1,LOOKUP(2,1/(指数走势!$F$34:$ACK$34&lt;&gt;""),COLUMN(指数走势!$F$34:$ACK$34))-COLUMN(指数走势!$F$34)+1-760+270)),NA(),IF(INDEX(指数走势!$F$34:$ACK$34,1,LOOKUP(2,1/(指数走势!$F$34:$ACK$34&lt;&gt;""),COLUMN(指数走势!$F$34:$ACK$34))-COLUMN(指数走势!$F$34)+1-760+270)=0,NA(),INDEX(指数走势!$F$34:$ACK$34,1,LOOKUP(2,1/(指数走势!$F$34:$ACK$34&lt;&gt;""),COLUMN(指数走势!$F$34:$ACK$34))-COLUMN(指数走势!$F$34)+1-760+270)))</f>
        <v>21.0872993469238</v>
      </c>
      <c r="JL98">
        <f>IF(ISERROR(INDEX(指数走势!$F$34:$ACK$34,1,LOOKUP(2,1/(指数走势!$F$34:$ACK$34&lt;&gt;""),COLUMN(指数走势!$F$34:$ACK$34))-COLUMN(指数走势!$F$34)+1-760+271)),NA(),IF(INDEX(指数走势!$F$34:$ACK$34,1,LOOKUP(2,1/(指数走势!$F$34:$ACK$34&lt;&gt;""),COLUMN(指数走势!$F$34:$ACK$34))-COLUMN(指数走势!$F$34)+1-760+271)=0,NA(),INDEX(指数走势!$F$34:$ACK$34,1,LOOKUP(2,1/(指数走势!$F$34:$ACK$34&lt;&gt;""),COLUMN(指数走势!$F$34:$ACK$34))-COLUMN(指数走势!$F$34)+1-760+271)))</f>
        <v>20.7660007476807</v>
      </c>
      <c r="JM98">
        <f>IF(ISERROR(INDEX(指数走势!$F$34:$ACK$34,1,LOOKUP(2,1/(指数走势!$F$34:$ACK$34&lt;&gt;""),COLUMN(指数走势!$F$34:$ACK$34))-COLUMN(指数走势!$F$34)+1-760+272)),NA(),IF(INDEX(指数走势!$F$34:$ACK$34,1,LOOKUP(2,1/(指数走势!$F$34:$ACK$34&lt;&gt;""),COLUMN(指数走势!$F$34:$ACK$34))-COLUMN(指数走势!$F$34)+1-760+272)=0,NA(),INDEX(指数走势!$F$34:$ACK$34,1,LOOKUP(2,1/(指数走势!$F$34:$ACK$34&lt;&gt;""),COLUMN(指数走势!$F$34:$ACK$34))-COLUMN(指数走势!$F$34)+1-760+272)))</f>
        <v>20.7681999206543</v>
      </c>
      <c r="JN98">
        <f>IF(ISERROR(INDEX(指数走势!$F$34:$ACK$34,1,LOOKUP(2,1/(指数走势!$F$34:$ACK$34&lt;&gt;""),COLUMN(指数走势!$F$34:$ACK$34))-COLUMN(指数走势!$F$34)+1-760+273)),NA(),IF(INDEX(指数走势!$F$34:$ACK$34,1,LOOKUP(2,1/(指数走势!$F$34:$ACK$34&lt;&gt;""),COLUMN(指数走势!$F$34:$ACK$34))-COLUMN(指数走势!$F$34)+1-760+273)=0,NA(),INDEX(指数走势!$F$34:$ACK$34,1,LOOKUP(2,1/(指数走势!$F$34:$ACK$34&lt;&gt;""),COLUMN(指数走势!$F$34:$ACK$34))-COLUMN(指数走势!$F$34)+1-760+273)))</f>
        <v>20.9001007080078</v>
      </c>
      <c r="JO98">
        <f>IF(ISERROR(INDEX(指数走势!$F$34:$ACK$34,1,LOOKUP(2,1/(指数走势!$F$34:$ACK$34&lt;&gt;""),COLUMN(指数走势!$F$34:$ACK$34))-COLUMN(指数走势!$F$34)+1-760+274)),NA(),IF(INDEX(指数走势!$F$34:$ACK$34,1,LOOKUP(2,1/(指数走势!$F$34:$ACK$34&lt;&gt;""),COLUMN(指数走势!$F$34:$ACK$34))-COLUMN(指数走势!$F$34)+1-760+274)=0,NA(),INDEX(指数走势!$F$34:$ACK$34,1,LOOKUP(2,1/(指数走势!$F$34:$ACK$34&lt;&gt;""),COLUMN(指数走势!$F$34:$ACK$34))-COLUMN(指数走势!$F$34)+1-760+274)))</f>
        <v>20.7129993438721</v>
      </c>
      <c r="JP98">
        <f>IF(ISERROR(INDEX(指数走势!$F$34:$ACK$34,1,LOOKUP(2,1/(指数走势!$F$34:$ACK$34&lt;&gt;""),COLUMN(指数走势!$F$34:$ACK$34))-COLUMN(指数走势!$F$34)+1-760+275)),NA(),IF(INDEX(指数走势!$F$34:$ACK$34,1,LOOKUP(2,1/(指数走势!$F$34:$ACK$34&lt;&gt;""),COLUMN(指数走势!$F$34:$ACK$34))-COLUMN(指数走势!$F$34)+1-760+275)=0,NA(),INDEX(指数走势!$F$34:$ACK$34,1,LOOKUP(2,1/(指数走势!$F$34:$ACK$34&lt;&gt;""),COLUMN(指数走势!$F$34:$ACK$34))-COLUMN(指数走势!$F$34)+1-760+275)))</f>
        <v>20.5858993530273</v>
      </c>
      <c r="JQ98">
        <f>IF(ISERROR(INDEX(指数走势!$F$34:$ACK$34,1,LOOKUP(2,1/(指数走势!$F$34:$ACK$34&lt;&gt;""),COLUMN(指数走势!$F$34:$ACK$34))-COLUMN(指数走势!$F$34)+1-760+276)),NA(),IF(INDEX(指数走势!$F$34:$ACK$34,1,LOOKUP(2,1/(指数走势!$F$34:$ACK$34&lt;&gt;""),COLUMN(指数走势!$F$34:$ACK$34))-COLUMN(指数走势!$F$34)+1-760+276)=0,NA(),INDEX(指数走势!$F$34:$ACK$34,1,LOOKUP(2,1/(指数走势!$F$34:$ACK$34&lt;&gt;""),COLUMN(指数走势!$F$34:$ACK$34))-COLUMN(指数走势!$F$34)+1-760+276)))</f>
        <v>20.3836002349854</v>
      </c>
      <c r="JR98">
        <f>IF(ISERROR(INDEX(指数走势!$F$34:$ACK$34,1,LOOKUP(2,1/(指数走势!$F$34:$ACK$34&lt;&gt;""),COLUMN(指数走势!$F$34:$ACK$34))-COLUMN(指数走势!$F$34)+1-760+277)),NA(),IF(INDEX(指数走势!$F$34:$ACK$34,1,LOOKUP(2,1/(指数走势!$F$34:$ACK$34&lt;&gt;""),COLUMN(指数走势!$F$34:$ACK$34))-COLUMN(指数走势!$F$34)+1-760+277)=0,NA(),INDEX(指数走势!$F$34:$ACK$34,1,LOOKUP(2,1/(指数走势!$F$34:$ACK$34&lt;&gt;""),COLUMN(指数走势!$F$34:$ACK$34))-COLUMN(指数走势!$F$34)+1-760+277)))</f>
        <v>20.4253005981445</v>
      </c>
      <c r="JS98">
        <f>IF(ISERROR(INDEX(指数走势!$F$34:$ACK$34,1,LOOKUP(2,1/(指数走势!$F$34:$ACK$34&lt;&gt;""),COLUMN(指数走势!$F$34:$ACK$34))-COLUMN(指数走势!$F$34)+1-760+278)),NA(),IF(INDEX(指数走势!$F$34:$ACK$34,1,LOOKUP(2,1/(指数走势!$F$34:$ACK$34&lt;&gt;""),COLUMN(指数走势!$F$34:$ACK$34))-COLUMN(指数走势!$F$34)+1-760+278)=0,NA(),INDEX(指数走势!$F$34:$ACK$34,1,LOOKUP(2,1/(指数走势!$F$34:$ACK$34&lt;&gt;""),COLUMN(指数走势!$F$34:$ACK$34))-COLUMN(指数走势!$F$34)+1-760+278)))</f>
        <v>20.1310005187988</v>
      </c>
      <c r="JT98">
        <f>IF(ISERROR(INDEX(指数走势!$F$34:$ACK$34,1,LOOKUP(2,1/(指数走势!$F$34:$ACK$34&lt;&gt;""),COLUMN(指数走势!$F$34:$ACK$34))-COLUMN(指数走势!$F$34)+1-760+279)),NA(),IF(INDEX(指数走势!$F$34:$ACK$34,1,LOOKUP(2,1/(指数走势!$F$34:$ACK$34&lt;&gt;""),COLUMN(指数走势!$F$34:$ACK$34))-COLUMN(指数走势!$F$34)+1-760+279)=0,NA(),INDEX(指数走势!$F$34:$ACK$34,1,LOOKUP(2,1/(指数走势!$F$34:$ACK$34&lt;&gt;""),COLUMN(指数走势!$F$34:$ACK$34))-COLUMN(指数走势!$F$34)+1-760+279)))</f>
        <v>20.4479999542236</v>
      </c>
      <c r="JU98">
        <f>IF(ISERROR(INDEX(指数走势!$F$34:$ACK$34,1,LOOKUP(2,1/(指数走势!$F$34:$ACK$34&lt;&gt;""),COLUMN(指数走势!$F$34:$ACK$34))-COLUMN(指数走势!$F$34)+1-760+280)),NA(),IF(INDEX(指数走势!$F$34:$ACK$34,1,LOOKUP(2,1/(指数走势!$F$34:$ACK$34&lt;&gt;""),COLUMN(指数走势!$F$34:$ACK$34))-COLUMN(指数走势!$F$34)+1-760+280)=0,NA(),INDEX(指数走势!$F$34:$ACK$34,1,LOOKUP(2,1/(指数走势!$F$34:$ACK$34&lt;&gt;""),COLUMN(指数走势!$F$34:$ACK$34))-COLUMN(指数走势!$F$34)+1-760+280)))</f>
        <v>20.394100189209</v>
      </c>
      <c r="JV98">
        <f>IF(ISERROR(INDEX(指数走势!$F$34:$ACK$34,1,LOOKUP(2,1/(指数走势!$F$34:$ACK$34&lt;&gt;""),COLUMN(指数走势!$F$34:$ACK$34))-COLUMN(指数走势!$F$34)+1-760+281)),NA(),IF(INDEX(指数走势!$F$34:$ACK$34,1,LOOKUP(2,1/(指数走势!$F$34:$ACK$34&lt;&gt;""),COLUMN(指数走势!$F$34:$ACK$34))-COLUMN(指数走势!$F$34)+1-760+281)=0,NA(),INDEX(指数走势!$F$34:$ACK$34,1,LOOKUP(2,1/(指数走势!$F$34:$ACK$34&lt;&gt;""),COLUMN(指数走势!$F$34:$ACK$34))-COLUMN(指数走势!$F$34)+1-760+281)))</f>
        <v>20.7903003692627</v>
      </c>
      <c r="JW98">
        <f>IF(ISERROR(INDEX(指数走势!$F$34:$ACK$34,1,LOOKUP(2,1/(指数走势!$F$34:$ACK$34&lt;&gt;""),COLUMN(指数走势!$F$34:$ACK$34))-COLUMN(指数走势!$F$34)+1-760+282)),NA(),IF(INDEX(指数走势!$F$34:$ACK$34,1,LOOKUP(2,1/(指数走势!$F$34:$ACK$34&lt;&gt;""),COLUMN(指数走势!$F$34:$ACK$34))-COLUMN(指数走势!$F$34)+1-760+282)=0,NA(),INDEX(指数走势!$F$34:$ACK$34,1,LOOKUP(2,1/(指数走势!$F$34:$ACK$34&lt;&gt;""),COLUMN(指数走势!$F$34:$ACK$34))-COLUMN(指数走势!$F$34)+1-760+282)))</f>
        <v>20.7716999053955</v>
      </c>
      <c r="JX98">
        <f>IF(ISERROR(INDEX(指数走势!$F$34:$ACK$34,1,LOOKUP(2,1/(指数走势!$F$34:$ACK$34&lt;&gt;""),COLUMN(指数走势!$F$34:$ACK$34))-COLUMN(指数走势!$F$34)+1-760+283)),NA(),IF(INDEX(指数走势!$F$34:$ACK$34,1,LOOKUP(2,1/(指数走势!$F$34:$ACK$34&lt;&gt;""),COLUMN(指数走势!$F$34:$ACK$34))-COLUMN(指数走势!$F$34)+1-760+283)=0,NA(),INDEX(指数走势!$F$34:$ACK$34,1,LOOKUP(2,1/(指数走势!$F$34:$ACK$34&lt;&gt;""),COLUMN(指数走势!$F$34:$ACK$34))-COLUMN(指数走势!$F$34)+1-760+283)))</f>
        <v>20.6571006774902</v>
      </c>
      <c r="JY98">
        <f>IF(ISERROR(INDEX(指数走势!$F$34:$ACK$34,1,LOOKUP(2,1/(指数走势!$F$34:$ACK$34&lt;&gt;""),COLUMN(指数走势!$F$34:$ACK$34))-COLUMN(指数走势!$F$34)+1-760+284)),NA(),IF(INDEX(指数走势!$F$34:$ACK$34,1,LOOKUP(2,1/(指数走势!$F$34:$ACK$34&lt;&gt;""),COLUMN(指数走势!$F$34:$ACK$34))-COLUMN(指数走势!$F$34)+1-760+284)=0,NA(),INDEX(指数走势!$F$34:$ACK$34,1,LOOKUP(2,1/(指数走势!$F$34:$ACK$34&lt;&gt;""),COLUMN(指数走势!$F$34:$ACK$34))-COLUMN(指数走势!$F$34)+1-760+284)))</f>
        <v>20.7980003356934</v>
      </c>
      <c r="JZ98">
        <f>IF(ISERROR(INDEX(指数走势!$F$34:$ACK$34,1,LOOKUP(2,1/(指数走势!$F$34:$ACK$34&lt;&gt;""),COLUMN(指数走势!$F$34:$ACK$34))-COLUMN(指数走势!$F$34)+1-760+285)),NA(),IF(INDEX(指数走势!$F$34:$ACK$34,1,LOOKUP(2,1/(指数走势!$F$34:$ACK$34&lt;&gt;""),COLUMN(指数走势!$F$34:$ACK$34))-COLUMN(指数走势!$F$34)+1-760+285)=0,NA(),INDEX(指数走势!$F$34:$ACK$34,1,LOOKUP(2,1/(指数走势!$F$34:$ACK$34&lt;&gt;""),COLUMN(指数走势!$F$34:$ACK$34))-COLUMN(指数走势!$F$34)+1-760+285)))</f>
        <v>20.725700378418</v>
      </c>
      <c r="KA98">
        <f>IF(ISERROR(INDEX(指数走势!$F$34:$ACK$34,1,LOOKUP(2,1/(指数走势!$F$34:$ACK$34&lt;&gt;""),COLUMN(指数走势!$F$34:$ACK$34))-COLUMN(指数走势!$F$34)+1-760+286)),NA(),IF(INDEX(指数走势!$F$34:$ACK$34,1,LOOKUP(2,1/(指数走势!$F$34:$ACK$34&lt;&gt;""),COLUMN(指数走势!$F$34:$ACK$34))-COLUMN(指数走势!$F$34)+1-760+286)=0,NA(),INDEX(指数走势!$F$34:$ACK$34,1,LOOKUP(2,1/(指数走势!$F$34:$ACK$34&lt;&gt;""),COLUMN(指数走势!$F$34:$ACK$34))-COLUMN(指数走势!$F$34)+1-760+286)))</f>
        <v>20.8465003967285</v>
      </c>
      <c r="KB98">
        <f>IF(ISERROR(INDEX(指数走势!$F$34:$ACK$34,1,LOOKUP(2,1/(指数走势!$F$34:$ACK$34&lt;&gt;""),COLUMN(指数走势!$F$34:$ACK$34))-COLUMN(指数走势!$F$34)+1-760+287)),NA(),IF(INDEX(指数走势!$F$34:$ACK$34,1,LOOKUP(2,1/(指数走势!$F$34:$ACK$34&lt;&gt;""),COLUMN(指数走势!$F$34:$ACK$34))-COLUMN(指数走势!$F$34)+1-760+287)=0,NA(),INDEX(指数走势!$F$34:$ACK$34,1,LOOKUP(2,1/(指数走势!$F$34:$ACK$34&lt;&gt;""),COLUMN(指数走势!$F$34:$ACK$34))-COLUMN(指数走势!$F$34)+1-760+287)))</f>
        <v>20.899299621582</v>
      </c>
      <c r="KC98">
        <f>IF(ISERROR(INDEX(指数走势!$F$34:$ACK$34,1,LOOKUP(2,1/(指数走势!$F$34:$ACK$34&lt;&gt;""),COLUMN(指数走势!$F$34:$ACK$34))-COLUMN(指数走势!$F$34)+1-760+288)),NA(),IF(INDEX(指数走势!$F$34:$ACK$34,1,LOOKUP(2,1/(指数走势!$F$34:$ACK$34&lt;&gt;""),COLUMN(指数走势!$F$34:$ACK$34))-COLUMN(指数走势!$F$34)+1-760+288)=0,NA(),INDEX(指数走势!$F$34:$ACK$34,1,LOOKUP(2,1/(指数走势!$F$34:$ACK$34&lt;&gt;""),COLUMN(指数走势!$F$34:$ACK$34))-COLUMN(指数走势!$F$34)+1-760+288)))</f>
        <v>20.8075008392334</v>
      </c>
      <c r="KD98">
        <f>IF(ISERROR(INDEX(指数走势!$F$34:$ACK$34,1,LOOKUP(2,1/(指数走势!$F$34:$ACK$34&lt;&gt;""),COLUMN(指数走势!$F$34:$ACK$34))-COLUMN(指数走势!$F$34)+1-760+289)),NA(),IF(INDEX(指数走势!$F$34:$ACK$34,1,LOOKUP(2,1/(指数走势!$F$34:$ACK$34&lt;&gt;""),COLUMN(指数走势!$F$34:$ACK$34))-COLUMN(指数走势!$F$34)+1-760+289)=0,NA(),INDEX(指数走势!$F$34:$ACK$34,1,LOOKUP(2,1/(指数走势!$F$34:$ACK$34&lt;&gt;""),COLUMN(指数走势!$F$34:$ACK$34))-COLUMN(指数走势!$F$34)+1-760+289)))</f>
        <v>20.1959991455078</v>
      </c>
      <c r="KE98">
        <f>IF(ISERROR(INDEX(指数走势!$F$34:$ACK$34,1,LOOKUP(2,1/(指数走势!$F$34:$ACK$34&lt;&gt;""),COLUMN(指数走势!$F$34:$ACK$34))-COLUMN(指数走势!$F$34)+1-760+290)),NA(),IF(INDEX(指数走势!$F$34:$ACK$34,1,LOOKUP(2,1/(指数走势!$F$34:$ACK$34&lt;&gt;""),COLUMN(指数走势!$F$34:$ACK$34))-COLUMN(指数走势!$F$34)+1-760+290)=0,NA(),INDEX(指数走势!$F$34:$ACK$34,1,LOOKUP(2,1/(指数走势!$F$34:$ACK$34&lt;&gt;""),COLUMN(指数走势!$F$34:$ACK$34))-COLUMN(指数走势!$F$34)+1-760+290)))</f>
        <v>19.960599899292</v>
      </c>
      <c r="KF98">
        <f>IF(ISERROR(INDEX(指数走势!$F$34:$ACK$34,1,LOOKUP(2,1/(指数走势!$F$34:$ACK$34&lt;&gt;""),COLUMN(指数走势!$F$34:$ACK$34))-COLUMN(指数走势!$F$34)+1-760+291)),NA(),IF(INDEX(指数走势!$F$34:$ACK$34,1,LOOKUP(2,1/(指数走势!$F$34:$ACK$34&lt;&gt;""),COLUMN(指数走势!$F$34:$ACK$34))-COLUMN(指数走势!$F$34)+1-760+291)=0,NA(),INDEX(指数走势!$F$34:$ACK$34,1,LOOKUP(2,1/(指数走势!$F$34:$ACK$34&lt;&gt;""),COLUMN(指数走势!$F$34:$ACK$34))-COLUMN(指数走势!$F$34)+1-760+291)))</f>
        <v>19.9473991394043</v>
      </c>
      <c r="KG98">
        <f>IF(ISERROR(INDEX(指数走势!$F$34:$ACK$34,1,LOOKUP(2,1/(指数走势!$F$34:$ACK$34&lt;&gt;""),COLUMN(指数走势!$F$34:$ACK$34))-COLUMN(指数走势!$F$34)+1-760+292)),NA(),IF(INDEX(指数走势!$F$34:$ACK$34,1,LOOKUP(2,1/(指数走势!$F$34:$ACK$34&lt;&gt;""),COLUMN(指数走势!$F$34:$ACK$34))-COLUMN(指数走势!$F$34)+1-760+292)=0,NA(),INDEX(指数走势!$F$34:$ACK$34,1,LOOKUP(2,1/(指数走势!$F$34:$ACK$34&lt;&gt;""),COLUMN(指数走势!$F$34:$ACK$34))-COLUMN(指数走势!$F$34)+1-760+292)))</f>
        <v>20.1965007781982</v>
      </c>
      <c r="KH98">
        <f>IF(ISERROR(INDEX(指数走势!$F$34:$ACK$34,1,LOOKUP(2,1/(指数走势!$F$34:$ACK$34&lt;&gt;""),COLUMN(指数走势!$F$34:$ACK$34))-COLUMN(指数走势!$F$34)+1-760+293)),NA(),IF(INDEX(指数走势!$F$34:$ACK$34,1,LOOKUP(2,1/(指数走势!$F$34:$ACK$34&lt;&gt;""),COLUMN(指数走势!$F$34:$ACK$34))-COLUMN(指数走势!$F$34)+1-760+293)=0,NA(),INDEX(指数走势!$F$34:$ACK$34,1,LOOKUP(2,1/(指数走势!$F$34:$ACK$34&lt;&gt;""),COLUMN(指数走势!$F$34:$ACK$34))-COLUMN(指数走势!$F$34)+1-760+293)))</f>
        <v>19.9832000732422</v>
      </c>
      <c r="KI98">
        <f>IF(ISERROR(INDEX(指数走势!$F$34:$ACK$34,1,LOOKUP(2,1/(指数走势!$F$34:$ACK$34&lt;&gt;""),COLUMN(指数走势!$F$34:$ACK$34))-COLUMN(指数走势!$F$34)+1-760+294)),NA(),IF(INDEX(指数走势!$F$34:$ACK$34,1,LOOKUP(2,1/(指数走势!$F$34:$ACK$34&lt;&gt;""),COLUMN(指数走势!$F$34:$ACK$34))-COLUMN(指数走势!$F$34)+1-760+294)=0,NA(),INDEX(指数走势!$F$34:$ACK$34,1,LOOKUP(2,1/(指数走势!$F$34:$ACK$34&lt;&gt;""),COLUMN(指数走势!$F$34:$ACK$34))-COLUMN(指数走势!$F$34)+1-760+294)))</f>
        <v>19.8439998626709</v>
      </c>
      <c r="KJ98">
        <f>IF(ISERROR(INDEX(指数走势!$F$34:$ACK$34,1,LOOKUP(2,1/(指数走势!$F$34:$ACK$34&lt;&gt;""),COLUMN(指数走势!$F$34:$ACK$34))-COLUMN(指数走势!$F$34)+1-760+295)),NA(),IF(INDEX(指数走势!$F$34:$ACK$34,1,LOOKUP(2,1/(指数走势!$F$34:$ACK$34&lt;&gt;""),COLUMN(指数走势!$F$34:$ACK$34))-COLUMN(指数走势!$F$34)+1-760+295)=0,NA(),INDEX(指数走势!$F$34:$ACK$34,1,LOOKUP(2,1/(指数走势!$F$34:$ACK$34&lt;&gt;""),COLUMN(指数走势!$F$34:$ACK$34))-COLUMN(指数走势!$F$34)+1-760+295)))</f>
        <v>20.4743995666504</v>
      </c>
      <c r="KK98">
        <f>IF(ISERROR(INDEX(指数走势!$F$34:$ACK$34,1,LOOKUP(2,1/(指数走势!$F$34:$ACK$34&lt;&gt;""),COLUMN(指数走势!$F$34:$ACK$34))-COLUMN(指数走势!$F$34)+1-760+296)),NA(),IF(INDEX(指数走势!$F$34:$ACK$34,1,LOOKUP(2,1/(指数走势!$F$34:$ACK$34&lt;&gt;""),COLUMN(指数走势!$F$34:$ACK$34))-COLUMN(指数走势!$F$34)+1-760+296)=0,NA(),INDEX(指数走势!$F$34:$ACK$34,1,LOOKUP(2,1/(指数走势!$F$34:$ACK$34&lt;&gt;""),COLUMN(指数走势!$F$34:$ACK$34))-COLUMN(指数走势!$F$34)+1-760+296)))</f>
        <v>20.269100189209</v>
      </c>
      <c r="KL98">
        <f>IF(ISERROR(INDEX(指数走势!$F$34:$ACK$34,1,LOOKUP(2,1/(指数走势!$F$34:$ACK$34&lt;&gt;""),COLUMN(指数走势!$F$34:$ACK$34))-COLUMN(指数走势!$F$34)+1-760+297)),NA(),IF(INDEX(指数走势!$F$34:$ACK$34,1,LOOKUP(2,1/(指数走势!$F$34:$ACK$34&lt;&gt;""),COLUMN(指数走势!$F$34:$ACK$34))-COLUMN(指数走势!$F$34)+1-760+297)=0,NA(),INDEX(指数走势!$F$34:$ACK$34,1,LOOKUP(2,1/(指数走势!$F$34:$ACK$34&lt;&gt;""),COLUMN(指数走势!$F$34:$ACK$34))-COLUMN(指数走势!$F$34)+1-760+297)))</f>
        <v>20.0069007873535</v>
      </c>
      <c r="KM98">
        <f>IF(ISERROR(INDEX(指数走势!$F$34:$ACK$34,1,LOOKUP(2,1/(指数走势!$F$34:$ACK$34&lt;&gt;""),COLUMN(指数走势!$F$34:$ACK$34))-COLUMN(指数走势!$F$34)+1-760+298)),NA(),IF(INDEX(指数走势!$F$34:$ACK$34,1,LOOKUP(2,1/(指数走势!$F$34:$ACK$34&lt;&gt;""),COLUMN(指数走势!$F$34:$ACK$34))-COLUMN(指数走势!$F$34)+1-760+298)=0,NA(),INDEX(指数走势!$F$34:$ACK$34,1,LOOKUP(2,1/(指数走势!$F$34:$ACK$34&lt;&gt;""),COLUMN(指数走势!$F$34:$ACK$34))-COLUMN(指数走势!$F$34)+1-760+298)))</f>
        <v>19.5629997253418</v>
      </c>
      <c r="KN98">
        <f>IF(ISERROR(INDEX(指数走势!$F$34:$ACK$34,1,LOOKUP(2,1/(指数走势!$F$34:$ACK$34&lt;&gt;""),COLUMN(指数走势!$F$34:$ACK$34))-COLUMN(指数走势!$F$34)+1-760+299)),NA(),IF(INDEX(指数走势!$F$34:$ACK$34,1,LOOKUP(2,1/(指数走势!$F$34:$ACK$34&lt;&gt;""),COLUMN(指数走势!$F$34:$ACK$34))-COLUMN(指数走势!$F$34)+1-760+299)=0,NA(),INDEX(指数走势!$F$34:$ACK$34,1,LOOKUP(2,1/(指数走势!$F$34:$ACK$34&lt;&gt;""),COLUMN(指数走势!$F$34:$ACK$34))-COLUMN(指数走势!$F$34)+1-760+299)))</f>
        <v>19.7119007110596</v>
      </c>
      <c r="KO98">
        <f>IF(ISERROR(INDEX(指数走势!$F$34:$ACK$34,1,LOOKUP(2,1/(指数走势!$F$34:$ACK$34&lt;&gt;""),COLUMN(指数走势!$F$34:$ACK$34))-COLUMN(指数走势!$F$34)+1-760+300)),NA(),IF(INDEX(指数走势!$F$34:$ACK$34,1,LOOKUP(2,1/(指数走势!$F$34:$ACK$34&lt;&gt;""),COLUMN(指数走势!$F$34:$ACK$34))-COLUMN(指数走势!$F$34)+1-760+300)=0,NA(),INDEX(指数走势!$F$34:$ACK$34,1,LOOKUP(2,1/(指数走势!$F$34:$ACK$34&lt;&gt;""),COLUMN(指数走势!$F$34:$ACK$34))-COLUMN(指数走势!$F$34)+1-760+300)))</f>
        <v>19.6961994171143</v>
      </c>
      <c r="KP98">
        <f>IF(ISERROR(INDEX(指数走势!$F$34:$ACK$34,1,LOOKUP(2,1/(指数走势!$F$34:$ACK$34&lt;&gt;""),COLUMN(指数走势!$F$34:$ACK$34))-COLUMN(指数走势!$F$34)+1-760+301)),NA(),IF(INDEX(指数走势!$F$34:$ACK$34,1,LOOKUP(2,1/(指数走势!$F$34:$ACK$34&lt;&gt;""),COLUMN(指数走势!$F$34:$ACK$34))-COLUMN(指数走势!$F$34)+1-760+301)=0,NA(),INDEX(指数走势!$F$34:$ACK$34,1,LOOKUP(2,1/(指数走势!$F$34:$ACK$34&lt;&gt;""),COLUMN(指数走势!$F$34:$ACK$34))-COLUMN(指数走势!$F$34)+1-760+301)))</f>
        <v>19.6966991424561</v>
      </c>
      <c r="KQ98">
        <f>IF(ISERROR(INDEX(指数走势!$F$34:$ACK$34,1,LOOKUP(2,1/(指数走势!$F$34:$ACK$34&lt;&gt;""),COLUMN(指数走势!$F$34:$ACK$34))-COLUMN(指数走势!$F$34)+1-760+302)),NA(),IF(INDEX(指数走势!$F$34:$ACK$34,1,LOOKUP(2,1/(指数走势!$F$34:$ACK$34&lt;&gt;""),COLUMN(指数走势!$F$34:$ACK$34))-COLUMN(指数走势!$F$34)+1-760+302)=0,NA(),INDEX(指数走势!$F$34:$ACK$34,1,LOOKUP(2,1/(指数走势!$F$34:$ACK$34&lt;&gt;""),COLUMN(指数走势!$F$34:$ACK$34))-COLUMN(指数走势!$F$34)+1-760+302)))</f>
        <v>19.5739994049072</v>
      </c>
      <c r="KR98">
        <f>IF(ISERROR(INDEX(指数走势!$F$34:$ACK$34,1,LOOKUP(2,1/(指数走势!$F$34:$ACK$34&lt;&gt;""),COLUMN(指数走势!$F$34:$ACK$34))-COLUMN(指数走势!$F$34)+1-760+303)),NA(),IF(INDEX(指数走势!$F$34:$ACK$34,1,LOOKUP(2,1/(指数走势!$F$34:$ACK$34&lt;&gt;""),COLUMN(指数走势!$F$34:$ACK$34))-COLUMN(指数走势!$F$34)+1-760+303)=0,NA(),INDEX(指数走势!$F$34:$ACK$34,1,LOOKUP(2,1/(指数走势!$F$34:$ACK$34&lt;&gt;""),COLUMN(指数走势!$F$34:$ACK$34))-COLUMN(指数走势!$F$34)+1-760+303)))</f>
        <v>19.5287990570068</v>
      </c>
      <c r="KS98">
        <f>IF(ISERROR(INDEX(指数走势!$F$34:$ACK$34,1,LOOKUP(2,1/(指数走势!$F$34:$ACK$34&lt;&gt;""),COLUMN(指数走势!$F$34:$ACK$34))-COLUMN(指数走势!$F$34)+1-760+304)),NA(),IF(INDEX(指数走势!$F$34:$ACK$34,1,LOOKUP(2,1/(指数走势!$F$34:$ACK$34&lt;&gt;""),COLUMN(指数走势!$F$34:$ACK$34))-COLUMN(指数走势!$F$34)+1-760+304)=0,NA(),INDEX(指数走势!$F$34:$ACK$34,1,LOOKUP(2,1/(指数走势!$F$34:$ACK$34&lt;&gt;""),COLUMN(指数走势!$F$34:$ACK$34))-COLUMN(指数走势!$F$34)+1-760+304)))</f>
        <v>19.582799911499</v>
      </c>
      <c r="KT98">
        <f>IF(ISERROR(INDEX(指数走势!$F$34:$ACK$34,1,LOOKUP(2,1/(指数走势!$F$34:$ACK$34&lt;&gt;""),COLUMN(指数走势!$F$34:$ACK$34))-COLUMN(指数走势!$F$34)+1-760+305)),NA(),IF(INDEX(指数走势!$F$34:$ACK$34,1,LOOKUP(2,1/(指数走势!$F$34:$ACK$34&lt;&gt;""),COLUMN(指数走势!$F$34:$ACK$34))-COLUMN(指数走势!$F$34)+1-760+305)=0,NA(),INDEX(指数走势!$F$34:$ACK$34,1,LOOKUP(2,1/(指数走势!$F$34:$ACK$34&lt;&gt;""),COLUMN(指数走势!$F$34:$ACK$34))-COLUMN(指数走势!$F$34)+1-760+305)))</f>
        <v>19.3642997741699</v>
      </c>
      <c r="KU98">
        <f>IF(ISERROR(INDEX(指数走势!$F$34:$ACK$34,1,LOOKUP(2,1/(指数走势!$F$34:$ACK$34&lt;&gt;""),COLUMN(指数走势!$F$34:$ACK$34))-COLUMN(指数走势!$F$34)+1-760+306)),NA(),IF(INDEX(指数走势!$F$34:$ACK$34,1,LOOKUP(2,1/(指数走势!$F$34:$ACK$34&lt;&gt;""),COLUMN(指数走势!$F$34:$ACK$34))-COLUMN(指数走势!$F$34)+1-760+306)=0,NA(),INDEX(指数走势!$F$34:$ACK$34,1,LOOKUP(2,1/(指数走势!$F$34:$ACK$34&lt;&gt;""),COLUMN(指数走势!$F$34:$ACK$34))-COLUMN(指数走势!$F$34)+1-760+306)))</f>
        <v>19.4983005523682</v>
      </c>
      <c r="KV98">
        <f>IF(ISERROR(INDEX(指数走势!$F$34:$ACK$34,1,LOOKUP(2,1/(指数走势!$F$34:$ACK$34&lt;&gt;""),COLUMN(指数走势!$F$34:$ACK$34))-COLUMN(指数走势!$F$34)+1-760+307)),NA(),IF(INDEX(指数走势!$F$34:$ACK$34,1,LOOKUP(2,1/(指数走势!$F$34:$ACK$34&lt;&gt;""),COLUMN(指数走势!$F$34:$ACK$34))-COLUMN(指数走势!$F$34)+1-760+307)=0,NA(),INDEX(指数走势!$F$34:$ACK$34,1,LOOKUP(2,1/(指数走势!$F$34:$ACK$34&lt;&gt;""),COLUMN(指数走势!$F$34:$ACK$34))-COLUMN(指数走势!$F$34)+1-760+307)))</f>
        <v>19.4472007751465</v>
      </c>
      <c r="KW98">
        <f>IF(ISERROR(INDEX(指数走势!$F$34:$ACK$34,1,LOOKUP(2,1/(指数走势!$F$34:$ACK$34&lt;&gt;""),COLUMN(指数走势!$F$34:$ACK$34))-COLUMN(指数走势!$F$34)+1-760+308)),NA(),IF(INDEX(指数走势!$F$34:$ACK$34,1,LOOKUP(2,1/(指数走势!$F$34:$ACK$34&lt;&gt;""),COLUMN(指数走势!$F$34:$ACK$34))-COLUMN(指数走势!$F$34)+1-760+308)=0,NA(),INDEX(指数走势!$F$34:$ACK$34,1,LOOKUP(2,1/(指数走势!$F$34:$ACK$34&lt;&gt;""),COLUMN(指数走势!$F$34:$ACK$34))-COLUMN(指数走势!$F$34)+1-760+308)))</f>
        <v>19.4874992370605</v>
      </c>
      <c r="KX98">
        <f>IF(ISERROR(INDEX(指数走势!$F$34:$ACK$34,1,LOOKUP(2,1/(指数走势!$F$34:$ACK$34&lt;&gt;""),COLUMN(指数走势!$F$34:$ACK$34))-COLUMN(指数走势!$F$34)+1-760+309)),NA(),IF(INDEX(指数走势!$F$34:$ACK$34,1,LOOKUP(2,1/(指数走势!$F$34:$ACK$34&lt;&gt;""),COLUMN(指数走势!$F$34:$ACK$34))-COLUMN(指数走势!$F$34)+1-760+309)=0,NA(),INDEX(指数走势!$F$34:$ACK$34,1,LOOKUP(2,1/(指数走势!$F$34:$ACK$34&lt;&gt;""),COLUMN(指数走势!$F$34:$ACK$34))-COLUMN(指数走势!$F$34)+1-760+309)))</f>
        <v>19.2056007385254</v>
      </c>
      <c r="KY98">
        <f>IF(ISERROR(INDEX(指数走势!$F$34:$ACK$34,1,LOOKUP(2,1/(指数走势!$F$34:$ACK$34&lt;&gt;""),COLUMN(指数走势!$F$34:$ACK$34))-COLUMN(指数走势!$F$34)+1-760+310)),NA(),IF(INDEX(指数走势!$F$34:$ACK$34,1,LOOKUP(2,1/(指数走势!$F$34:$ACK$34&lt;&gt;""),COLUMN(指数走势!$F$34:$ACK$34))-COLUMN(指数走势!$F$34)+1-760+310)=0,NA(),INDEX(指数走势!$F$34:$ACK$34,1,LOOKUP(2,1/(指数走势!$F$34:$ACK$34&lt;&gt;""),COLUMN(指数走势!$F$34:$ACK$34))-COLUMN(指数走势!$F$34)+1-760+310)))</f>
        <v>19.1537990570068</v>
      </c>
      <c r="KZ98">
        <f>IF(ISERROR(INDEX(指数走势!$F$34:$ACK$34,1,LOOKUP(2,1/(指数走势!$F$34:$ACK$34&lt;&gt;""),COLUMN(指数走势!$F$34:$ACK$34))-COLUMN(指数走势!$F$34)+1-760+311)),NA(),IF(INDEX(指数走势!$F$34:$ACK$34,1,LOOKUP(2,1/(指数走势!$F$34:$ACK$34&lt;&gt;""),COLUMN(指数走势!$F$34:$ACK$34))-COLUMN(指数走势!$F$34)+1-760+311)=0,NA(),INDEX(指数走势!$F$34:$ACK$34,1,LOOKUP(2,1/(指数走势!$F$34:$ACK$34&lt;&gt;""),COLUMN(指数走势!$F$34:$ACK$34))-COLUMN(指数走势!$F$34)+1-760+311)))</f>
        <v>19.0256004333496</v>
      </c>
      <c r="LA98">
        <f>IF(ISERROR(INDEX(指数走势!$F$34:$ACK$34,1,LOOKUP(2,1/(指数走势!$F$34:$ACK$34&lt;&gt;""),COLUMN(指数走势!$F$34:$ACK$34))-COLUMN(指数走势!$F$34)+1-760+312)),NA(),IF(INDEX(指数走势!$F$34:$ACK$34,1,LOOKUP(2,1/(指数走势!$F$34:$ACK$34&lt;&gt;""),COLUMN(指数走势!$F$34:$ACK$34))-COLUMN(指数走势!$F$34)+1-760+312)=0,NA(),INDEX(指数走势!$F$34:$ACK$34,1,LOOKUP(2,1/(指数走势!$F$34:$ACK$34&lt;&gt;""),COLUMN(指数走势!$F$34:$ACK$34))-COLUMN(指数走势!$F$34)+1-760+312)))</f>
        <v>19.0312004089355</v>
      </c>
      <c r="LB98">
        <f>IF(ISERROR(INDEX(指数走势!$F$34:$ACK$34,1,LOOKUP(2,1/(指数走势!$F$34:$ACK$34&lt;&gt;""),COLUMN(指数走势!$F$34:$ACK$34))-COLUMN(指数走势!$F$34)+1-760+313)),NA(),IF(INDEX(指数走势!$F$34:$ACK$34,1,LOOKUP(2,1/(指数走势!$F$34:$ACK$34&lt;&gt;""),COLUMN(指数走势!$F$34:$ACK$34))-COLUMN(指数走势!$F$34)+1-760+313)=0,NA(),INDEX(指数走势!$F$34:$ACK$34,1,LOOKUP(2,1/(指数走势!$F$34:$ACK$34&lt;&gt;""),COLUMN(指数走势!$F$34:$ACK$34))-COLUMN(指数走势!$F$34)+1-760+313)))</f>
        <v>19.1238994598389</v>
      </c>
      <c r="LC98">
        <f>IF(ISERROR(INDEX(指数走势!$F$34:$ACK$34,1,LOOKUP(2,1/(指数走势!$F$34:$ACK$34&lt;&gt;""),COLUMN(指数走势!$F$34:$ACK$34))-COLUMN(指数走势!$F$34)+1-760+314)),NA(),IF(INDEX(指数走势!$F$34:$ACK$34,1,LOOKUP(2,1/(指数走势!$F$34:$ACK$34&lt;&gt;""),COLUMN(指数走势!$F$34:$ACK$34))-COLUMN(指数走势!$F$34)+1-760+314)=0,NA(),INDEX(指数走势!$F$34:$ACK$34,1,LOOKUP(2,1/(指数走势!$F$34:$ACK$34&lt;&gt;""),COLUMN(指数走势!$F$34:$ACK$34))-COLUMN(指数走势!$F$34)+1-760+314)))</f>
        <v>18.907600402832</v>
      </c>
      <c r="LD98">
        <f>IF(ISERROR(INDEX(指数走势!$F$34:$ACK$34,1,LOOKUP(2,1/(指数走势!$F$34:$ACK$34&lt;&gt;""),COLUMN(指数走势!$F$34:$ACK$34))-COLUMN(指数走势!$F$34)+1-760+315)),NA(),IF(INDEX(指数走势!$F$34:$ACK$34,1,LOOKUP(2,1/(指数走势!$F$34:$ACK$34&lt;&gt;""),COLUMN(指数走势!$F$34:$ACK$34))-COLUMN(指数走势!$F$34)+1-760+315)=0,NA(),INDEX(指数走势!$F$34:$ACK$34,1,LOOKUP(2,1/(指数走势!$F$34:$ACK$34&lt;&gt;""),COLUMN(指数走势!$F$34:$ACK$34))-COLUMN(指数走势!$F$34)+1-760+315)))</f>
        <v>18.8621006011963</v>
      </c>
      <c r="LE98">
        <f>IF(ISERROR(INDEX(指数走势!$F$34:$ACK$34,1,LOOKUP(2,1/(指数走势!$F$34:$ACK$34&lt;&gt;""),COLUMN(指数走势!$F$34:$ACK$34))-COLUMN(指数走势!$F$34)+1-760+316)),NA(),IF(INDEX(指数走势!$F$34:$ACK$34,1,LOOKUP(2,1/(指数走势!$F$34:$ACK$34&lt;&gt;""),COLUMN(指数走势!$F$34:$ACK$34))-COLUMN(指数走势!$F$34)+1-760+316)=0,NA(),INDEX(指数走势!$F$34:$ACK$34,1,LOOKUP(2,1/(指数走势!$F$34:$ACK$34&lt;&gt;""),COLUMN(指数走势!$F$34:$ACK$34))-COLUMN(指数走势!$F$34)+1-760+316)))</f>
        <v>19.157600402832</v>
      </c>
      <c r="LF98">
        <f>IF(ISERROR(INDEX(指数走势!$F$34:$ACK$34,1,LOOKUP(2,1/(指数走势!$F$34:$ACK$34&lt;&gt;""),COLUMN(指数走势!$F$34:$ACK$34))-COLUMN(指数走势!$F$34)+1-760+317)),NA(),IF(INDEX(指数走势!$F$34:$ACK$34,1,LOOKUP(2,1/(指数走势!$F$34:$ACK$34&lt;&gt;""),COLUMN(指数走势!$F$34:$ACK$34))-COLUMN(指数走势!$F$34)+1-760+317)=0,NA(),INDEX(指数走势!$F$34:$ACK$34,1,LOOKUP(2,1/(指数走势!$F$34:$ACK$34&lt;&gt;""),COLUMN(指数走势!$F$34:$ACK$34))-COLUMN(指数走势!$F$34)+1-760+317)))</f>
        <v>19.770299911499</v>
      </c>
      <c r="LG98">
        <f>IF(ISERROR(INDEX(指数走势!$F$34:$ACK$34,1,LOOKUP(2,1/(指数走势!$F$34:$ACK$34&lt;&gt;""),COLUMN(指数走势!$F$34:$ACK$34))-COLUMN(指数走势!$F$34)+1-760+318)),NA(),IF(INDEX(指数走势!$F$34:$ACK$34,1,LOOKUP(2,1/(指数走势!$F$34:$ACK$34&lt;&gt;""),COLUMN(指数走势!$F$34:$ACK$34))-COLUMN(指数走势!$F$34)+1-760+318)=0,NA(),INDEX(指数走势!$F$34:$ACK$34,1,LOOKUP(2,1/(指数走势!$F$34:$ACK$34&lt;&gt;""),COLUMN(指数走势!$F$34:$ACK$34))-COLUMN(指数走势!$F$34)+1-760+318)))</f>
        <v>19.830099105835</v>
      </c>
      <c r="LH98">
        <f>IF(ISERROR(INDEX(指数走势!$F$34:$ACK$34,1,LOOKUP(2,1/(指数走势!$F$34:$ACK$34&lt;&gt;""),COLUMN(指数走势!$F$34:$ACK$34))-COLUMN(指数走势!$F$34)+1-760+319)),NA(),IF(INDEX(指数走势!$F$34:$ACK$34,1,LOOKUP(2,1/(指数走势!$F$34:$ACK$34&lt;&gt;""),COLUMN(指数走势!$F$34:$ACK$34))-COLUMN(指数走势!$F$34)+1-760+319)=0,NA(),INDEX(指数走势!$F$34:$ACK$34,1,LOOKUP(2,1/(指数走势!$F$34:$ACK$34&lt;&gt;""),COLUMN(指数走势!$F$34:$ACK$34))-COLUMN(指数走势!$F$34)+1-760+319)))</f>
        <v>20.0361995697021</v>
      </c>
      <c r="LI98">
        <f>IF(ISERROR(INDEX(指数走势!$F$34:$ACK$34,1,LOOKUP(2,1/(指数走势!$F$34:$ACK$34&lt;&gt;""),COLUMN(指数走势!$F$34:$ACK$34))-COLUMN(指数走势!$F$34)+1-760+320)),NA(),IF(INDEX(指数走势!$F$34:$ACK$34,1,LOOKUP(2,1/(指数走势!$F$34:$ACK$34&lt;&gt;""),COLUMN(指数走势!$F$34:$ACK$34))-COLUMN(指数走势!$F$34)+1-760+320)=0,NA(),INDEX(指数走势!$F$34:$ACK$34,1,LOOKUP(2,1/(指数走势!$F$34:$ACK$34&lt;&gt;""),COLUMN(指数走势!$F$34:$ACK$34))-COLUMN(指数走势!$F$34)+1-760+320)))</f>
        <v>19.9416999816895</v>
      </c>
      <c r="LJ98">
        <f>IF(ISERROR(INDEX(指数走势!$F$34:$ACK$34,1,LOOKUP(2,1/(指数走势!$F$34:$ACK$34&lt;&gt;""),COLUMN(指数走势!$F$34:$ACK$34))-COLUMN(指数走势!$F$34)+1-760+321)),NA(),IF(INDEX(指数走势!$F$34:$ACK$34,1,LOOKUP(2,1/(指数走势!$F$34:$ACK$34&lt;&gt;""),COLUMN(指数走势!$F$34:$ACK$34))-COLUMN(指数走势!$F$34)+1-760+321)=0,NA(),INDEX(指数走势!$F$34:$ACK$34,1,LOOKUP(2,1/(指数走势!$F$34:$ACK$34&lt;&gt;""),COLUMN(指数走势!$F$34:$ACK$34))-COLUMN(指数走势!$F$34)+1-760+321)))</f>
        <v>20.0044002532959</v>
      </c>
      <c r="LK98">
        <f>IF(ISERROR(INDEX(指数走势!$F$34:$ACK$34,1,LOOKUP(2,1/(指数走势!$F$34:$ACK$34&lt;&gt;""),COLUMN(指数走势!$F$34:$ACK$34))-COLUMN(指数走势!$F$34)+1-760+322)),NA(),IF(INDEX(指数走势!$F$34:$ACK$34,1,LOOKUP(2,1/(指数走势!$F$34:$ACK$34&lt;&gt;""),COLUMN(指数走势!$F$34:$ACK$34))-COLUMN(指数走势!$F$34)+1-760+322)=0,NA(),INDEX(指数走势!$F$34:$ACK$34,1,LOOKUP(2,1/(指数走势!$F$34:$ACK$34&lt;&gt;""),COLUMN(指数走势!$F$34:$ACK$34))-COLUMN(指数走势!$F$34)+1-760+322)))</f>
        <v>19.7227993011475</v>
      </c>
      <c r="LL98">
        <f>IF(ISERROR(INDEX(指数走势!$F$34:$ACK$34,1,LOOKUP(2,1/(指数走势!$F$34:$ACK$34&lt;&gt;""),COLUMN(指数走势!$F$34:$ACK$34))-COLUMN(指数走势!$F$34)+1-760+323)),NA(),IF(INDEX(指数走势!$F$34:$ACK$34,1,LOOKUP(2,1/(指数走势!$F$34:$ACK$34&lt;&gt;""),COLUMN(指数走势!$F$34:$ACK$34))-COLUMN(指数走势!$F$34)+1-760+323)=0,NA(),INDEX(指数走势!$F$34:$ACK$34,1,LOOKUP(2,1/(指数走势!$F$34:$ACK$34&lt;&gt;""),COLUMN(指数走势!$F$34:$ACK$34))-COLUMN(指数走势!$F$34)+1-760+323)))</f>
        <v>19.5575008392334</v>
      </c>
      <c r="LM98">
        <f>IF(ISERROR(INDEX(指数走势!$F$34:$ACK$34,1,LOOKUP(2,1/(指数走势!$F$34:$ACK$34&lt;&gt;""),COLUMN(指数走势!$F$34:$ACK$34))-COLUMN(指数走势!$F$34)+1-760+324)),NA(),IF(INDEX(指数走势!$F$34:$ACK$34,1,LOOKUP(2,1/(指数走势!$F$34:$ACK$34&lt;&gt;""),COLUMN(指数走势!$F$34:$ACK$34))-COLUMN(指数走势!$F$34)+1-760+324)=0,NA(),INDEX(指数走势!$F$34:$ACK$34,1,LOOKUP(2,1/(指数走势!$F$34:$ACK$34&lt;&gt;""),COLUMN(指数走势!$F$34:$ACK$34))-COLUMN(指数走势!$F$34)+1-760+324)))</f>
        <v>19.5646991729736</v>
      </c>
      <c r="LN98">
        <f>IF(ISERROR(INDEX(指数走势!$F$34:$ACK$34,1,LOOKUP(2,1/(指数走势!$F$34:$ACK$34&lt;&gt;""),COLUMN(指数走势!$F$34:$ACK$34))-COLUMN(指数走势!$F$34)+1-760+325)),NA(),IF(INDEX(指数走势!$F$34:$ACK$34,1,LOOKUP(2,1/(指数走势!$F$34:$ACK$34&lt;&gt;""),COLUMN(指数走势!$F$34:$ACK$34))-COLUMN(指数走势!$F$34)+1-760+325)=0,NA(),INDEX(指数走势!$F$34:$ACK$34,1,LOOKUP(2,1/(指数走势!$F$34:$ACK$34&lt;&gt;""),COLUMN(指数走势!$F$34:$ACK$34))-COLUMN(指数走势!$F$34)+1-760+325)))</f>
        <v>19.6147003173828</v>
      </c>
      <c r="LO98">
        <f>IF(ISERROR(INDEX(指数走势!$F$34:$ACK$34,1,LOOKUP(2,1/(指数走势!$F$34:$ACK$34&lt;&gt;""),COLUMN(指数走势!$F$34:$ACK$34))-COLUMN(指数走势!$F$34)+1-760+326)),NA(),IF(INDEX(指数走势!$F$34:$ACK$34,1,LOOKUP(2,1/(指数走势!$F$34:$ACK$34&lt;&gt;""),COLUMN(指数走势!$F$34:$ACK$34))-COLUMN(指数走势!$F$34)+1-760+326)=0,NA(),INDEX(指数走势!$F$34:$ACK$34,1,LOOKUP(2,1/(指数走势!$F$34:$ACK$34&lt;&gt;""),COLUMN(指数走势!$F$34:$ACK$34))-COLUMN(指数走势!$F$34)+1-760+326)))</f>
        <v>19.4902000427246</v>
      </c>
      <c r="LP98">
        <f>IF(ISERROR(INDEX(指数走势!$F$34:$ACK$34,1,LOOKUP(2,1/(指数走势!$F$34:$ACK$34&lt;&gt;""),COLUMN(指数走势!$F$34:$ACK$34))-COLUMN(指数走势!$F$34)+1-760+327)),NA(),IF(INDEX(指数走势!$F$34:$ACK$34,1,LOOKUP(2,1/(指数走势!$F$34:$ACK$34&lt;&gt;""),COLUMN(指数走势!$F$34:$ACK$34))-COLUMN(指数走势!$F$34)+1-760+327)=0,NA(),INDEX(指数走势!$F$34:$ACK$34,1,LOOKUP(2,1/(指数走势!$F$34:$ACK$34&lt;&gt;""),COLUMN(指数走势!$F$34:$ACK$34))-COLUMN(指数走势!$F$34)+1-760+327)))</f>
        <v>19.3176002502441</v>
      </c>
      <c r="LQ98">
        <f>IF(ISERROR(INDEX(指数走势!$F$34:$ACK$34,1,LOOKUP(2,1/(指数走势!$F$34:$ACK$34&lt;&gt;""),COLUMN(指数走势!$F$34:$ACK$34))-COLUMN(指数走势!$F$34)+1-760+328)),NA(),IF(INDEX(指数走势!$F$34:$ACK$34,1,LOOKUP(2,1/(指数走势!$F$34:$ACK$34&lt;&gt;""),COLUMN(指数走势!$F$34:$ACK$34))-COLUMN(指数走势!$F$34)+1-760+328)=0,NA(),INDEX(指数走势!$F$34:$ACK$34,1,LOOKUP(2,1/(指数走势!$F$34:$ACK$34&lt;&gt;""),COLUMN(指数走势!$F$34:$ACK$34))-COLUMN(指数走势!$F$34)+1-760+328)))</f>
        <v>19.3922004699707</v>
      </c>
      <c r="LR98">
        <f>IF(ISERROR(INDEX(指数走势!$F$34:$ACK$34,1,LOOKUP(2,1/(指数走势!$F$34:$ACK$34&lt;&gt;""),COLUMN(指数走势!$F$34:$ACK$34))-COLUMN(指数走势!$F$34)+1-760+329)),NA(),IF(INDEX(指数走势!$F$34:$ACK$34,1,LOOKUP(2,1/(指数走势!$F$34:$ACK$34&lt;&gt;""),COLUMN(指数走势!$F$34:$ACK$34))-COLUMN(指数走势!$F$34)+1-760+329)=0,NA(),INDEX(指数走势!$F$34:$ACK$34,1,LOOKUP(2,1/(指数走势!$F$34:$ACK$34&lt;&gt;""),COLUMN(指数走势!$F$34:$ACK$34))-COLUMN(指数走势!$F$34)+1-760+329)))</f>
        <v>19.6152000427246</v>
      </c>
      <c r="LS98">
        <f>IF(ISERROR(INDEX(指数走势!$F$34:$ACK$34,1,LOOKUP(2,1/(指数走势!$F$34:$ACK$34&lt;&gt;""),COLUMN(指数走势!$F$34:$ACK$34))-COLUMN(指数走势!$F$34)+1-760+330)),NA(),IF(INDEX(指数走势!$F$34:$ACK$34,1,LOOKUP(2,1/(指数走势!$F$34:$ACK$34&lt;&gt;""),COLUMN(指数走势!$F$34:$ACK$34))-COLUMN(指数走势!$F$34)+1-760+330)=0,NA(),INDEX(指数走势!$F$34:$ACK$34,1,LOOKUP(2,1/(指数走势!$F$34:$ACK$34&lt;&gt;""),COLUMN(指数走势!$F$34:$ACK$34))-COLUMN(指数走势!$F$34)+1-760+330)))</f>
        <v>19.5806007385254</v>
      </c>
      <c r="LT98">
        <f>IF(ISERROR(INDEX(指数走势!$F$34:$ACK$34,1,LOOKUP(2,1/(指数走势!$F$34:$ACK$34&lt;&gt;""),COLUMN(指数走势!$F$34:$ACK$34))-COLUMN(指数走势!$F$34)+1-760+331)),NA(),IF(INDEX(指数走势!$F$34:$ACK$34,1,LOOKUP(2,1/(指数走势!$F$34:$ACK$34&lt;&gt;""),COLUMN(指数走势!$F$34:$ACK$34))-COLUMN(指数走势!$F$34)+1-760+331)=0,NA(),INDEX(指数走势!$F$34:$ACK$34,1,LOOKUP(2,1/(指数走势!$F$34:$ACK$34&lt;&gt;""),COLUMN(指数走势!$F$34:$ACK$34))-COLUMN(指数走势!$F$34)+1-760+331)))</f>
        <v>19.5902004241943</v>
      </c>
      <c r="LU98">
        <f>IF(ISERROR(INDEX(指数走势!$F$34:$ACK$34,1,LOOKUP(2,1/(指数走势!$F$34:$ACK$34&lt;&gt;""),COLUMN(指数走势!$F$34:$ACK$34))-COLUMN(指数走势!$F$34)+1-760+332)),NA(),IF(INDEX(指数走势!$F$34:$ACK$34,1,LOOKUP(2,1/(指数走势!$F$34:$ACK$34&lt;&gt;""),COLUMN(指数走势!$F$34:$ACK$34))-COLUMN(指数走势!$F$34)+1-760+332)=0,NA(),INDEX(指数走势!$F$34:$ACK$34,1,LOOKUP(2,1/(指数走势!$F$34:$ACK$34&lt;&gt;""),COLUMN(指数走势!$F$34:$ACK$34))-COLUMN(指数走势!$F$34)+1-760+332)))</f>
        <v>20.4265995025635</v>
      </c>
      <c r="LV98">
        <f>IF(ISERROR(INDEX(指数走势!$F$34:$ACK$34,1,LOOKUP(2,1/(指数走势!$F$34:$ACK$34&lt;&gt;""),COLUMN(指数走势!$F$34:$ACK$34))-COLUMN(指数走势!$F$34)+1-760+333)),NA(),IF(INDEX(指数走势!$F$34:$ACK$34,1,LOOKUP(2,1/(指数走势!$F$34:$ACK$34&lt;&gt;""),COLUMN(指数走势!$F$34:$ACK$34))-COLUMN(指数走势!$F$34)+1-760+333)=0,NA(),INDEX(指数走势!$F$34:$ACK$34,1,LOOKUP(2,1/(指数走势!$F$34:$ACK$34&lt;&gt;""),COLUMN(指数走势!$F$34:$ACK$34))-COLUMN(指数走势!$F$34)+1-760+333)))</f>
        <v>20.673999786377</v>
      </c>
      <c r="LW98">
        <f>IF(ISERROR(INDEX(指数走势!$F$34:$ACK$34,1,LOOKUP(2,1/(指数走势!$F$34:$ACK$34&lt;&gt;""),COLUMN(指数走势!$F$34:$ACK$34))-COLUMN(指数走势!$F$34)+1-760+334)),NA(),IF(INDEX(指数走势!$F$34:$ACK$34,1,LOOKUP(2,1/(指数走势!$F$34:$ACK$34&lt;&gt;""),COLUMN(指数走势!$F$34:$ACK$34))-COLUMN(指数走势!$F$34)+1-760+334)=0,NA(),INDEX(指数走势!$F$34:$ACK$34,1,LOOKUP(2,1/(指数走势!$F$34:$ACK$34&lt;&gt;""),COLUMN(指数走势!$F$34:$ACK$34))-COLUMN(指数走势!$F$34)+1-760+334)))</f>
        <v>21.5828990936279</v>
      </c>
      <c r="LX98">
        <f>IF(ISERROR(INDEX(指数走势!$F$34:$ACK$34,1,LOOKUP(2,1/(指数走势!$F$34:$ACK$34&lt;&gt;""),COLUMN(指数走势!$F$34:$ACK$34))-COLUMN(指数走势!$F$34)+1-760+335)),NA(),IF(INDEX(指数走势!$F$34:$ACK$34,1,LOOKUP(2,1/(指数走势!$F$34:$ACK$34&lt;&gt;""),COLUMN(指数走势!$F$34:$ACK$34))-COLUMN(指数走势!$F$34)+1-760+335)=0,NA(),INDEX(指数走势!$F$34:$ACK$34,1,LOOKUP(2,1/(指数走势!$F$34:$ACK$34&lt;&gt;""),COLUMN(指数走势!$F$34:$ACK$34))-COLUMN(指数走势!$F$34)+1-760+335)))</f>
        <v>22.979700088501</v>
      </c>
      <c r="LY98">
        <f>IF(ISERROR(INDEX(指数走势!$F$34:$ACK$34,1,LOOKUP(2,1/(指数走势!$F$34:$ACK$34&lt;&gt;""),COLUMN(指数走势!$F$34:$ACK$34))-COLUMN(指数走势!$F$34)+1-760+336)),NA(),IF(INDEX(指数走势!$F$34:$ACK$34,1,LOOKUP(2,1/(指数走势!$F$34:$ACK$34&lt;&gt;""),COLUMN(指数走势!$F$34:$ACK$34))-COLUMN(指数走势!$F$34)+1-760+336)=0,NA(),INDEX(指数走势!$F$34:$ACK$34,1,LOOKUP(2,1/(指数走势!$F$34:$ACK$34&lt;&gt;""),COLUMN(指数走势!$F$34:$ACK$34))-COLUMN(指数走势!$F$34)+1-760+336)))</f>
        <v>25.3920993804932</v>
      </c>
      <c r="LZ98">
        <f>IF(ISERROR(INDEX(指数走势!$F$34:$ACK$34,1,LOOKUP(2,1/(指数走势!$F$34:$ACK$34&lt;&gt;""),COLUMN(指数走势!$F$34:$ACK$34))-COLUMN(指数走势!$F$34)+1-760+337)),NA(),IF(INDEX(指数走势!$F$34:$ACK$34,1,LOOKUP(2,1/(指数走势!$F$34:$ACK$34&lt;&gt;""),COLUMN(指数走势!$F$34:$ACK$34))-COLUMN(指数走势!$F$34)+1-760+337)=0,NA(),INDEX(指数走势!$F$34:$ACK$34,1,LOOKUP(2,1/(指数走势!$F$34:$ACK$34&lt;&gt;""),COLUMN(指数走势!$F$34:$ACK$34))-COLUMN(指数走势!$F$34)+1-760+337)))</f>
        <v>27.5564002990723</v>
      </c>
      <c r="MA98">
        <f>IF(ISERROR(INDEX(指数走势!$F$34:$ACK$34,1,LOOKUP(2,1/(指数走势!$F$34:$ACK$34&lt;&gt;""),COLUMN(指数走势!$F$34:$ACK$34))-COLUMN(指数走势!$F$34)+1-760+338)),NA(),IF(INDEX(指数走势!$F$34:$ACK$34,1,LOOKUP(2,1/(指数走势!$F$34:$ACK$34&lt;&gt;""),COLUMN(指数走势!$F$34:$ACK$34))-COLUMN(指数走势!$F$34)+1-760+338)=0,NA(),INDEX(指数走势!$F$34:$ACK$34,1,LOOKUP(2,1/(指数走势!$F$34:$ACK$34&lt;&gt;""),COLUMN(指数走势!$F$34:$ACK$34))-COLUMN(指数走势!$F$34)+1-760+338)))</f>
        <v>25.2761993408203</v>
      </c>
      <c r="MB98">
        <f>IF(ISERROR(INDEX(指数走势!$F$34:$ACK$34,1,LOOKUP(2,1/(指数走势!$F$34:$ACK$34&lt;&gt;""),COLUMN(指数走势!$F$34:$ACK$34))-COLUMN(指数走势!$F$34)+1-760+339)),NA(),IF(INDEX(指数走势!$F$34:$ACK$34,1,LOOKUP(2,1/(指数走势!$F$34:$ACK$34&lt;&gt;""),COLUMN(指数走势!$F$34:$ACK$34))-COLUMN(指数走势!$F$34)+1-760+339)=0,NA(),INDEX(指数走势!$F$34:$ACK$34,1,LOOKUP(2,1/(指数走势!$F$34:$ACK$34&lt;&gt;""),COLUMN(指数走势!$F$34:$ACK$34))-COLUMN(指数走势!$F$34)+1-760+339)))</f>
        <v>25.1713008880615</v>
      </c>
      <c r="MC98">
        <f>IF(ISERROR(INDEX(指数走势!$F$34:$ACK$34,1,LOOKUP(2,1/(指数走势!$F$34:$ACK$34&lt;&gt;""),COLUMN(指数走势!$F$34:$ACK$34))-COLUMN(指数走势!$F$34)+1-760+340)),NA(),IF(INDEX(指数走势!$F$34:$ACK$34,1,LOOKUP(2,1/(指数走势!$F$34:$ACK$34&lt;&gt;""),COLUMN(指数走势!$F$34:$ACK$34))-COLUMN(指数走势!$F$34)+1-760+340)=0,NA(),INDEX(指数走势!$F$34:$ACK$34,1,LOOKUP(2,1/(指数走势!$F$34:$ACK$34&lt;&gt;""),COLUMN(指数走势!$F$34:$ACK$34))-COLUMN(指数走势!$F$34)+1-760+340)))</f>
        <v>24.1956005096436</v>
      </c>
      <c r="MD98">
        <f>IF(ISERROR(INDEX(指数走势!$F$34:$ACK$34,1,LOOKUP(2,1/(指数走势!$F$34:$ACK$34&lt;&gt;""),COLUMN(指数走势!$F$34:$ACK$34))-COLUMN(指数走势!$F$34)+1-760+341)),NA(),IF(INDEX(指数走势!$F$34:$ACK$34,1,LOOKUP(2,1/(指数走势!$F$34:$ACK$34&lt;&gt;""),COLUMN(指数走势!$F$34:$ACK$34))-COLUMN(指数走势!$F$34)+1-760+341)=0,NA(),INDEX(指数走势!$F$34:$ACK$34,1,LOOKUP(2,1/(指数走势!$F$34:$ACK$34&lt;&gt;""),COLUMN(指数走势!$F$34:$ACK$34))-COLUMN(指数走势!$F$34)+1-760+341)))</f>
        <v>24.8094005584717</v>
      </c>
      <c r="ME98">
        <f>IF(ISERROR(INDEX(指数走势!$F$34:$ACK$34,1,LOOKUP(2,1/(指数走势!$F$34:$ACK$34&lt;&gt;""),COLUMN(指数走势!$F$34:$ACK$34))-COLUMN(指数走势!$F$34)+1-760+342)),NA(),IF(INDEX(指数走势!$F$34:$ACK$34,1,LOOKUP(2,1/(指数走势!$F$34:$ACK$34&lt;&gt;""),COLUMN(指数走势!$F$34:$ACK$34))-COLUMN(指数走势!$F$34)+1-760+342)=0,NA(),INDEX(指数走势!$F$34:$ACK$34,1,LOOKUP(2,1/(指数走势!$F$34:$ACK$34&lt;&gt;""),COLUMN(指数走势!$F$34:$ACK$34))-COLUMN(指数走势!$F$34)+1-760+342)))</f>
        <v>24.1608009338379</v>
      </c>
      <c r="MF98">
        <f>IF(ISERROR(INDEX(指数走势!$F$34:$ACK$34,1,LOOKUP(2,1/(指数走势!$F$34:$ACK$34&lt;&gt;""),COLUMN(指数走势!$F$34:$ACK$34))-COLUMN(指数走势!$F$34)+1-760+343)),NA(),IF(INDEX(指数走势!$F$34:$ACK$34,1,LOOKUP(2,1/(指数走势!$F$34:$ACK$34&lt;&gt;""),COLUMN(指数走势!$F$34:$ACK$34))-COLUMN(指数走势!$F$34)+1-760+343)=0,NA(),INDEX(指数走势!$F$34:$ACK$34,1,LOOKUP(2,1/(指数走势!$F$34:$ACK$34&lt;&gt;""),COLUMN(指数走势!$F$34:$ACK$34))-COLUMN(指数走势!$F$34)+1-760+343)))</f>
        <v>23.9232997894287</v>
      </c>
      <c r="MG98">
        <f>IF(ISERROR(INDEX(指数走势!$F$34:$ACK$34,1,LOOKUP(2,1/(指数走势!$F$34:$ACK$34&lt;&gt;""),COLUMN(指数走势!$F$34:$ACK$34))-COLUMN(指数走势!$F$34)+1-760+344)),NA(),IF(INDEX(指数走势!$F$34:$ACK$34,1,LOOKUP(2,1/(指数走势!$F$34:$ACK$34&lt;&gt;""),COLUMN(指数走势!$F$34:$ACK$34))-COLUMN(指数走势!$F$34)+1-760+344)=0,NA(),INDEX(指数走势!$F$34:$ACK$34,1,LOOKUP(2,1/(指数走势!$F$34:$ACK$34&lt;&gt;""),COLUMN(指数走势!$F$34:$ACK$34))-COLUMN(指数走势!$F$34)+1-760+344)))</f>
        <v>23.7332000732422</v>
      </c>
      <c r="MH98">
        <f>IF(ISERROR(INDEX(指数走势!$F$34:$ACK$34,1,LOOKUP(2,1/(指数走势!$F$34:$ACK$34&lt;&gt;""),COLUMN(指数走势!$F$34:$ACK$34))-COLUMN(指数走势!$F$34)+1-760+345)),NA(),IF(INDEX(指数走势!$F$34:$ACK$34,1,LOOKUP(2,1/(指数走势!$F$34:$ACK$34&lt;&gt;""),COLUMN(指数走势!$F$34:$ACK$34))-COLUMN(指数走势!$F$34)+1-760+345)=0,NA(),INDEX(指数走势!$F$34:$ACK$34,1,LOOKUP(2,1/(指数走势!$F$34:$ACK$34&lt;&gt;""),COLUMN(指数走势!$F$34:$ACK$34))-COLUMN(指数走势!$F$34)+1-760+345)))</f>
        <v>24.7796993255615</v>
      </c>
      <c r="MI98">
        <f>IF(ISERROR(INDEX(指数走势!$F$34:$ACK$34,1,LOOKUP(2,1/(指数走势!$F$34:$ACK$34&lt;&gt;""),COLUMN(指数走势!$F$34:$ACK$34))-COLUMN(指数走势!$F$34)+1-760+346)),NA(),IF(INDEX(指数走势!$F$34:$ACK$34,1,LOOKUP(2,1/(指数走势!$F$34:$ACK$34&lt;&gt;""),COLUMN(指数走势!$F$34:$ACK$34))-COLUMN(指数走势!$F$34)+1-760+346)=0,NA(),INDEX(指数走势!$F$34:$ACK$34,1,LOOKUP(2,1/(指数走势!$F$34:$ACK$34&lt;&gt;""),COLUMN(指数走势!$F$34:$ACK$34))-COLUMN(指数走势!$F$34)+1-760+346)))</f>
        <v>24.9342002868652</v>
      </c>
      <c r="MJ98">
        <f>IF(ISERROR(INDEX(指数走势!$F$34:$ACK$34,1,LOOKUP(2,1/(指数走势!$F$34:$ACK$34&lt;&gt;""),COLUMN(指数走势!$F$34:$ACK$34))-COLUMN(指数走势!$F$34)+1-760+347)),NA(),IF(INDEX(指数走势!$F$34:$ACK$34,1,LOOKUP(2,1/(指数走势!$F$34:$ACK$34&lt;&gt;""),COLUMN(指数走势!$F$34:$ACK$34))-COLUMN(指数走势!$F$34)+1-760+347)=0,NA(),INDEX(指数走势!$F$34:$ACK$34,1,LOOKUP(2,1/(指数走势!$F$34:$ACK$34&lt;&gt;""),COLUMN(指数走势!$F$34:$ACK$34))-COLUMN(指数走势!$F$34)+1-760+347)))</f>
        <v>25.1453990936279</v>
      </c>
      <c r="MK98">
        <f>IF(ISERROR(INDEX(指数走势!$F$34:$ACK$34,1,LOOKUP(2,1/(指数走势!$F$34:$ACK$34&lt;&gt;""),COLUMN(指数走势!$F$34:$ACK$34))-COLUMN(指数走势!$F$34)+1-760+348)),NA(),IF(INDEX(指数走势!$F$34:$ACK$34,1,LOOKUP(2,1/(指数走势!$F$34:$ACK$34&lt;&gt;""),COLUMN(指数走势!$F$34:$ACK$34))-COLUMN(指数走势!$F$34)+1-760+348)=0,NA(),INDEX(指数走势!$F$34:$ACK$34,1,LOOKUP(2,1/(指数走势!$F$34:$ACK$34&lt;&gt;""),COLUMN(指数走势!$F$34:$ACK$34))-COLUMN(指数走势!$F$34)+1-760+348)))</f>
        <v>25.0361995697021</v>
      </c>
      <c r="ML98">
        <f>IF(ISERROR(INDEX(指数走势!$F$34:$ACK$34,1,LOOKUP(2,1/(指数走势!$F$34:$ACK$34&lt;&gt;""),COLUMN(指数走势!$F$34:$ACK$34))-COLUMN(指数走势!$F$34)+1-760+349)),NA(),IF(INDEX(指数走势!$F$34:$ACK$34,1,LOOKUP(2,1/(指数走势!$F$34:$ACK$34&lt;&gt;""),COLUMN(指数走势!$F$34:$ACK$34))-COLUMN(指数走势!$F$34)+1-760+349)=0,NA(),INDEX(指数走势!$F$34:$ACK$34,1,LOOKUP(2,1/(指数走势!$F$34:$ACK$34&lt;&gt;""),COLUMN(指数走势!$F$34:$ACK$34))-COLUMN(指数走势!$F$34)+1-760+349)))</f>
        <v>24.6558990478516</v>
      </c>
      <c r="MM98">
        <f>IF(ISERROR(INDEX(指数走势!$F$34:$ACK$34,1,LOOKUP(2,1/(指数走势!$F$34:$ACK$34&lt;&gt;""),COLUMN(指数走势!$F$34:$ACK$34))-COLUMN(指数走势!$F$34)+1-760+350)),NA(),IF(INDEX(指数走势!$F$34:$ACK$34,1,LOOKUP(2,1/(指数走势!$F$34:$ACK$34&lt;&gt;""),COLUMN(指数走势!$F$34:$ACK$34))-COLUMN(指数走势!$F$34)+1-760+350)=0,NA(),INDEX(指数走势!$F$34:$ACK$34,1,LOOKUP(2,1/(指数走势!$F$34:$ACK$34&lt;&gt;""),COLUMN(指数走势!$F$34:$ACK$34))-COLUMN(指数走势!$F$34)+1-760+350)))</f>
        <v>25.0662002563477</v>
      </c>
      <c r="MN98">
        <f>IF(ISERROR(INDEX(指数走势!$F$34:$ACK$34,1,LOOKUP(2,1/(指数走势!$F$34:$ACK$34&lt;&gt;""),COLUMN(指数走势!$F$34:$ACK$34))-COLUMN(指数走势!$F$34)+1-760+351)),NA(),IF(INDEX(指数走势!$F$34:$ACK$34,1,LOOKUP(2,1/(指数走势!$F$34:$ACK$34&lt;&gt;""),COLUMN(指数走势!$F$34:$ACK$34))-COLUMN(指数走势!$F$34)+1-760+351)=0,NA(),INDEX(指数走势!$F$34:$ACK$34,1,LOOKUP(2,1/(指数走势!$F$34:$ACK$34&lt;&gt;""),COLUMN(指数走势!$F$34:$ACK$34))-COLUMN(指数走势!$F$34)+1-760+351)))</f>
        <v>25.4027004241943</v>
      </c>
      <c r="MO98">
        <f>IF(ISERROR(INDEX(指数走势!$F$34:$ACK$34,1,LOOKUP(2,1/(指数走势!$F$34:$ACK$34&lt;&gt;""),COLUMN(指数走势!$F$34:$ACK$34))-COLUMN(指数走势!$F$34)+1-760+352)),NA(),IF(INDEX(指数走势!$F$34:$ACK$34,1,LOOKUP(2,1/(指数走势!$F$34:$ACK$34&lt;&gt;""),COLUMN(指数走势!$F$34:$ACK$34))-COLUMN(指数走势!$F$34)+1-760+352)=0,NA(),INDEX(指数走势!$F$34:$ACK$34,1,LOOKUP(2,1/(指数走势!$F$34:$ACK$34&lt;&gt;""),COLUMN(指数走势!$F$34:$ACK$34))-COLUMN(指数走势!$F$34)+1-760+352)))</f>
        <v>25.3278007507324</v>
      </c>
      <c r="MP98">
        <f>IF(ISERROR(INDEX(指数走势!$F$34:$ACK$34,1,LOOKUP(2,1/(指数走势!$F$34:$ACK$34&lt;&gt;""),COLUMN(指数走势!$F$34:$ACK$34))-COLUMN(指数走势!$F$34)+1-760+353)),NA(),IF(INDEX(指数走势!$F$34:$ACK$34,1,LOOKUP(2,1/(指数走势!$F$34:$ACK$34&lt;&gt;""),COLUMN(指数走势!$F$34:$ACK$34))-COLUMN(指数走势!$F$34)+1-760+353)=0,NA(),INDEX(指数走势!$F$34:$ACK$34,1,LOOKUP(2,1/(指数走势!$F$34:$ACK$34&lt;&gt;""),COLUMN(指数走势!$F$34:$ACK$34))-COLUMN(指数走势!$F$34)+1-760+353)))</f>
        <v>25.1588001251221</v>
      </c>
      <c r="MQ98">
        <f>IF(ISERROR(INDEX(指数走势!$F$34:$ACK$34,1,LOOKUP(2,1/(指数走势!$F$34:$ACK$34&lt;&gt;""),COLUMN(指数走势!$F$34:$ACK$34))-COLUMN(指数走势!$F$34)+1-760+354)),NA(),IF(INDEX(指数走势!$F$34:$ACK$34,1,LOOKUP(2,1/(指数走势!$F$34:$ACK$34&lt;&gt;""),COLUMN(指数走势!$F$34:$ACK$34))-COLUMN(指数走势!$F$34)+1-760+354)=0,NA(),INDEX(指数走势!$F$34:$ACK$34,1,LOOKUP(2,1/(指数走势!$F$34:$ACK$34&lt;&gt;""),COLUMN(指数走势!$F$34:$ACK$34))-COLUMN(指数走势!$F$34)+1-760+354)))</f>
        <v>25.8103008270264</v>
      </c>
      <c r="MR98">
        <f>IF(ISERROR(INDEX(指数走势!$F$34:$ACK$34,1,LOOKUP(2,1/(指数走势!$F$34:$ACK$34&lt;&gt;""),COLUMN(指数走势!$F$34:$ACK$34))-COLUMN(指数走势!$F$34)+1-760+355)),NA(),IF(INDEX(指数走势!$F$34:$ACK$34,1,LOOKUP(2,1/(指数走势!$F$34:$ACK$34&lt;&gt;""),COLUMN(指数走势!$F$34:$ACK$34))-COLUMN(指数走势!$F$34)+1-760+355)=0,NA(),INDEX(指数走势!$F$34:$ACK$34,1,LOOKUP(2,1/(指数走势!$F$34:$ACK$34&lt;&gt;""),COLUMN(指数走势!$F$34:$ACK$34))-COLUMN(指数走势!$F$34)+1-760+355)))</f>
        <v>25.5361995697021</v>
      </c>
      <c r="MS98">
        <f>IF(ISERROR(INDEX(指数走势!$F$34:$ACK$34,1,LOOKUP(2,1/(指数走势!$F$34:$ACK$34&lt;&gt;""),COLUMN(指数走势!$F$34:$ACK$34))-COLUMN(指数走势!$F$34)+1-760+356)),NA(),IF(INDEX(指数走势!$F$34:$ACK$34,1,LOOKUP(2,1/(指数走势!$F$34:$ACK$34&lt;&gt;""),COLUMN(指数走势!$F$34:$ACK$34))-COLUMN(指数走势!$F$34)+1-760+356)=0,NA(),INDEX(指数走势!$F$34:$ACK$34,1,LOOKUP(2,1/(指数走势!$F$34:$ACK$34&lt;&gt;""),COLUMN(指数走势!$F$34:$ACK$34))-COLUMN(指数走势!$F$34)+1-760+356)))</f>
        <v>26.0361995697021</v>
      </c>
      <c r="MT98">
        <f>IF(ISERROR(INDEX(指数走势!$F$34:$ACK$34,1,LOOKUP(2,1/(指数走势!$F$34:$ACK$34&lt;&gt;""),COLUMN(指数走势!$F$34:$ACK$34))-COLUMN(指数走势!$F$34)+1-760+357)),NA(),IF(INDEX(指数走势!$F$34:$ACK$34,1,LOOKUP(2,1/(指数走势!$F$34:$ACK$34&lt;&gt;""),COLUMN(指数走势!$F$34:$ACK$34))-COLUMN(指数走势!$F$34)+1-760+357)=0,NA(),INDEX(指数走势!$F$34:$ACK$34,1,LOOKUP(2,1/(指数走势!$F$34:$ACK$34&lt;&gt;""),COLUMN(指数走势!$F$34:$ACK$34))-COLUMN(指数走势!$F$34)+1-760+357)))</f>
        <v>26.8208999633789</v>
      </c>
      <c r="MU98">
        <f>IF(ISERROR(INDEX(指数走势!$F$34:$ACK$34,1,LOOKUP(2,1/(指数走势!$F$34:$ACK$34&lt;&gt;""),COLUMN(指数走势!$F$34:$ACK$34))-COLUMN(指数走势!$F$34)+1-760+358)),NA(),IF(INDEX(指数走势!$F$34:$ACK$34,1,LOOKUP(2,1/(指数走势!$F$34:$ACK$34&lt;&gt;""),COLUMN(指数走势!$F$34:$ACK$34))-COLUMN(指数走势!$F$34)+1-760+358)=0,NA(),INDEX(指数走势!$F$34:$ACK$34,1,LOOKUP(2,1/(指数走势!$F$34:$ACK$34&lt;&gt;""),COLUMN(指数走势!$F$34:$ACK$34))-COLUMN(指数走势!$F$34)+1-760+358)))</f>
        <v>26.7148990631104</v>
      </c>
      <c r="MV98">
        <f>IF(ISERROR(INDEX(指数走势!$F$34:$ACK$34,1,LOOKUP(2,1/(指数走势!$F$34:$ACK$34&lt;&gt;""),COLUMN(指数走势!$F$34:$ACK$34))-COLUMN(指数走势!$F$34)+1-760+359)),NA(),IF(INDEX(指数走势!$F$34:$ACK$34,1,LOOKUP(2,1/(指数走势!$F$34:$ACK$34&lt;&gt;""),COLUMN(指数走势!$F$34:$ACK$34))-COLUMN(指数走势!$F$34)+1-760+359)=0,NA(),INDEX(指数走势!$F$34:$ACK$34,1,LOOKUP(2,1/(指数走势!$F$34:$ACK$34&lt;&gt;""),COLUMN(指数走势!$F$34:$ACK$34))-COLUMN(指数走势!$F$34)+1-760+359)))</f>
        <v>27.4097003936768</v>
      </c>
      <c r="MW98">
        <f>IF(ISERROR(INDEX(指数走势!$F$34:$ACK$34,1,LOOKUP(2,1/(指数走势!$F$34:$ACK$34&lt;&gt;""),COLUMN(指数走势!$F$34:$ACK$34))-COLUMN(指数走势!$F$34)+1-760+360)),NA(),IF(INDEX(指数走势!$F$34:$ACK$34,1,LOOKUP(2,1/(指数走势!$F$34:$ACK$34&lt;&gt;""),COLUMN(指数走势!$F$34:$ACK$34))-COLUMN(指数走势!$F$34)+1-760+360)=0,NA(),INDEX(指数走势!$F$34:$ACK$34,1,LOOKUP(2,1/(指数走势!$F$34:$ACK$34&lt;&gt;""),COLUMN(指数走势!$F$34:$ACK$34))-COLUMN(指数走势!$F$34)+1-760+360)))</f>
        <v>27.2138996124268</v>
      </c>
      <c r="MX98">
        <f>IF(ISERROR(INDEX(指数走势!$F$34:$ACK$34,1,LOOKUP(2,1/(指数走势!$F$34:$ACK$34&lt;&gt;""),COLUMN(指数走势!$F$34:$ACK$34))-COLUMN(指数走势!$F$34)+1-760+361)),NA(),IF(INDEX(指数走势!$F$34:$ACK$34,1,LOOKUP(2,1/(指数走势!$F$34:$ACK$34&lt;&gt;""),COLUMN(指数走势!$F$34:$ACK$34))-COLUMN(指数走势!$F$34)+1-760+361)=0,NA(),INDEX(指数走势!$F$34:$ACK$34,1,LOOKUP(2,1/(指数走势!$F$34:$ACK$34&lt;&gt;""),COLUMN(指数走势!$F$34:$ACK$34))-COLUMN(指数走势!$F$34)+1-760+361)))</f>
        <v>27.675199508667</v>
      </c>
      <c r="MY98">
        <f>IF(ISERROR(INDEX(指数走势!$F$34:$ACK$34,1,LOOKUP(2,1/(指数走势!$F$34:$ACK$34&lt;&gt;""),COLUMN(指数走势!$F$34:$ACK$34))-COLUMN(指数走势!$F$34)+1-760+362)),NA(),IF(INDEX(指数走势!$F$34:$ACK$34,1,LOOKUP(2,1/(指数走势!$F$34:$ACK$34&lt;&gt;""),COLUMN(指数走势!$F$34:$ACK$34))-COLUMN(指数走势!$F$34)+1-760+362)=0,NA(),INDEX(指数走势!$F$34:$ACK$34,1,LOOKUP(2,1/(指数走势!$F$34:$ACK$34&lt;&gt;""),COLUMN(指数走势!$F$34:$ACK$34))-COLUMN(指数走势!$F$34)+1-760+362)))</f>
        <v>27.5079002380371</v>
      </c>
      <c r="MZ98">
        <f>IF(ISERROR(INDEX(指数走势!$F$34:$ACK$34,1,LOOKUP(2,1/(指数走势!$F$34:$ACK$34&lt;&gt;""),COLUMN(指数走势!$F$34:$ACK$34))-COLUMN(指数走势!$F$34)+1-760+363)),NA(),IF(INDEX(指数走势!$F$34:$ACK$34,1,LOOKUP(2,1/(指数走势!$F$34:$ACK$34&lt;&gt;""),COLUMN(指数走势!$F$34:$ACK$34))-COLUMN(指数走势!$F$34)+1-760+363)=0,NA(),INDEX(指数走势!$F$34:$ACK$34,1,LOOKUP(2,1/(指数走势!$F$34:$ACK$34&lt;&gt;""),COLUMN(指数走势!$F$34:$ACK$34))-COLUMN(指数走势!$F$34)+1-760+363)))</f>
        <v>27.5909996032715</v>
      </c>
      <c r="NA98">
        <f>IF(ISERROR(INDEX(指数走势!$F$34:$ACK$34,1,LOOKUP(2,1/(指数走势!$F$34:$ACK$34&lt;&gt;""),COLUMN(指数走势!$F$34:$ACK$34))-COLUMN(指数走势!$F$34)+1-760+364)),NA(),IF(INDEX(指数走势!$F$34:$ACK$34,1,LOOKUP(2,1/(指数走势!$F$34:$ACK$34&lt;&gt;""),COLUMN(指数走势!$F$34:$ACK$34))-COLUMN(指数走势!$F$34)+1-760+364)=0,NA(),INDEX(指数走势!$F$34:$ACK$34,1,LOOKUP(2,1/(指数走势!$F$34:$ACK$34&lt;&gt;""),COLUMN(指数走势!$F$34:$ACK$34))-COLUMN(指数走势!$F$34)+1-760+364)))</f>
        <v>26.8582000732422</v>
      </c>
      <c r="NB98">
        <f>IF(ISERROR(INDEX(指数走势!$F$34:$ACK$34,1,LOOKUP(2,1/(指数走势!$F$34:$ACK$34&lt;&gt;""),COLUMN(指数走势!$F$34:$ACK$34))-COLUMN(指数走势!$F$34)+1-760+365)),NA(),IF(INDEX(指数走势!$F$34:$ACK$34,1,LOOKUP(2,1/(指数走势!$F$34:$ACK$34&lt;&gt;""),COLUMN(指数走势!$F$34:$ACK$34))-COLUMN(指数走势!$F$34)+1-760+365)=0,NA(),INDEX(指数走势!$F$34:$ACK$34,1,LOOKUP(2,1/(指数走势!$F$34:$ACK$34&lt;&gt;""),COLUMN(指数走势!$F$34:$ACK$34))-COLUMN(指数走势!$F$34)+1-760+365)))</f>
        <v>26.184700012207</v>
      </c>
      <c r="NC98">
        <f>IF(ISERROR(INDEX(指数走势!$F$34:$ACK$34,1,LOOKUP(2,1/(指数走势!$F$34:$ACK$34&lt;&gt;""),COLUMN(指数走势!$F$34:$ACK$34))-COLUMN(指数走势!$F$34)+1-760+366)),NA(),IF(INDEX(指数走势!$F$34:$ACK$34,1,LOOKUP(2,1/(指数走势!$F$34:$ACK$34&lt;&gt;""),COLUMN(指数走势!$F$34:$ACK$34))-COLUMN(指数走势!$F$34)+1-760+366)=0,NA(),INDEX(指数走势!$F$34:$ACK$34,1,LOOKUP(2,1/(指数走势!$F$34:$ACK$34&lt;&gt;""),COLUMN(指数走势!$F$34:$ACK$34))-COLUMN(指数走势!$F$34)+1-760+366)))</f>
        <v>25.7674999237061</v>
      </c>
      <c r="ND98">
        <f>IF(ISERROR(INDEX(指数走势!$F$34:$ACK$34,1,LOOKUP(2,1/(指数走势!$F$34:$ACK$34&lt;&gt;""),COLUMN(指数走势!$F$34:$ACK$34))-COLUMN(指数走势!$F$34)+1-760+367)),NA(),IF(INDEX(指数走势!$F$34:$ACK$34,1,LOOKUP(2,1/(指数走势!$F$34:$ACK$34&lt;&gt;""),COLUMN(指数走势!$F$34:$ACK$34))-COLUMN(指数走势!$F$34)+1-760+367)=0,NA(),INDEX(指数走势!$F$34:$ACK$34,1,LOOKUP(2,1/(指数走势!$F$34:$ACK$34&lt;&gt;""),COLUMN(指数走势!$F$34:$ACK$34))-COLUMN(指数走势!$F$34)+1-760+367)))</f>
        <v>26.1975994110107</v>
      </c>
      <c r="NE98">
        <f>IF(ISERROR(INDEX(指数走势!$F$34:$ACK$34,1,LOOKUP(2,1/(指数走势!$F$34:$ACK$34&lt;&gt;""),COLUMN(指数走势!$F$34:$ACK$34))-COLUMN(指数走势!$F$34)+1-760+368)),NA(),IF(INDEX(指数走势!$F$34:$ACK$34,1,LOOKUP(2,1/(指数走势!$F$34:$ACK$34&lt;&gt;""),COLUMN(指数走势!$F$34:$ACK$34))-COLUMN(指数走势!$F$34)+1-760+368)=0,NA(),INDEX(指数走势!$F$34:$ACK$34,1,LOOKUP(2,1/(指数走势!$F$34:$ACK$34&lt;&gt;""),COLUMN(指数走势!$F$34:$ACK$34))-COLUMN(指数走势!$F$34)+1-760+368)))</f>
        <v>26.3822002410889</v>
      </c>
      <c r="NF98">
        <f>IF(ISERROR(INDEX(指数走势!$F$34:$ACK$34,1,LOOKUP(2,1/(指数走势!$F$34:$ACK$34&lt;&gt;""),COLUMN(指数走势!$F$34:$ACK$34))-COLUMN(指数走势!$F$34)+1-760+369)),NA(),IF(INDEX(指数走势!$F$34:$ACK$34,1,LOOKUP(2,1/(指数走势!$F$34:$ACK$34&lt;&gt;""),COLUMN(指数走势!$F$34:$ACK$34))-COLUMN(指数走势!$F$34)+1-760+369)=0,NA(),INDEX(指数走势!$F$34:$ACK$34,1,LOOKUP(2,1/(指数走势!$F$34:$ACK$34&lt;&gt;""),COLUMN(指数走势!$F$34:$ACK$34))-COLUMN(指数走势!$F$34)+1-760+369)))</f>
        <v>26.3512001037598</v>
      </c>
      <c r="NG98">
        <f>IF(ISERROR(INDEX(指数走势!$F$34:$ACK$34,1,LOOKUP(2,1/(指数走势!$F$34:$ACK$34&lt;&gt;""),COLUMN(指数走势!$F$34:$ACK$34))-COLUMN(指数走势!$F$34)+1-760+370)),NA(),IF(INDEX(指数走势!$F$34:$ACK$34,1,LOOKUP(2,1/(指数走势!$F$34:$ACK$34&lt;&gt;""),COLUMN(指数走势!$F$34:$ACK$34))-COLUMN(指数走势!$F$34)+1-760+370)=0,NA(),INDEX(指数走势!$F$34:$ACK$34,1,LOOKUP(2,1/(指数走势!$F$34:$ACK$34&lt;&gt;""),COLUMN(指数走势!$F$34:$ACK$34))-COLUMN(指数走势!$F$34)+1-760+370)))</f>
        <v>25.4281997680664</v>
      </c>
      <c r="NH98">
        <f>IF(ISERROR(INDEX(指数走势!$F$34:$ACK$34,1,LOOKUP(2,1/(指数走势!$F$34:$ACK$34&lt;&gt;""),COLUMN(指数走势!$F$34:$ACK$34))-COLUMN(指数走势!$F$34)+1-760+371)),NA(),IF(INDEX(指数走势!$F$34:$ACK$34,1,LOOKUP(2,1/(指数走势!$F$34:$ACK$34&lt;&gt;""),COLUMN(指数走势!$F$34:$ACK$34))-COLUMN(指数走势!$F$34)+1-760+371)=0,NA(),INDEX(指数走势!$F$34:$ACK$34,1,LOOKUP(2,1/(指数走势!$F$34:$ACK$34&lt;&gt;""),COLUMN(指数走势!$F$34:$ACK$34))-COLUMN(指数走势!$F$34)+1-760+371)))</f>
        <v>25.4074001312256</v>
      </c>
      <c r="NI98">
        <f>IF(ISERROR(INDEX(指数走势!$F$34:$ACK$34,1,LOOKUP(2,1/(指数走势!$F$34:$ACK$34&lt;&gt;""),COLUMN(指数走势!$F$34:$ACK$34))-COLUMN(指数走势!$F$34)+1-760+372)),NA(),IF(INDEX(指数走势!$F$34:$ACK$34,1,LOOKUP(2,1/(指数走势!$F$34:$ACK$34&lt;&gt;""),COLUMN(指数走势!$F$34:$ACK$34))-COLUMN(指数走势!$F$34)+1-760+372)=0,NA(),INDEX(指数走势!$F$34:$ACK$34,1,LOOKUP(2,1/(指数走势!$F$34:$ACK$34&lt;&gt;""),COLUMN(指数走势!$F$34:$ACK$34))-COLUMN(指数走势!$F$34)+1-760+372)))</f>
        <v>25.2318992614746</v>
      </c>
      <c r="NJ98">
        <f>IF(ISERROR(INDEX(指数走势!$F$34:$ACK$34,1,LOOKUP(2,1/(指数走势!$F$34:$ACK$34&lt;&gt;""),COLUMN(指数走势!$F$34:$ACK$34))-COLUMN(指数走势!$F$34)+1-760+373)),NA(),IF(INDEX(指数走势!$F$34:$ACK$34,1,LOOKUP(2,1/(指数走势!$F$34:$ACK$34&lt;&gt;""),COLUMN(指数走势!$F$34:$ACK$34))-COLUMN(指数走势!$F$34)+1-760+373)=0,NA(),INDEX(指数走势!$F$34:$ACK$34,1,LOOKUP(2,1/(指数走势!$F$34:$ACK$34&lt;&gt;""),COLUMN(指数走势!$F$34:$ACK$34))-COLUMN(指数走势!$F$34)+1-760+373)))</f>
        <v>25.7772006988525</v>
      </c>
      <c r="NK98">
        <f>IF(ISERROR(INDEX(指数走势!$F$34:$ACK$34,1,LOOKUP(2,1/(指数走势!$F$34:$ACK$34&lt;&gt;""),COLUMN(指数走势!$F$34:$ACK$34))-COLUMN(指数走势!$F$34)+1-760+374)),NA(),IF(INDEX(指数走势!$F$34:$ACK$34,1,LOOKUP(2,1/(指数走势!$F$34:$ACK$34&lt;&gt;""),COLUMN(指数走势!$F$34:$ACK$34))-COLUMN(指数走势!$F$34)+1-760+374)=0,NA(),INDEX(指数走势!$F$34:$ACK$34,1,LOOKUP(2,1/(指数走势!$F$34:$ACK$34&lt;&gt;""),COLUMN(指数走势!$F$34:$ACK$34))-COLUMN(指数走势!$F$34)+1-760+374)))</f>
        <v>25.4715995788574</v>
      </c>
      <c r="NL98">
        <f>IF(ISERROR(INDEX(指数走势!$F$34:$ACK$34,1,LOOKUP(2,1/(指数走势!$F$34:$ACK$34&lt;&gt;""),COLUMN(指数走势!$F$34:$ACK$34))-COLUMN(指数走势!$F$34)+1-760+375)),NA(),IF(INDEX(指数走势!$F$34:$ACK$34,1,LOOKUP(2,1/(指数走势!$F$34:$ACK$34&lt;&gt;""),COLUMN(指数走势!$F$34:$ACK$34))-COLUMN(指数走势!$F$34)+1-760+375)=0,NA(),INDEX(指数走势!$F$34:$ACK$34,1,LOOKUP(2,1/(指数走势!$F$34:$ACK$34&lt;&gt;""),COLUMN(指数走势!$F$34:$ACK$34))-COLUMN(指数走势!$F$34)+1-760+375)))</f>
        <v>25.8757991790771</v>
      </c>
      <c r="NM98">
        <f>IF(ISERROR(INDEX(指数走势!$F$34:$ACK$34,1,LOOKUP(2,1/(指数走势!$F$34:$ACK$34&lt;&gt;""),COLUMN(指数走势!$F$34:$ACK$34))-COLUMN(指数走势!$F$34)+1-760+376)),NA(),IF(INDEX(指数走势!$F$34:$ACK$34,1,LOOKUP(2,1/(指数走势!$F$34:$ACK$34&lt;&gt;""),COLUMN(指数走势!$F$34:$ACK$34))-COLUMN(指数走势!$F$34)+1-760+376)=0,NA(),INDEX(指数走势!$F$34:$ACK$34,1,LOOKUP(2,1/(指数走势!$F$34:$ACK$34&lt;&gt;""),COLUMN(指数走势!$F$34:$ACK$34))-COLUMN(指数走势!$F$34)+1-760+376)))</f>
        <v>26.2271003723145</v>
      </c>
      <c r="NN98">
        <f>IF(ISERROR(INDEX(指数走势!$F$34:$ACK$34,1,LOOKUP(2,1/(指数走势!$F$34:$ACK$34&lt;&gt;""),COLUMN(指数走势!$F$34:$ACK$34))-COLUMN(指数走势!$F$34)+1-760+377)),NA(),IF(INDEX(指数走势!$F$34:$ACK$34,1,LOOKUP(2,1/(指数走势!$F$34:$ACK$34&lt;&gt;""),COLUMN(指数走势!$F$34:$ACK$34))-COLUMN(指数走势!$F$34)+1-760+377)=0,NA(),INDEX(指数走势!$F$34:$ACK$34,1,LOOKUP(2,1/(指数走势!$F$34:$ACK$34&lt;&gt;""),COLUMN(指数走势!$F$34:$ACK$34))-COLUMN(指数走势!$F$34)+1-760+377)))</f>
        <v>26.1473999023438</v>
      </c>
      <c r="NO98">
        <f>IF(ISERROR(INDEX(指数走势!$F$34:$ACK$34,1,LOOKUP(2,1/(指数走势!$F$34:$ACK$34&lt;&gt;""),COLUMN(指数走势!$F$34:$ACK$34))-COLUMN(指数走势!$F$34)+1-760+378)),NA(),IF(INDEX(指数走势!$F$34:$ACK$34,1,LOOKUP(2,1/(指数走势!$F$34:$ACK$34&lt;&gt;""),COLUMN(指数走势!$F$34:$ACK$34))-COLUMN(指数走势!$F$34)+1-760+378)=0,NA(),INDEX(指数走势!$F$34:$ACK$34,1,LOOKUP(2,1/(指数走势!$F$34:$ACK$34&lt;&gt;""),COLUMN(指数走势!$F$34:$ACK$34))-COLUMN(指数走势!$F$34)+1-760+378)))</f>
        <v>25.8799991607666</v>
      </c>
      <c r="NP98">
        <f>IF(ISERROR(INDEX(指数走势!$F$34:$ACK$34,1,LOOKUP(2,1/(指数走势!$F$34:$ACK$34&lt;&gt;""),COLUMN(指数走势!$F$34:$ACK$34))-COLUMN(指数走势!$F$34)+1-760+379)),NA(),IF(INDEX(指数走势!$F$34:$ACK$34,1,LOOKUP(2,1/(指数走势!$F$34:$ACK$34&lt;&gt;""),COLUMN(指数走势!$F$34:$ACK$34))-COLUMN(指数走势!$F$34)+1-760+379)=0,NA(),INDEX(指数走势!$F$34:$ACK$34,1,LOOKUP(2,1/(指数走势!$F$34:$ACK$34&lt;&gt;""),COLUMN(指数走势!$F$34:$ACK$34))-COLUMN(指数走势!$F$34)+1-760+379)))</f>
        <v>25.9141006469727</v>
      </c>
      <c r="NQ98">
        <f>IF(ISERROR(INDEX(指数走势!$F$34:$ACK$34,1,LOOKUP(2,1/(指数走势!$F$34:$ACK$34&lt;&gt;""),COLUMN(指数走势!$F$34:$ACK$34))-COLUMN(指数走势!$F$34)+1-760+380)),NA(),IF(INDEX(指数走势!$F$34:$ACK$34,1,LOOKUP(2,1/(指数走势!$F$34:$ACK$34&lt;&gt;""),COLUMN(指数走势!$F$34:$ACK$34))-COLUMN(指数走势!$F$34)+1-760+380)=0,NA(),INDEX(指数走势!$F$34:$ACK$34,1,LOOKUP(2,1/(指数走势!$F$34:$ACK$34&lt;&gt;""),COLUMN(指数走势!$F$34:$ACK$34))-COLUMN(指数走势!$F$34)+1-760+380)))</f>
        <v>26.298999786377</v>
      </c>
      <c r="NR98">
        <f>IF(ISERROR(INDEX(指数走势!$F$34:$ACK$34,1,LOOKUP(2,1/(指数走势!$F$34:$ACK$34&lt;&gt;""),COLUMN(指数走势!$F$34:$ACK$34))-COLUMN(指数走势!$F$34)+1-760+381)),NA(),IF(INDEX(指数走势!$F$34:$ACK$34,1,LOOKUP(2,1/(指数走势!$F$34:$ACK$34&lt;&gt;""),COLUMN(指数走势!$F$34:$ACK$34))-COLUMN(指数走势!$F$34)+1-760+381)=0,NA(),INDEX(指数走势!$F$34:$ACK$34,1,LOOKUP(2,1/(指数走势!$F$34:$ACK$34&lt;&gt;""),COLUMN(指数走势!$F$34:$ACK$34))-COLUMN(指数走势!$F$34)+1-760+381)))</f>
        <v>26.1718006134033</v>
      </c>
      <c r="NS98">
        <f>IF(ISERROR(INDEX(指数走势!$F$34:$ACK$34,1,LOOKUP(2,1/(指数走势!$F$34:$ACK$34&lt;&gt;""),COLUMN(指数走势!$F$34:$ACK$34))-COLUMN(指数走势!$F$34)+1-760+382)),NA(),IF(INDEX(指数走势!$F$34:$ACK$34,1,LOOKUP(2,1/(指数走势!$F$34:$ACK$34&lt;&gt;""),COLUMN(指数走势!$F$34:$ACK$34))-COLUMN(指数走势!$F$34)+1-760+382)=0,NA(),INDEX(指数走势!$F$34:$ACK$34,1,LOOKUP(2,1/(指数走势!$F$34:$ACK$34&lt;&gt;""),COLUMN(指数走势!$F$34:$ACK$34))-COLUMN(指数走势!$F$34)+1-760+382)))</f>
        <v>26.3661003112793</v>
      </c>
      <c r="NT98">
        <f>IF(ISERROR(INDEX(指数走势!$F$34:$ACK$34,1,LOOKUP(2,1/(指数走势!$F$34:$ACK$34&lt;&gt;""),COLUMN(指数走势!$F$34:$ACK$34))-COLUMN(指数走势!$F$34)+1-760+383)),NA(),IF(INDEX(指数走势!$F$34:$ACK$34,1,LOOKUP(2,1/(指数走势!$F$34:$ACK$34&lt;&gt;""),COLUMN(指数走势!$F$34:$ACK$34))-COLUMN(指数走势!$F$34)+1-760+383)=0,NA(),INDEX(指数走势!$F$34:$ACK$34,1,LOOKUP(2,1/(指数走势!$F$34:$ACK$34&lt;&gt;""),COLUMN(指数走势!$F$34:$ACK$34))-COLUMN(指数走势!$F$34)+1-760+383)))</f>
        <v>26.4594993591309</v>
      </c>
      <c r="NU98">
        <f>IF(ISERROR(INDEX(指数走势!$F$34:$ACK$34,1,LOOKUP(2,1/(指数走势!$F$34:$ACK$34&lt;&gt;""),COLUMN(指数走势!$F$34:$ACK$34))-COLUMN(指数走势!$F$34)+1-760+384)),NA(),IF(INDEX(指数走势!$F$34:$ACK$34,1,LOOKUP(2,1/(指数走势!$F$34:$ACK$34&lt;&gt;""),COLUMN(指数走势!$F$34:$ACK$34))-COLUMN(指数走势!$F$34)+1-760+384)=0,NA(),INDEX(指数走势!$F$34:$ACK$34,1,LOOKUP(2,1/(指数走势!$F$34:$ACK$34&lt;&gt;""),COLUMN(指数走势!$F$34:$ACK$34))-COLUMN(指数走势!$F$34)+1-760+384)))</f>
        <v>26.7385997772217</v>
      </c>
      <c r="NV98">
        <f>IF(ISERROR(INDEX(指数走势!$F$34:$ACK$34,1,LOOKUP(2,1/(指数走势!$F$34:$ACK$34&lt;&gt;""),COLUMN(指数走势!$F$34:$ACK$34))-COLUMN(指数走势!$F$34)+1-760+385)),NA(),IF(INDEX(指数走势!$F$34:$ACK$34,1,LOOKUP(2,1/(指数走势!$F$34:$ACK$34&lt;&gt;""),COLUMN(指数走势!$F$34:$ACK$34))-COLUMN(指数走势!$F$34)+1-760+385)=0,NA(),INDEX(指数走势!$F$34:$ACK$34,1,LOOKUP(2,1/(指数走势!$F$34:$ACK$34&lt;&gt;""),COLUMN(指数走势!$F$34:$ACK$34))-COLUMN(指数走势!$F$34)+1-760+385)))</f>
        <v>26.1420993804932</v>
      </c>
      <c r="NW98">
        <f>IF(ISERROR(INDEX(指数走势!$F$34:$ACK$34,1,LOOKUP(2,1/(指数走势!$F$34:$ACK$34&lt;&gt;""),COLUMN(指数走势!$F$34:$ACK$34))-COLUMN(指数走势!$F$34)+1-760+386)),NA(),IF(INDEX(指数走势!$F$34:$ACK$34,1,LOOKUP(2,1/(指数走势!$F$34:$ACK$34&lt;&gt;""),COLUMN(指数走势!$F$34:$ACK$34))-COLUMN(指数走势!$F$34)+1-760+386)=0,NA(),INDEX(指数走势!$F$34:$ACK$34,1,LOOKUP(2,1/(指数走势!$F$34:$ACK$34&lt;&gt;""),COLUMN(指数走势!$F$34:$ACK$34))-COLUMN(指数走势!$F$34)+1-760+386)))</f>
        <v>25.2343997955322</v>
      </c>
      <c r="NX98">
        <f>IF(ISERROR(INDEX(指数走势!$F$34:$ACK$34,1,LOOKUP(2,1/(指数走势!$F$34:$ACK$34&lt;&gt;""),COLUMN(指数走势!$F$34:$ACK$34))-COLUMN(指数走势!$F$34)+1-760+387)),NA(),IF(INDEX(指数走势!$F$34:$ACK$34,1,LOOKUP(2,1/(指数走势!$F$34:$ACK$34&lt;&gt;""),COLUMN(指数走势!$F$34:$ACK$34))-COLUMN(指数走势!$F$34)+1-760+387)=0,NA(),INDEX(指数走势!$F$34:$ACK$34,1,LOOKUP(2,1/(指数走势!$F$34:$ACK$34&lt;&gt;""),COLUMN(指数走势!$F$34:$ACK$34))-COLUMN(指数走势!$F$34)+1-760+387)))</f>
        <v>25.1658000946045</v>
      </c>
      <c r="NY98">
        <f>IF(ISERROR(INDEX(指数走势!$F$34:$ACK$34,1,LOOKUP(2,1/(指数走势!$F$34:$ACK$34&lt;&gt;""),COLUMN(指数走势!$F$34:$ACK$34))-COLUMN(指数走势!$F$34)+1-760+388)),NA(),IF(INDEX(指数走势!$F$34:$ACK$34,1,LOOKUP(2,1/(指数走势!$F$34:$ACK$34&lt;&gt;""),COLUMN(指数走势!$F$34:$ACK$34))-COLUMN(指数走势!$F$34)+1-760+388)=0,NA(),INDEX(指数走势!$F$34:$ACK$34,1,LOOKUP(2,1/(指数走势!$F$34:$ACK$34&lt;&gt;""),COLUMN(指数走势!$F$34:$ACK$34))-COLUMN(指数走势!$F$34)+1-760+388)))</f>
        <v>25.2821998596191</v>
      </c>
      <c r="NZ98">
        <f>IF(ISERROR(INDEX(指数走势!$F$34:$ACK$34,1,LOOKUP(2,1/(指数走势!$F$34:$ACK$34&lt;&gt;""),COLUMN(指数走势!$F$34:$ACK$34))-COLUMN(指数走势!$F$34)+1-760+389)),NA(),IF(INDEX(指数走势!$F$34:$ACK$34,1,LOOKUP(2,1/(指数走势!$F$34:$ACK$34&lt;&gt;""),COLUMN(指数走势!$F$34:$ACK$34))-COLUMN(指数走势!$F$34)+1-760+389)=0,NA(),INDEX(指数走势!$F$34:$ACK$34,1,LOOKUP(2,1/(指数走势!$F$34:$ACK$34&lt;&gt;""),COLUMN(指数走势!$F$34:$ACK$34))-COLUMN(指数走势!$F$34)+1-760+389)))</f>
        <v>25.407600402832</v>
      </c>
      <c r="OA98">
        <f>IF(ISERROR(INDEX(指数走势!$F$34:$ACK$34,1,LOOKUP(2,1/(指数走势!$F$34:$ACK$34&lt;&gt;""),COLUMN(指数走势!$F$34:$ACK$34))-COLUMN(指数走势!$F$34)+1-760+390)),NA(),IF(INDEX(指数走势!$F$34:$ACK$34,1,LOOKUP(2,1/(指数走势!$F$34:$ACK$34&lt;&gt;""),COLUMN(指数走势!$F$34:$ACK$34))-COLUMN(指数走势!$F$34)+1-760+390)=0,NA(),INDEX(指数走势!$F$34:$ACK$34,1,LOOKUP(2,1/(指数走势!$F$34:$ACK$34&lt;&gt;""),COLUMN(指数走势!$F$34:$ACK$34))-COLUMN(指数走势!$F$34)+1-760+390)))</f>
        <v>25.3868007659912</v>
      </c>
      <c r="OB98">
        <f>IF(ISERROR(INDEX(指数走势!$F$34:$ACK$34,1,LOOKUP(2,1/(指数走势!$F$34:$ACK$34&lt;&gt;""),COLUMN(指数走势!$F$34:$ACK$34))-COLUMN(指数走势!$F$34)+1-760+391)),NA(),IF(INDEX(指数走势!$F$34:$ACK$34,1,LOOKUP(2,1/(指数走势!$F$34:$ACK$34&lt;&gt;""),COLUMN(指数走势!$F$34:$ACK$34))-COLUMN(指数走势!$F$34)+1-760+391)=0,NA(),INDEX(指数走势!$F$34:$ACK$34,1,LOOKUP(2,1/(指数走势!$F$34:$ACK$34&lt;&gt;""),COLUMN(指数走势!$F$34:$ACK$34))-COLUMN(指数走势!$F$34)+1-760+391)))</f>
        <v>25.1599006652832</v>
      </c>
      <c r="OC98">
        <f>IF(ISERROR(INDEX(指数走势!$F$34:$ACK$34,1,LOOKUP(2,1/(指数走势!$F$34:$ACK$34&lt;&gt;""),COLUMN(指数走势!$F$34:$ACK$34))-COLUMN(指数走势!$F$34)+1-760+392)),NA(),IF(INDEX(指数走势!$F$34:$ACK$34,1,LOOKUP(2,1/(指数走势!$F$34:$ACK$34&lt;&gt;""),COLUMN(指数走势!$F$34:$ACK$34))-COLUMN(指数走势!$F$34)+1-760+392)=0,NA(),INDEX(指数走势!$F$34:$ACK$34,1,LOOKUP(2,1/(指数走势!$F$34:$ACK$34&lt;&gt;""),COLUMN(指数走势!$F$34:$ACK$34))-COLUMN(指数走势!$F$34)+1-760+392)))</f>
        <v>25.4899997711182</v>
      </c>
      <c r="OD98">
        <f>IF(ISERROR(INDEX(指数走势!$F$34:$ACK$34,1,LOOKUP(2,1/(指数走势!$F$34:$ACK$34&lt;&gt;""),COLUMN(指数走势!$F$34:$ACK$34))-COLUMN(指数走势!$F$34)+1-760+393)),NA(),IF(INDEX(指数走势!$F$34:$ACK$34,1,LOOKUP(2,1/(指数走势!$F$34:$ACK$34&lt;&gt;""),COLUMN(指数走势!$F$34:$ACK$34))-COLUMN(指数走势!$F$34)+1-760+393)=0,NA(),INDEX(指数走势!$F$34:$ACK$34,1,LOOKUP(2,1/(指数走势!$F$34:$ACK$34&lt;&gt;""),COLUMN(指数走势!$F$34:$ACK$34))-COLUMN(指数走势!$F$34)+1-760+393)))</f>
        <v>25.3369007110596</v>
      </c>
      <c r="OE98">
        <f>IF(ISERROR(INDEX(指数走势!$F$34:$ACK$34,1,LOOKUP(2,1/(指数走势!$F$34:$ACK$34&lt;&gt;""),COLUMN(指数走势!$F$34:$ACK$34))-COLUMN(指数走势!$F$34)+1-760+394)),NA(),IF(INDEX(指数走势!$F$34:$ACK$34,1,LOOKUP(2,1/(指数走势!$F$34:$ACK$34&lt;&gt;""),COLUMN(指数走势!$F$34:$ACK$34))-COLUMN(指数走势!$F$34)+1-760+394)=0,NA(),INDEX(指数走势!$F$34:$ACK$34,1,LOOKUP(2,1/(指数走势!$F$34:$ACK$34&lt;&gt;""),COLUMN(指数走势!$F$34:$ACK$34))-COLUMN(指数走势!$F$34)+1-760+394)))</f>
        <v>25.4521999359131</v>
      </c>
      <c r="OF98">
        <f>IF(ISERROR(INDEX(指数走势!$F$34:$ACK$34,1,LOOKUP(2,1/(指数走势!$F$34:$ACK$34&lt;&gt;""),COLUMN(指数走势!$F$34:$ACK$34))-COLUMN(指数走势!$F$34)+1-760+395)),NA(),IF(INDEX(指数走势!$F$34:$ACK$34,1,LOOKUP(2,1/(指数走势!$F$34:$ACK$34&lt;&gt;""),COLUMN(指数走势!$F$34:$ACK$34))-COLUMN(指数走势!$F$34)+1-760+395)=0,NA(),INDEX(指数走势!$F$34:$ACK$34,1,LOOKUP(2,1/(指数走势!$F$34:$ACK$34&lt;&gt;""),COLUMN(指数走势!$F$34:$ACK$34))-COLUMN(指数走势!$F$34)+1-760+395)))</f>
        <v>25.4340991973877</v>
      </c>
      <c r="OG98">
        <f>IF(ISERROR(INDEX(指数走势!$F$34:$ACK$34,1,LOOKUP(2,1/(指数走势!$F$34:$ACK$34&lt;&gt;""),COLUMN(指数走势!$F$34:$ACK$34))-COLUMN(指数走势!$F$34)+1-760+396)),NA(),IF(INDEX(指数走势!$F$34:$ACK$34,1,LOOKUP(2,1/(指数走势!$F$34:$ACK$34&lt;&gt;""),COLUMN(指数走势!$F$34:$ACK$34))-COLUMN(指数走势!$F$34)+1-760+396)=0,NA(),INDEX(指数走势!$F$34:$ACK$34,1,LOOKUP(2,1/(指数走势!$F$34:$ACK$34&lt;&gt;""),COLUMN(指数走势!$F$34:$ACK$34))-COLUMN(指数走势!$F$34)+1-760+396)))</f>
        <v>25.4447994232178</v>
      </c>
      <c r="OH98">
        <f>IF(ISERROR(INDEX(指数走势!$F$34:$ACK$34,1,LOOKUP(2,1/(指数走势!$F$34:$ACK$34&lt;&gt;""),COLUMN(指数走势!$F$34:$ACK$34))-COLUMN(指数走势!$F$34)+1-760+397)),NA(),IF(INDEX(指数走势!$F$34:$ACK$34,1,LOOKUP(2,1/(指数走势!$F$34:$ACK$34&lt;&gt;""),COLUMN(指数走势!$F$34:$ACK$34))-COLUMN(指数走势!$F$34)+1-760+397)=0,NA(),INDEX(指数走势!$F$34:$ACK$34,1,LOOKUP(2,1/(指数走势!$F$34:$ACK$34&lt;&gt;""),COLUMN(指数走势!$F$34:$ACK$34))-COLUMN(指数走势!$F$34)+1-760+397)))</f>
        <v>24.8708992004395</v>
      </c>
      <c r="OI98">
        <f>IF(ISERROR(INDEX(指数走势!$F$34:$ACK$34,1,LOOKUP(2,1/(指数走势!$F$34:$ACK$34&lt;&gt;""),COLUMN(指数走势!$F$34:$ACK$34))-COLUMN(指数走势!$F$34)+1-760+398)),NA(),IF(INDEX(指数走势!$F$34:$ACK$34,1,LOOKUP(2,1/(指数走势!$F$34:$ACK$34&lt;&gt;""),COLUMN(指数走势!$F$34:$ACK$34))-COLUMN(指数走势!$F$34)+1-760+398)=0,NA(),INDEX(指数走势!$F$34:$ACK$34,1,LOOKUP(2,1/(指数走势!$F$34:$ACK$34&lt;&gt;""),COLUMN(指数走势!$F$34:$ACK$34))-COLUMN(指数走势!$F$34)+1-760+398)))</f>
        <v>24.095100402832</v>
      </c>
      <c r="OJ98">
        <f>IF(ISERROR(INDEX(指数走势!$F$34:$ACK$34,1,LOOKUP(2,1/(指数走势!$F$34:$ACK$34&lt;&gt;""),COLUMN(指数走势!$F$34:$ACK$34))-COLUMN(指数走势!$F$34)+1-760+399)),NA(),IF(INDEX(指数走势!$F$34:$ACK$34,1,LOOKUP(2,1/(指数走势!$F$34:$ACK$34&lt;&gt;""),COLUMN(指数走势!$F$34:$ACK$34))-COLUMN(指数走势!$F$34)+1-760+399)=0,NA(),INDEX(指数走势!$F$34:$ACK$34,1,LOOKUP(2,1/(指数走势!$F$34:$ACK$34&lt;&gt;""),COLUMN(指数走势!$F$34:$ACK$34))-COLUMN(指数走势!$F$34)+1-760+399)))</f>
        <v>23.6765003204346</v>
      </c>
      <c r="OK98">
        <f>IF(ISERROR(INDEX(指数走势!$F$34:$ACK$34,1,LOOKUP(2,1/(指数走势!$F$34:$ACK$34&lt;&gt;""),COLUMN(指数走势!$F$34:$ACK$34))-COLUMN(指数走势!$F$34)+1-760+400)),NA(),IF(INDEX(指数走势!$F$34:$ACK$34,1,LOOKUP(2,1/(指数走势!$F$34:$ACK$34&lt;&gt;""),COLUMN(指数走势!$F$34:$ACK$34))-COLUMN(指数走势!$F$34)+1-760+400)=0,NA(),INDEX(指数走势!$F$34:$ACK$34,1,LOOKUP(2,1/(指数走势!$F$34:$ACK$34&lt;&gt;""),COLUMN(指数走势!$F$34:$ACK$34))-COLUMN(指数走势!$F$34)+1-760+400)))</f>
        <v>23.6394996643066</v>
      </c>
      <c r="OL98">
        <f>IF(ISERROR(INDEX(指数走势!$F$34:$ACK$34,1,LOOKUP(2,1/(指数走势!$F$34:$ACK$34&lt;&gt;""),COLUMN(指数走势!$F$34:$ACK$34))-COLUMN(指数走势!$F$34)+1-760+401)),NA(),IF(INDEX(指数走势!$F$34:$ACK$34,1,LOOKUP(2,1/(指数走势!$F$34:$ACK$34&lt;&gt;""),COLUMN(指数走势!$F$34:$ACK$34))-COLUMN(指数走势!$F$34)+1-760+401)=0,NA(),INDEX(指数走势!$F$34:$ACK$34,1,LOOKUP(2,1/(指数走势!$F$34:$ACK$34&lt;&gt;""),COLUMN(指数走势!$F$34:$ACK$34))-COLUMN(指数走势!$F$34)+1-760+401)))</f>
        <v>23.8677997589111</v>
      </c>
      <c r="OM98">
        <f>IF(ISERROR(INDEX(指数走势!$F$34:$ACK$34,1,LOOKUP(2,1/(指数走势!$F$34:$ACK$34&lt;&gt;""),COLUMN(指数走势!$F$34:$ACK$34))-COLUMN(指数走势!$F$34)+1-760+402)),NA(),IF(INDEX(指数走势!$F$34:$ACK$34,1,LOOKUP(2,1/(指数走势!$F$34:$ACK$34&lt;&gt;""),COLUMN(指数走势!$F$34:$ACK$34))-COLUMN(指数走势!$F$34)+1-760+402)=0,NA(),INDEX(指数走势!$F$34:$ACK$34,1,LOOKUP(2,1/(指数走势!$F$34:$ACK$34&lt;&gt;""),COLUMN(指数走势!$F$34:$ACK$34))-COLUMN(指数走势!$F$34)+1-760+402)))</f>
        <v>23.7521991729736</v>
      </c>
      <c r="ON98">
        <f>IF(ISERROR(INDEX(指数走势!$F$34:$ACK$34,1,LOOKUP(2,1/(指数走势!$F$34:$ACK$34&lt;&gt;""),COLUMN(指数走势!$F$34:$ACK$34))-COLUMN(指数走势!$F$34)+1-760+403)),NA(),IF(INDEX(指数走势!$F$34:$ACK$34,1,LOOKUP(2,1/(指数走势!$F$34:$ACK$34&lt;&gt;""),COLUMN(指数走势!$F$34:$ACK$34))-COLUMN(指数走势!$F$34)+1-760+403)=0,NA(),INDEX(指数走势!$F$34:$ACK$34,1,LOOKUP(2,1/(指数走势!$F$34:$ACK$34&lt;&gt;""),COLUMN(指数走势!$F$34:$ACK$34))-COLUMN(指数走势!$F$34)+1-760+403)))</f>
        <v>23.7961006164551</v>
      </c>
      <c r="OO98">
        <f>IF(ISERROR(INDEX(指数走势!$F$34:$ACK$34,1,LOOKUP(2,1/(指数走势!$F$34:$ACK$34&lt;&gt;""),COLUMN(指数走势!$F$34:$ACK$34))-COLUMN(指数走势!$F$34)+1-760+404)),NA(),IF(INDEX(指数走势!$F$34:$ACK$34,1,LOOKUP(2,1/(指数走势!$F$34:$ACK$34&lt;&gt;""),COLUMN(指数走势!$F$34:$ACK$34))-COLUMN(指数走势!$F$34)+1-760+404)=0,NA(),INDEX(指数走势!$F$34:$ACK$34,1,LOOKUP(2,1/(指数走势!$F$34:$ACK$34&lt;&gt;""),COLUMN(指数走势!$F$34:$ACK$34))-COLUMN(指数走势!$F$34)+1-760+404)))</f>
        <v>23.3801002502441</v>
      </c>
      <c r="OP98">
        <f>IF(ISERROR(INDEX(指数走势!$F$34:$ACK$34,1,LOOKUP(2,1/(指数走势!$F$34:$ACK$34&lt;&gt;""),COLUMN(指数走势!$F$34:$ACK$34))-COLUMN(指数走势!$F$34)+1-760+405)),NA(),IF(INDEX(指数走势!$F$34:$ACK$34,1,LOOKUP(2,1/(指数走势!$F$34:$ACK$34&lt;&gt;""),COLUMN(指数走势!$F$34:$ACK$34))-COLUMN(指数走势!$F$34)+1-760+405)=0,NA(),INDEX(指数走势!$F$34:$ACK$34,1,LOOKUP(2,1/(指数走势!$F$34:$ACK$34&lt;&gt;""),COLUMN(指数走势!$F$34:$ACK$34))-COLUMN(指数走势!$F$34)+1-760+405)))</f>
        <v>23.3826999664307</v>
      </c>
      <c r="OQ98">
        <f>IF(ISERROR(INDEX(指数走势!$F$34:$ACK$34,1,LOOKUP(2,1/(指数走势!$F$34:$ACK$34&lt;&gt;""),COLUMN(指数走势!$F$34:$ACK$34))-COLUMN(指数走势!$F$34)+1-760+406)),NA(),IF(INDEX(指数走势!$F$34:$ACK$34,1,LOOKUP(2,1/(指数走势!$F$34:$ACK$34&lt;&gt;""),COLUMN(指数走势!$F$34:$ACK$34))-COLUMN(指数走势!$F$34)+1-760+406)=0,NA(),INDEX(指数走势!$F$34:$ACK$34,1,LOOKUP(2,1/(指数走势!$F$34:$ACK$34&lt;&gt;""),COLUMN(指数走势!$F$34:$ACK$34))-COLUMN(指数走势!$F$34)+1-760+406)))</f>
        <v>24.2385997772217</v>
      </c>
      <c r="OR98">
        <f>IF(ISERROR(INDEX(指数走势!$F$34:$ACK$34,1,LOOKUP(2,1/(指数走势!$F$34:$ACK$34&lt;&gt;""),COLUMN(指数走势!$F$34:$ACK$34))-COLUMN(指数走势!$F$34)+1-760+407)),NA(),IF(INDEX(指数走势!$F$34:$ACK$34,1,LOOKUP(2,1/(指数走势!$F$34:$ACK$34&lt;&gt;""),COLUMN(指数走势!$F$34:$ACK$34))-COLUMN(指数走势!$F$34)+1-760+407)=0,NA(),INDEX(指数走势!$F$34:$ACK$34,1,LOOKUP(2,1/(指数走势!$F$34:$ACK$34&lt;&gt;""),COLUMN(指数走势!$F$34:$ACK$34))-COLUMN(指数走势!$F$34)+1-760+407)))</f>
        <v>23.9995994567871</v>
      </c>
      <c r="OS98">
        <f>IF(ISERROR(INDEX(指数走势!$F$34:$ACK$34,1,LOOKUP(2,1/(指数走势!$F$34:$ACK$34&lt;&gt;""),COLUMN(指数走势!$F$34:$ACK$34))-COLUMN(指数走势!$F$34)+1-760+408)),NA(),IF(INDEX(指数走势!$F$34:$ACK$34,1,LOOKUP(2,1/(指数走势!$F$34:$ACK$34&lt;&gt;""),COLUMN(指数走势!$F$34:$ACK$34))-COLUMN(指数走势!$F$34)+1-760+408)=0,NA(),INDEX(指数走势!$F$34:$ACK$34,1,LOOKUP(2,1/(指数走势!$F$34:$ACK$34&lt;&gt;""),COLUMN(指数走势!$F$34:$ACK$34))-COLUMN(指数走势!$F$34)+1-760+408)))</f>
        <v>24.0699996948242</v>
      </c>
      <c r="OT98">
        <f>IF(ISERROR(INDEX(指数走势!$F$34:$ACK$34,1,LOOKUP(2,1/(指数走势!$F$34:$ACK$34&lt;&gt;""),COLUMN(指数走势!$F$34:$ACK$34))-COLUMN(指数走势!$F$34)+1-760+409)),NA(),IF(INDEX(指数走势!$F$34:$ACK$34,1,LOOKUP(2,1/(指数走势!$F$34:$ACK$34&lt;&gt;""),COLUMN(指数走势!$F$34:$ACK$34))-COLUMN(指数走势!$F$34)+1-760+409)=0,NA(),INDEX(指数走势!$F$34:$ACK$34,1,LOOKUP(2,1/(指数走势!$F$34:$ACK$34&lt;&gt;""),COLUMN(指数走势!$F$34:$ACK$34))-COLUMN(指数走势!$F$34)+1-760+409)))</f>
        <v>24.2140007019043</v>
      </c>
      <c r="OU98">
        <f>IF(ISERROR(INDEX(指数走势!$F$34:$ACK$34,1,LOOKUP(2,1/(指数走势!$F$34:$ACK$34&lt;&gt;""),COLUMN(指数走势!$F$34:$ACK$34))-COLUMN(指数走势!$F$34)+1-760+410)),NA(),IF(INDEX(指数走势!$F$34:$ACK$34,1,LOOKUP(2,1/(指数走势!$F$34:$ACK$34&lt;&gt;""),COLUMN(指数走势!$F$34:$ACK$34))-COLUMN(指数走势!$F$34)+1-760+410)=0,NA(),INDEX(指数走势!$F$34:$ACK$34,1,LOOKUP(2,1/(指数走势!$F$34:$ACK$34&lt;&gt;""),COLUMN(指数走势!$F$34:$ACK$34))-COLUMN(指数走势!$F$34)+1-760+410)))</f>
        <v>24.4284000396729</v>
      </c>
      <c r="OV98">
        <f>IF(ISERROR(INDEX(指数走势!$F$34:$ACK$34,1,LOOKUP(2,1/(指数走势!$F$34:$ACK$34&lt;&gt;""),COLUMN(指数走势!$F$34:$ACK$34))-COLUMN(指数走势!$F$34)+1-760+411)),NA(),IF(INDEX(指数走势!$F$34:$ACK$34,1,LOOKUP(2,1/(指数走势!$F$34:$ACK$34&lt;&gt;""),COLUMN(指数走势!$F$34:$ACK$34))-COLUMN(指数走势!$F$34)+1-760+411)=0,NA(),INDEX(指数走势!$F$34:$ACK$34,1,LOOKUP(2,1/(指数走势!$F$34:$ACK$34&lt;&gt;""),COLUMN(指数走势!$F$34:$ACK$34))-COLUMN(指数走势!$F$34)+1-760+411)))</f>
        <v>24.50830078125</v>
      </c>
      <c r="OW98">
        <f>IF(ISERROR(INDEX(指数走势!$F$34:$ACK$34,1,LOOKUP(2,1/(指数走势!$F$34:$ACK$34&lt;&gt;""),COLUMN(指数走势!$F$34:$ACK$34))-COLUMN(指数走势!$F$34)+1-760+412)),NA(),IF(INDEX(指数走势!$F$34:$ACK$34,1,LOOKUP(2,1/(指数走势!$F$34:$ACK$34&lt;&gt;""),COLUMN(指数走势!$F$34:$ACK$34))-COLUMN(指数走势!$F$34)+1-760+412)=0,NA(),INDEX(指数走势!$F$34:$ACK$34,1,LOOKUP(2,1/(指数走势!$F$34:$ACK$34&lt;&gt;""),COLUMN(指数走势!$F$34:$ACK$34))-COLUMN(指数走势!$F$34)+1-760+412)))</f>
        <v>24.4671001434326</v>
      </c>
      <c r="OX98">
        <f>IF(ISERROR(INDEX(指数走势!$F$34:$ACK$34,1,LOOKUP(2,1/(指数走势!$F$34:$ACK$34&lt;&gt;""),COLUMN(指数走势!$F$34:$ACK$34))-COLUMN(指数走势!$F$34)+1-760+413)),NA(),IF(INDEX(指数走势!$F$34:$ACK$34,1,LOOKUP(2,1/(指数走势!$F$34:$ACK$34&lt;&gt;""),COLUMN(指数走势!$F$34:$ACK$34))-COLUMN(指数走势!$F$34)+1-760+413)=0,NA(),INDEX(指数走势!$F$34:$ACK$34,1,LOOKUP(2,1/(指数走势!$F$34:$ACK$34&lt;&gt;""),COLUMN(指数走势!$F$34:$ACK$34))-COLUMN(指数走势!$F$34)+1-760+413)))</f>
        <v>24.3712005615234</v>
      </c>
      <c r="OY98">
        <f>IF(ISERROR(INDEX(指数走势!$F$34:$ACK$34,1,LOOKUP(2,1/(指数走势!$F$34:$ACK$34&lt;&gt;""),COLUMN(指数走势!$F$34:$ACK$34))-COLUMN(指数走势!$F$34)+1-760+414)),NA(),IF(INDEX(指数走势!$F$34:$ACK$34,1,LOOKUP(2,1/(指数走势!$F$34:$ACK$34&lt;&gt;""),COLUMN(指数走势!$F$34:$ACK$34))-COLUMN(指数走势!$F$34)+1-760+414)=0,NA(),INDEX(指数走势!$F$34:$ACK$34,1,LOOKUP(2,1/(指数走势!$F$34:$ACK$34&lt;&gt;""),COLUMN(指数走势!$F$34:$ACK$34))-COLUMN(指数走势!$F$34)+1-760+414)))</f>
        <v>24.627799987793</v>
      </c>
      <c r="OZ98">
        <f>IF(ISERROR(INDEX(指数走势!$F$34:$ACK$34,1,LOOKUP(2,1/(指数走势!$F$34:$ACK$34&lt;&gt;""),COLUMN(指数走势!$F$34:$ACK$34))-COLUMN(指数走势!$F$34)+1-760+415)),NA(),IF(INDEX(指数走势!$F$34:$ACK$34,1,LOOKUP(2,1/(指数走势!$F$34:$ACK$34&lt;&gt;""),COLUMN(指数走势!$F$34:$ACK$34))-COLUMN(指数走势!$F$34)+1-760+415)=0,NA(),INDEX(指数走势!$F$34:$ACK$34,1,LOOKUP(2,1/(指数走势!$F$34:$ACK$34&lt;&gt;""),COLUMN(指数走势!$F$34:$ACK$34))-COLUMN(指数走势!$F$34)+1-760+415)))</f>
        <v>24.3255004882813</v>
      </c>
      <c r="PA98">
        <f>IF(ISERROR(INDEX(指数走势!$F$34:$ACK$34,1,LOOKUP(2,1/(指数走势!$F$34:$ACK$34&lt;&gt;""),COLUMN(指数走势!$F$34:$ACK$34))-COLUMN(指数走势!$F$34)+1-760+416)),NA(),IF(INDEX(指数走势!$F$34:$ACK$34,1,LOOKUP(2,1/(指数走势!$F$34:$ACK$34&lt;&gt;""),COLUMN(指数走势!$F$34:$ACK$34))-COLUMN(指数走势!$F$34)+1-760+416)=0,NA(),INDEX(指数走势!$F$34:$ACK$34,1,LOOKUP(2,1/(指数走势!$F$34:$ACK$34&lt;&gt;""),COLUMN(指数走势!$F$34:$ACK$34))-COLUMN(指数走势!$F$34)+1-760+416)))</f>
        <v>24.3334999084473</v>
      </c>
      <c r="PB98">
        <f>IF(ISERROR(INDEX(指数走势!$F$34:$ACK$34,1,LOOKUP(2,1/(指数走势!$F$34:$ACK$34&lt;&gt;""),COLUMN(指数走势!$F$34:$ACK$34))-COLUMN(指数走势!$F$34)+1-760+417)),NA(),IF(INDEX(指数走势!$F$34:$ACK$34,1,LOOKUP(2,1/(指数走势!$F$34:$ACK$34&lt;&gt;""),COLUMN(指数走势!$F$34:$ACK$34))-COLUMN(指数走势!$F$34)+1-760+417)=0,NA(),INDEX(指数走势!$F$34:$ACK$34,1,LOOKUP(2,1/(指数走势!$F$34:$ACK$34&lt;&gt;""),COLUMN(指数走势!$F$34:$ACK$34))-COLUMN(指数走势!$F$34)+1-760+417)))</f>
        <v>24.8827991485596</v>
      </c>
      <c r="PC98">
        <f>IF(ISERROR(INDEX(指数走势!$F$34:$ACK$34,1,LOOKUP(2,1/(指数走势!$F$34:$ACK$34&lt;&gt;""),COLUMN(指数走势!$F$34:$ACK$34))-COLUMN(指数走势!$F$34)+1-760+418)),NA(),IF(INDEX(指数走势!$F$34:$ACK$34,1,LOOKUP(2,1/(指数走势!$F$34:$ACK$34&lt;&gt;""),COLUMN(指数走势!$F$34:$ACK$34))-COLUMN(指数走势!$F$34)+1-760+418)=0,NA(),INDEX(指数走势!$F$34:$ACK$34,1,LOOKUP(2,1/(指数走势!$F$34:$ACK$34&lt;&gt;""),COLUMN(指数走势!$F$34:$ACK$34))-COLUMN(指数走势!$F$34)+1-760+418)))</f>
        <v>25.3127002716064</v>
      </c>
      <c r="PD98">
        <f>IF(ISERROR(INDEX(指数走势!$F$34:$ACK$34,1,LOOKUP(2,1/(指数走势!$F$34:$ACK$34&lt;&gt;""),COLUMN(指数走势!$F$34:$ACK$34))-COLUMN(指数走势!$F$34)+1-760+419)),NA(),IF(INDEX(指数走势!$F$34:$ACK$34,1,LOOKUP(2,1/(指数走势!$F$34:$ACK$34&lt;&gt;""),COLUMN(指数走势!$F$34:$ACK$34))-COLUMN(指数走势!$F$34)+1-760+419)=0,NA(),INDEX(指数走势!$F$34:$ACK$34,1,LOOKUP(2,1/(指数走势!$F$34:$ACK$34&lt;&gt;""),COLUMN(指数走势!$F$34:$ACK$34))-COLUMN(指数走势!$F$34)+1-760+419)))</f>
        <v>25.448600769043</v>
      </c>
      <c r="PE98">
        <f>IF(ISERROR(INDEX(指数走势!$F$34:$ACK$34,1,LOOKUP(2,1/(指数走势!$F$34:$ACK$34&lt;&gt;""),COLUMN(指数走势!$F$34:$ACK$34))-COLUMN(指数走势!$F$34)+1-760+420)),NA(),IF(INDEX(指数走势!$F$34:$ACK$34,1,LOOKUP(2,1/(指数走势!$F$34:$ACK$34&lt;&gt;""),COLUMN(指数走势!$F$34:$ACK$34))-COLUMN(指数走势!$F$34)+1-760+420)=0,NA(),INDEX(指数走势!$F$34:$ACK$34,1,LOOKUP(2,1/(指数走势!$F$34:$ACK$34&lt;&gt;""),COLUMN(指数走势!$F$34:$ACK$34))-COLUMN(指数走势!$F$34)+1-760+420)))</f>
        <v>25.2817001342773</v>
      </c>
      <c r="PF98">
        <f>IF(ISERROR(INDEX(指数走势!$F$34:$ACK$34,1,LOOKUP(2,1/(指数走势!$F$34:$ACK$34&lt;&gt;""),COLUMN(指数走势!$F$34:$ACK$34))-COLUMN(指数走势!$F$34)+1-760+421)),NA(),IF(INDEX(指数走势!$F$34:$ACK$34,1,LOOKUP(2,1/(指数走势!$F$34:$ACK$34&lt;&gt;""),COLUMN(指数走势!$F$34:$ACK$34))-COLUMN(指数走势!$F$34)+1-760+421)=0,NA(),INDEX(指数走势!$F$34:$ACK$34,1,LOOKUP(2,1/(指数走势!$F$34:$ACK$34&lt;&gt;""),COLUMN(指数走势!$F$34:$ACK$34))-COLUMN(指数走势!$F$34)+1-760+421)))</f>
        <v>25.6357002258301</v>
      </c>
      <c r="PG98">
        <f>IF(ISERROR(INDEX(指数走势!$F$34:$ACK$34,1,LOOKUP(2,1/(指数走势!$F$34:$ACK$34&lt;&gt;""),COLUMN(指数走势!$F$34:$ACK$34))-COLUMN(指数走势!$F$34)+1-760+422)),NA(),IF(INDEX(指数走势!$F$34:$ACK$34,1,LOOKUP(2,1/(指数走势!$F$34:$ACK$34&lt;&gt;""),COLUMN(指数走势!$F$34:$ACK$34))-COLUMN(指数走势!$F$34)+1-760+422)=0,NA(),INDEX(指数走势!$F$34:$ACK$34,1,LOOKUP(2,1/(指数走势!$F$34:$ACK$34&lt;&gt;""),COLUMN(指数走势!$F$34:$ACK$34))-COLUMN(指数走势!$F$34)+1-760+422)))</f>
        <v>25.4743003845215</v>
      </c>
      <c r="PH98">
        <f>IF(ISERROR(INDEX(指数走势!$F$34:$ACK$34,1,LOOKUP(2,1/(指数走势!$F$34:$ACK$34&lt;&gt;""),COLUMN(指数走势!$F$34:$ACK$34))-COLUMN(指数走势!$F$34)+1-760+423)),NA(),IF(INDEX(指数走势!$F$34:$ACK$34,1,LOOKUP(2,1/(指数走势!$F$34:$ACK$34&lt;&gt;""),COLUMN(指数走势!$F$34:$ACK$34))-COLUMN(指数走势!$F$34)+1-760+423)=0,NA(),INDEX(指数走势!$F$34:$ACK$34,1,LOOKUP(2,1/(指数走势!$F$34:$ACK$34&lt;&gt;""),COLUMN(指数走势!$F$34:$ACK$34))-COLUMN(指数走势!$F$34)+1-760+423)))</f>
        <v>25.7576007843018</v>
      </c>
      <c r="PI98">
        <f>IF(ISERROR(INDEX(指数走势!$F$34:$ACK$34,1,LOOKUP(2,1/(指数走势!$F$34:$ACK$34&lt;&gt;""),COLUMN(指数走势!$F$34:$ACK$34))-COLUMN(指数走势!$F$34)+1-760+424)),NA(),IF(INDEX(指数走势!$F$34:$ACK$34,1,LOOKUP(2,1/(指数走势!$F$34:$ACK$34&lt;&gt;""),COLUMN(指数走势!$F$34:$ACK$34))-COLUMN(指数走势!$F$34)+1-760+424)=0,NA(),INDEX(指数走势!$F$34:$ACK$34,1,LOOKUP(2,1/(指数走势!$F$34:$ACK$34&lt;&gt;""),COLUMN(指数走势!$F$34:$ACK$34))-COLUMN(指数走势!$F$34)+1-760+424)))</f>
        <v>25.8234004974365</v>
      </c>
      <c r="PJ98">
        <f>IF(ISERROR(INDEX(指数走势!$F$34:$ACK$34,1,LOOKUP(2,1/(指数走势!$F$34:$ACK$34&lt;&gt;""),COLUMN(指数走势!$F$34:$ACK$34))-COLUMN(指数走势!$F$34)+1-760+425)),NA(),IF(INDEX(指数走势!$F$34:$ACK$34,1,LOOKUP(2,1/(指数走势!$F$34:$ACK$34&lt;&gt;""),COLUMN(指数走势!$F$34:$ACK$34))-COLUMN(指数走势!$F$34)+1-760+425)=0,NA(),INDEX(指数走势!$F$34:$ACK$34,1,LOOKUP(2,1/(指数走势!$F$34:$ACK$34&lt;&gt;""),COLUMN(指数走势!$F$34:$ACK$34))-COLUMN(指数走势!$F$34)+1-760+425)))</f>
        <v>25.4375991821289</v>
      </c>
      <c r="PK98">
        <f>IF(ISERROR(INDEX(指数走势!$F$34:$ACK$34,1,LOOKUP(2,1/(指数走势!$F$34:$ACK$34&lt;&gt;""),COLUMN(指数走势!$F$34:$ACK$34))-COLUMN(指数走势!$F$34)+1-760+426)),NA(),IF(INDEX(指数走势!$F$34:$ACK$34,1,LOOKUP(2,1/(指数走势!$F$34:$ACK$34&lt;&gt;""),COLUMN(指数走势!$F$34:$ACK$34))-COLUMN(指数走势!$F$34)+1-760+426)=0,NA(),INDEX(指数走势!$F$34:$ACK$34,1,LOOKUP(2,1/(指数走势!$F$34:$ACK$34&lt;&gt;""),COLUMN(指数走势!$F$34:$ACK$34))-COLUMN(指数走势!$F$34)+1-760+426)))</f>
        <v>25.7863006591797</v>
      </c>
      <c r="PL98">
        <f>IF(ISERROR(INDEX(指数走势!$F$34:$ACK$34,1,LOOKUP(2,1/(指数走势!$F$34:$ACK$34&lt;&gt;""),COLUMN(指数走势!$F$34:$ACK$34))-COLUMN(指数走势!$F$34)+1-760+427)),NA(),IF(INDEX(指数走势!$F$34:$ACK$34,1,LOOKUP(2,1/(指数走势!$F$34:$ACK$34&lt;&gt;""),COLUMN(指数走势!$F$34:$ACK$34))-COLUMN(指数走势!$F$34)+1-760+427)=0,NA(),INDEX(指数走势!$F$34:$ACK$34,1,LOOKUP(2,1/(指数走势!$F$34:$ACK$34&lt;&gt;""),COLUMN(指数走势!$F$34:$ACK$34))-COLUMN(指数走势!$F$34)+1-760+427)))</f>
        <v>25.8341007232666</v>
      </c>
      <c r="PM98">
        <f>IF(ISERROR(INDEX(指数走势!$F$34:$ACK$34,1,LOOKUP(2,1/(指数走势!$F$34:$ACK$34&lt;&gt;""),COLUMN(指数走势!$F$34:$ACK$34))-COLUMN(指数走势!$F$34)+1-760+428)),NA(),IF(INDEX(指数走势!$F$34:$ACK$34,1,LOOKUP(2,1/(指数走势!$F$34:$ACK$34&lt;&gt;""),COLUMN(指数走势!$F$34:$ACK$34))-COLUMN(指数走势!$F$34)+1-760+428)=0,NA(),INDEX(指数走势!$F$34:$ACK$34,1,LOOKUP(2,1/(指数走势!$F$34:$ACK$34&lt;&gt;""),COLUMN(指数走势!$F$34:$ACK$34))-COLUMN(指数走势!$F$34)+1-760+428)))</f>
        <v>26.1439990997314</v>
      </c>
      <c r="PN98">
        <f>IF(ISERROR(INDEX(指数走势!$F$34:$ACK$34,1,LOOKUP(2,1/(指数走势!$F$34:$ACK$34&lt;&gt;""),COLUMN(指数走势!$F$34:$ACK$34))-COLUMN(指数走势!$F$34)+1-760+429)),NA(),IF(INDEX(指数走势!$F$34:$ACK$34,1,LOOKUP(2,1/(指数走势!$F$34:$ACK$34&lt;&gt;""),COLUMN(指数走势!$F$34:$ACK$34))-COLUMN(指数走势!$F$34)+1-760+429)=0,NA(),INDEX(指数走势!$F$34:$ACK$34,1,LOOKUP(2,1/(指数走势!$F$34:$ACK$34&lt;&gt;""),COLUMN(指数走势!$F$34:$ACK$34))-COLUMN(指数走势!$F$34)+1-760+429)))</f>
        <v>26.1891994476318</v>
      </c>
      <c r="PO98">
        <f>IF(ISERROR(INDEX(指数走势!$F$34:$ACK$34,1,LOOKUP(2,1/(指数走势!$F$34:$ACK$34&lt;&gt;""),COLUMN(指数走势!$F$34:$ACK$34))-COLUMN(指数走势!$F$34)+1-760+430)),NA(),IF(INDEX(指数走势!$F$34:$ACK$34,1,LOOKUP(2,1/(指数走势!$F$34:$ACK$34&lt;&gt;""),COLUMN(指数走势!$F$34:$ACK$34))-COLUMN(指数走势!$F$34)+1-760+430)=0,NA(),INDEX(指数走势!$F$34:$ACK$34,1,LOOKUP(2,1/(指数走势!$F$34:$ACK$34&lt;&gt;""),COLUMN(指数走势!$F$34:$ACK$34))-COLUMN(指数走势!$F$34)+1-760+430)))</f>
        <v>25.8610992431641</v>
      </c>
      <c r="PP98">
        <f>IF(ISERROR(INDEX(指数走势!$F$34:$ACK$34,1,LOOKUP(2,1/(指数走势!$F$34:$ACK$34&lt;&gt;""),COLUMN(指数走势!$F$34:$ACK$34))-COLUMN(指数走势!$F$34)+1-760+431)),NA(),IF(INDEX(指数走势!$F$34:$ACK$34,1,LOOKUP(2,1/(指数走势!$F$34:$ACK$34&lt;&gt;""),COLUMN(指数走势!$F$34:$ACK$34))-COLUMN(指数走势!$F$34)+1-760+431)=0,NA(),INDEX(指数走势!$F$34:$ACK$34,1,LOOKUP(2,1/(指数走势!$F$34:$ACK$34&lt;&gt;""),COLUMN(指数走势!$F$34:$ACK$34))-COLUMN(指数走势!$F$34)+1-760+431)))</f>
        <v>26.0680999755859</v>
      </c>
      <c r="PQ98">
        <f>IF(ISERROR(INDEX(指数走势!$F$34:$ACK$34,1,LOOKUP(2,1/(指数走势!$F$34:$ACK$34&lt;&gt;""),COLUMN(指数走势!$F$34:$ACK$34))-COLUMN(指数走势!$F$34)+1-760+432)),NA(),IF(INDEX(指数走势!$F$34:$ACK$34,1,LOOKUP(2,1/(指数走势!$F$34:$ACK$34&lt;&gt;""),COLUMN(指数走势!$F$34:$ACK$34))-COLUMN(指数走势!$F$34)+1-760+432)=0,NA(),INDEX(指数走势!$F$34:$ACK$34,1,LOOKUP(2,1/(指数走势!$F$34:$ACK$34&lt;&gt;""),COLUMN(指数走势!$F$34:$ACK$34))-COLUMN(指数走势!$F$34)+1-760+432)))</f>
        <v>26.0321998596191</v>
      </c>
      <c r="PR98">
        <f>IF(ISERROR(INDEX(指数走势!$F$34:$ACK$34,1,LOOKUP(2,1/(指数走势!$F$34:$ACK$34&lt;&gt;""),COLUMN(指数走势!$F$34:$ACK$34))-COLUMN(指数走势!$F$34)+1-760+433)),NA(),IF(INDEX(指数走势!$F$34:$ACK$34,1,LOOKUP(2,1/(指数走势!$F$34:$ACK$34&lt;&gt;""),COLUMN(指数走势!$F$34:$ACK$34))-COLUMN(指数走势!$F$34)+1-760+433)=0,NA(),INDEX(指数走势!$F$34:$ACK$34,1,LOOKUP(2,1/(指数走势!$F$34:$ACK$34&lt;&gt;""),COLUMN(指数走势!$F$34:$ACK$34))-COLUMN(指数走势!$F$34)+1-760+433)))</f>
        <v>25.3570003509521</v>
      </c>
      <c r="PS98">
        <f>IF(ISERROR(INDEX(指数走势!$F$34:$ACK$34,1,LOOKUP(2,1/(指数走势!$F$34:$ACK$34&lt;&gt;""),COLUMN(指数走势!$F$34:$ACK$34))-COLUMN(指数走势!$F$34)+1-760+434)),NA(),IF(INDEX(指数走势!$F$34:$ACK$34,1,LOOKUP(2,1/(指数走势!$F$34:$ACK$34&lt;&gt;""),COLUMN(指数走势!$F$34:$ACK$34))-COLUMN(指数走势!$F$34)+1-760+434)=0,NA(),INDEX(指数走势!$F$34:$ACK$34,1,LOOKUP(2,1/(指数走势!$F$34:$ACK$34&lt;&gt;""),COLUMN(指数走势!$F$34:$ACK$34))-COLUMN(指数走势!$F$34)+1-760+434)))</f>
        <v>25.472900390625</v>
      </c>
      <c r="PT98">
        <f>IF(ISERROR(INDEX(指数走势!$F$34:$ACK$34,1,LOOKUP(2,1/(指数走势!$F$34:$ACK$34&lt;&gt;""),COLUMN(指数走势!$F$34:$ACK$34))-COLUMN(指数走势!$F$34)+1-760+435)),NA(),IF(INDEX(指数走势!$F$34:$ACK$34,1,LOOKUP(2,1/(指数走势!$F$34:$ACK$34&lt;&gt;""),COLUMN(指数走势!$F$34:$ACK$34))-COLUMN(指数走势!$F$34)+1-760+435)=0,NA(),INDEX(指数走势!$F$34:$ACK$34,1,LOOKUP(2,1/(指数走势!$F$34:$ACK$34&lt;&gt;""),COLUMN(指数走势!$F$34:$ACK$34))-COLUMN(指数走势!$F$34)+1-760+435)))</f>
        <v>25.5112991333008</v>
      </c>
      <c r="PU98">
        <f>IF(ISERROR(INDEX(指数走势!$F$34:$ACK$34,1,LOOKUP(2,1/(指数走势!$F$34:$ACK$34&lt;&gt;""),COLUMN(指数走势!$F$34:$ACK$34))-COLUMN(指数走势!$F$34)+1-760+436)),NA(),IF(INDEX(指数走势!$F$34:$ACK$34,1,LOOKUP(2,1/(指数走势!$F$34:$ACK$34&lt;&gt;""),COLUMN(指数走势!$F$34:$ACK$34))-COLUMN(指数走势!$F$34)+1-760+436)=0,NA(),INDEX(指数走势!$F$34:$ACK$34,1,LOOKUP(2,1/(指数走势!$F$34:$ACK$34&lt;&gt;""),COLUMN(指数走势!$F$34:$ACK$34))-COLUMN(指数走势!$F$34)+1-760+436)))</f>
        <v>25.5811996459961</v>
      </c>
      <c r="PV98">
        <f>IF(ISERROR(INDEX(指数走势!$F$34:$ACK$34,1,LOOKUP(2,1/(指数走势!$F$34:$ACK$34&lt;&gt;""),COLUMN(指数走势!$F$34:$ACK$34))-COLUMN(指数走势!$F$34)+1-760+437)),NA(),IF(INDEX(指数走势!$F$34:$ACK$34,1,LOOKUP(2,1/(指数走势!$F$34:$ACK$34&lt;&gt;""),COLUMN(指数走势!$F$34:$ACK$34))-COLUMN(指数走势!$F$34)+1-760+437)=0,NA(),INDEX(指数走势!$F$34:$ACK$34,1,LOOKUP(2,1/(指数走势!$F$34:$ACK$34&lt;&gt;""),COLUMN(指数走势!$F$34:$ACK$34))-COLUMN(指数走势!$F$34)+1-760+437)))</f>
        <v>26.0083999633789</v>
      </c>
      <c r="PW98">
        <f>IF(ISERROR(INDEX(指数走势!$F$34:$ACK$34,1,LOOKUP(2,1/(指数走势!$F$34:$ACK$34&lt;&gt;""),COLUMN(指数走势!$F$34:$ACK$34))-COLUMN(指数走势!$F$34)+1-760+438)),NA(),IF(INDEX(指数走势!$F$34:$ACK$34,1,LOOKUP(2,1/(指数走势!$F$34:$ACK$34&lt;&gt;""),COLUMN(指数走势!$F$34:$ACK$34))-COLUMN(指数走势!$F$34)+1-760+438)=0,NA(),INDEX(指数走势!$F$34:$ACK$34,1,LOOKUP(2,1/(指数走势!$F$34:$ACK$34&lt;&gt;""),COLUMN(指数走势!$F$34:$ACK$34))-COLUMN(指数走势!$F$34)+1-760+438)))</f>
        <v>25.8843002319336</v>
      </c>
      <c r="PX98">
        <f>IF(ISERROR(INDEX(指数走势!$F$34:$ACK$34,1,LOOKUP(2,1/(指数走势!$F$34:$ACK$34&lt;&gt;""),COLUMN(指数走势!$F$34:$ACK$34))-COLUMN(指数走势!$F$34)+1-760+439)),NA(),IF(INDEX(指数走势!$F$34:$ACK$34,1,LOOKUP(2,1/(指数走势!$F$34:$ACK$34&lt;&gt;""),COLUMN(指数走势!$F$34:$ACK$34))-COLUMN(指数走势!$F$34)+1-760+439)=0,NA(),INDEX(指数走势!$F$34:$ACK$34,1,LOOKUP(2,1/(指数走势!$F$34:$ACK$34&lt;&gt;""),COLUMN(指数走势!$F$34:$ACK$34))-COLUMN(指数走势!$F$34)+1-760+439)))</f>
        <v>25.8320007324219</v>
      </c>
      <c r="PY98">
        <f>IF(ISERROR(INDEX(指数走势!$F$34:$ACK$34,1,LOOKUP(2,1/(指数走势!$F$34:$ACK$34&lt;&gt;""),COLUMN(指数走势!$F$34:$ACK$34))-COLUMN(指数走势!$F$34)+1-760+440)),NA(),IF(INDEX(指数走势!$F$34:$ACK$34,1,LOOKUP(2,1/(指数走势!$F$34:$ACK$34&lt;&gt;""),COLUMN(指数走势!$F$34:$ACK$34))-COLUMN(指数走势!$F$34)+1-760+440)=0,NA(),INDEX(指数走势!$F$34:$ACK$34,1,LOOKUP(2,1/(指数走势!$F$34:$ACK$34&lt;&gt;""),COLUMN(指数走势!$F$34:$ACK$34))-COLUMN(指数走势!$F$34)+1-760+440)))</f>
        <v>25.9055995941162</v>
      </c>
      <c r="PZ98">
        <f>IF(ISERROR(INDEX(指数走势!$F$34:$ACK$34,1,LOOKUP(2,1/(指数走势!$F$34:$ACK$34&lt;&gt;""),COLUMN(指数走势!$F$34:$ACK$34))-COLUMN(指数走势!$F$34)+1-760+441)),NA(),IF(INDEX(指数走势!$F$34:$ACK$34,1,LOOKUP(2,1/(指数走势!$F$34:$ACK$34&lt;&gt;""),COLUMN(指数走势!$F$34:$ACK$34))-COLUMN(指数走势!$F$34)+1-760+441)=0,NA(),INDEX(指数走势!$F$34:$ACK$34,1,LOOKUP(2,1/(指数走势!$F$34:$ACK$34&lt;&gt;""),COLUMN(指数走势!$F$34:$ACK$34))-COLUMN(指数走势!$F$34)+1-760+441)))</f>
        <v>25.8693008422852</v>
      </c>
      <c r="QA98">
        <f>IF(ISERROR(INDEX(指数走势!$F$34:$ACK$34,1,LOOKUP(2,1/(指数走势!$F$34:$ACK$34&lt;&gt;""),COLUMN(指数走势!$F$34:$ACK$34))-COLUMN(指数走势!$F$34)+1-760+442)),NA(),IF(INDEX(指数走势!$F$34:$ACK$34,1,LOOKUP(2,1/(指数走势!$F$34:$ACK$34&lt;&gt;""),COLUMN(指数走势!$F$34:$ACK$34))-COLUMN(指数走势!$F$34)+1-760+442)=0,NA(),INDEX(指数走势!$F$34:$ACK$34,1,LOOKUP(2,1/(指数走势!$F$34:$ACK$34&lt;&gt;""),COLUMN(指数走势!$F$34:$ACK$34))-COLUMN(指数走势!$F$34)+1-760+442)))</f>
        <v>25.6497993469238</v>
      </c>
      <c r="QB98">
        <f>IF(ISERROR(INDEX(指数走势!$F$34:$ACK$34,1,LOOKUP(2,1/(指数走势!$F$34:$ACK$34&lt;&gt;""),COLUMN(指数走势!$F$34:$ACK$34))-COLUMN(指数走势!$F$34)+1-760+443)),NA(),IF(INDEX(指数走势!$F$34:$ACK$34,1,LOOKUP(2,1/(指数走势!$F$34:$ACK$34&lt;&gt;""),COLUMN(指数走势!$F$34:$ACK$34))-COLUMN(指数走势!$F$34)+1-760+443)=0,NA(),INDEX(指数走势!$F$34:$ACK$34,1,LOOKUP(2,1/(指数走势!$F$34:$ACK$34&lt;&gt;""),COLUMN(指数走势!$F$34:$ACK$34))-COLUMN(指数走势!$F$34)+1-760+443)))</f>
        <v>26.2476997375488</v>
      </c>
      <c r="QC98">
        <f>IF(ISERROR(INDEX(指数走势!$F$34:$ACK$34,1,LOOKUP(2,1/(指数走势!$F$34:$ACK$34&lt;&gt;""),COLUMN(指数走势!$F$34:$ACK$34))-COLUMN(指数走势!$F$34)+1-760+444)),NA(),IF(INDEX(指数走势!$F$34:$ACK$34,1,LOOKUP(2,1/(指数走势!$F$34:$ACK$34&lt;&gt;""),COLUMN(指数走势!$F$34:$ACK$34))-COLUMN(指数走势!$F$34)+1-760+444)=0,NA(),INDEX(指数走势!$F$34:$ACK$34,1,LOOKUP(2,1/(指数走势!$F$34:$ACK$34&lt;&gt;""),COLUMN(指数走势!$F$34:$ACK$34))-COLUMN(指数走势!$F$34)+1-760+444)))</f>
        <v>26.1646003723145</v>
      </c>
      <c r="QD98">
        <f>IF(ISERROR(INDEX(指数走势!$F$34:$ACK$34,1,LOOKUP(2,1/(指数走势!$F$34:$ACK$34&lt;&gt;""),COLUMN(指数走势!$F$34:$ACK$34))-COLUMN(指数走势!$F$34)+1-760+445)),NA(),IF(INDEX(指数走势!$F$34:$ACK$34,1,LOOKUP(2,1/(指数走势!$F$34:$ACK$34&lt;&gt;""),COLUMN(指数走势!$F$34:$ACK$34))-COLUMN(指数走势!$F$34)+1-760+445)=0,NA(),INDEX(指数走势!$F$34:$ACK$34,1,LOOKUP(2,1/(指数走势!$F$34:$ACK$34&lt;&gt;""),COLUMN(指数走势!$F$34:$ACK$34))-COLUMN(指数走势!$F$34)+1-760+445)))</f>
        <v>26.2773990631104</v>
      </c>
      <c r="QE98">
        <f>IF(ISERROR(INDEX(指数走势!$F$34:$ACK$34,1,LOOKUP(2,1/(指数走势!$F$34:$ACK$34&lt;&gt;""),COLUMN(指数走势!$F$34:$ACK$34))-COLUMN(指数走势!$F$34)+1-760+446)),NA(),IF(INDEX(指数走势!$F$34:$ACK$34,1,LOOKUP(2,1/(指数走势!$F$34:$ACK$34&lt;&gt;""),COLUMN(指数走势!$F$34:$ACK$34))-COLUMN(指数走势!$F$34)+1-760+446)=0,NA(),INDEX(指数走势!$F$34:$ACK$34,1,LOOKUP(2,1/(指数走势!$F$34:$ACK$34&lt;&gt;""),COLUMN(指数走势!$F$34:$ACK$34))-COLUMN(指数走势!$F$34)+1-760+446)))</f>
        <v>26.2198009490967</v>
      </c>
      <c r="QF98">
        <f>IF(ISERROR(INDEX(指数走势!$F$34:$ACK$34,1,LOOKUP(2,1/(指数走势!$F$34:$ACK$34&lt;&gt;""),COLUMN(指数走势!$F$34:$ACK$34))-COLUMN(指数走势!$F$34)+1-760+447)),NA(),IF(INDEX(指数走势!$F$34:$ACK$34,1,LOOKUP(2,1/(指数走势!$F$34:$ACK$34&lt;&gt;""),COLUMN(指数走势!$F$34:$ACK$34))-COLUMN(指数走势!$F$34)+1-760+447)=0,NA(),INDEX(指数走势!$F$34:$ACK$34,1,LOOKUP(2,1/(指数走势!$F$34:$ACK$34&lt;&gt;""),COLUMN(指数走势!$F$34:$ACK$34))-COLUMN(指数走势!$F$34)+1-760+447)))</f>
        <v>25.7289009094238</v>
      </c>
      <c r="QG98">
        <f>IF(ISERROR(INDEX(指数走势!$F$34:$ACK$34,1,LOOKUP(2,1/(指数走势!$F$34:$ACK$34&lt;&gt;""),COLUMN(指数走势!$F$34:$ACK$34))-COLUMN(指数走势!$F$34)+1-760+448)),NA(),IF(INDEX(指数走势!$F$34:$ACK$34,1,LOOKUP(2,1/(指数走势!$F$34:$ACK$34&lt;&gt;""),COLUMN(指数走势!$F$34:$ACK$34))-COLUMN(指数走势!$F$34)+1-760+448)=0,NA(),INDEX(指数走势!$F$34:$ACK$34,1,LOOKUP(2,1/(指数走势!$F$34:$ACK$34&lt;&gt;""),COLUMN(指数走势!$F$34:$ACK$34))-COLUMN(指数走势!$F$34)+1-760+448)))</f>
        <v>25.2817993164063</v>
      </c>
      <c r="QH98">
        <f>IF(ISERROR(INDEX(指数走势!$F$34:$ACK$34,1,LOOKUP(2,1/(指数走势!$F$34:$ACK$34&lt;&gt;""),COLUMN(指数走势!$F$34:$ACK$34))-COLUMN(指数走势!$F$34)+1-760+449)),NA(),IF(INDEX(指数走势!$F$34:$ACK$34,1,LOOKUP(2,1/(指数走势!$F$34:$ACK$34&lt;&gt;""),COLUMN(指数走势!$F$34:$ACK$34))-COLUMN(指数走势!$F$34)+1-760+449)=0,NA(),INDEX(指数走势!$F$34:$ACK$34,1,LOOKUP(2,1/(指数走势!$F$34:$ACK$34&lt;&gt;""),COLUMN(指数走势!$F$34:$ACK$34))-COLUMN(指数走势!$F$34)+1-760+449)))</f>
        <v>25.1462001800537</v>
      </c>
      <c r="QI98">
        <f>IF(ISERROR(INDEX(指数走势!$F$34:$ACK$34,1,LOOKUP(2,1/(指数走势!$F$34:$ACK$34&lt;&gt;""),COLUMN(指数走势!$F$34:$ACK$34))-COLUMN(指数走势!$F$34)+1-760+450)),NA(),IF(INDEX(指数走势!$F$34:$ACK$34,1,LOOKUP(2,1/(指数走势!$F$34:$ACK$34&lt;&gt;""),COLUMN(指数走势!$F$34:$ACK$34))-COLUMN(指数走势!$F$34)+1-760+450)=0,NA(),INDEX(指数走势!$F$34:$ACK$34,1,LOOKUP(2,1/(指数走势!$F$34:$ACK$34&lt;&gt;""),COLUMN(指数走势!$F$34:$ACK$34))-COLUMN(指数走势!$F$34)+1-760+450)))</f>
        <v>24.9197998046875</v>
      </c>
      <c r="QJ98">
        <f>IF(ISERROR(INDEX(指数走势!$F$34:$ACK$34,1,LOOKUP(2,1/(指数走势!$F$34:$ACK$34&lt;&gt;""),COLUMN(指数走势!$F$34:$ACK$34))-COLUMN(指数走势!$F$34)+1-760+451)),NA(),IF(INDEX(指数走势!$F$34:$ACK$34,1,LOOKUP(2,1/(指数走势!$F$34:$ACK$34&lt;&gt;""),COLUMN(指数走势!$F$34:$ACK$34))-COLUMN(指数走势!$F$34)+1-760+451)=0,NA(),INDEX(指数走势!$F$34:$ACK$34,1,LOOKUP(2,1/(指数走势!$F$34:$ACK$34&lt;&gt;""),COLUMN(指数走势!$F$34:$ACK$34))-COLUMN(指数走势!$F$34)+1-760+451)))</f>
        <v>24.9174003601074</v>
      </c>
      <c r="QK98">
        <f>IF(ISERROR(INDEX(指数走势!$F$34:$ACK$34,1,LOOKUP(2,1/(指数走势!$F$34:$ACK$34&lt;&gt;""),COLUMN(指数走势!$F$34:$ACK$34))-COLUMN(指数走势!$F$34)+1-760+452)),NA(),IF(INDEX(指数走势!$F$34:$ACK$34,1,LOOKUP(2,1/(指数走势!$F$34:$ACK$34&lt;&gt;""),COLUMN(指数走势!$F$34:$ACK$34))-COLUMN(指数走势!$F$34)+1-760+452)=0,NA(),INDEX(指数走势!$F$34:$ACK$34,1,LOOKUP(2,1/(指数走势!$F$34:$ACK$34&lt;&gt;""),COLUMN(指数走势!$F$34:$ACK$34))-COLUMN(指数走势!$F$34)+1-760+452)))</f>
        <v>25.0468997955322</v>
      </c>
      <c r="QL98">
        <f>IF(ISERROR(INDEX(指数走势!$F$34:$ACK$34,1,LOOKUP(2,1/(指数走势!$F$34:$ACK$34&lt;&gt;""),COLUMN(指数走势!$F$34:$ACK$34))-COLUMN(指数走势!$F$34)+1-760+453)),NA(),IF(INDEX(指数走势!$F$34:$ACK$34,1,LOOKUP(2,1/(指数走势!$F$34:$ACK$34&lt;&gt;""),COLUMN(指数走势!$F$34:$ACK$34))-COLUMN(指数走势!$F$34)+1-760+453)=0,NA(),INDEX(指数走势!$F$34:$ACK$34,1,LOOKUP(2,1/(指数走势!$F$34:$ACK$34&lt;&gt;""),COLUMN(指数走势!$F$34:$ACK$34))-COLUMN(指数走势!$F$34)+1-760+453)))</f>
        <v>24.8698997497559</v>
      </c>
      <c r="QM98">
        <f>IF(ISERROR(INDEX(指数走势!$F$34:$ACK$34,1,LOOKUP(2,1/(指数走势!$F$34:$ACK$34&lt;&gt;""),COLUMN(指数走势!$F$34:$ACK$34))-COLUMN(指数走势!$F$34)+1-760+454)),NA(),IF(INDEX(指数走势!$F$34:$ACK$34,1,LOOKUP(2,1/(指数走势!$F$34:$ACK$34&lt;&gt;""),COLUMN(指数走势!$F$34:$ACK$34))-COLUMN(指数走势!$F$34)+1-760+454)=0,NA(),INDEX(指数走势!$F$34:$ACK$34,1,LOOKUP(2,1/(指数走势!$F$34:$ACK$34&lt;&gt;""),COLUMN(指数走势!$F$34:$ACK$34))-COLUMN(指数走势!$F$34)+1-760+454)))</f>
        <v>24.7996006011963</v>
      </c>
      <c r="QN98">
        <f>IF(ISERROR(INDEX(指数走势!$F$34:$ACK$34,1,LOOKUP(2,1/(指数走势!$F$34:$ACK$34&lt;&gt;""),COLUMN(指数走势!$F$34:$ACK$34))-COLUMN(指数走势!$F$34)+1-760+455)),NA(),IF(INDEX(指数走势!$F$34:$ACK$34,1,LOOKUP(2,1/(指数走势!$F$34:$ACK$34&lt;&gt;""),COLUMN(指数走势!$F$34:$ACK$34))-COLUMN(指数走势!$F$34)+1-760+455)=0,NA(),INDEX(指数走势!$F$34:$ACK$34,1,LOOKUP(2,1/(指数走势!$F$34:$ACK$34&lt;&gt;""),COLUMN(指数走势!$F$34:$ACK$34))-COLUMN(指数走势!$F$34)+1-760+455)))</f>
        <v>25.6770000457764</v>
      </c>
      <c r="QO98">
        <f>IF(ISERROR(INDEX(指数走势!$F$34:$ACK$34,1,LOOKUP(2,1/(指数走势!$F$34:$ACK$34&lt;&gt;""),COLUMN(指数走势!$F$34:$ACK$34))-COLUMN(指数走势!$F$34)+1-760+456)),NA(),IF(INDEX(指数走势!$F$34:$ACK$34,1,LOOKUP(2,1/(指数走势!$F$34:$ACK$34&lt;&gt;""),COLUMN(指数走势!$F$34:$ACK$34))-COLUMN(指数走势!$F$34)+1-760+456)=0,NA(),INDEX(指数走势!$F$34:$ACK$34,1,LOOKUP(2,1/(指数走势!$F$34:$ACK$34&lt;&gt;""),COLUMN(指数走势!$F$34:$ACK$34))-COLUMN(指数走势!$F$34)+1-760+456)))</f>
        <v>25.6828994750977</v>
      </c>
      <c r="QP98">
        <f>IF(ISERROR(INDEX(指数走势!$F$34:$ACK$34,1,LOOKUP(2,1/(指数走势!$F$34:$ACK$34&lt;&gt;""),COLUMN(指数走势!$F$34:$ACK$34))-COLUMN(指数走势!$F$34)+1-760+457)),NA(),IF(INDEX(指数走势!$F$34:$ACK$34,1,LOOKUP(2,1/(指数走势!$F$34:$ACK$34&lt;&gt;""),COLUMN(指数走势!$F$34:$ACK$34))-COLUMN(指数走势!$F$34)+1-760+457)=0,NA(),INDEX(指数走势!$F$34:$ACK$34,1,LOOKUP(2,1/(指数走势!$F$34:$ACK$34&lt;&gt;""),COLUMN(指数走势!$F$34:$ACK$34))-COLUMN(指数走势!$F$34)+1-760+457)))</f>
        <v>25.5265007019043</v>
      </c>
      <c r="QQ98">
        <f>IF(ISERROR(INDEX(指数走势!$F$34:$ACK$34,1,LOOKUP(2,1/(指数走势!$F$34:$ACK$34&lt;&gt;""),COLUMN(指数走势!$F$34:$ACK$34))-COLUMN(指数走势!$F$34)+1-760+458)),NA(),IF(INDEX(指数走势!$F$34:$ACK$34,1,LOOKUP(2,1/(指数走势!$F$34:$ACK$34&lt;&gt;""),COLUMN(指数走势!$F$34:$ACK$34))-COLUMN(指数走势!$F$34)+1-760+458)=0,NA(),INDEX(指数走势!$F$34:$ACK$34,1,LOOKUP(2,1/(指数走势!$F$34:$ACK$34&lt;&gt;""),COLUMN(指数走势!$F$34:$ACK$34))-COLUMN(指数走势!$F$34)+1-760+458)))</f>
        <v>23.1443996429443</v>
      </c>
      <c r="QR98">
        <f>IF(ISERROR(INDEX(指数走势!$F$34:$ACK$34,1,LOOKUP(2,1/(指数走势!$F$34:$ACK$34&lt;&gt;""),COLUMN(指数走势!$F$34:$ACK$34))-COLUMN(指数走势!$F$34)+1-760+459)),NA(),IF(INDEX(指数走势!$F$34:$ACK$34,1,LOOKUP(2,1/(指数走势!$F$34:$ACK$34&lt;&gt;""),COLUMN(指数走势!$F$34:$ACK$34))-COLUMN(指数走势!$F$34)+1-760+459)=0,NA(),INDEX(指数走势!$F$34:$ACK$34,1,LOOKUP(2,1/(指数走势!$F$34:$ACK$34&lt;&gt;""),COLUMN(指数走势!$F$34:$ACK$34))-COLUMN(指数走势!$F$34)+1-760+459)))</f>
        <v>23.3794002532959</v>
      </c>
      <c r="QS98">
        <f>IF(ISERROR(INDEX(指数走势!$F$34:$ACK$34,1,LOOKUP(2,1/(指数走势!$F$34:$ACK$34&lt;&gt;""),COLUMN(指数走势!$F$34:$ACK$34))-COLUMN(指数走势!$F$34)+1-760+460)),NA(),IF(INDEX(指数走势!$F$34:$ACK$34,1,LOOKUP(2,1/(指数走势!$F$34:$ACK$34&lt;&gt;""),COLUMN(指数走势!$F$34:$ACK$34))-COLUMN(指数走势!$F$34)+1-760+460)=0,NA(),INDEX(指数走势!$F$34:$ACK$34,1,LOOKUP(2,1/(指数走势!$F$34:$ACK$34&lt;&gt;""),COLUMN(指数走势!$F$34:$ACK$34))-COLUMN(指数走势!$F$34)+1-760+460)))</f>
        <v>23.5960998535156</v>
      </c>
      <c r="QT98">
        <f>IF(ISERROR(INDEX(指数走势!$F$34:$ACK$34,1,LOOKUP(2,1/(指数走势!$F$34:$ACK$34&lt;&gt;""),COLUMN(指数走势!$F$34:$ACK$34))-COLUMN(指数走势!$F$34)+1-760+461)),NA(),IF(INDEX(指数走势!$F$34:$ACK$34,1,LOOKUP(2,1/(指数走势!$F$34:$ACK$34&lt;&gt;""),COLUMN(指数走势!$F$34:$ACK$34))-COLUMN(指数走势!$F$34)+1-760+461)=0,NA(),INDEX(指数走势!$F$34:$ACK$34,1,LOOKUP(2,1/(指数走势!$F$34:$ACK$34&lt;&gt;""),COLUMN(指数走势!$F$34:$ACK$34))-COLUMN(指数走势!$F$34)+1-760+461)))</f>
        <v>24.1016998291016</v>
      </c>
      <c r="QU98">
        <f>IF(ISERROR(INDEX(指数走势!$F$34:$ACK$34,1,LOOKUP(2,1/(指数走势!$F$34:$ACK$34&lt;&gt;""),COLUMN(指数走势!$F$34:$ACK$34))-COLUMN(指数走势!$F$34)+1-760+462)),NA(),IF(INDEX(指数走势!$F$34:$ACK$34,1,LOOKUP(2,1/(指数走势!$F$34:$ACK$34&lt;&gt;""),COLUMN(指数走势!$F$34:$ACK$34))-COLUMN(指数走势!$F$34)+1-760+462)=0,NA(),INDEX(指数走势!$F$34:$ACK$34,1,LOOKUP(2,1/(指数走势!$F$34:$ACK$34&lt;&gt;""),COLUMN(指数走势!$F$34:$ACK$34))-COLUMN(指数走势!$F$34)+1-760+462)))</f>
        <v>24.2467002868652</v>
      </c>
      <c r="QV98">
        <f>IF(ISERROR(INDEX(指数走势!$F$34:$ACK$34,1,LOOKUP(2,1/(指数走势!$F$34:$ACK$34&lt;&gt;""),COLUMN(指数走势!$F$34:$ACK$34))-COLUMN(指数走势!$F$34)+1-760+463)),NA(),IF(INDEX(指数走势!$F$34:$ACK$34,1,LOOKUP(2,1/(指数走势!$F$34:$ACK$34&lt;&gt;""),COLUMN(指数走势!$F$34:$ACK$34))-COLUMN(指数走势!$F$34)+1-760+463)=0,NA(),INDEX(指数走势!$F$34:$ACK$34,1,LOOKUP(2,1/(指数走势!$F$34:$ACK$34&lt;&gt;""),COLUMN(指数走势!$F$34:$ACK$34))-COLUMN(指数走势!$F$34)+1-760+463)))</f>
        <v>24.388599395752</v>
      </c>
      <c r="QW98">
        <f>IF(ISERROR(INDEX(指数走势!$F$34:$ACK$34,1,LOOKUP(2,1/(指数走势!$F$34:$ACK$34&lt;&gt;""),COLUMN(指数走势!$F$34:$ACK$34))-COLUMN(指数走势!$F$34)+1-760+464)),NA(),IF(INDEX(指数走势!$F$34:$ACK$34,1,LOOKUP(2,1/(指数走势!$F$34:$ACK$34&lt;&gt;""),COLUMN(指数走势!$F$34:$ACK$34))-COLUMN(指数走势!$F$34)+1-760+464)=0,NA(),INDEX(指数走势!$F$34:$ACK$34,1,LOOKUP(2,1/(指数走势!$F$34:$ACK$34&lt;&gt;""),COLUMN(指数走势!$F$34:$ACK$34))-COLUMN(指数走势!$F$34)+1-760+464)))</f>
        <v>24.2080993652344</v>
      </c>
      <c r="QX98">
        <f>IF(ISERROR(INDEX(指数走势!$F$34:$ACK$34,1,LOOKUP(2,1/(指数走势!$F$34:$ACK$34&lt;&gt;""),COLUMN(指数走势!$F$34:$ACK$34))-COLUMN(指数走势!$F$34)+1-760+465)),NA(),IF(INDEX(指数走势!$F$34:$ACK$34,1,LOOKUP(2,1/(指数走势!$F$34:$ACK$34&lt;&gt;""),COLUMN(指数走势!$F$34:$ACK$34))-COLUMN(指数走势!$F$34)+1-760+465)=0,NA(),INDEX(指数走势!$F$34:$ACK$34,1,LOOKUP(2,1/(指数走势!$F$34:$ACK$34&lt;&gt;""),COLUMN(指数走势!$F$34:$ACK$34))-COLUMN(指数走势!$F$34)+1-760+465)))</f>
        <v>24.0037994384766</v>
      </c>
      <c r="QY98">
        <f>IF(ISERROR(INDEX(指数走势!$F$34:$ACK$34,1,LOOKUP(2,1/(指数走势!$F$34:$ACK$34&lt;&gt;""),COLUMN(指数走势!$F$34:$ACK$34))-COLUMN(指数走势!$F$34)+1-760+466)),NA(),IF(INDEX(指数走势!$F$34:$ACK$34,1,LOOKUP(2,1/(指数走势!$F$34:$ACK$34&lt;&gt;""),COLUMN(指数走势!$F$34:$ACK$34))-COLUMN(指数走势!$F$34)+1-760+466)=0,NA(),INDEX(指数走势!$F$34:$ACK$34,1,LOOKUP(2,1/(指数走势!$F$34:$ACK$34&lt;&gt;""),COLUMN(指数走势!$F$34:$ACK$34))-COLUMN(指数走势!$F$34)+1-760+466)))</f>
        <v>23.9755001068115</v>
      </c>
      <c r="QZ98">
        <f>IF(ISERROR(INDEX(指数走势!$F$34:$ACK$34,1,LOOKUP(2,1/(指数走势!$F$34:$ACK$34&lt;&gt;""),COLUMN(指数走势!$F$34:$ACK$34))-COLUMN(指数走势!$F$34)+1-760+467)),NA(),IF(INDEX(指数走势!$F$34:$ACK$34,1,LOOKUP(2,1/(指数走势!$F$34:$ACK$34&lt;&gt;""),COLUMN(指数走势!$F$34:$ACK$34))-COLUMN(指数走势!$F$34)+1-760+467)=0,NA(),INDEX(指数走势!$F$34:$ACK$34,1,LOOKUP(2,1/(指数走势!$F$34:$ACK$34&lt;&gt;""),COLUMN(指数走势!$F$34:$ACK$34))-COLUMN(指数走势!$F$34)+1-760+467)))</f>
        <v>23.9479999542236</v>
      </c>
      <c r="RA98">
        <f>IF(ISERROR(INDEX(指数走势!$F$34:$ACK$34,1,LOOKUP(2,1/(指数走势!$F$34:$ACK$34&lt;&gt;""),COLUMN(指数走势!$F$34:$ACK$34))-COLUMN(指数走势!$F$34)+1-760+468)),NA(),IF(INDEX(指数走势!$F$34:$ACK$34,1,LOOKUP(2,1/(指数走势!$F$34:$ACK$34&lt;&gt;""),COLUMN(指数走势!$F$34:$ACK$34))-COLUMN(指数走势!$F$34)+1-760+468)=0,NA(),INDEX(指数走势!$F$34:$ACK$34,1,LOOKUP(2,1/(指数走势!$F$34:$ACK$34&lt;&gt;""),COLUMN(指数走势!$F$34:$ACK$34))-COLUMN(指数走势!$F$34)+1-760+468)))</f>
        <v>24.3740997314453</v>
      </c>
      <c r="RB98">
        <f>IF(ISERROR(INDEX(指数走势!$F$34:$ACK$34,1,LOOKUP(2,1/(指数走势!$F$34:$ACK$34&lt;&gt;""),COLUMN(指数走势!$F$34:$ACK$34))-COLUMN(指数走势!$F$34)+1-760+469)),NA(),IF(INDEX(指数走势!$F$34:$ACK$34,1,LOOKUP(2,1/(指数走势!$F$34:$ACK$34&lt;&gt;""),COLUMN(指数走势!$F$34:$ACK$34))-COLUMN(指数走势!$F$34)+1-760+469)=0,NA(),INDEX(指数走势!$F$34:$ACK$34,1,LOOKUP(2,1/(指数走势!$F$34:$ACK$34&lt;&gt;""),COLUMN(指数走势!$F$34:$ACK$34))-COLUMN(指数走势!$F$34)+1-760+469)))</f>
        <v>24.3439998626709</v>
      </c>
      <c r="RC98">
        <f>IF(ISERROR(INDEX(指数走势!$F$34:$ACK$34,1,LOOKUP(2,1/(指数走势!$F$34:$ACK$34&lt;&gt;""),COLUMN(指数走势!$F$34:$ACK$34))-COLUMN(指数走势!$F$34)+1-760+470)),NA(),IF(INDEX(指数走势!$F$34:$ACK$34,1,LOOKUP(2,1/(指数走势!$F$34:$ACK$34&lt;&gt;""),COLUMN(指数走势!$F$34:$ACK$34))-COLUMN(指数走势!$F$34)+1-760+470)=0,NA(),INDEX(指数走势!$F$34:$ACK$34,1,LOOKUP(2,1/(指数走势!$F$34:$ACK$34&lt;&gt;""),COLUMN(指数走势!$F$34:$ACK$34))-COLUMN(指数走势!$F$34)+1-760+470)))</f>
        <v>24.5105991363525</v>
      </c>
      <c r="RD98">
        <f>IF(ISERROR(INDEX(指数走势!$F$34:$ACK$34,1,LOOKUP(2,1/(指数走势!$F$34:$ACK$34&lt;&gt;""),COLUMN(指数走势!$F$34:$ACK$34))-COLUMN(指数走势!$F$34)+1-760+471)),NA(),IF(INDEX(指数走势!$F$34:$ACK$34,1,LOOKUP(2,1/(指数走势!$F$34:$ACK$34&lt;&gt;""),COLUMN(指数走势!$F$34:$ACK$34))-COLUMN(指数走势!$F$34)+1-760+471)=0,NA(),INDEX(指数走势!$F$34:$ACK$34,1,LOOKUP(2,1/(指数走势!$F$34:$ACK$34&lt;&gt;""),COLUMN(指数走势!$F$34:$ACK$34))-COLUMN(指数走势!$F$34)+1-760+471)))</f>
        <v>24.4109001159668</v>
      </c>
      <c r="RE98">
        <f>IF(ISERROR(INDEX(指数走势!$F$34:$ACK$34,1,LOOKUP(2,1/(指数走势!$F$34:$ACK$34&lt;&gt;""),COLUMN(指数走势!$F$34:$ACK$34))-COLUMN(指数走势!$F$34)+1-760+472)),NA(),IF(INDEX(指数走势!$F$34:$ACK$34,1,LOOKUP(2,1/(指数走势!$F$34:$ACK$34&lt;&gt;""),COLUMN(指数走势!$F$34:$ACK$34))-COLUMN(指数走势!$F$34)+1-760+472)=0,NA(),INDEX(指数走势!$F$34:$ACK$34,1,LOOKUP(2,1/(指数走势!$F$34:$ACK$34&lt;&gt;""),COLUMN(指数走势!$F$34:$ACK$34))-COLUMN(指数走势!$F$34)+1-760+472)))</f>
        <v>24.7835006713867</v>
      </c>
      <c r="RF98">
        <f>IF(ISERROR(INDEX(指数走势!$F$34:$ACK$34,1,LOOKUP(2,1/(指数走势!$F$34:$ACK$34&lt;&gt;""),COLUMN(指数走势!$F$34:$ACK$34))-COLUMN(指数走势!$F$34)+1-760+473)),NA(),IF(INDEX(指数走势!$F$34:$ACK$34,1,LOOKUP(2,1/(指数走势!$F$34:$ACK$34&lt;&gt;""),COLUMN(指数走势!$F$34:$ACK$34))-COLUMN(指数走势!$F$34)+1-760+473)=0,NA(),INDEX(指数走势!$F$34:$ACK$34,1,LOOKUP(2,1/(指数走势!$F$34:$ACK$34&lt;&gt;""),COLUMN(指数走势!$F$34:$ACK$34))-COLUMN(指数走势!$F$34)+1-760+473)))</f>
        <v>24.4927997589111</v>
      </c>
      <c r="RG98">
        <f>IF(ISERROR(INDEX(指数走势!$F$34:$ACK$34,1,LOOKUP(2,1/(指数走势!$F$34:$ACK$34&lt;&gt;""),COLUMN(指数走势!$F$34:$ACK$34))-COLUMN(指数走势!$F$34)+1-760+474)),NA(),IF(INDEX(指数走势!$F$34:$ACK$34,1,LOOKUP(2,1/(指数走势!$F$34:$ACK$34&lt;&gt;""),COLUMN(指数走势!$F$34:$ACK$34))-COLUMN(指数走势!$F$34)+1-760+474)=0,NA(),INDEX(指数走势!$F$34:$ACK$34,1,LOOKUP(2,1/(指数走势!$F$34:$ACK$34&lt;&gt;""),COLUMN(指数走势!$F$34:$ACK$34))-COLUMN(指数走势!$F$34)+1-760+474)))</f>
        <v>24.5317001342773</v>
      </c>
      <c r="RH98">
        <f>IF(ISERROR(INDEX(指数走势!$F$34:$ACK$34,1,LOOKUP(2,1/(指数走势!$F$34:$ACK$34&lt;&gt;""),COLUMN(指数走势!$F$34:$ACK$34))-COLUMN(指数走势!$F$34)+1-760+475)),NA(),IF(INDEX(指数走势!$F$34:$ACK$34,1,LOOKUP(2,1/(指数走势!$F$34:$ACK$34&lt;&gt;""),COLUMN(指数走势!$F$34:$ACK$34))-COLUMN(指数走势!$F$34)+1-760+475)=0,NA(),INDEX(指数走势!$F$34:$ACK$34,1,LOOKUP(2,1/(指数走势!$F$34:$ACK$34&lt;&gt;""),COLUMN(指数走势!$F$34:$ACK$34))-COLUMN(指数走势!$F$34)+1-760+475)))</f>
        <v>24.395299911499</v>
      </c>
      <c r="RI98">
        <f>IF(ISERROR(INDEX(指数走势!$F$34:$ACK$34,1,LOOKUP(2,1/(指数走势!$F$34:$ACK$34&lt;&gt;""),COLUMN(指数走势!$F$34:$ACK$34))-COLUMN(指数走势!$F$34)+1-760+476)),NA(),IF(INDEX(指数走势!$F$34:$ACK$34,1,LOOKUP(2,1/(指数走势!$F$34:$ACK$34&lt;&gt;""),COLUMN(指数走势!$F$34:$ACK$34))-COLUMN(指数走势!$F$34)+1-760+476)=0,NA(),INDEX(指数走势!$F$34:$ACK$34,1,LOOKUP(2,1/(指数走势!$F$34:$ACK$34&lt;&gt;""),COLUMN(指数走势!$F$34:$ACK$34))-COLUMN(指数走势!$F$34)+1-760+476)))</f>
        <v>24.8036994934082</v>
      </c>
      <c r="RJ98">
        <f>IF(ISERROR(INDEX(指数走势!$F$34:$ACK$34,1,LOOKUP(2,1/(指数走势!$F$34:$ACK$34&lt;&gt;""),COLUMN(指数走势!$F$34:$ACK$34))-COLUMN(指数走势!$F$34)+1-760+477)),NA(),IF(INDEX(指数走势!$F$34:$ACK$34,1,LOOKUP(2,1/(指数走势!$F$34:$ACK$34&lt;&gt;""),COLUMN(指数走势!$F$34:$ACK$34))-COLUMN(指数走势!$F$34)+1-760+477)=0,NA(),INDEX(指数走势!$F$34:$ACK$34,1,LOOKUP(2,1/(指数走势!$F$34:$ACK$34&lt;&gt;""),COLUMN(指数走势!$F$34:$ACK$34))-COLUMN(指数走势!$F$34)+1-760+477)))</f>
        <v>24.8801002502441</v>
      </c>
      <c r="RK98">
        <f>IF(ISERROR(INDEX(指数走势!$F$34:$ACK$34,1,LOOKUP(2,1/(指数走势!$F$34:$ACK$34&lt;&gt;""),COLUMN(指数走势!$F$34:$ACK$34))-COLUMN(指数走势!$F$34)+1-760+478)),NA(),IF(INDEX(指数走势!$F$34:$ACK$34,1,LOOKUP(2,1/(指数走势!$F$34:$ACK$34&lt;&gt;""),COLUMN(指数走势!$F$34:$ACK$34))-COLUMN(指数走势!$F$34)+1-760+478)=0,NA(),INDEX(指数走势!$F$34:$ACK$34,1,LOOKUP(2,1/(指数走势!$F$34:$ACK$34&lt;&gt;""),COLUMN(指数走势!$F$34:$ACK$34))-COLUMN(指数走势!$F$34)+1-760+478)))</f>
        <v>25.1151008605957</v>
      </c>
      <c r="RL98">
        <f>IF(ISERROR(INDEX(指数走势!$F$34:$ACK$34,1,LOOKUP(2,1/(指数走势!$F$34:$ACK$34&lt;&gt;""),COLUMN(指数走势!$F$34:$ACK$34))-COLUMN(指数走势!$F$34)+1-760+479)),NA(),IF(INDEX(指数走势!$F$34:$ACK$34,1,LOOKUP(2,1/(指数走势!$F$34:$ACK$34&lt;&gt;""),COLUMN(指数走势!$F$34:$ACK$34))-COLUMN(指数走势!$F$34)+1-760+479)=0,NA(),INDEX(指数走势!$F$34:$ACK$34,1,LOOKUP(2,1/(指数走势!$F$34:$ACK$34&lt;&gt;""),COLUMN(指数走势!$F$34:$ACK$34))-COLUMN(指数走势!$F$34)+1-760+479)))</f>
        <v>24.9654998779297</v>
      </c>
      <c r="RM98">
        <f>IF(ISERROR(INDEX(指数走势!$F$34:$ACK$34,1,LOOKUP(2,1/(指数走势!$F$34:$ACK$34&lt;&gt;""),COLUMN(指数走势!$F$34:$ACK$34))-COLUMN(指数走势!$F$34)+1-760+480)),NA(),IF(INDEX(指数走势!$F$34:$ACK$34,1,LOOKUP(2,1/(指数走势!$F$34:$ACK$34&lt;&gt;""),COLUMN(指数走势!$F$34:$ACK$34))-COLUMN(指数走势!$F$34)+1-760+480)=0,NA(),INDEX(指数走势!$F$34:$ACK$34,1,LOOKUP(2,1/(指数走势!$F$34:$ACK$34&lt;&gt;""),COLUMN(指数走势!$F$34:$ACK$34))-COLUMN(指数走势!$F$34)+1-760+480)))</f>
        <v>25.3992004394531</v>
      </c>
      <c r="RN98">
        <f>IF(ISERROR(INDEX(指数走势!$F$34:$ACK$34,1,LOOKUP(2,1/(指数走势!$F$34:$ACK$34&lt;&gt;""),COLUMN(指数走势!$F$34:$ACK$34))-COLUMN(指数走势!$F$34)+1-760+481)),NA(),IF(INDEX(指数走势!$F$34:$ACK$34,1,LOOKUP(2,1/(指数走势!$F$34:$ACK$34&lt;&gt;""),COLUMN(指数走势!$F$34:$ACK$34))-COLUMN(指数走势!$F$34)+1-760+481)=0,NA(),INDEX(指数走势!$F$34:$ACK$34,1,LOOKUP(2,1/(指数走势!$F$34:$ACK$34&lt;&gt;""),COLUMN(指数走势!$F$34:$ACK$34))-COLUMN(指数走势!$F$34)+1-760+481)))</f>
        <v>25.3565998077393</v>
      </c>
      <c r="RO98">
        <f>IF(ISERROR(INDEX(指数走势!$F$34:$ACK$34,1,LOOKUP(2,1/(指数走势!$F$34:$ACK$34&lt;&gt;""),COLUMN(指数走势!$F$34:$ACK$34))-COLUMN(指数走势!$F$34)+1-760+482)),NA(),IF(INDEX(指数走势!$F$34:$ACK$34,1,LOOKUP(2,1/(指数走势!$F$34:$ACK$34&lt;&gt;""),COLUMN(指数走势!$F$34:$ACK$34))-COLUMN(指数走势!$F$34)+1-760+482)=0,NA(),INDEX(指数走势!$F$34:$ACK$34,1,LOOKUP(2,1/(指数走势!$F$34:$ACK$34&lt;&gt;""),COLUMN(指数走势!$F$34:$ACK$34))-COLUMN(指数走势!$F$34)+1-760+482)))</f>
        <v>25.5344009399414</v>
      </c>
      <c r="RP98">
        <f>IF(ISERROR(INDEX(指数走势!$F$34:$ACK$34,1,LOOKUP(2,1/(指数走势!$F$34:$ACK$34&lt;&gt;""),COLUMN(指数走势!$F$34:$ACK$34))-COLUMN(指数走势!$F$34)+1-760+483)),NA(),IF(INDEX(指数走势!$F$34:$ACK$34,1,LOOKUP(2,1/(指数走势!$F$34:$ACK$34&lt;&gt;""),COLUMN(指数走势!$F$34:$ACK$34))-COLUMN(指数走势!$F$34)+1-760+483)=0,NA(),INDEX(指数走势!$F$34:$ACK$34,1,LOOKUP(2,1/(指数走势!$F$34:$ACK$34&lt;&gt;""),COLUMN(指数走势!$F$34:$ACK$34))-COLUMN(指数走势!$F$34)+1-760+483)))</f>
        <v>25.1676006317139</v>
      </c>
      <c r="RQ98">
        <f>IF(ISERROR(INDEX(指数走势!$F$34:$ACK$34,1,LOOKUP(2,1/(指数走势!$F$34:$ACK$34&lt;&gt;""),COLUMN(指数走势!$F$34:$ACK$34))-COLUMN(指数走势!$F$34)+1-760+484)),NA(),IF(INDEX(指数走势!$F$34:$ACK$34,1,LOOKUP(2,1/(指数走势!$F$34:$ACK$34&lt;&gt;""),COLUMN(指数走势!$F$34:$ACK$34))-COLUMN(指数走势!$F$34)+1-760+484)=0,NA(),INDEX(指数走势!$F$34:$ACK$34,1,LOOKUP(2,1/(指数走势!$F$34:$ACK$34&lt;&gt;""),COLUMN(指数走势!$F$34:$ACK$34))-COLUMN(指数走势!$F$34)+1-760+484)))</f>
        <v>25.1481990814209</v>
      </c>
      <c r="RR98">
        <f>IF(ISERROR(INDEX(指数走势!$F$34:$ACK$34,1,LOOKUP(2,1/(指数走势!$F$34:$ACK$34&lt;&gt;""),COLUMN(指数走势!$F$34:$ACK$34))-COLUMN(指数走势!$F$34)+1-760+485)),NA(),IF(INDEX(指数走势!$F$34:$ACK$34,1,LOOKUP(2,1/(指数走势!$F$34:$ACK$34&lt;&gt;""),COLUMN(指数走势!$F$34:$ACK$34))-COLUMN(指数走势!$F$34)+1-760+485)=0,NA(),INDEX(指数走势!$F$34:$ACK$34,1,LOOKUP(2,1/(指数走势!$F$34:$ACK$34&lt;&gt;""),COLUMN(指数走势!$F$34:$ACK$34))-COLUMN(指数走势!$F$34)+1-760+485)))</f>
        <v>25.1438999176025</v>
      </c>
      <c r="RS98">
        <f>IF(ISERROR(INDEX(指数走势!$F$34:$ACK$34,1,LOOKUP(2,1/(指数走势!$F$34:$ACK$34&lt;&gt;""),COLUMN(指数走势!$F$34:$ACK$34))-COLUMN(指数走势!$F$34)+1-760+486)),NA(),IF(INDEX(指数走势!$F$34:$ACK$34,1,LOOKUP(2,1/(指数走势!$F$34:$ACK$34&lt;&gt;""),COLUMN(指数走势!$F$34:$ACK$34))-COLUMN(指数走势!$F$34)+1-760+486)=0,NA(),INDEX(指数走势!$F$34:$ACK$34,1,LOOKUP(2,1/(指数走势!$F$34:$ACK$34&lt;&gt;""),COLUMN(指数走势!$F$34:$ACK$34))-COLUMN(指数走势!$F$34)+1-760+486)))</f>
        <v>25.3640003204346</v>
      </c>
      <c r="RT98">
        <f>IF(ISERROR(INDEX(指数走势!$F$34:$ACK$34,1,LOOKUP(2,1/(指数走势!$F$34:$ACK$34&lt;&gt;""),COLUMN(指数走势!$F$34:$ACK$34))-COLUMN(指数走势!$F$34)+1-760+487)),NA(),IF(INDEX(指数走势!$F$34:$ACK$34,1,LOOKUP(2,1/(指数走势!$F$34:$ACK$34&lt;&gt;""),COLUMN(指数走势!$F$34:$ACK$34))-COLUMN(指数走势!$F$34)+1-760+487)=0,NA(),INDEX(指数走势!$F$34:$ACK$34,1,LOOKUP(2,1/(指数走势!$F$34:$ACK$34&lt;&gt;""),COLUMN(指数走势!$F$34:$ACK$34))-COLUMN(指数走势!$F$34)+1-760+487)))</f>
        <v>25.4818992614746</v>
      </c>
      <c r="RU98">
        <f>IF(ISERROR(INDEX(指数走势!$F$34:$ACK$34,1,LOOKUP(2,1/(指数走势!$F$34:$ACK$34&lt;&gt;""),COLUMN(指数走势!$F$34:$ACK$34))-COLUMN(指数走势!$F$34)+1-760+488)),NA(),IF(INDEX(指数走势!$F$34:$ACK$34,1,LOOKUP(2,1/(指数走势!$F$34:$ACK$34&lt;&gt;""),COLUMN(指数走势!$F$34:$ACK$34))-COLUMN(指数走势!$F$34)+1-760+488)=0,NA(),INDEX(指数走势!$F$34:$ACK$34,1,LOOKUP(2,1/(指数走势!$F$34:$ACK$34&lt;&gt;""),COLUMN(指数走势!$F$34:$ACK$34))-COLUMN(指数走势!$F$34)+1-760+488)))</f>
        <v>25.2980003356934</v>
      </c>
      <c r="RV98">
        <f>IF(ISERROR(INDEX(指数走势!$F$34:$ACK$34,1,LOOKUP(2,1/(指数走势!$F$34:$ACK$34&lt;&gt;""),COLUMN(指数走势!$F$34:$ACK$34))-COLUMN(指数走势!$F$34)+1-760+489)),NA(),IF(INDEX(指数走势!$F$34:$ACK$34,1,LOOKUP(2,1/(指数走势!$F$34:$ACK$34&lt;&gt;""),COLUMN(指数走势!$F$34:$ACK$34))-COLUMN(指数走势!$F$34)+1-760+489)=0,NA(),INDEX(指数走势!$F$34:$ACK$34,1,LOOKUP(2,1/(指数走势!$F$34:$ACK$34&lt;&gt;""),COLUMN(指数走势!$F$34:$ACK$34))-COLUMN(指数走势!$F$34)+1-760+489)))</f>
        <v>25.1219997406006</v>
      </c>
      <c r="RW98">
        <f>IF(ISERROR(INDEX(指数走势!$F$34:$ACK$34,1,LOOKUP(2,1/(指数走势!$F$34:$ACK$34&lt;&gt;""),COLUMN(指数走势!$F$34:$ACK$34))-COLUMN(指数走势!$F$34)+1-760+490)),NA(),IF(INDEX(指数走势!$F$34:$ACK$34,1,LOOKUP(2,1/(指数走势!$F$34:$ACK$34&lt;&gt;""),COLUMN(指数走势!$F$34:$ACK$34))-COLUMN(指数走势!$F$34)+1-760+490)=0,NA(),INDEX(指数走势!$F$34:$ACK$34,1,LOOKUP(2,1/(指数走势!$F$34:$ACK$34&lt;&gt;""),COLUMN(指数走势!$F$34:$ACK$34))-COLUMN(指数走势!$F$34)+1-760+490)))</f>
        <v>24.9775009155273</v>
      </c>
      <c r="RX98">
        <f>IF(ISERROR(INDEX(指数走势!$F$34:$ACK$34,1,LOOKUP(2,1/(指数走势!$F$34:$ACK$34&lt;&gt;""),COLUMN(指数走势!$F$34:$ACK$34))-COLUMN(指数走势!$F$34)+1-760+491)),NA(),IF(INDEX(指数走势!$F$34:$ACK$34,1,LOOKUP(2,1/(指数走势!$F$34:$ACK$34&lt;&gt;""),COLUMN(指数走势!$F$34:$ACK$34))-COLUMN(指数走势!$F$34)+1-760+491)=0,NA(),INDEX(指数走势!$F$34:$ACK$34,1,LOOKUP(2,1/(指数走势!$F$34:$ACK$34&lt;&gt;""),COLUMN(指数走势!$F$34:$ACK$34))-COLUMN(指数走势!$F$34)+1-760+491)))</f>
        <v>24.8279991149902</v>
      </c>
      <c r="RY98">
        <f>IF(ISERROR(INDEX(指数走势!$F$34:$ACK$34,1,LOOKUP(2,1/(指数走势!$F$34:$ACK$34&lt;&gt;""),COLUMN(指数走势!$F$34:$ACK$34))-COLUMN(指数走势!$F$34)+1-760+492)),NA(),IF(INDEX(指数走势!$F$34:$ACK$34,1,LOOKUP(2,1/(指数走势!$F$34:$ACK$34&lt;&gt;""),COLUMN(指数走势!$F$34:$ACK$34))-COLUMN(指数走势!$F$34)+1-760+492)=0,NA(),INDEX(指数走势!$F$34:$ACK$34,1,LOOKUP(2,1/(指数走势!$F$34:$ACK$34&lt;&gt;""),COLUMN(指数走势!$F$34:$ACK$34))-COLUMN(指数走势!$F$34)+1-760+492)))</f>
        <v>24.7509002685547</v>
      </c>
      <c r="RZ98">
        <f>IF(ISERROR(INDEX(指数走势!$F$34:$ACK$34,1,LOOKUP(2,1/(指数走势!$F$34:$ACK$34&lt;&gt;""),COLUMN(指数走势!$F$34:$ACK$34))-COLUMN(指数走势!$F$34)+1-760+493)),NA(),IF(INDEX(指数走势!$F$34:$ACK$34,1,LOOKUP(2,1/(指数走势!$F$34:$ACK$34&lt;&gt;""),COLUMN(指数走势!$F$34:$ACK$34))-COLUMN(指数走势!$F$34)+1-760+493)=0,NA(),INDEX(指数走势!$F$34:$ACK$34,1,LOOKUP(2,1/(指数走势!$F$34:$ACK$34&lt;&gt;""),COLUMN(指数走势!$F$34:$ACK$34))-COLUMN(指数走势!$F$34)+1-760+493)))</f>
        <v>25.0347995758057</v>
      </c>
      <c r="SA98">
        <f>IF(ISERROR(INDEX(指数走势!$F$34:$ACK$34,1,LOOKUP(2,1/(指数走势!$F$34:$ACK$34&lt;&gt;""),COLUMN(指数走势!$F$34:$ACK$34))-COLUMN(指数走势!$F$34)+1-760+494)),NA(),IF(INDEX(指数走势!$F$34:$ACK$34,1,LOOKUP(2,1/(指数走势!$F$34:$ACK$34&lt;&gt;""),COLUMN(指数走势!$F$34:$ACK$34))-COLUMN(指数走势!$F$34)+1-760+494)=0,NA(),INDEX(指数走势!$F$34:$ACK$34,1,LOOKUP(2,1/(指数走势!$F$34:$ACK$34&lt;&gt;""),COLUMN(指数走势!$F$34:$ACK$34))-COLUMN(指数走势!$F$34)+1-760+494)))</f>
        <v>24.8213996887207</v>
      </c>
      <c r="SB98">
        <f>IF(ISERROR(INDEX(指数走势!$F$34:$ACK$34,1,LOOKUP(2,1/(指数走势!$F$34:$ACK$34&lt;&gt;""),COLUMN(指数走势!$F$34:$ACK$34))-COLUMN(指数走势!$F$34)+1-760+495)),NA(),IF(INDEX(指数走势!$F$34:$ACK$34,1,LOOKUP(2,1/(指数走势!$F$34:$ACK$34&lt;&gt;""),COLUMN(指数走势!$F$34:$ACK$34))-COLUMN(指数走势!$F$34)+1-760+495)=0,NA(),INDEX(指数走势!$F$34:$ACK$34,1,LOOKUP(2,1/(指数走势!$F$34:$ACK$34&lt;&gt;""),COLUMN(指数走势!$F$34:$ACK$34))-COLUMN(指数走势!$F$34)+1-760+495)))</f>
        <v>24.8850002288818</v>
      </c>
      <c r="SC98">
        <f>IF(ISERROR(INDEX(指数走势!$F$34:$ACK$34,1,LOOKUP(2,1/(指数走势!$F$34:$ACK$34&lt;&gt;""),COLUMN(指数走势!$F$34:$ACK$34))-COLUMN(指数走势!$F$34)+1-760+496)),NA(),IF(INDEX(指数走势!$F$34:$ACK$34,1,LOOKUP(2,1/(指数走势!$F$34:$ACK$34&lt;&gt;""),COLUMN(指数走势!$F$34:$ACK$34))-COLUMN(指数走势!$F$34)+1-760+496)=0,NA(),INDEX(指数走势!$F$34:$ACK$34,1,LOOKUP(2,1/(指数走势!$F$34:$ACK$34&lt;&gt;""),COLUMN(指数走势!$F$34:$ACK$34))-COLUMN(指数走势!$F$34)+1-760+496)))</f>
        <v>25.0727005004883</v>
      </c>
      <c r="SD98">
        <f>IF(ISERROR(INDEX(指数走势!$F$34:$ACK$34,1,LOOKUP(2,1/(指数走势!$F$34:$ACK$34&lt;&gt;""),COLUMN(指数走势!$F$34:$ACK$34))-COLUMN(指数走势!$F$34)+1-760+497)),NA(),IF(INDEX(指数走势!$F$34:$ACK$34,1,LOOKUP(2,1/(指数走势!$F$34:$ACK$34&lt;&gt;""),COLUMN(指数走势!$F$34:$ACK$34))-COLUMN(指数走势!$F$34)+1-760+497)=0,NA(),INDEX(指数走势!$F$34:$ACK$34,1,LOOKUP(2,1/(指数走势!$F$34:$ACK$34&lt;&gt;""),COLUMN(指数走势!$F$34:$ACK$34))-COLUMN(指数走势!$F$34)+1-760+497)))</f>
        <v>25.19580078125</v>
      </c>
      <c r="SE98">
        <f>IF(ISERROR(INDEX(指数走势!$F$34:$ACK$34,1,LOOKUP(2,1/(指数走势!$F$34:$ACK$34&lt;&gt;""),COLUMN(指数走势!$F$34:$ACK$34))-COLUMN(指数走势!$F$34)+1-760+498)),NA(),IF(INDEX(指数走势!$F$34:$ACK$34,1,LOOKUP(2,1/(指数走势!$F$34:$ACK$34&lt;&gt;""),COLUMN(指数走势!$F$34:$ACK$34))-COLUMN(指数走势!$F$34)+1-760+498)=0,NA(),INDEX(指数走势!$F$34:$ACK$34,1,LOOKUP(2,1/(指数走势!$F$34:$ACK$34&lt;&gt;""),COLUMN(指数走势!$F$34:$ACK$34))-COLUMN(指数走势!$F$34)+1-760+498)))</f>
        <v>25.1655006408691</v>
      </c>
      <c r="SF98">
        <f>IF(ISERROR(INDEX(指数走势!$F$34:$ACK$34,1,LOOKUP(2,1/(指数走势!$F$34:$ACK$34&lt;&gt;""),COLUMN(指数走势!$F$34:$ACK$34))-COLUMN(指数走势!$F$34)+1-760+499)),NA(),IF(INDEX(指数走势!$F$34:$ACK$34,1,LOOKUP(2,1/(指数走势!$F$34:$ACK$34&lt;&gt;""),COLUMN(指数走势!$F$34:$ACK$34))-COLUMN(指数走势!$F$34)+1-760+499)=0,NA(),INDEX(指数走势!$F$34:$ACK$34,1,LOOKUP(2,1/(指数走势!$F$34:$ACK$34&lt;&gt;""),COLUMN(指数走势!$F$34:$ACK$34))-COLUMN(指数走势!$F$34)+1-760+499)))</f>
        <v>25.2903003692627</v>
      </c>
      <c r="SG98">
        <f>IF(ISERROR(INDEX(指数走势!$F$34:$ACK$34,1,LOOKUP(2,1/(指数走势!$F$34:$ACK$34&lt;&gt;""),COLUMN(指数走势!$F$34:$ACK$34))-COLUMN(指数走势!$F$34)+1-760+500)),NA(),IF(INDEX(指数走势!$F$34:$ACK$34,1,LOOKUP(2,1/(指数走势!$F$34:$ACK$34&lt;&gt;""),COLUMN(指数走势!$F$34:$ACK$34))-COLUMN(指数走势!$F$34)+1-760+500)=0,NA(),INDEX(指数走势!$F$34:$ACK$34,1,LOOKUP(2,1/(指数走势!$F$34:$ACK$34&lt;&gt;""),COLUMN(指数走势!$F$34:$ACK$34))-COLUMN(指数走势!$F$34)+1-760+500)))</f>
        <v>25.0911998748779</v>
      </c>
      <c r="SH98">
        <f>IF(ISERROR(INDEX(指数走势!$F$34:$ACK$34,1,LOOKUP(2,1/(指数走势!$F$34:$ACK$34&lt;&gt;""),COLUMN(指数走势!$F$34:$ACK$34))-COLUMN(指数走势!$F$34)+1-760+501)),NA(),IF(INDEX(指数走势!$F$34:$ACK$34,1,LOOKUP(2,1/(指数走势!$F$34:$ACK$34&lt;&gt;""),COLUMN(指数走势!$F$34:$ACK$34))-COLUMN(指数走势!$F$34)+1-760+501)=0,NA(),INDEX(指数走势!$F$34:$ACK$34,1,LOOKUP(2,1/(指数走势!$F$34:$ACK$34&lt;&gt;""),COLUMN(指数走势!$F$34:$ACK$34))-COLUMN(指数走势!$F$34)+1-760+501)))</f>
        <v>26.3334007263184</v>
      </c>
      <c r="SI98">
        <f>IF(ISERROR(INDEX(指数走势!$F$34:$ACK$34,1,LOOKUP(2,1/(指数走势!$F$34:$ACK$34&lt;&gt;""),COLUMN(指数走势!$F$34:$ACK$34))-COLUMN(指数走势!$F$34)+1-760+502)),NA(),IF(INDEX(指数走势!$F$34:$ACK$34,1,LOOKUP(2,1/(指数走势!$F$34:$ACK$34&lt;&gt;""),COLUMN(指数走势!$F$34:$ACK$34))-COLUMN(指数走势!$F$34)+1-760+502)=0,NA(),INDEX(指数走势!$F$34:$ACK$34,1,LOOKUP(2,1/(指数走势!$F$34:$ACK$34&lt;&gt;""),COLUMN(指数走势!$F$34:$ACK$34))-COLUMN(指数走势!$F$34)+1-760+502)))</f>
        <v>26.2593002319336</v>
      </c>
      <c r="SJ98">
        <f>IF(ISERROR(INDEX(指数走势!$F$34:$ACK$34,1,LOOKUP(2,1/(指数走势!$F$34:$ACK$34&lt;&gt;""),COLUMN(指数走势!$F$34:$ACK$34))-COLUMN(指数走势!$F$34)+1-760+503)),NA(),IF(INDEX(指数走势!$F$34:$ACK$34,1,LOOKUP(2,1/(指数走势!$F$34:$ACK$34&lt;&gt;""),COLUMN(指数走势!$F$34:$ACK$34))-COLUMN(指数走势!$F$34)+1-760+503)=0,NA(),INDEX(指数走势!$F$34:$ACK$34,1,LOOKUP(2,1/(指数走势!$F$34:$ACK$34&lt;&gt;""),COLUMN(指数走势!$F$34:$ACK$34))-COLUMN(指数走势!$F$34)+1-760+503)))</f>
        <v>25.9855003356934</v>
      </c>
      <c r="SK98">
        <f>IF(ISERROR(INDEX(指数走势!$F$34:$ACK$34,1,LOOKUP(2,1/(指数走势!$F$34:$ACK$34&lt;&gt;""),COLUMN(指数走势!$F$34:$ACK$34))-COLUMN(指数走势!$F$34)+1-760+504)),NA(),IF(INDEX(指数走势!$F$34:$ACK$34,1,LOOKUP(2,1/(指数走势!$F$34:$ACK$34&lt;&gt;""),COLUMN(指数走势!$F$34:$ACK$34))-COLUMN(指数走势!$F$34)+1-760+504)=0,NA(),INDEX(指数走势!$F$34:$ACK$34,1,LOOKUP(2,1/(指数走势!$F$34:$ACK$34&lt;&gt;""),COLUMN(指数走势!$F$34:$ACK$34))-COLUMN(指数走势!$F$34)+1-760+504)))</f>
        <v>26.0785007476807</v>
      </c>
      <c r="SL98">
        <f>IF(ISERROR(INDEX(指数走势!$F$34:$ACK$34,1,LOOKUP(2,1/(指数走势!$F$34:$ACK$34&lt;&gt;""),COLUMN(指数走势!$F$34:$ACK$34))-COLUMN(指数走势!$F$34)+1-760+505)),NA(),IF(INDEX(指数走势!$F$34:$ACK$34,1,LOOKUP(2,1/(指数走势!$F$34:$ACK$34&lt;&gt;""),COLUMN(指数走势!$F$34:$ACK$34))-COLUMN(指数走势!$F$34)+1-760+505)=0,NA(),INDEX(指数走势!$F$34:$ACK$34,1,LOOKUP(2,1/(指数走势!$F$34:$ACK$34&lt;&gt;""),COLUMN(指数走势!$F$34:$ACK$34))-COLUMN(指数走势!$F$34)+1-760+505)))</f>
        <v>26.0349006652832</v>
      </c>
      <c r="SM98">
        <f>IF(ISERROR(INDEX(指数走势!$F$34:$ACK$34,1,LOOKUP(2,1/(指数走势!$F$34:$ACK$34&lt;&gt;""),COLUMN(指数走势!$F$34:$ACK$34))-COLUMN(指数走势!$F$34)+1-760+506)),NA(),IF(INDEX(指数走势!$F$34:$ACK$34,1,LOOKUP(2,1/(指数走势!$F$34:$ACK$34&lt;&gt;""),COLUMN(指数走势!$F$34:$ACK$34))-COLUMN(指数走势!$F$34)+1-760+506)=0,NA(),INDEX(指数走势!$F$34:$ACK$34,1,LOOKUP(2,1/(指数走势!$F$34:$ACK$34&lt;&gt;""),COLUMN(指数走势!$F$34:$ACK$34))-COLUMN(指数走势!$F$34)+1-760+506)))</f>
        <v>26.0951995849609</v>
      </c>
      <c r="SN98">
        <f>IF(ISERROR(INDEX(指数走势!$F$34:$ACK$34,1,LOOKUP(2,1/(指数走势!$F$34:$ACK$34&lt;&gt;""),COLUMN(指数走势!$F$34:$ACK$34))-COLUMN(指数走势!$F$34)+1-760+507)),NA(),IF(INDEX(指数走势!$F$34:$ACK$34,1,LOOKUP(2,1/(指数走势!$F$34:$ACK$34&lt;&gt;""),COLUMN(指数走势!$F$34:$ACK$34))-COLUMN(指数走势!$F$34)+1-760+507)=0,NA(),INDEX(指数走势!$F$34:$ACK$34,1,LOOKUP(2,1/(指数走势!$F$34:$ACK$34&lt;&gt;""),COLUMN(指数走势!$F$34:$ACK$34))-COLUMN(指数走势!$F$34)+1-760+507)))</f>
        <v>25.7651996612549</v>
      </c>
      <c r="SO98">
        <f>IF(ISERROR(INDEX(指数走势!$F$34:$ACK$34,1,LOOKUP(2,1/(指数走势!$F$34:$ACK$34&lt;&gt;""),COLUMN(指数走势!$F$34:$ACK$34))-COLUMN(指数走势!$F$34)+1-760+508)),NA(),IF(INDEX(指数走势!$F$34:$ACK$34,1,LOOKUP(2,1/(指数走势!$F$34:$ACK$34&lt;&gt;""),COLUMN(指数走势!$F$34:$ACK$34))-COLUMN(指数走势!$F$34)+1-760+508)=0,NA(),INDEX(指数走势!$F$34:$ACK$34,1,LOOKUP(2,1/(指数走势!$F$34:$ACK$34&lt;&gt;""),COLUMN(指数走势!$F$34:$ACK$34))-COLUMN(指数走势!$F$34)+1-760+508)))</f>
        <v>25.6562995910645</v>
      </c>
      <c r="SP98">
        <f>IF(ISERROR(INDEX(指数走势!$F$34:$ACK$34,1,LOOKUP(2,1/(指数走势!$F$34:$ACK$34&lt;&gt;""),COLUMN(指数走势!$F$34:$ACK$34))-COLUMN(指数走势!$F$34)+1-760+509)),NA(),IF(INDEX(指数走势!$F$34:$ACK$34,1,LOOKUP(2,1/(指数走势!$F$34:$ACK$34&lt;&gt;""),COLUMN(指数走势!$F$34:$ACK$34))-COLUMN(指数走势!$F$34)+1-760+509)=0,NA(),INDEX(指数走势!$F$34:$ACK$34,1,LOOKUP(2,1/(指数走势!$F$34:$ACK$34&lt;&gt;""),COLUMN(指数走势!$F$34:$ACK$34))-COLUMN(指数走势!$F$34)+1-760+509)))</f>
        <v>25.7408008575439</v>
      </c>
      <c r="SQ98">
        <f>IF(ISERROR(INDEX(指数走势!$F$34:$ACK$34,1,LOOKUP(2,1/(指数走势!$F$34:$ACK$34&lt;&gt;""),COLUMN(指数走势!$F$34:$ACK$34))-COLUMN(指数走势!$F$34)+1-760+510)),NA(),IF(INDEX(指数走势!$F$34:$ACK$34,1,LOOKUP(2,1/(指数走势!$F$34:$ACK$34&lt;&gt;""),COLUMN(指数走势!$F$34:$ACK$34))-COLUMN(指数走势!$F$34)+1-760+510)=0,NA(),INDEX(指数走势!$F$34:$ACK$34,1,LOOKUP(2,1/(指数走势!$F$34:$ACK$34&lt;&gt;""),COLUMN(指数走势!$F$34:$ACK$34))-COLUMN(指数走势!$F$34)+1-760+510)))</f>
        <v>26.1534996032715</v>
      </c>
      <c r="SR98">
        <f>IF(ISERROR(INDEX(指数走势!$F$34:$ACK$34,1,LOOKUP(2,1/(指数走势!$F$34:$ACK$34&lt;&gt;""),COLUMN(指数走势!$F$34:$ACK$34))-COLUMN(指数走势!$F$34)+1-760+511)),NA(),IF(INDEX(指数走势!$F$34:$ACK$34,1,LOOKUP(2,1/(指数走势!$F$34:$ACK$34&lt;&gt;""),COLUMN(指数走势!$F$34:$ACK$34))-COLUMN(指数走势!$F$34)+1-760+511)=0,NA(),INDEX(指数走势!$F$34:$ACK$34,1,LOOKUP(2,1/(指数走势!$F$34:$ACK$34&lt;&gt;""),COLUMN(指数走势!$F$34:$ACK$34))-COLUMN(指数走势!$F$34)+1-760+511)))</f>
        <v>26.5853996276855</v>
      </c>
      <c r="SS98">
        <f>IF(ISERROR(INDEX(指数走势!$F$34:$ACK$34,1,LOOKUP(2,1/(指数走势!$F$34:$ACK$34&lt;&gt;""),COLUMN(指数走势!$F$34:$ACK$34))-COLUMN(指数走势!$F$34)+1-760+512)),NA(),IF(INDEX(指数走势!$F$34:$ACK$34,1,LOOKUP(2,1/(指数走势!$F$34:$ACK$34&lt;&gt;""),COLUMN(指数走势!$F$34:$ACK$34))-COLUMN(指数走势!$F$34)+1-760+512)=0,NA(),INDEX(指数走势!$F$34:$ACK$34,1,LOOKUP(2,1/(指数走势!$F$34:$ACK$34&lt;&gt;""),COLUMN(指数走势!$F$34:$ACK$34))-COLUMN(指数走势!$F$34)+1-760+512)))</f>
        <v>26.4080009460449</v>
      </c>
      <c r="ST98">
        <f>IF(ISERROR(INDEX(指数走势!$F$34:$ACK$34,1,LOOKUP(2,1/(指数走势!$F$34:$ACK$34&lt;&gt;""),COLUMN(指数走势!$F$34:$ACK$34))-COLUMN(指数走势!$F$34)+1-760+513)),NA(),IF(INDEX(指数走势!$F$34:$ACK$34,1,LOOKUP(2,1/(指数走势!$F$34:$ACK$34&lt;&gt;""),COLUMN(指数走势!$F$34:$ACK$34))-COLUMN(指数走势!$F$34)+1-760+513)=0,NA(),INDEX(指数走势!$F$34:$ACK$34,1,LOOKUP(2,1/(指数走势!$F$34:$ACK$34&lt;&gt;""),COLUMN(指数走势!$F$34:$ACK$34))-COLUMN(指数走势!$F$34)+1-760+513)))</f>
        <v>26.4622993469238</v>
      </c>
      <c r="SU98">
        <f>IF(ISERROR(INDEX(指数走势!$F$34:$ACK$34,1,LOOKUP(2,1/(指数走势!$F$34:$ACK$34&lt;&gt;""),COLUMN(指数走势!$F$34:$ACK$34))-COLUMN(指数走势!$F$34)+1-760+514)),NA(),IF(INDEX(指数走势!$F$34:$ACK$34,1,LOOKUP(2,1/(指数走势!$F$34:$ACK$34&lt;&gt;""),COLUMN(指数走势!$F$34:$ACK$34))-COLUMN(指数走势!$F$34)+1-760+514)=0,NA(),INDEX(指数走势!$F$34:$ACK$34,1,LOOKUP(2,1/(指数走势!$F$34:$ACK$34&lt;&gt;""),COLUMN(指数走势!$F$34:$ACK$34))-COLUMN(指数走势!$F$34)+1-760+514)))</f>
        <v>26.6471004486084</v>
      </c>
      <c r="SV98">
        <f>IF(ISERROR(INDEX(指数走势!$F$34:$ACK$34,1,LOOKUP(2,1/(指数走势!$F$34:$ACK$34&lt;&gt;""),COLUMN(指数走势!$F$34:$ACK$34))-COLUMN(指数走势!$F$34)+1-760+515)),NA(),IF(INDEX(指数走势!$F$34:$ACK$34,1,LOOKUP(2,1/(指数走势!$F$34:$ACK$34&lt;&gt;""),COLUMN(指数走势!$F$34:$ACK$34))-COLUMN(指数走势!$F$34)+1-760+515)=0,NA(),INDEX(指数走势!$F$34:$ACK$34,1,LOOKUP(2,1/(指数走势!$F$34:$ACK$34&lt;&gt;""),COLUMN(指数走势!$F$34:$ACK$34))-COLUMN(指数走势!$F$34)+1-760+515)))</f>
        <v>26.6762008666992</v>
      </c>
      <c r="SW98">
        <f>IF(ISERROR(INDEX(指数走势!$F$34:$ACK$34,1,LOOKUP(2,1/(指数走势!$F$34:$ACK$34&lt;&gt;""),COLUMN(指数走势!$F$34:$ACK$34))-COLUMN(指数走势!$F$34)+1-760+516)),NA(),IF(INDEX(指数走势!$F$34:$ACK$34,1,LOOKUP(2,1/(指数走势!$F$34:$ACK$34&lt;&gt;""),COLUMN(指数走势!$F$34:$ACK$34))-COLUMN(指数走势!$F$34)+1-760+516)=0,NA(),INDEX(指数走势!$F$34:$ACK$34,1,LOOKUP(2,1/(指数走势!$F$34:$ACK$34&lt;&gt;""),COLUMN(指数走势!$F$34:$ACK$34))-COLUMN(指数走势!$F$34)+1-760+516)))</f>
        <v>26.5340003967285</v>
      </c>
      <c r="SX98">
        <f>IF(ISERROR(INDEX(指数走势!$F$34:$ACK$34,1,LOOKUP(2,1/(指数走势!$F$34:$ACK$34&lt;&gt;""),COLUMN(指数走势!$F$34:$ACK$34))-COLUMN(指数走势!$F$34)+1-760+517)),NA(),IF(INDEX(指数走势!$F$34:$ACK$34,1,LOOKUP(2,1/(指数走势!$F$34:$ACK$34&lt;&gt;""),COLUMN(指数走势!$F$34:$ACK$34))-COLUMN(指数走势!$F$34)+1-760+517)=0,NA(),INDEX(指数走势!$F$34:$ACK$34,1,LOOKUP(2,1/(指数走势!$F$34:$ACK$34&lt;&gt;""),COLUMN(指数走势!$F$34:$ACK$34))-COLUMN(指数走势!$F$34)+1-760+517)))</f>
        <v>26.8164005279541</v>
      </c>
      <c r="SY98">
        <f>IF(ISERROR(INDEX(指数走势!$F$34:$ACK$34,1,LOOKUP(2,1/(指数走势!$F$34:$ACK$34&lt;&gt;""),COLUMN(指数走势!$F$34:$ACK$34))-COLUMN(指数走势!$F$34)+1-760+518)),NA(),IF(INDEX(指数走势!$F$34:$ACK$34,1,LOOKUP(2,1/(指数走势!$F$34:$ACK$34&lt;&gt;""),COLUMN(指数走势!$F$34:$ACK$34))-COLUMN(指数走势!$F$34)+1-760+518)=0,NA(),INDEX(指数走势!$F$34:$ACK$34,1,LOOKUP(2,1/(指数走势!$F$34:$ACK$34&lt;&gt;""),COLUMN(指数走势!$F$34:$ACK$34))-COLUMN(指数走势!$F$34)+1-760+518)))</f>
        <v>26.7665996551514</v>
      </c>
      <c r="SZ98">
        <f>IF(ISERROR(INDEX(指数走势!$F$34:$ACK$34,1,LOOKUP(2,1/(指数走势!$F$34:$ACK$34&lt;&gt;""),COLUMN(指数走势!$F$34:$ACK$34))-COLUMN(指数走势!$F$34)+1-760+519)),NA(),IF(INDEX(指数走势!$F$34:$ACK$34,1,LOOKUP(2,1/(指数走势!$F$34:$ACK$34&lt;&gt;""),COLUMN(指数走势!$F$34:$ACK$34))-COLUMN(指数走势!$F$34)+1-760+519)=0,NA(),INDEX(指数走势!$F$34:$ACK$34,1,LOOKUP(2,1/(指数走势!$F$34:$ACK$34&lt;&gt;""),COLUMN(指数走势!$F$34:$ACK$34))-COLUMN(指数走势!$F$34)+1-760+519)))</f>
        <v>26.613000869751</v>
      </c>
      <c r="TA98">
        <f>IF(ISERROR(INDEX(指数走势!$F$34:$ACK$34,1,LOOKUP(2,1/(指数走势!$F$34:$ACK$34&lt;&gt;""),COLUMN(指数走势!$F$34:$ACK$34))-COLUMN(指数走势!$F$34)+1-760+520)),NA(),IF(INDEX(指数走势!$F$34:$ACK$34,1,LOOKUP(2,1/(指数走势!$F$34:$ACK$34&lt;&gt;""),COLUMN(指数走势!$F$34:$ACK$34))-COLUMN(指数走势!$F$34)+1-760+520)=0,NA(),INDEX(指数走势!$F$34:$ACK$34,1,LOOKUP(2,1/(指数走势!$F$34:$ACK$34&lt;&gt;""),COLUMN(指数走势!$F$34:$ACK$34))-COLUMN(指数走势!$F$34)+1-760+520)))</f>
        <v>26.9423999786377</v>
      </c>
      <c r="TB98">
        <f>IF(ISERROR(INDEX(指数走势!$F$34:$ACK$34,1,LOOKUP(2,1/(指数走势!$F$34:$ACK$34&lt;&gt;""),COLUMN(指数走势!$F$34:$ACK$34))-COLUMN(指数走势!$F$34)+1-760+521)),NA(),IF(INDEX(指数走势!$F$34:$ACK$34,1,LOOKUP(2,1/(指数走势!$F$34:$ACK$34&lt;&gt;""),COLUMN(指数走势!$F$34:$ACK$34))-COLUMN(指数走势!$F$34)+1-760+521)=0,NA(),INDEX(指数走势!$F$34:$ACK$34,1,LOOKUP(2,1/(指数走势!$F$34:$ACK$34&lt;&gt;""),COLUMN(指数走势!$F$34:$ACK$34))-COLUMN(指数走势!$F$34)+1-760+521)))</f>
        <v>26.9314994812012</v>
      </c>
      <c r="TC98">
        <f>IF(ISERROR(INDEX(指数走势!$F$34:$ACK$34,1,LOOKUP(2,1/(指数走势!$F$34:$ACK$34&lt;&gt;""),COLUMN(指数走势!$F$34:$ACK$34))-COLUMN(指数走势!$F$34)+1-760+522)),NA(),IF(INDEX(指数走势!$F$34:$ACK$34,1,LOOKUP(2,1/(指数走势!$F$34:$ACK$34&lt;&gt;""),COLUMN(指数走势!$F$34:$ACK$34))-COLUMN(指数走势!$F$34)+1-760+522)=0,NA(),INDEX(指数走势!$F$34:$ACK$34,1,LOOKUP(2,1/(指数走势!$F$34:$ACK$34&lt;&gt;""),COLUMN(指数走势!$F$34:$ACK$34))-COLUMN(指数走势!$F$34)+1-760+522)))</f>
        <v>27.0503997802734</v>
      </c>
      <c r="TD98">
        <f>IF(ISERROR(INDEX(指数走势!$F$34:$ACK$34,1,LOOKUP(2,1/(指数走势!$F$34:$ACK$34&lt;&gt;""),COLUMN(指数走势!$F$34:$ACK$34))-COLUMN(指数走势!$F$34)+1-760+523)),NA(),IF(INDEX(指数走势!$F$34:$ACK$34,1,LOOKUP(2,1/(指数走势!$F$34:$ACK$34&lt;&gt;""),COLUMN(指数走势!$F$34:$ACK$34))-COLUMN(指数走势!$F$34)+1-760+523)=0,NA(),INDEX(指数走势!$F$34:$ACK$34,1,LOOKUP(2,1/(指数走势!$F$34:$ACK$34&lt;&gt;""),COLUMN(指数走势!$F$34:$ACK$34))-COLUMN(指数走势!$F$34)+1-760+523)))</f>
        <v>27.2042999267578</v>
      </c>
      <c r="TE98">
        <f>IF(ISERROR(INDEX(指数走势!$F$34:$ACK$34,1,LOOKUP(2,1/(指数走势!$F$34:$ACK$34&lt;&gt;""),COLUMN(指数走势!$F$34:$ACK$34))-COLUMN(指数走势!$F$34)+1-760+524)),NA(),IF(INDEX(指数走势!$F$34:$ACK$34,1,LOOKUP(2,1/(指数走势!$F$34:$ACK$34&lt;&gt;""),COLUMN(指数走势!$F$34:$ACK$34))-COLUMN(指数走势!$F$34)+1-760+524)=0,NA(),INDEX(指数走势!$F$34:$ACK$34,1,LOOKUP(2,1/(指数走势!$F$34:$ACK$34&lt;&gt;""),COLUMN(指数走势!$F$34:$ACK$34))-COLUMN(指数走势!$F$34)+1-760+524)))</f>
        <v>27.1453990936279</v>
      </c>
      <c r="TF98">
        <f>IF(ISERROR(INDEX(指数走势!$F$34:$ACK$34,1,LOOKUP(2,1/(指数走势!$F$34:$ACK$34&lt;&gt;""),COLUMN(指数走势!$F$34:$ACK$34))-COLUMN(指数走势!$F$34)+1-760+525)),NA(),IF(INDEX(指数走势!$F$34:$ACK$34,1,LOOKUP(2,1/(指数走势!$F$34:$ACK$34&lt;&gt;""),COLUMN(指数走势!$F$34:$ACK$34))-COLUMN(指数走势!$F$34)+1-760+525)=0,NA(),INDEX(指数走势!$F$34:$ACK$34,1,LOOKUP(2,1/(指数走势!$F$34:$ACK$34&lt;&gt;""),COLUMN(指数走势!$F$34:$ACK$34))-COLUMN(指数走势!$F$34)+1-760+525)))</f>
        <v>27.2409000396729</v>
      </c>
      <c r="TG98">
        <f>IF(ISERROR(INDEX(指数走势!$F$34:$ACK$34,1,LOOKUP(2,1/(指数走势!$F$34:$ACK$34&lt;&gt;""),COLUMN(指数走势!$F$34:$ACK$34))-COLUMN(指数走势!$F$34)+1-760+526)),NA(),IF(INDEX(指数走势!$F$34:$ACK$34,1,LOOKUP(2,1/(指数走势!$F$34:$ACK$34&lt;&gt;""),COLUMN(指数走势!$F$34:$ACK$34))-COLUMN(指数走势!$F$34)+1-760+526)=0,NA(),INDEX(指数走势!$F$34:$ACK$34,1,LOOKUP(2,1/(指数走势!$F$34:$ACK$34&lt;&gt;""),COLUMN(指数走势!$F$34:$ACK$34))-COLUMN(指数走势!$F$34)+1-760+526)))</f>
        <v>27.1888999938965</v>
      </c>
      <c r="TH98">
        <f>IF(ISERROR(INDEX(指数走势!$F$34:$ACK$34,1,LOOKUP(2,1/(指数走势!$F$34:$ACK$34&lt;&gt;""),COLUMN(指数走势!$F$34:$ACK$34))-COLUMN(指数走势!$F$34)+1-760+527)),NA(),IF(INDEX(指数走势!$F$34:$ACK$34,1,LOOKUP(2,1/(指数走势!$F$34:$ACK$34&lt;&gt;""),COLUMN(指数走势!$F$34:$ACK$34))-COLUMN(指数走势!$F$34)+1-760+527)=0,NA(),INDEX(指数走势!$F$34:$ACK$34,1,LOOKUP(2,1/(指数走势!$F$34:$ACK$34&lt;&gt;""),COLUMN(指数走势!$F$34:$ACK$34))-COLUMN(指数走势!$F$34)+1-760+527)))</f>
        <v>27.5414009094238</v>
      </c>
      <c r="TI98">
        <f>IF(ISERROR(INDEX(指数走势!$F$34:$ACK$34,1,LOOKUP(2,1/(指数走势!$F$34:$ACK$34&lt;&gt;""),COLUMN(指数走势!$F$34:$ACK$34))-COLUMN(指数走势!$F$34)+1-760+528)),NA(),IF(INDEX(指数走势!$F$34:$ACK$34,1,LOOKUP(2,1/(指数走势!$F$34:$ACK$34&lt;&gt;""),COLUMN(指数走势!$F$34:$ACK$34))-COLUMN(指数走势!$F$34)+1-760+528)=0,NA(),INDEX(指数走势!$F$34:$ACK$34,1,LOOKUP(2,1/(指数走势!$F$34:$ACK$34&lt;&gt;""),COLUMN(指数走势!$F$34:$ACK$34))-COLUMN(指数走势!$F$34)+1-760+528)))</f>
        <v>27.6781005859375</v>
      </c>
      <c r="TJ98">
        <f>IF(ISERROR(INDEX(指数走势!$F$34:$ACK$34,1,LOOKUP(2,1/(指数走势!$F$34:$ACK$34&lt;&gt;""),COLUMN(指数走势!$F$34:$ACK$34))-COLUMN(指数走势!$F$34)+1-760+529)),NA(),IF(INDEX(指数走势!$F$34:$ACK$34,1,LOOKUP(2,1/(指数走势!$F$34:$ACK$34&lt;&gt;""),COLUMN(指数走势!$F$34:$ACK$34))-COLUMN(指数走势!$F$34)+1-760+529)=0,NA(),INDEX(指数走势!$F$34:$ACK$34,1,LOOKUP(2,1/(指数走势!$F$34:$ACK$34&lt;&gt;""),COLUMN(指数走势!$F$34:$ACK$34))-COLUMN(指数走势!$F$34)+1-760+529)))</f>
        <v>27.9409008026123</v>
      </c>
      <c r="TK98">
        <f>IF(ISERROR(INDEX(指数走势!$F$34:$ACK$34,1,LOOKUP(2,1/(指数走势!$F$34:$ACK$34&lt;&gt;""),COLUMN(指数走势!$F$34:$ACK$34))-COLUMN(指数走势!$F$34)+1-760+530)),NA(),IF(INDEX(指数走势!$F$34:$ACK$34,1,LOOKUP(2,1/(指数走势!$F$34:$ACK$34&lt;&gt;""),COLUMN(指数走势!$F$34:$ACK$34))-COLUMN(指数走势!$F$34)+1-760+530)=0,NA(),INDEX(指数走势!$F$34:$ACK$34,1,LOOKUP(2,1/(指数走势!$F$34:$ACK$34&lt;&gt;""),COLUMN(指数走势!$F$34:$ACK$34))-COLUMN(指数走势!$F$34)+1-760+530)))</f>
        <v>28.2175006866455</v>
      </c>
      <c r="TL98">
        <f>IF(ISERROR(INDEX(指数走势!$F$34:$ACK$34,1,LOOKUP(2,1/(指数走势!$F$34:$ACK$34&lt;&gt;""),COLUMN(指数走势!$F$34:$ACK$34))-COLUMN(指数走势!$F$34)+1-760+531)),NA(),IF(INDEX(指数走势!$F$34:$ACK$34,1,LOOKUP(2,1/(指数走势!$F$34:$ACK$34&lt;&gt;""),COLUMN(指数走势!$F$34:$ACK$34))-COLUMN(指数走势!$F$34)+1-760+531)=0,NA(),INDEX(指数走势!$F$34:$ACK$34,1,LOOKUP(2,1/(指数走势!$F$34:$ACK$34&lt;&gt;""),COLUMN(指数走势!$F$34:$ACK$34))-COLUMN(指数走势!$F$34)+1-760+531)))</f>
        <v>28.1058006286621</v>
      </c>
      <c r="TM98">
        <f>IF(ISERROR(INDEX(指数走势!$F$34:$ACK$34,1,LOOKUP(2,1/(指数走势!$F$34:$ACK$34&lt;&gt;""),COLUMN(指数走势!$F$34:$ACK$34))-COLUMN(指数走势!$F$34)+1-760+532)),NA(),IF(INDEX(指数走势!$F$34:$ACK$34,1,LOOKUP(2,1/(指数走势!$F$34:$ACK$34&lt;&gt;""),COLUMN(指数走势!$F$34:$ACK$34))-COLUMN(指数走势!$F$34)+1-760+532)=0,NA(),INDEX(指数走势!$F$34:$ACK$34,1,LOOKUP(2,1/(指数走势!$F$34:$ACK$34&lt;&gt;""),COLUMN(指数走势!$F$34:$ACK$34))-COLUMN(指数走势!$F$34)+1-760+532)))</f>
        <v>28.4395008087158</v>
      </c>
      <c r="TN98">
        <f>IF(ISERROR(INDEX(指数走势!$F$34:$ACK$34,1,LOOKUP(2,1/(指数走势!$F$34:$ACK$34&lt;&gt;""),COLUMN(指数走势!$F$34:$ACK$34))-COLUMN(指数走势!$F$34)+1-760+533)),NA(),IF(INDEX(指数走势!$F$34:$ACK$34,1,LOOKUP(2,1/(指数走势!$F$34:$ACK$34&lt;&gt;""),COLUMN(指数走势!$F$34:$ACK$34))-COLUMN(指数走势!$F$34)+1-760+533)=0,NA(),INDEX(指数走势!$F$34:$ACK$34,1,LOOKUP(2,1/(指数走势!$F$34:$ACK$34&lt;&gt;""),COLUMN(指数走势!$F$34:$ACK$34))-COLUMN(指数走势!$F$34)+1-760+533)))</f>
        <v>28.3215999603271</v>
      </c>
      <c r="TO98">
        <f>IF(ISERROR(INDEX(指数走势!$F$34:$ACK$34,1,LOOKUP(2,1/(指数走势!$F$34:$ACK$34&lt;&gt;""),COLUMN(指数走势!$F$34:$ACK$34))-COLUMN(指数走势!$F$34)+1-760+534)),NA(),IF(INDEX(指数走势!$F$34:$ACK$34,1,LOOKUP(2,1/(指数走势!$F$34:$ACK$34&lt;&gt;""),COLUMN(指数走势!$F$34:$ACK$34))-COLUMN(指数走势!$F$34)+1-760+534)=0,NA(),INDEX(指数走势!$F$34:$ACK$34,1,LOOKUP(2,1/(指数走势!$F$34:$ACK$34&lt;&gt;""),COLUMN(指数走势!$F$34:$ACK$34))-COLUMN(指数走势!$F$34)+1-760+534)))</f>
        <v>28.4256992340088</v>
      </c>
      <c r="TP98">
        <f>IF(ISERROR(INDEX(指数走势!$F$34:$ACK$34,1,LOOKUP(2,1/(指数走势!$F$34:$ACK$34&lt;&gt;""),COLUMN(指数走势!$F$34:$ACK$34))-COLUMN(指数走势!$F$34)+1-760+535)),NA(),IF(INDEX(指数走势!$F$34:$ACK$34,1,LOOKUP(2,1/(指数走势!$F$34:$ACK$34&lt;&gt;""),COLUMN(指数走势!$F$34:$ACK$34))-COLUMN(指数走势!$F$34)+1-760+535)=0,NA(),INDEX(指数走势!$F$34:$ACK$34,1,LOOKUP(2,1/(指数走势!$F$34:$ACK$34&lt;&gt;""),COLUMN(指数走势!$F$34:$ACK$34))-COLUMN(指数走势!$F$34)+1-760+535)))</f>
        <v>27.62619972229</v>
      </c>
      <c r="TQ98">
        <f>IF(ISERROR(INDEX(指数走势!$F$34:$ACK$34,1,LOOKUP(2,1/(指数走势!$F$34:$ACK$34&lt;&gt;""),COLUMN(指数走势!$F$34:$ACK$34))-COLUMN(指数走势!$F$34)+1-760+536)),NA(),IF(INDEX(指数走势!$F$34:$ACK$34,1,LOOKUP(2,1/(指数走势!$F$34:$ACK$34&lt;&gt;""),COLUMN(指数走势!$F$34:$ACK$34))-COLUMN(指数走势!$F$34)+1-760+536)=0,NA(),INDEX(指数走势!$F$34:$ACK$34,1,LOOKUP(2,1/(指数走势!$F$34:$ACK$34&lt;&gt;""),COLUMN(指数走势!$F$34:$ACK$34))-COLUMN(指数走势!$F$34)+1-760+536)))</f>
        <v>27.4141006469727</v>
      </c>
      <c r="TR98">
        <f>IF(ISERROR(INDEX(指数走势!$F$34:$ACK$34,1,LOOKUP(2,1/(指数走势!$F$34:$ACK$34&lt;&gt;""),COLUMN(指数走势!$F$34:$ACK$34))-COLUMN(指数走势!$F$34)+1-760+537)),NA(),IF(INDEX(指数走势!$F$34:$ACK$34,1,LOOKUP(2,1/(指数走势!$F$34:$ACK$34&lt;&gt;""),COLUMN(指数走势!$F$34:$ACK$34))-COLUMN(指数走势!$F$34)+1-760+537)=0,NA(),INDEX(指数走势!$F$34:$ACK$34,1,LOOKUP(2,1/(指数走势!$F$34:$ACK$34&lt;&gt;""),COLUMN(指数走势!$F$34:$ACK$34))-COLUMN(指数走势!$F$34)+1-760+537)))</f>
        <v>26.7630004882813</v>
      </c>
      <c r="TS98">
        <f>IF(ISERROR(INDEX(指数走势!$F$34:$ACK$34,1,LOOKUP(2,1/(指数走势!$F$34:$ACK$34&lt;&gt;""),COLUMN(指数走势!$F$34:$ACK$34))-COLUMN(指数走势!$F$34)+1-760+538)),NA(),IF(INDEX(指数走势!$F$34:$ACK$34,1,LOOKUP(2,1/(指数走势!$F$34:$ACK$34&lt;&gt;""),COLUMN(指数走势!$F$34:$ACK$34))-COLUMN(指数走势!$F$34)+1-760+538)=0,NA(),INDEX(指数走势!$F$34:$ACK$34,1,LOOKUP(2,1/(指数走势!$F$34:$ACK$34&lt;&gt;""),COLUMN(指数走势!$F$34:$ACK$34))-COLUMN(指数走势!$F$34)+1-760+538)))</f>
        <v>26.7171993255615</v>
      </c>
      <c r="TT98">
        <f>IF(ISERROR(INDEX(指数走势!$F$34:$ACK$34,1,LOOKUP(2,1/(指数走势!$F$34:$ACK$34&lt;&gt;""),COLUMN(指数走势!$F$34:$ACK$34))-COLUMN(指数走势!$F$34)+1-760+539)),NA(),IF(INDEX(指数走势!$F$34:$ACK$34,1,LOOKUP(2,1/(指数走势!$F$34:$ACK$34&lt;&gt;""),COLUMN(指数走势!$F$34:$ACK$34))-COLUMN(指数走势!$F$34)+1-760+539)=0,NA(),INDEX(指数走势!$F$34:$ACK$34,1,LOOKUP(2,1/(指数走势!$F$34:$ACK$34&lt;&gt;""),COLUMN(指数走势!$F$34:$ACK$34))-COLUMN(指数走势!$F$34)+1-760+539)))</f>
        <v>26.8008003234863</v>
      </c>
      <c r="TU98">
        <f>IF(ISERROR(INDEX(指数走势!$F$34:$ACK$34,1,LOOKUP(2,1/(指数走势!$F$34:$ACK$34&lt;&gt;""),COLUMN(指数走势!$F$34:$ACK$34))-COLUMN(指数走势!$F$34)+1-760+540)),NA(),IF(INDEX(指数走势!$F$34:$ACK$34,1,LOOKUP(2,1/(指数走势!$F$34:$ACK$34&lt;&gt;""),COLUMN(指数走势!$F$34:$ACK$34))-COLUMN(指数走势!$F$34)+1-760+540)=0,NA(),INDEX(指数走势!$F$34:$ACK$34,1,LOOKUP(2,1/(指数走势!$F$34:$ACK$34&lt;&gt;""),COLUMN(指数走势!$F$34:$ACK$34))-COLUMN(指数走势!$F$34)+1-760+540)))</f>
        <v>26.9580993652344</v>
      </c>
      <c r="TV98">
        <f>IF(ISERROR(INDEX(指数走势!$F$34:$ACK$34,1,LOOKUP(2,1/(指数走势!$F$34:$ACK$34&lt;&gt;""),COLUMN(指数走势!$F$34:$ACK$34))-COLUMN(指数走势!$F$34)+1-760+541)),NA(),IF(INDEX(指数走势!$F$34:$ACK$34,1,LOOKUP(2,1/(指数走势!$F$34:$ACK$34&lt;&gt;""),COLUMN(指数走势!$F$34:$ACK$34))-COLUMN(指数走势!$F$34)+1-760+541)=0,NA(),INDEX(指数走势!$F$34:$ACK$34,1,LOOKUP(2,1/(指数走势!$F$34:$ACK$34&lt;&gt;""),COLUMN(指数走势!$F$34:$ACK$34))-COLUMN(指数走势!$F$34)+1-760+541)))</f>
        <v>27.1236991882324</v>
      </c>
      <c r="TW98">
        <f>IF(ISERROR(INDEX(指数走势!$F$34:$ACK$34,1,LOOKUP(2,1/(指数走势!$F$34:$ACK$34&lt;&gt;""),COLUMN(指数走势!$F$34:$ACK$34))-COLUMN(指数走势!$F$34)+1-760+542)),NA(),IF(INDEX(指数走势!$F$34:$ACK$34,1,LOOKUP(2,1/(指数走势!$F$34:$ACK$34&lt;&gt;""),COLUMN(指数走势!$F$34:$ACK$34))-COLUMN(指数走势!$F$34)+1-760+542)=0,NA(),INDEX(指数走势!$F$34:$ACK$34,1,LOOKUP(2,1/(指数走势!$F$34:$ACK$34&lt;&gt;""),COLUMN(指数走势!$F$34:$ACK$34))-COLUMN(指数走势!$F$34)+1-760+542)))</f>
        <v>27.085599899292</v>
      </c>
      <c r="TX98">
        <f>IF(ISERROR(INDEX(指数走势!$F$34:$ACK$34,1,LOOKUP(2,1/(指数走势!$F$34:$ACK$34&lt;&gt;""),COLUMN(指数走势!$F$34:$ACK$34))-COLUMN(指数走势!$F$34)+1-760+543)),NA(),IF(INDEX(指数走势!$F$34:$ACK$34,1,LOOKUP(2,1/(指数走势!$F$34:$ACK$34&lt;&gt;""),COLUMN(指数走势!$F$34:$ACK$34))-COLUMN(指数走势!$F$34)+1-760+543)=0,NA(),INDEX(指数走势!$F$34:$ACK$34,1,LOOKUP(2,1/(指数走势!$F$34:$ACK$34&lt;&gt;""),COLUMN(指数走势!$F$34:$ACK$34))-COLUMN(指数走势!$F$34)+1-760+543)))</f>
        <v>27.0270004272461</v>
      </c>
      <c r="TY98">
        <f>IF(ISERROR(INDEX(指数走势!$F$34:$ACK$34,1,LOOKUP(2,1/(指数走势!$F$34:$ACK$34&lt;&gt;""),COLUMN(指数走势!$F$34:$ACK$34))-COLUMN(指数走势!$F$34)+1-760+544)),NA(),IF(INDEX(指数走势!$F$34:$ACK$34,1,LOOKUP(2,1/(指数走势!$F$34:$ACK$34&lt;&gt;""),COLUMN(指数走势!$F$34:$ACK$34))-COLUMN(指数走势!$F$34)+1-760+544)=0,NA(),INDEX(指数走势!$F$34:$ACK$34,1,LOOKUP(2,1/(指数走势!$F$34:$ACK$34&lt;&gt;""),COLUMN(指数走势!$F$34:$ACK$34))-COLUMN(指数走势!$F$34)+1-760+544)))</f>
        <v>27.3857002258301</v>
      </c>
      <c r="TZ98">
        <f>IF(ISERROR(INDEX(指数走势!$F$34:$ACK$34,1,LOOKUP(2,1/(指数走势!$F$34:$ACK$34&lt;&gt;""),COLUMN(指数走势!$F$34:$ACK$34))-COLUMN(指数走势!$F$34)+1-760+545)),NA(),IF(INDEX(指数走势!$F$34:$ACK$34,1,LOOKUP(2,1/(指数走势!$F$34:$ACK$34&lt;&gt;""),COLUMN(指数走势!$F$34:$ACK$34))-COLUMN(指数走势!$F$34)+1-760+545)=0,NA(),INDEX(指数走势!$F$34:$ACK$34,1,LOOKUP(2,1/(指数走势!$F$34:$ACK$34&lt;&gt;""),COLUMN(指数走势!$F$34:$ACK$34))-COLUMN(指数走势!$F$34)+1-760+545)))</f>
        <v>27.5062007904053</v>
      </c>
      <c r="UA98">
        <f>IF(ISERROR(INDEX(指数走势!$F$34:$ACK$34,1,LOOKUP(2,1/(指数走势!$F$34:$ACK$34&lt;&gt;""),COLUMN(指数走势!$F$34:$ACK$34))-COLUMN(指数走势!$F$34)+1-760+546)),NA(),IF(INDEX(指数走势!$F$34:$ACK$34,1,LOOKUP(2,1/(指数走势!$F$34:$ACK$34&lt;&gt;""),COLUMN(指数走势!$F$34:$ACK$34))-COLUMN(指数走势!$F$34)+1-760+546)=0,NA(),INDEX(指数走势!$F$34:$ACK$34,1,LOOKUP(2,1/(指数走势!$F$34:$ACK$34&lt;&gt;""),COLUMN(指数走势!$F$34:$ACK$34))-COLUMN(指数走势!$F$34)+1-760+546)))</f>
        <v>27.8903999328613</v>
      </c>
      <c r="UB98">
        <f>IF(ISERROR(INDEX(指数走势!$F$34:$ACK$34,1,LOOKUP(2,1/(指数走势!$F$34:$ACK$34&lt;&gt;""),COLUMN(指数走势!$F$34:$ACK$34))-COLUMN(指数走势!$F$34)+1-760+547)),NA(),IF(INDEX(指数走势!$F$34:$ACK$34,1,LOOKUP(2,1/(指数走势!$F$34:$ACK$34&lt;&gt;""),COLUMN(指数走势!$F$34:$ACK$34))-COLUMN(指数走势!$F$34)+1-760+547)=0,NA(),INDEX(指数走势!$F$34:$ACK$34,1,LOOKUP(2,1/(指数走势!$F$34:$ACK$34&lt;&gt;""),COLUMN(指数走势!$F$34:$ACK$34))-COLUMN(指数走势!$F$34)+1-760+547)))</f>
        <v>27.6599006652832</v>
      </c>
      <c r="UC98">
        <f>IF(ISERROR(INDEX(指数走势!$F$34:$ACK$34,1,LOOKUP(2,1/(指数走势!$F$34:$ACK$34&lt;&gt;""),COLUMN(指数走势!$F$34:$ACK$34))-COLUMN(指数走势!$F$34)+1-760+548)),NA(),IF(INDEX(指数走势!$F$34:$ACK$34,1,LOOKUP(2,1/(指数走势!$F$34:$ACK$34&lt;&gt;""),COLUMN(指数走势!$F$34:$ACK$34))-COLUMN(指数走势!$F$34)+1-760+548)=0,NA(),INDEX(指数走势!$F$34:$ACK$34,1,LOOKUP(2,1/(指数走势!$F$34:$ACK$34&lt;&gt;""),COLUMN(指数走势!$F$34:$ACK$34))-COLUMN(指数走势!$F$34)+1-760+548)))</f>
        <v>28.0478992462158</v>
      </c>
      <c r="UD98">
        <f>IF(ISERROR(INDEX(指数走势!$F$34:$ACK$34,1,LOOKUP(2,1/(指数走势!$F$34:$ACK$34&lt;&gt;""),COLUMN(指数走势!$F$34:$ACK$34))-COLUMN(指数走势!$F$34)+1-760+549)),NA(),IF(INDEX(指数走势!$F$34:$ACK$34,1,LOOKUP(2,1/(指数走势!$F$34:$ACK$34&lt;&gt;""),COLUMN(指数走势!$F$34:$ACK$34))-COLUMN(指数走势!$F$34)+1-760+549)=0,NA(),INDEX(指数走势!$F$34:$ACK$34,1,LOOKUP(2,1/(指数走势!$F$34:$ACK$34&lt;&gt;""),COLUMN(指数走势!$F$34:$ACK$34))-COLUMN(指数走势!$F$34)+1-760+549)))</f>
        <v>28.4881992340088</v>
      </c>
      <c r="UE98">
        <f>IF(ISERROR(INDEX(指数走势!$F$34:$ACK$34,1,LOOKUP(2,1/(指数走势!$F$34:$ACK$34&lt;&gt;""),COLUMN(指数走势!$F$34:$ACK$34))-COLUMN(指数走势!$F$34)+1-760+550)),NA(),IF(INDEX(指数走势!$F$34:$ACK$34,1,LOOKUP(2,1/(指数走势!$F$34:$ACK$34&lt;&gt;""),COLUMN(指数走势!$F$34:$ACK$34))-COLUMN(指数走势!$F$34)+1-760+550)=0,NA(),INDEX(指数走势!$F$34:$ACK$34,1,LOOKUP(2,1/(指数走势!$F$34:$ACK$34&lt;&gt;""),COLUMN(指数走势!$F$34:$ACK$34))-COLUMN(指数走势!$F$34)+1-760+550)))</f>
        <v>28.4692993164063</v>
      </c>
      <c r="UF98">
        <f>IF(ISERROR(INDEX(指数走势!$F$34:$ACK$34,1,LOOKUP(2,1/(指数走势!$F$34:$ACK$34&lt;&gt;""),COLUMN(指数走势!$F$34:$ACK$34))-COLUMN(指数走势!$F$34)+1-760+551)),NA(),IF(INDEX(指数走势!$F$34:$ACK$34,1,LOOKUP(2,1/(指数走势!$F$34:$ACK$34&lt;&gt;""),COLUMN(指数走势!$F$34:$ACK$34))-COLUMN(指数走势!$F$34)+1-760+551)=0,NA(),INDEX(指数走势!$F$34:$ACK$34,1,LOOKUP(2,1/(指数走势!$F$34:$ACK$34&lt;&gt;""),COLUMN(指数走势!$F$34:$ACK$34))-COLUMN(指数走势!$F$34)+1-760+551)))</f>
        <v>28.74049949646</v>
      </c>
      <c r="UG98">
        <f>IF(ISERROR(INDEX(指数走势!$F$34:$ACK$34,1,LOOKUP(2,1/(指数走势!$F$34:$ACK$34&lt;&gt;""),COLUMN(指数走势!$F$34:$ACK$34))-COLUMN(指数走势!$F$34)+1-760+552)),NA(),IF(INDEX(指数走势!$F$34:$ACK$34,1,LOOKUP(2,1/(指数走势!$F$34:$ACK$34&lt;&gt;""),COLUMN(指数走势!$F$34:$ACK$34))-COLUMN(指数走势!$F$34)+1-760+552)=0,NA(),INDEX(指数走势!$F$34:$ACK$34,1,LOOKUP(2,1/(指数走势!$F$34:$ACK$34&lt;&gt;""),COLUMN(指数走势!$F$34:$ACK$34))-COLUMN(指数走势!$F$34)+1-760+552)))</f>
        <v>28.6487007141113</v>
      </c>
      <c r="UH98">
        <f>IF(ISERROR(INDEX(指数走势!$F$34:$ACK$34,1,LOOKUP(2,1/(指数走势!$F$34:$ACK$34&lt;&gt;""),COLUMN(指数走势!$F$34:$ACK$34))-COLUMN(指数走势!$F$34)+1-760+553)),NA(),IF(INDEX(指数走势!$F$34:$ACK$34,1,LOOKUP(2,1/(指数走势!$F$34:$ACK$34&lt;&gt;""),COLUMN(指数走势!$F$34:$ACK$34))-COLUMN(指数走势!$F$34)+1-760+553)=0,NA(),INDEX(指数走势!$F$34:$ACK$34,1,LOOKUP(2,1/(指数走势!$F$34:$ACK$34&lt;&gt;""),COLUMN(指数走势!$F$34:$ACK$34))-COLUMN(指数走势!$F$34)+1-760+553)))</f>
        <v>29.3143005371094</v>
      </c>
      <c r="UI98">
        <f>IF(ISERROR(INDEX(指数走势!$F$34:$ACK$34,1,LOOKUP(2,1/(指数走势!$F$34:$ACK$34&lt;&gt;""),COLUMN(指数走势!$F$34:$ACK$34))-COLUMN(指数走势!$F$34)+1-760+554)),NA(),IF(INDEX(指数走势!$F$34:$ACK$34,1,LOOKUP(2,1/(指数走势!$F$34:$ACK$34&lt;&gt;""),COLUMN(指数走势!$F$34:$ACK$34))-COLUMN(指数走势!$F$34)+1-760+554)=0,NA(),INDEX(指数走势!$F$34:$ACK$34,1,LOOKUP(2,1/(指数走势!$F$34:$ACK$34&lt;&gt;""),COLUMN(指数走势!$F$34:$ACK$34))-COLUMN(指数走势!$F$34)+1-760+554)))</f>
        <v>29.9775009155273</v>
      </c>
      <c r="UJ98">
        <f>IF(ISERROR(INDEX(指数走势!$F$34:$ACK$34,1,LOOKUP(2,1/(指数走势!$F$34:$ACK$34&lt;&gt;""),COLUMN(指数走势!$F$34:$ACK$34))-COLUMN(指数走势!$F$34)+1-760+555)),NA(),IF(INDEX(指数走势!$F$34:$ACK$34,1,LOOKUP(2,1/(指数走势!$F$34:$ACK$34&lt;&gt;""),COLUMN(指数走势!$F$34:$ACK$34))-COLUMN(指数走势!$F$34)+1-760+555)=0,NA(),INDEX(指数走势!$F$34:$ACK$34,1,LOOKUP(2,1/(指数走势!$F$34:$ACK$34&lt;&gt;""),COLUMN(指数走势!$F$34:$ACK$34))-COLUMN(指数走势!$F$34)+1-760+555)))</f>
        <v>29.8850002288818</v>
      </c>
      <c r="UK98">
        <f>IF(ISERROR(INDEX(指数走势!$F$34:$ACK$34,1,LOOKUP(2,1/(指数走势!$F$34:$ACK$34&lt;&gt;""),COLUMN(指数走势!$F$34:$ACK$34))-COLUMN(指数走势!$F$34)+1-760+556)),NA(),IF(INDEX(指数走势!$F$34:$ACK$34,1,LOOKUP(2,1/(指数走势!$F$34:$ACK$34&lt;&gt;""),COLUMN(指数走势!$F$34:$ACK$34))-COLUMN(指数走势!$F$34)+1-760+556)=0,NA(),INDEX(指数走势!$F$34:$ACK$34,1,LOOKUP(2,1/(指数走势!$F$34:$ACK$34&lt;&gt;""),COLUMN(指数走势!$F$34:$ACK$34))-COLUMN(指数走势!$F$34)+1-760+556)))</f>
        <v>29.3190994262695</v>
      </c>
      <c r="UL98">
        <f>IF(ISERROR(INDEX(指数走势!$F$34:$ACK$34,1,LOOKUP(2,1/(指数走势!$F$34:$ACK$34&lt;&gt;""),COLUMN(指数走势!$F$34:$ACK$34))-COLUMN(指数走势!$F$34)+1-760+557)),NA(),IF(INDEX(指数走势!$F$34:$ACK$34,1,LOOKUP(2,1/(指数走势!$F$34:$ACK$34&lt;&gt;""),COLUMN(指数走势!$F$34:$ACK$34))-COLUMN(指数走势!$F$34)+1-760+557)=0,NA(),INDEX(指数走势!$F$34:$ACK$34,1,LOOKUP(2,1/(指数走势!$F$34:$ACK$34&lt;&gt;""),COLUMN(指数走势!$F$34:$ACK$34))-COLUMN(指数走势!$F$34)+1-760+557)))</f>
        <v>29.9342994689941</v>
      </c>
      <c r="UM98">
        <f>IF(ISERROR(INDEX(指数走势!$F$34:$ACK$34,1,LOOKUP(2,1/(指数走势!$F$34:$ACK$34&lt;&gt;""),COLUMN(指数走势!$F$34:$ACK$34))-COLUMN(指数走势!$F$34)+1-760+558)),NA(),IF(INDEX(指数走势!$F$34:$ACK$34,1,LOOKUP(2,1/(指数走势!$F$34:$ACK$34&lt;&gt;""),COLUMN(指数走势!$F$34:$ACK$34))-COLUMN(指数走势!$F$34)+1-760+558)=0,NA(),INDEX(指数走势!$F$34:$ACK$34,1,LOOKUP(2,1/(指数走势!$F$34:$ACK$34&lt;&gt;""),COLUMN(指数走势!$F$34:$ACK$34))-COLUMN(指数走势!$F$34)+1-760+558)))</f>
        <v>30.2332992553711</v>
      </c>
      <c r="UN98">
        <f>IF(ISERROR(INDEX(指数走势!$F$34:$ACK$34,1,LOOKUP(2,1/(指数走势!$F$34:$ACK$34&lt;&gt;""),COLUMN(指数走势!$F$34:$ACK$34))-COLUMN(指数走势!$F$34)+1-760+559)),NA(),IF(INDEX(指数走势!$F$34:$ACK$34,1,LOOKUP(2,1/(指数走势!$F$34:$ACK$34&lt;&gt;""),COLUMN(指数走势!$F$34:$ACK$34))-COLUMN(指数走势!$F$34)+1-760+559)=0,NA(),INDEX(指数走势!$F$34:$ACK$34,1,LOOKUP(2,1/(指数走势!$F$34:$ACK$34&lt;&gt;""),COLUMN(指数走势!$F$34:$ACK$34))-COLUMN(指数走势!$F$34)+1-760+559)))</f>
        <v>30.4480991363525</v>
      </c>
      <c r="UO98">
        <f>IF(ISERROR(INDEX(指数走势!$F$34:$ACK$34,1,LOOKUP(2,1/(指数走势!$F$34:$ACK$34&lt;&gt;""),COLUMN(指数走势!$F$34:$ACK$34))-COLUMN(指数走势!$F$34)+1-760+560)),NA(),IF(INDEX(指数走势!$F$34:$ACK$34,1,LOOKUP(2,1/(指数走势!$F$34:$ACK$34&lt;&gt;""),COLUMN(指数走势!$F$34:$ACK$34))-COLUMN(指数走势!$F$34)+1-760+560)=0,NA(),INDEX(指数走势!$F$34:$ACK$34,1,LOOKUP(2,1/(指数走势!$F$34:$ACK$34&lt;&gt;""),COLUMN(指数走势!$F$34:$ACK$34))-COLUMN(指数走势!$F$34)+1-760+560)))</f>
        <v>29.8605995178223</v>
      </c>
      <c r="UP98">
        <f>IF(ISERROR(INDEX(指数走势!$F$34:$ACK$34,1,LOOKUP(2,1/(指数走势!$F$34:$ACK$34&lt;&gt;""),COLUMN(指数走势!$F$34:$ACK$34))-COLUMN(指数走势!$F$34)+1-760+561)),NA(),IF(INDEX(指数走势!$F$34:$ACK$34,1,LOOKUP(2,1/(指数走势!$F$34:$ACK$34&lt;&gt;""),COLUMN(指数走势!$F$34:$ACK$34))-COLUMN(指数走势!$F$34)+1-760+561)=0,NA(),INDEX(指数走势!$F$34:$ACK$34,1,LOOKUP(2,1/(指数走势!$F$34:$ACK$34&lt;&gt;""),COLUMN(指数走势!$F$34:$ACK$34))-COLUMN(指数走势!$F$34)+1-760+561)))</f>
        <v>29.5536003112793</v>
      </c>
      <c r="UQ98">
        <f>IF(ISERROR(INDEX(指数走势!$F$34:$ACK$34,1,LOOKUP(2,1/(指数走势!$F$34:$ACK$34&lt;&gt;""),COLUMN(指数走势!$F$34:$ACK$34))-COLUMN(指数走势!$F$34)+1-760+562)),NA(),IF(INDEX(指数走势!$F$34:$ACK$34,1,LOOKUP(2,1/(指数走势!$F$34:$ACK$34&lt;&gt;""),COLUMN(指数走势!$F$34:$ACK$34))-COLUMN(指数走势!$F$34)+1-760+562)=0,NA(),INDEX(指数走势!$F$34:$ACK$34,1,LOOKUP(2,1/(指数走势!$F$34:$ACK$34&lt;&gt;""),COLUMN(指数走势!$F$34:$ACK$34))-COLUMN(指数走势!$F$34)+1-760+562)))</f>
        <v>28.8064002990723</v>
      </c>
      <c r="UR98">
        <f>IF(ISERROR(INDEX(指数走势!$F$34:$ACK$34,1,LOOKUP(2,1/(指数走势!$F$34:$ACK$34&lt;&gt;""),COLUMN(指数走势!$F$34:$ACK$34))-COLUMN(指数走势!$F$34)+1-760+563)),NA(),IF(INDEX(指数走势!$F$34:$ACK$34,1,LOOKUP(2,1/(指数走势!$F$34:$ACK$34&lt;&gt;""),COLUMN(指数走势!$F$34:$ACK$34))-COLUMN(指数走势!$F$34)+1-760+563)=0,NA(),INDEX(指数走势!$F$34:$ACK$34,1,LOOKUP(2,1/(指数走势!$F$34:$ACK$34&lt;&gt;""),COLUMN(指数走势!$F$34:$ACK$34))-COLUMN(指数走势!$F$34)+1-760+563)))</f>
        <v>29.8127002716064</v>
      </c>
      <c r="US98">
        <f>IF(ISERROR(INDEX(指数走势!$F$34:$ACK$34,1,LOOKUP(2,1/(指数走势!$F$34:$ACK$34&lt;&gt;""),COLUMN(指数走势!$F$34:$ACK$34))-COLUMN(指数走势!$F$34)+1-760+564)),NA(),IF(INDEX(指数走势!$F$34:$ACK$34,1,LOOKUP(2,1/(指数走势!$F$34:$ACK$34&lt;&gt;""),COLUMN(指数走势!$F$34:$ACK$34))-COLUMN(指数走势!$F$34)+1-760+564)=0,NA(),INDEX(指数走势!$F$34:$ACK$34,1,LOOKUP(2,1/(指数走势!$F$34:$ACK$34&lt;&gt;""),COLUMN(指数走势!$F$34:$ACK$34))-COLUMN(指数走势!$F$34)+1-760+564)))</f>
        <v>30.0240001678467</v>
      </c>
      <c r="UT98">
        <f>IF(ISERROR(INDEX(指数走势!$F$34:$ACK$34,1,LOOKUP(2,1/(指数走势!$F$34:$ACK$34&lt;&gt;""),COLUMN(指数走势!$F$34:$ACK$34))-COLUMN(指数走势!$F$34)+1-760+565)),NA(),IF(INDEX(指数走势!$F$34:$ACK$34,1,LOOKUP(2,1/(指数走势!$F$34:$ACK$34&lt;&gt;""),COLUMN(指数走势!$F$34:$ACK$34))-COLUMN(指数走势!$F$34)+1-760+565)=0,NA(),INDEX(指数走势!$F$34:$ACK$34,1,LOOKUP(2,1/(指数走势!$F$34:$ACK$34&lt;&gt;""),COLUMN(指数走势!$F$34:$ACK$34))-COLUMN(指数走势!$F$34)+1-760+565)))</f>
        <v>29.6856994628906</v>
      </c>
      <c r="UU98">
        <f>IF(ISERROR(INDEX(指数走势!$F$34:$ACK$34,1,LOOKUP(2,1/(指数走势!$F$34:$ACK$34&lt;&gt;""),COLUMN(指数走势!$F$34:$ACK$34))-COLUMN(指数走势!$F$34)+1-760+566)),NA(),IF(INDEX(指数走势!$F$34:$ACK$34,1,LOOKUP(2,1/(指数走势!$F$34:$ACK$34&lt;&gt;""),COLUMN(指数走势!$F$34:$ACK$34))-COLUMN(指数走势!$F$34)+1-760+566)=0,NA(),INDEX(指数走势!$F$34:$ACK$34,1,LOOKUP(2,1/(指数走势!$F$34:$ACK$34&lt;&gt;""),COLUMN(指数走势!$F$34:$ACK$34))-COLUMN(指数走势!$F$34)+1-760+566)))</f>
        <v>29.7562999725342</v>
      </c>
      <c r="UV98">
        <f>IF(ISERROR(INDEX(指数走势!$F$34:$ACK$34,1,LOOKUP(2,1/(指数走势!$F$34:$ACK$34&lt;&gt;""),COLUMN(指数走势!$F$34:$ACK$34))-COLUMN(指数走势!$F$34)+1-760+567)),NA(),IF(INDEX(指数走势!$F$34:$ACK$34,1,LOOKUP(2,1/(指数走势!$F$34:$ACK$34&lt;&gt;""),COLUMN(指数走势!$F$34:$ACK$34))-COLUMN(指数走势!$F$34)+1-760+567)=0,NA(),INDEX(指数走势!$F$34:$ACK$34,1,LOOKUP(2,1/(指数走势!$F$34:$ACK$34&lt;&gt;""),COLUMN(指数走势!$F$34:$ACK$34))-COLUMN(指数走势!$F$34)+1-760+567)))</f>
        <v>30.637300491333</v>
      </c>
      <c r="UW98">
        <f>IF(ISERROR(INDEX(指数走势!$F$34:$ACK$34,1,LOOKUP(2,1/(指数走势!$F$34:$ACK$34&lt;&gt;""),COLUMN(指数走势!$F$34:$ACK$34))-COLUMN(指数走势!$F$34)+1-760+568)),NA(),IF(INDEX(指数走势!$F$34:$ACK$34,1,LOOKUP(2,1/(指数走势!$F$34:$ACK$34&lt;&gt;""),COLUMN(指数走势!$F$34:$ACK$34))-COLUMN(指数走势!$F$34)+1-760+568)=0,NA(),INDEX(指数走势!$F$34:$ACK$34,1,LOOKUP(2,1/(指数走势!$F$34:$ACK$34&lt;&gt;""),COLUMN(指数走势!$F$34:$ACK$34))-COLUMN(指数走势!$F$34)+1-760+568)))</f>
        <v>30.5184993743896</v>
      </c>
      <c r="UX98">
        <f>IF(ISERROR(INDEX(指数走势!$F$34:$ACK$34,1,LOOKUP(2,1/(指数走势!$F$34:$ACK$34&lt;&gt;""),COLUMN(指数走势!$F$34:$ACK$34))-COLUMN(指数走势!$F$34)+1-760+569)),NA(),IF(INDEX(指数走势!$F$34:$ACK$34,1,LOOKUP(2,1/(指数走势!$F$34:$ACK$34&lt;&gt;""),COLUMN(指数走势!$F$34:$ACK$34))-COLUMN(指数走势!$F$34)+1-760+569)=0,NA(),INDEX(指数走势!$F$34:$ACK$34,1,LOOKUP(2,1/(指数走势!$F$34:$ACK$34&lt;&gt;""),COLUMN(指数走势!$F$34:$ACK$34))-COLUMN(指数走势!$F$34)+1-760+569)))</f>
        <v>30.7089996337891</v>
      </c>
      <c r="UY98">
        <f>IF(ISERROR(INDEX(指数走势!$F$34:$ACK$34,1,LOOKUP(2,1/(指数走势!$F$34:$ACK$34&lt;&gt;""),COLUMN(指数走势!$F$34:$ACK$34))-COLUMN(指数走势!$F$34)+1-760+570)),NA(),IF(INDEX(指数走势!$F$34:$ACK$34,1,LOOKUP(2,1/(指数走势!$F$34:$ACK$34&lt;&gt;""),COLUMN(指数走势!$F$34:$ACK$34))-COLUMN(指数走势!$F$34)+1-760+570)=0,NA(),INDEX(指数走势!$F$34:$ACK$34,1,LOOKUP(2,1/(指数走势!$F$34:$ACK$34&lt;&gt;""),COLUMN(指数走势!$F$34:$ACK$34))-COLUMN(指数走势!$F$34)+1-760+570)))</f>
        <v>30.804500579834</v>
      </c>
      <c r="UZ98">
        <f>IF(ISERROR(INDEX(指数走势!$F$34:$ACK$34,1,LOOKUP(2,1/(指数走势!$F$34:$ACK$34&lt;&gt;""),COLUMN(指数走势!$F$34:$ACK$34))-COLUMN(指数走势!$F$34)+1-760+571)),NA(),IF(INDEX(指数走势!$F$34:$ACK$34,1,LOOKUP(2,1/(指数走势!$F$34:$ACK$34&lt;&gt;""),COLUMN(指数走势!$F$34:$ACK$34))-COLUMN(指数走势!$F$34)+1-760+571)=0,NA(),INDEX(指数走势!$F$34:$ACK$34,1,LOOKUP(2,1/(指数走势!$F$34:$ACK$34&lt;&gt;""),COLUMN(指数走势!$F$34:$ACK$34))-COLUMN(指数走势!$F$34)+1-760+571)))</f>
        <v>31.1585998535156</v>
      </c>
      <c r="VA98">
        <f>IF(ISERROR(INDEX(指数走势!$F$34:$ACK$34,1,LOOKUP(2,1/(指数走势!$F$34:$ACK$34&lt;&gt;""),COLUMN(指数走势!$F$34:$ACK$34))-COLUMN(指数走势!$F$34)+1-760+572)),NA(),IF(INDEX(指数走势!$F$34:$ACK$34,1,LOOKUP(2,1/(指数走势!$F$34:$ACK$34&lt;&gt;""),COLUMN(指数走势!$F$34:$ACK$34))-COLUMN(指数走势!$F$34)+1-760+572)=0,NA(),INDEX(指数走势!$F$34:$ACK$34,1,LOOKUP(2,1/(指数走势!$F$34:$ACK$34&lt;&gt;""),COLUMN(指数走势!$F$34:$ACK$34))-COLUMN(指数走势!$F$34)+1-760+572)))</f>
        <v>30.81369972229</v>
      </c>
      <c r="VB98">
        <f>IF(ISERROR(INDEX(指数走势!$F$34:$ACK$34,1,LOOKUP(2,1/(指数走势!$F$34:$ACK$34&lt;&gt;""),COLUMN(指数走势!$F$34:$ACK$34))-COLUMN(指数走势!$F$34)+1-760+573)),NA(),IF(INDEX(指数走势!$F$34:$ACK$34,1,LOOKUP(2,1/(指数走势!$F$34:$ACK$34&lt;&gt;""),COLUMN(指数走势!$F$34:$ACK$34))-COLUMN(指数走势!$F$34)+1-760+573)=0,NA(),INDEX(指数走势!$F$34:$ACK$34,1,LOOKUP(2,1/(指数走势!$F$34:$ACK$34&lt;&gt;""),COLUMN(指数走势!$F$34:$ACK$34))-COLUMN(指数走势!$F$34)+1-760+573)))</f>
        <v>30.798900604248</v>
      </c>
      <c r="VC98">
        <f>IF(ISERROR(INDEX(指数走势!$F$34:$ACK$34,1,LOOKUP(2,1/(指数走势!$F$34:$ACK$34&lt;&gt;""),COLUMN(指数走势!$F$34:$ACK$34))-COLUMN(指数走势!$F$34)+1-760+574)),NA(),IF(INDEX(指数走势!$F$34:$ACK$34,1,LOOKUP(2,1/(指数走势!$F$34:$ACK$34&lt;&gt;""),COLUMN(指数走势!$F$34:$ACK$34))-COLUMN(指数走势!$F$34)+1-760+574)=0,NA(),INDEX(指数走势!$F$34:$ACK$34,1,LOOKUP(2,1/(指数走势!$F$34:$ACK$34&lt;&gt;""),COLUMN(指数走势!$F$34:$ACK$34))-COLUMN(指数走势!$F$34)+1-760+574)))</f>
        <v>30.9750995635986</v>
      </c>
      <c r="VD98">
        <f>IF(ISERROR(INDEX(指数走势!$F$34:$ACK$34,1,LOOKUP(2,1/(指数走势!$F$34:$ACK$34&lt;&gt;""),COLUMN(指数走势!$F$34:$ACK$34))-COLUMN(指数走势!$F$34)+1-760+575)),NA(),IF(INDEX(指数走势!$F$34:$ACK$34,1,LOOKUP(2,1/(指数走势!$F$34:$ACK$34&lt;&gt;""),COLUMN(指数走势!$F$34:$ACK$34))-COLUMN(指数走势!$F$34)+1-760+575)=0,NA(),INDEX(指数走势!$F$34:$ACK$34,1,LOOKUP(2,1/(指数走势!$F$34:$ACK$34&lt;&gt;""),COLUMN(指数走势!$F$34:$ACK$34))-COLUMN(指数走势!$F$34)+1-760+575)))</f>
        <v>30.8500995635986</v>
      </c>
      <c r="VE98">
        <f>IF(ISERROR(INDEX(指数走势!$F$34:$ACK$34,1,LOOKUP(2,1/(指数走势!$F$34:$ACK$34&lt;&gt;""),COLUMN(指数走势!$F$34:$ACK$34))-COLUMN(指数走势!$F$34)+1-760+576)),NA(),IF(INDEX(指数走势!$F$34:$ACK$34,1,LOOKUP(2,1/(指数走势!$F$34:$ACK$34&lt;&gt;""),COLUMN(指数走势!$F$34:$ACK$34))-COLUMN(指数走势!$F$34)+1-760+576)=0,NA(),INDEX(指数走势!$F$34:$ACK$34,1,LOOKUP(2,1/(指数走势!$F$34:$ACK$34&lt;&gt;""),COLUMN(指数走势!$F$34:$ACK$34))-COLUMN(指数走势!$F$34)+1-760+576)))</f>
        <v>31.3623008728027</v>
      </c>
      <c r="VF98">
        <f>IF(ISERROR(INDEX(指数走势!$F$34:$ACK$34,1,LOOKUP(2,1/(指数走势!$F$34:$ACK$34&lt;&gt;""),COLUMN(指数走势!$F$34:$ACK$34))-COLUMN(指数走势!$F$34)+1-760+577)),NA(),IF(INDEX(指数走势!$F$34:$ACK$34,1,LOOKUP(2,1/(指数走势!$F$34:$ACK$34&lt;&gt;""),COLUMN(指数走势!$F$34:$ACK$34))-COLUMN(指数走势!$F$34)+1-760+577)=0,NA(),INDEX(指数走势!$F$34:$ACK$34,1,LOOKUP(2,1/(指数走势!$F$34:$ACK$34&lt;&gt;""),COLUMN(指数走势!$F$34:$ACK$34))-COLUMN(指数走势!$F$34)+1-760+577)))</f>
        <v>31.5307006835938</v>
      </c>
      <c r="VG98">
        <f>IF(ISERROR(INDEX(指数走势!$F$34:$ACK$34,1,LOOKUP(2,1/(指数走势!$F$34:$ACK$34&lt;&gt;""),COLUMN(指数走势!$F$34:$ACK$34))-COLUMN(指数走势!$F$34)+1-760+578)),NA(),IF(INDEX(指数走势!$F$34:$ACK$34,1,LOOKUP(2,1/(指数走势!$F$34:$ACK$34&lt;&gt;""),COLUMN(指数走势!$F$34:$ACK$34))-COLUMN(指数走势!$F$34)+1-760+578)=0,NA(),INDEX(指数走势!$F$34:$ACK$34,1,LOOKUP(2,1/(指数走势!$F$34:$ACK$34&lt;&gt;""),COLUMN(指数走势!$F$34:$ACK$34))-COLUMN(指数走势!$F$34)+1-760+578)))</f>
        <v>31.0562992095947</v>
      </c>
      <c r="VH98">
        <f>IF(ISERROR(INDEX(指数走势!$F$34:$ACK$34,1,LOOKUP(2,1/(指数走势!$F$34:$ACK$34&lt;&gt;""),COLUMN(指数走势!$F$34:$ACK$34))-COLUMN(指数走势!$F$34)+1-760+579)),NA(),IF(INDEX(指数走势!$F$34:$ACK$34,1,LOOKUP(2,1/(指数走势!$F$34:$ACK$34&lt;&gt;""),COLUMN(指数走势!$F$34:$ACK$34))-COLUMN(指数走势!$F$34)+1-760+579)=0,NA(),INDEX(指数走势!$F$34:$ACK$34,1,LOOKUP(2,1/(指数走势!$F$34:$ACK$34&lt;&gt;""),COLUMN(指数走势!$F$34:$ACK$34))-COLUMN(指数走势!$F$34)+1-760+579)))</f>
        <v>31.652099609375</v>
      </c>
      <c r="VI98">
        <f>IF(ISERROR(INDEX(指数走势!$F$34:$ACK$34,1,LOOKUP(2,1/(指数走势!$F$34:$ACK$34&lt;&gt;""),COLUMN(指数走势!$F$34:$ACK$34))-COLUMN(指数走势!$F$34)+1-760+580)),NA(),IF(INDEX(指数走势!$F$34:$ACK$34,1,LOOKUP(2,1/(指数走势!$F$34:$ACK$34&lt;&gt;""),COLUMN(指数走势!$F$34:$ACK$34))-COLUMN(指数走势!$F$34)+1-760+580)=0,NA(),INDEX(指数走势!$F$34:$ACK$34,1,LOOKUP(2,1/(指数走势!$F$34:$ACK$34&lt;&gt;""),COLUMN(指数走势!$F$34:$ACK$34))-COLUMN(指数走势!$F$34)+1-760+580)))</f>
        <v>31.7880001068115</v>
      </c>
      <c r="VJ98">
        <f>IF(ISERROR(INDEX(指数走势!$F$34:$ACK$34,1,LOOKUP(2,1/(指数走势!$F$34:$ACK$34&lt;&gt;""),COLUMN(指数走势!$F$34:$ACK$34))-COLUMN(指数走势!$F$34)+1-760+581)),NA(),IF(INDEX(指数走势!$F$34:$ACK$34,1,LOOKUP(2,1/(指数走势!$F$34:$ACK$34&lt;&gt;""),COLUMN(指数走势!$F$34:$ACK$34))-COLUMN(指数走势!$F$34)+1-760+581)=0,NA(),INDEX(指数走势!$F$34:$ACK$34,1,LOOKUP(2,1/(指数走势!$F$34:$ACK$34&lt;&gt;""),COLUMN(指数走势!$F$34:$ACK$34))-COLUMN(指数走势!$F$34)+1-760+581)))</f>
        <v>32.2713012695313</v>
      </c>
      <c r="VK98">
        <f>IF(ISERROR(INDEX(指数走势!$F$34:$ACK$34,1,LOOKUP(2,1/(指数走势!$F$34:$ACK$34&lt;&gt;""),COLUMN(指数走势!$F$34:$ACK$34))-COLUMN(指数走势!$F$34)+1-760+582)),NA(),IF(INDEX(指数走势!$F$34:$ACK$34,1,LOOKUP(2,1/(指数走势!$F$34:$ACK$34&lt;&gt;""),COLUMN(指数走势!$F$34:$ACK$34))-COLUMN(指数走势!$F$34)+1-760+582)=0,NA(),INDEX(指数走势!$F$34:$ACK$34,1,LOOKUP(2,1/(指数走势!$F$34:$ACK$34&lt;&gt;""),COLUMN(指数走势!$F$34:$ACK$34))-COLUMN(指数走势!$F$34)+1-760+582)))</f>
        <v>31.5132007598877</v>
      </c>
      <c r="VL98">
        <f>IF(ISERROR(INDEX(指数走势!$F$34:$ACK$34,1,LOOKUP(2,1/(指数走势!$F$34:$ACK$34&lt;&gt;""),COLUMN(指数走势!$F$34:$ACK$34))-COLUMN(指数走势!$F$34)+1-760+583)),NA(),IF(INDEX(指数走势!$F$34:$ACK$34,1,LOOKUP(2,1/(指数走势!$F$34:$ACK$34&lt;&gt;""),COLUMN(指数走势!$F$34:$ACK$34))-COLUMN(指数走势!$F$34)+1-760+583)=0,NA(),INDEX(指数走势!$F$34:$ACK$34,1,LOOKUP(2,1/(指数走势!$F$34:$ACK$34&lt;&gt;""),COLUMN(指数走势!$F$34:$ACK$34))-COLUMN(指数走势!$F$34)+1-760+583)))</f>
        <v>31.2147998809814</v>
      </c>
      <c r="VM98">
        <f>IF(ISERROR(INDEX(指数走势!$F$34:$ACK$34,1,LOOKUP(2,1/(指数走势!$F$34:$ACK$34&lt;&gt;""),COLUMN(指数走势!$F$34:$ACK$34))-COLUMN(指数走势!$F$34)+1-760+584)),NA(),IF(INDEX(指数走势!$F$34:$ACK$34,1,LOOKUP(2,1/(指数走势!$F$34:$ACK$34&lt;&gt;""),COLUMN(指数走势!$F$34:$ACK$34))-COLUMN(指数走势!$F$34)+1-760+584)=0,NA(),INDEX(指数走势!$F$34:$ACK$34,1,LOOKUP(2,1/(指数走势!$F$34:$ACK$34&lt;&gt;""),COLUMN(指数走势!$F$34:$ACK$34))-COLUMN(指数走势!$F$34)+1-760+584)))</f>
        <v>30.5347003936768</v>
      </c>
      <c r="VN98">
        <f>IF(ISERROR(INDEX(指数走势!$F$34:$ACK$34,1,LOOKUP(2,1/(指数走势!$F$34:$ACK$34&lt;&gt;""),COLUMN(指数走势!$F$34:$ACK$34))-COLUMN(指数走势!$F$34)+1-760+585)),NA(),IF(INDEX(指数走势!$F$34:$ACK$34,1,LOOKUP(2,1/(指数走势!$F$34:$ACK$34&lt;&gt;""),COLUMN(指数走势!$F$34:$ACK$34))-COLUMN(指数走势!$F$34)+1-760+585)=0,NA(),INDEX(指数走势!$F$34:$ACK$34,1,LOOKUP(2,1/(指数走势!$F$34:$ACK$34&lt;&gt;""),COLUMN(指数走势!$F$34:$ACK$34))-COLUMN(指数走势!$F$34)+1-760+585)))</f>
        <v>31.0058002471924</v>
      </c>
      <c r="VO98">
        <f>IF(ISERROR(INDEX(指数走势!$F$34:$ACK$34,1,LOOKUP(2,1/(指数走势!$F$34:$ACK$34&lt;&gt;""),COLUMN(指数走势!$F$34:$ACK$34))-COLUMN(指数走势!$F$34)+1-760+586)),NA(),IF(INDEX(指数走势!$F$34:$ACK$34,1,LOOKUP(2,1/(指数走势!$F$34:$ACK$34&lt;&gt;""),COLUMN(指数走势!$F$34:$ACK$34))-COLUMN(指数走势!$F$34)+1-760+586)=0,NA(),INDEX(指数走势!$F$34:$ACK$34,1,LOOKUP(2,1/(指数走势!$F$34:$ACK$34&lt;&gt;""),COLUMN(指数走势!$F$34:$ACK$34))-COLUMN(指数走势!$F$34)+1-760+586)))</f>
        <v>30.9193000793457</v>
      </c>
      <c r="VP98">
        <f>IF(ISERROR(INDEX(指数走势!$F$34:$ACK$34,1,LOOKUP(2,1/(指数走势!$F$34:$ACK$34&lt;&gt;""),COLUMN(指数走势!$F$34:$ACK$34))-COLUMN(指数走势!$F$34)+1-760+587)),NA(),IF(INDEX(指数走势!$F$34:$ACK$34,1,LOOKUP(2,1/(指数走势!$F$34:$ACK$34&lt;&gt;""),COLUMN(指数走势!$F$34:$ACK$34))-COLUMN(指数走势!$F$34)+1-760+587)=0,NA(),INDEX(指数走势!$F$34:$ACK$34,1,LOOKUP(2,1/(指数走势!$F$34:$ACK$34&lt;&gt;""),COLUMN(指数走势!$F$34:$ACK$34))-COLUMN(指数走势!$F$34)+1-760+587)))</f>
        <v>30.0156993865967</v>
      </c>
      <c r="VQ98">
        <f>IF(ISERROR(INDEX(指数走势!$F$34:$ACK$34,1,LOOKUP(2,1/(指数走势!$F$34:$ACK$34&lt;&gt;""),COLUMN(指数走势!$F$34:$ACK$34))-COLUMN(指数走势!$F$34)+1-760+588)),NA(),IF(INDEX(指数走势!$F$34:$ACK$34,1,LOOKUP(2,1/(指数走势!$F$34:$ACK$34&lt;&gt;""),COLUMN(指数走势!$F$34:$ACK$34))-COLUMN(指数走势!$F$34)+1-760+588)=0,NA(),INDEX(指数走势!$F$34:$ACK$34,1,LOOKUP(2,1/(指数走势!$F$34:$ACK$34&lt;&gt;""),COLUMN(指数走势!$F$34:$ACK$34))-COLUMN(指数走势!$F$34)+1-760+588)))</f>
        <v>30.2183990478516</v>
      </c>
      <c r="VR98">
        <f>IF(ISERROR(INDEX(指数走势!$F$34:$ACK$34,1,LOOKUP(2,1/(指数走势!$F$34:$ACK$34&lt;&gt;""),COLUMN(指数走势!$F$34:$ACK$34))-COLUMN(指数走势!$F$34)+1-760+589)),NA(),IF(INDEX(指数走势!$F$34:$ACK$34,1,LOOKUP(2,1/(指数走势!$F$34:$ACK$34&lt;&gt;""),COLUMN(指数走势!$F$34:$ACK$34))-COLUMN(指数走势!$F$34)+1-760+589)=0,NA(),INDEX(指数走势!$F$34:$ACK$34,1,LOOKUP(2,1/(指数走势!$F$34:$ACK$34&lt;&gt;""),COLUMN(指数走势!$F$34:$ACK$34))-COLUMN(指数走势!$F$34)+1-760+589)))</f>
        <v>30.5433006286621</v>
      </c>
      <c r="VS98">
        <f>IF(ISERROR(INDEX(指数走势!$F$34:$ACK$34,1,LOOKUP(2,1/(指数走势!$F$34:$ACK$34&lt;&gt;""),COLUMN(指数走势!$F$34:$ACK$34))-COLUMN(指数走势!$F$34)+1-760+590)),NA(),IF(INDEX(指数走势!$F$34:$ACK$34,1,LOOKUP(2,1/(指数走势!$F$34:$ACK$34&lt;&gt;""),COLUMN(指数走势!$F$34:$ACK$34))-COLUMN(指数走势!$F$34)+1-760+590)=0,NA(),INDEX(指数走势!$F$34:$ACK$34,1,LOOKUP(2,1/(指数走势!$F$34:$ACK$34&lt;&gt;""),COLUMN(指数走势!$F$34:$ACK$34))-COLUMN(指数走势!$F$34)+1-760+590)))</f>
        <v>30.4662990570068</v>
      </c>
      <c r="VT98">
        <f>IF(ISERROR(INDEX(指数走势!$F$34:$ACK$34,1,LOOKUP(2,1/(指数走势!$F$34:$ACK$34&lt;&gt;""),COLUMN(指数走势!$F$34:$ACK$34))-COLUMN(指数走势!$F$34)+1-760+591)),NA(),IF(INDEX(指数走势!$F$34:$ACK$34,1,LOOKUP(2,1/(指数走势!$F$34:$ACK$34&lt;&gt;""),COLUMN(指数走势!$F$34:$ACK$34))-COLUMN(指数走势!$F$34)+1-760+591)=0,NA(),INDEX(指数走势!$F$34:$ACK$34,1,LOOKUP(2,1/(指数走势!$F$34:$ACK$34&lt;&gt;""),COLUMN(指数走势!$F$34:$ACK$34))-COLUMN(指数走势!$F$34)+1-760+591)))</f>
        <v>30.5359992980957</v>
      </c>
      <c r="VU98">
        <f>IF(ISERROR(INDEX(指数走势!$F$34:$ACK$34,1,LOOKUP(2,1/(指数走势!$F$34:$ACK$34&lt;&gt;""),COLUMN(指数走势!$F$34:$ACK$34))-COLUMN(指数走势!$F$34)+1-760+592)),NA(),IF(INDEX(指数走势!$F$34:$ACK$34,1,LOOKUP(2,1/(指数走势!$F$34:$ACK$34&lt;&gt;""),COLUMN(指数走势!$F$34:$ACK$34))-COLUMN(指数走势!$F$34)+1-760+592)=0,NA(),INDEX(指数走势!$F$34:$ACK$34,1,LOOKUP(2,1/(指数走势!$F$34:$ACK$34&lt;&gt;""),COLUMN(指数走势!$F$34:$ACK$34))-COLUMN(指数走势!$F$34)+1-760+592)))</f>
        <v>31.0333995819092</v>
      </c>
      <c r="VV98">
        <f>IF(ISERROR(INDEX(指数走势!$F$34:$ACK$34,1,LOOKUP(2,1/(指数走势!$F$34:$ACK$34&lt;&gt;""),COLUMN(指数走势!$F$34:$ACK$34))-COLUMN(指数走势!$F$34)+1-760+593)),NA(),IF(INDEX(指数走势!$F$34:$ACK$34,1,LOOKUP(2,1/(指数走势!$F$34:$ACK$34&lt;&gt;""),COLUMN(指数走势!$F$34:$ACK$34))-COLUMN(指数走势!$F$34)+1-760+593)=0,NA(),INDEX(指数走势!$F$34:$ACK$34,1,LOOKUP(2,1/(指数走势!$F$34:$ACK$34&lt;&gt;""),COLUMN(指数走势!$F$34:$ACK$34))-COLUMN(指数走势!$F$34)+1-760+593)))</f>
        <v>31.2562999725342</v>
      </c>
      <c r="VW98">
        <f>IF(ISERROR(INDEX(指数走势!$F$34:$ACK$34,1,LOOKUP(2,1/(指数走势!$F$34:$ACK$34&lt;&gt;""),COLUMN(指数走势!$F$34:$ACK$34))-COLUMN(指数走势!$F$34)+1-760+594)),NA(),IF(INDEX(指数走势!$F$34:$ACK$34,1,LOOKUP(2,1/(指数走势!$F$34:$ACK$34&lt;&gt;""),COLUMN(指数走势!$F$34:$ACK$34))-COLUMN(指数走势!$F$34)+1-760+594)=0,NA(),INDEX(指数走势!$F$34:$ACK$34,1,LOOKUP(2,1/(指数走势!$F$34:$ACK$34&lt;&gt;""),COLUMN(指数走势!$F$34:$ACK$34))-COLUMN(指数走势!$F$34)+1-760+594)))</f>
        <v>30.9622993469238</v>
      </c>
      <c r="VX98">
        <f>IF(ISERROR(INDEX(指数走势!$F$34:$ACK$34,1,LOOKUP(2,1/(指数走势!$F$34:$ACK$34&lt;&gt;""),COLUMN(指数走势!$F$34:$ACK$34))-COLUMN(指数走势!$F$34)+1-760+595)),NA(),IF(INDEX(指数走势!$F$34:$ACK$34,1,LOOKUP(2,1/(指数走势!$F$34:$ACK$34&lt;&gt;""),COLUMN(指数走势!$F$34:$ACK$34))-COLUMN(指数走势!$F$34)+1-760+595)=0,NA(),INDEX(指数走势!$F$34:$ACK$34,1,LOOKUP(2,1/(指数走势!$F$34:$ACK$34&lt;&gt;""),COLUMN(指数走势!$F$34:$ACK$34))-COLUMN(指数走势!$F$34)+1-760+595)))</f>
        <v>31.395299911499</v>
      </c>
      <c r="VY98">
        <f>IF(ISERROR(INDEX(指数走势!$F$34:$ACK$34,1,LOOKUP(2,1/(指数走势!$F$34:$ACK$34&lt;&gt;""),COLUMN(指数走势!$F$34:$ACK$34))-COLUMN(指数走势!$F$34)+1-760+596)),NA(),IF(INDEX(指数走势!$F$34:$ACK$34,1,LOOKUP(2,1/(指数走势!$F$34:$ACK$34&lt;&gt;""),COLUMN(指数走势!$F$34:$ACK$34))-COLUMN(指数走势!$F$34)+1-760+596)=0,NA(),INDEX(指数走势!$F$34:$ACK$34,1,LOOKUP(2,1/(指数走势!$F$34:$ACK$34&lt;&gt;""),COLUMN(指数走势!$F$34:$ACK$34))-COLUMN(指数走势!$F$34)+1-760+596)))</f>
        <v>30.8202991485596</v>
      </c>
      <c r="VZ98">
        <f>IF(ISERROR(INDEX(指数走势!$F$34:$ACK$34,1,LOOKUP(2,1/(指数走势!$F$34:$ACK$34&lt;&gt;""),COLUMN(指数走势!$F$34:$ACK$34))-COLUMN(指数走势!$F$34)+1-760+597)),NA(),IF(INDEX(指数走势!$F$34:$ACK$34,1,LOOKUP(2,1/(指数走势!$F$34:$ACK$34&lt;&gt;""),COLUMN(指数走势!$F$34:$ACK$34))-COLUMN(指数走势!$F$34)+1-760+597)=0,NA(),INDEX(指数走势!$F$34:$ACK$34,1,LOOKUP(2,1/(指数走势!$F$34:$ACK$34&lt;&gt;""),COLUMN(指数走势!$F$34:$ACK$34))-COLUMN(指数走势!$F$34)+1-760+597)))</f>
        <v>30.8304996490479</v>
      </c>
      <c r="WA98">
        <f>IF(ISERROR(INDEX(指数走势!$F$34:$ACK$34,1,LOOKUP(2,1/(指数走势!$F$34:$ACK$34&lt;&gt;""),COLUMN(指数走势!$F$34:$ACK$34))-COLUMN(指数走势!$F$34)+1-760+598)),NA(),IF(INDEX(指数走势!$F$34:$ACK$34,1,LOOKUP(2,1/(指数走势!$F$34:$ACK$34&lt;&gt;""),COLUMN(指数走势!$F$34:$ACK$34))-COLUMN(指数走势!$F$34)+1-760+598)=0,NA(),INDEX(指数走势!$F$34:$ACK$34,1,LOOKUP(2,1/(指数走势!$F$34:$ACK$34&lt;&gt;""),COLUMN(指数走势!$F$34:$ACK$34))-COLUMN(指数走势!$F$34)+1-760+598)))</f>
        <v>30.8778991699219</v>
      </c>
      <c r="WB98">
        <f>IF(ISERROR(INDEX(指数走势!$F$34:$ACK$34,1,LOOKUP(2,1/(指数走势!$F$34:$ACK$34&lt;&gt;""),COLUMN(指数走势!$F$34:$ACK$34))-COLUMN(指数走势!$F$34)+1-760+599)),NA(),IF(INDEX(指数走势!$F$34:$ACK$34,1,LOOKUP(2,1/(指数走势!$F$34:$ACK$34&lt;&gt;""),COLUMN(指数走势!$F$34:$ACK$34))-COLUMN(指数走势!$F$34)+1-760+599)=0,NA(),INDEX(指数走势!$F$34:$ACK$34,1,LOOKUP(2,1/(指数走势!$F$34:$ACK$34&lt;&gt;""),COLUMN(指数走势!$F$34:$ACK$34))-COLUMN(指数走势!$F$34)+1-760+599)))</f>
        <v>30.3694000244141</v>
      </c>
      <c r="WC98">
        <f>IF(ISERROR(INDEX(指数走势!$F$34:$ACK$34,1,LOOKUP(2,1/(指数走势!$F$34:$ACK$34&lt;&gt;""),COLUMN(指数走势!$F$34:$ACK$34))-COLUMN(指数走势!$F$34)+1-760+600)),NA(),IF(INDEX(指数走势!$F$34:$ACK$34,1,LOOKUP(2,1/(指数走势!$F$34:$ACK$34&lt;&gt;""),COLUMN(指数走势!$F$34:$ACK$34))-COLUMN(指数走势!$F$34)+1-760+600)=0,NA(),INDEX(指数走势!$F$34:$ACK$34,1,LOOKUP(2,1/(指数走势!$F$34:$ACK$34&lt;&gt;""),COLUMN(指数走势!$F$34:$ACK$34))-COLUMN(指数走势!$F$34)+1-760+600)))</f>
        <v>30.4591007232666</v>
      </c>
      <c r="WD98">
        <f>IF(ISERROR(INDEX(指数走势!$F$34:$ACK$34,1,LOOKUP(2,1/(指数走势!$F$34:$ACK$34&lt;&gt;""),COLUMN(指数走势!$F$34:$ACK$34))-COLUMN(指数走势!$F$34)+1-760+601)),NA(),IF(INDEX(指数走势!$F$34:$ACK$34,1,LOOKUP(2,1/(指数走势!$F$34:$ACK$34&lt;&gt;""),COLUMN(指数走势!$F$34:$ACK$34))-COLUMN(指数走势!$F$34)+1-760+601)=0,NA(),INDEX(指数走势!$F$34:$ACK$34,1,LOOKUP(2,1/(指数走势!$F$34:$ACK$34&lt;&gt;""),COLUMN(指数走势!$F$34:$ACK$34))-COLUMN(指数走势!$F$34)+1-760+601)))</f>
        <v>30.960599899292</v>
      </c>
      <c r="WE98">
        <f>IF(ISERROR(INDEX(指数走势!$F$34:$ACK$34,1,LOOKUP(2,1/(指数走势!$F$34:$ACK$34&lt;&gt;""),COLUMN(指数走势!$F$34:$ACK$34))-COLUMN(指数走势!$F$34)+1-760+602)),NA(),IF(INDEX(指数走势!$F$34:$ACK$34,1,LOOKUP(2,1/(指数走势!$F$34:$ACK$34&lt;&gt;""),COLUMN(指数走势!$F$34:$ACK$34))-COLUMN(指数走势!$F$34)+1-760+602)=0,NA(),INDEX(指数走势!$F$34:$ACK$34,1,LOOKUP(2,1/(指数走势!$F$34:$ACK$34&lt;&gt;""),COLUMN(指数走势!$F$34:$ACK$34))-COLUMN(指数走势!$F$34)+1-760+602)))</f>
        <v>30.8726005554199</v>
      </c>
      <c r="WF98">
        <f>IF(ISERROR(INDEX(指数走势!$F$34:$ACK$34,1,LOOKUP(2,1/(指数走势!$F$34:$ACK$34&lt;&gt;""),COLUMN(指数走势!$F$34:$ACK$34))-COLUMN(指数走势!$F$34)+1-760+603)),NA(),IF(INDEX(指数走势!$F$34:$ACK$34,1,LOOKUP(2,1/(指数走势!$F$34:$ACK$34&lt;&gt;""),COLUMN(指数走势!$F$34:$ACK$34))-COLUMN(指数走势!$F$34)+1-760+603)=0,NA(),INDEX(指数走势!$F$34:$ACK$34,1,LOOKUP(2,1/(指数走势!$F$34:$ACK$34&lt;&gt;""),COLUMN(指数走势!$F$34:$ACK$34))-COLUMN(指数走势!$F$34)+1-760+603)))</f>
        <v>30.987699508667</v>
      </c>
      <c r="WG98">
        <f>IF(ISERROR(INDEX(指数走势!$F$34:$ACK$34,1,LOOKUP(2,1/(指数走势!$F$34:$ACK$34&lt;&gt;""),COLUMN(指数走势!$F$34:$ACK$34))-COLUMN(指数走势!$F$34)+1-760+604)),NA(),IF(INDEX(指数走势!$F$34:$ACK$34,1,LOOKUP(2,1/(指数走势!$F$34:$ACK$34&lt;&gt;""),COLUMN(指数走势!$F$34:$ACK$34))-COLUMN(指数走势!$F$34)+1-760+604)=0,NA(),INDEX(指数走势!$F$34:$ACK$34,1,LOOKUP(2,1/(指数走势!$F$34:$ACK$34&lt;&gt;""),COLUMN(指数走势!$F$34:$ACK$34))-COLUMN(指数走势!$F$34)+1-760+604)))</f>
        <v>30.7108993530273</v>
      </c>
      <c r="WH98">
        <f>IF(ISERROR(INDEX(指数走势!$F$34:$ACK$34,1,LOOKUP(2,1/(指数走势!$F$34:$ACK$34&lt;&gt;""),COLUMN(指数走势!$F$34:$ACK$34))-COLUMN(指数走势!$F$34)+1-760+605)),NA(),IF(INDEX(指数走势!$F$34:$ACK$34,1,LOOKUP(2,1/(指数走势!$F$34:$ACK$34&lt;&gt;""),COLUMN(指数走势!$F$34:$ACK$34))-COLUMN(指数走势!$F$34)+1-760+605)=0,NA(),INDEX(指数走势!$F$34:$ACK$34,1,LOOKUP(2,1/(指数走势!$F$34:$ACK$34&lt;&gt;""),COLUMN(指数走势!$F$34:$ACK$34))-COLUMN(指数走势!$F$34)+1-760+605)))</f>
        <v>30.5888996124268</v>
      </c>
      <c r="WI98">
        <f>IF(ISERROR(INDEX(指数走势!$F$34:$ACK$34,1,LOOKUP(2,1/(指数走势!$F$34:$ACK$34&lt;&gt;""),COLUMN(指数走势!$F$34:$ACK$34))-COLUMN(指数走势!$F$34)+1-760+606)),NA(),IF(INDEX(指数走势!$F$34:$ACK$34,1,LOOKUP(2,1/(指数走势!$F$34:$ACK$34&lt;&gt;""),COLUMN(指数走势!$F$34:$ACK$34))-COLUMN(指数走势!$F$34)+1-760+606)=0,NA(),INDEX(指数走势!$F$34:$ACK$34,1,LOOKUP(2,1/(指数走势!$F$34:$ACK$34&lt;&gt;""),COLUMN(指数走势!$F$34:$ACK$34))-COLUMN(指数走势!$F$34)+1-760+606)))</f>
        <v>31.1096992492676</v>
      </c>
      <c r="WJ98">
        <f>IF(ISERROR(INDEX(指数走势!$F$34:$ACK$34,1,LOOKUP(2,1/(指数走势!$F$34:$ACK$34&lt;&gt;""),COLUMN(指数走势!$F$34:$ACK$34))-COLUMN(指数走势!$F$34)+1-760+607)),NA(),IF(INDEX(指数走势!$F$34:$ACK$34,1,LOOKUP(2,1/(指数走势!$F$34:$ACK$34&lt;&gt;""),COLUMN(指数走势!$F$34:$ACK$34))-COLUMN(指数走势!$F$34)+1-760+607)=0,NA(),INDEX(指数走势!$F$34:$ACK$34,1,LOOKUP(2,1/(指数走势!$F$34:$ACK$34&lt;&gt;""),COLUMN(指数走势!$F$34:$ACK$34))-COLUMN(指数走势!$F$34)+1-760+607)))</f>
        <v>30.5555000305176</v>
      </c>
      <c r="WK98">
        <f>IF(ISERROR(INDEX(指数走势!$F$34:$ACK$34,1,LOOKUP(2,1/(指数走势!$F$34:$ACK$34&lt;&gt;""),COLUMN(指数走势!$F$34:$ACK$34))-COLUMN(指数走势!$F$34)+1-760+608)),NA(),IF(INDEX(指数走势!$F$34:$ACK$34,1,LOOKUP(2,1/(指数走势!$F$34:$ACK$34&lt;&gt;""),COLUMN(指数走势!$F$34:$ACK$34))-COLUMN(指数走势!$F$34)+1-760+608)=0,NA(),INDEX(指数走势!$F$34:$ACK$34,1,LOOKUP(2,1/(指数走势!$F$34:$ACK$34&lt;&gt;""),COLUMN(指数走势!$F$34:$ACK$34))-COLUMN(指数走势!$F$34)+1-760+608)))</f>
        <v>30.4780006408691</v>
      </c>
      <c r="WL98">
        <f>IF(ISERROR(INDEX(指数走势!$F$34:$ACK$34,1,LOOKUP(2,1/(指数走势!$F$34:$ACK$34&lt;&gt;""),COLUMN(指数走势!$F$34:$ACK$34))-COLUMN(指数走势!$F$34)+1-760+609)),NA(),IF(INDEX(指数走势!$F$34:$ACK$34,1,LOOKUP(2,1/(指数走势!$F$34:$ACK$34&lt;&gt;""),COLUMN(指数走势!$F$34:$ACK$34))-COLUMN(指数走势!$F$34)+1-760+609)=0,NA(),INDEX(指数走势!$F$34:$ACK$34,1,LOOKUP(2,1/(指数走势!$F$34:$ACK$34&lt;&gt;""),COLUMN(指数走势!$F$34:$ACK$34))-COLUMN(指数走势!$F$34)+1-760+609)))</f>
        <v>30.1870994567871</v>
      </c>
      <c r="WM98">
        <f>IF(ISERROR(INDEX(指数走势!$F$34:$ACK$34,1,LOOKUP(2,1/(指数走势!$F$34:$ACK$34&lt;&gt;""),COLUMN(指数走势!$F$34:$ACK$34))-COLUMN(指数走势!$F$34)+1-760+610)),NA(),IF(INDEX(指数走势!$F$34:$ACK$34,1,LOOKUP(2,1/(指数走势!$F$34:$ACK$34&lt;&gt;""),COLUMN(指数走势!$F$34:$ACK$34))-COLUMN(指数走势!$F$34)+1-760+610)=0,NA(),INDEX(指数走势!$F$34:$ACK$34,1,LOOKUP(2,1/(指数走势!$F$34:$ACK$34&lt;&gt;""),COLUMN(指数走势!$F$34:$ACK$34))-COLUMN(指数走势!$F$34)+1-760+610)))</f>
        <v>30.1693992614746</v>
      </c>
      <c r="WN98">
        <f>IF(ISERROR(INDEX(指数走势!$F$34:$ACK$34,1,LOOKUP(2,1/(指数走势!$F$34:$ACK$34&lt;&gt;""),COLUMN(指数走势!$F$34:$ACK$34))-COLUMN(指数走势!$F$34)+1-760+611)),NA(),IF(INDEX(指数走势!$F$34:$ACK$34,1,LOOKUP(2,1/(指数走势!$F$34:$ACK$34&lt;&gt;""),COLUMN(指数走势!$F$34:$ACK$34))-COLUMN(指数走势!$F$34)+1-760+611)=0,NA(),INDEX(指数走势!$F$34:$ACK$34,1,LOOKUP(2,1/(指数走势!$F$34:$ACK$34&lt;&gt;""),COLUMN(指数走势!$F$34:$ACK$34))-COLUMN(指数走势!$F$34)+1-760+611)))</f>
        <v>29.9302997589111</v>
      </c>
      <c r="WO98">
        <f>IF(ISERROR(INDEX(指数走势!$F$34:$ACK$34,1,LOOKUP(2,1/(指数走势!$F$34:$ACK$34&lt;&gt;""),COLUMN(指数走势!$F$34:$ACK$34))-COLUMN(指数走势!$F$34)+1-760+612)),NA(),IF(INDEX(指数走势!$F$34:$ACK$34,1,LOOKUP(2,1/(指数走势!$F$34:$ACK$34&lt;&gt;""),COLUMN(指数走势!$F$34:$ACK$34))-COLUMN(指数走势!$F$34)+1-760+612)=0,NA(),INDEX(指数走势!$F$34:$ACK$34,1,LOOKUP(2,1/(指数走势!$F$34:$ACK$34&lt;&gt;""),COLUMN(指数走势!$F$34:$ACK$34))-COLUMN(指数走势!$F$34)+1-760+612)))</f>
        <v>28.9804992675781</v>
      </c>
      <c r="WP98">
        <f>IF(ISERROR(INDEX(指数走势!$F$34:$ACK$34,1,LOOKUP(2,1/(指数走势!$F$34:$ACK$34&lt;&gt;""),COLUMN(指数走势!$F$34:$ACK$34))-COLUMN(指数走势!$F$34)+1-760+613)),NA(),IF(INDEX(指数走势!$F$34:$ACK$34,1,LOOKUP(2,1/(指数走势!$F$34:$ACK$34&lt;&gt;""),COLUMN(指数走势!$F$34:$ACK$34))-COLUMN(指数走势!$F$34)+1-760+613)=0,NA(),INDEX(指数走势!$F$34:$ACK$34,1,LOOKUP(2,1/(指数走势!$F$34:$ACK$34&lt;&gt;""),COLUMN(指数走势!$F$34:$ACK$34))-COLUMN(指数走势!$F$34)+1-760+613)))</f>
        <v>29.0918998718262</v>
      </c>
      <c r="WQ98">
        <f>IF(ISERROR(INDEX(指数走势!$F$34:$ACK$34,1,LOOKUP(2,1/(指数走势!$F$34:$ACK$34&lt;&gt;""),COLUMN(指数走势!$F$34:$ACK$34))-COLUMN(指数走势!$F$34)+1-760+614)),NA(),IF(INDEX(指数走势!$F$34:$ACK$34,1,LOOKUP(2,1/(指数走势!$F$34:$ACK$34&lt;&gt;""),COLUMN(指数走势!$F$34:$ACK$34))-COLUMN(指数走势!$F$34)+1-760+614)=0,NA(),INDEX(指数走势!$F$34:$ACK$34,1,LOOKUP(2,1/(指数走势!$F$34:$ACK$34&lt;&gt;""),COLUMN(指数走势!$F$34:$ACK$34))-COLUMN(指数走势!$F$34)+1-760+614)))</f>
        <v>29.4652996063232</v>
      </c>
      <c r="WR98">
        <f>IF(ISERROR(INDEX(指数走势!$F$34:$ACK$34,1,LOOKUP(2,1/(指数走势!$F$34:$ACK$34&lt;&gt;""),COLUMN(指数走势!$F$34:$ACK$34))-COLUMN(指数走势!$F$34)+1-760+615)),NA(),IF(INDEX(指数走势!$F$34:$ACK$34,1,LOOKUP(2,1/(指数走势!$F$34:$ACK$34&lt;&gt;""),COLUMN(指数走势!$F$34:$ACK$34))-COLUMN(指数走势!$F$34)+1-760+615)=0,NA(),INDEX(指数走势!$F$34:$ACK$34,1,LOOKUP(2,1/(指数走势!$F$34:$ACK$34&lt;&gt;""),COLUMN(指数走势!$F$34:$ACK$34))-COLUMN(指数走势!$F$34)+1-760+615)))</f>
        <v>29.6951007843018</v>
      </c>
      <c r="WS98">
        <f>IF(ISERROR(INDEX(指数走势!$F$34:$ACK$34,1,LOOKUP(2,1/(指数走势!$F$34:$ACK$34&lt;&gt;""),COLUMN(指数走势!$F$34:$ACK$34))-COLUMN(指数走势!$F$34)+1-760+616)),NA(),IF(INDEX(指数走势!$F$34:$ACK$34,1,LOOKUP(2,1/(指数走势!$F$34:$ACK$34&lt;&gt;""),COLUMN(指数走势!$F$34:$ACK$34))-COLUMN(指数走势!$F$34)+1-760+616)=0,NA(),INDEX(指数走势!$F$34:$ACK$34,1,LOOKUP(2,1/(指数走势!$F$34:$ACK$34&lt;&gt;""),COLUMN(指数走势!$F$34:$ACK$34))-COLUMN(指数走势!$F$34)+1-760+616)))</f>
        <v>29.6247997283936</v>
      </c>
      <c r="WT98">
        <f>IF(ISERROR(INDEX(指数走势!$F$34:$ACK$34,1,LOOKUP(2,1/(指数走势!$F$34:$ACK$34&lt;&gt;""),COLUMN(指数走势!$F$34:$ACK$34))-COLUMN(指数走势!$F$34)+1-760+617)),NA(),IF(INDEX(指数走势!$F$34:$ACK$34,1,LOOKUP(2,1/(指数走势!$F$34:$ACK$34&lt;&gt;""),COLUMN(指数走势!$F$34:$ACK$34))-COLUMN(指数走势!$F$34)+1-760+617)=0,NA(),INDEX(指数走势!$F$34:$ACK$34,1,LOOKUP(2,1/(指数走势!$F$34:$ACK$34&lt;&gt;""),COLUMN(指数走势!$F$34:$ACK$34))-COLUMN(指数走势!$F$34)+1-760+617)))</f>
        <v>29.8677005767822</v>
      </c>
      <c r="WU98">
        <f>IF(ISERROR(INDEX(指数走势!$F$34:$ACK$34,1,LOOKUP(2,1/(指数走势!$F$34:$ACK$34&lt;&gt;""),COLUMN(指数走势!$F$34:$ACK$34))-COLUMN(指数走势!$F$34)+1-760+618)),NA(),IF(INDEX(指数走势!$F$34:$ACK$34,1,LOOKUP(2,1/(指数走势!$F$34:$ACK$34&lt;&gt;""),COLUMN(指数走势!$F$34:$ACK$34))-COLUMN(指数走势!$F$34)+1-760+618)=0,NA(),INDEX(指数走势!$F$34:$ACK$34,1,LOOKUP(2,1/(指数走势!$F$34:$ACK$34&lt;&gt;""),COLUMN(指数走势!$F$34:$ACK$34))-COLUMN(指数走势!$F$34)+1-760+618)))</f>
        <v>30.2150993347168</v>
      </c>
      <c r="WV98">
        <f>IF(ISERROR(INDEX(指数走势!$F$34:$ACK$34,1,LOOKUP(2,1/(指数走势!$F$34:$ACK$34&lt;&gt;""),COLUMN(指数走势!$F$34:$ACK$34))-COLUMN(指数走势!$F$34)+1-760+619)),NA(),IF(INDEX(指数走势!$F$34:$ACK$34,1,LOOKUP(2,1/(指数走势!$F$34:$ACK$34&lt;&gt;""),COLUMN(指数走势!$F$34:$ACK$34))-COLUMN(指数走势!$F$34)+1-760+619)=0,NA(),INDEX(指数走势!$F$34:$ACK$34,1,LOOKUP(2,1/(指数走势!$F$34:$ACK$34&lt;&gt;""),COLUMN(指数走势!$F$34:$ACK$34))-COLUMN(指数走势!$F$34)+1-760+619)))</f>
        <v>30.0158004760742</v>
      </c>
      <c r="WW98">
        <f>IF(ISERROR(INDEX(指数走势!$F$34:$ACK$34,1,LOOKUP(2,1/(指数走势!$F$34:$ACK$34&lt;&gt;""),COLUMN(指数走势!$F$34:$ACK$34))-COLUMN(指数走势!$F$34)+1-760+620)),NA(),IF(INDEX(指数走势!$F$34:$ACK$34,1,LOOKUP(2,1/(指数走势!$F$34:$ACK$34&lt;&gt;""),COLUMN(指数走势!$F$34:$ACK$34))-COLUMN(指数走势!$F$34)+1-760+620)=0,NA(),INDEX(指数走势!$F$34:$ACK$34,1,LOOKUP(2,1/(指数走势!$F$34:$ACK$34&lt;&gt;""),COLUMN(指数走势!$F$34:$ACK$34))-COLUMN(指数走势!$F$34)+1-760+620)))</f>
        <v>29.7929000854492</v>
      </c>
      <c r="WX98">
        <f>IF(ISERROR(INDEX(指数走势!$F$34:$ACK$34,1,LOOKUP(2,1/(指数走势!$F$34:$ACK$34&lt;&gt;""),COLUMN(指数走势!$F$34:$ACK$34))-COLUMN(指数走势!$F$34)+1-760+621)),NA(),IF(INDEX(指数走势!$F$34:$ACK$34,1,LOOKUP(2,1/(指数走势!$F$34:$ACK$34&lt;&gt;""),COLUMN(指数走势!$F$34:$ACK$34))-COLUMN(指数走势!$F$34)+1-760+621)=0,NA(),INDEX(指数走势!$F$34:$ACK$34,1,LOOKUP(2,1/(指数走势!$F$34:$ACK$34&lt;&gt;""),COLUMN(指数走势!$F$34:$ACK$34))-COLUMN(指数走势!$F$34)+1-760+621)))</f>
        <v>29.8812007904053</v>
      </c>
      <c r="WY98">
        <f>IF(ISERROR(INDEX(指数走势!$F$34:$ACK$34,1,LOOKUP(2,1/(指数走势!$F$34:$ACK$34&lt;&gt;""),COLUMN(指数走势!$F$34:$ACK$34))-COLUMN(指数走势!$F$34)+1-760+622)),NA(),IF(INDEX(指数走势!$F$34:$ACK$34,1,LOOKUP(2,1/(指数走势!$F$34:$ACK$34&lt;&gt;""),COLUMN(指数走势!$F$34:$ACK$34))-COLUMN(指数走势!$F$34)+1-760+622)=0,NA(),INDEX(指数走势!$F$34:$ACK$34,1,LOOKUP(2,1/(指数走势!$F$34:$ACK$34&lt;&gt;""),COLUMN(指数走势!$F$34:$ACK$34))-COLUMN(指数走势!$F$34)+1-760+622)))</f>
        <v>30.182300567627</v>
      </c>
      <c r="WZ98">
        <f>IF(ISERROR(INDEX(指数走势!$F$34:$ACK$34,1,LOOKUP(2,1/(指数走势!$F$34:$ACK$34&lt;&gt;""),COLUMN(指数走势!$F$34:$ACK$34))-COLUMN(指数走势!$F$34)+1-760+623)),NA(),IF(INDEX(指数走势!$F$34:$ACK$34,1,LOOKUP(2,1/(指数走势!$F$34:$ACK$34&lt;&gt;""),COLUMN(指数走势!$F$34:$ACK$34))-COLUMN(指数走势!$F$34)+1-760+623)=0,NA(),INDEX(指数走势!$F$34:$ACK$34,1,LOOKUP(2,1/(指数走势!$F$34:$ACK$34&lt;&gt;""),COLUMN(指数走势!$F$34:$ACK$34))-COLUMN(指数走势!$F$34)+1-760+623)))</f>
        <v>30.5494003295898</v>
      </c>
      <c r="XA98">
        <f>IF(ISERROR(INDEX(指数走势!$F$34:$ACK$34,1,LOOKUP(2,1/(指数走势!$F$34:$ACK$34&lt;&gt;""),COLUMN(指数走势!$F$34:$ACK$34))-COLUMN(指数走势!$F$34)+1-760+624)),NA(),IF(INDEX(指数走势!$F$34:$ACK$34,1,LOOKUP(2,1/(指数走势!$F$34:$ACK$34&lt;&gt;""),COLUMN(指数走势!$F$34:$ACK$34))-COLUMN(指数走势!$F$34)+1-760+624)=0,NA(),INDEX(指数走势!$F$34:$ACK$34,1,LOOKUP(2,1/(指数走势!$F$34:$ACK$34&lt;&gt;""),COLUMN(指数走势!$F$34:$ACK$34))-COLUMN(指数走势!$F$34)+1-760+624)))</f>
        <v>30.3834991455078</v>
      </c>
      <c r="XB98">
        <f>IF(ISERROR(INDEX(指数走势!$F$34:$ACK$34,1,LOOKUP(2,1/(指数走势!$F$34:$ACK$34&lt;&gt;""),COLUMN(指数走势!$F$34:$ACK$34))-COLUMN(指数走势!$F$34)+1-760+625)),NA(),IF(INDEX(指数走势!$F$34:$ACK$34,1,LOOKUP(2,1/(指数走势!$F$34:$ACK$34&lt;&gt;""),COLUMN(指数走势!$F$34:$ACK$34))-COLUMN(指数走势!$F$34)+1-760+625)=0,NA(),INDEX(指数走势!$F$34:$ACK$34,1,LOOKUP(2,1/(指数走势!$F$34:$ACK$34&lt;&gt;""),COLUMN(指数走势!$F$34:$ACK$34))-COLUMN(指数走势!$F$34)+1-760+625)))</f>
        <v>30.4676990509033</v>
      </c>
      <c r="XC98">
        <f>IF(ISERROR(INDEX(指数走势!$F$34:$ACK$34,1,LOOKUP(2,1/(指数走势!$F$34:$ACK$34&lt;&gt;""),COLUMN(指数走势!$F$34:$ACK$34))-COLUMN(指数走势!$F$34)+1-760+626)),NA(),IF(INDEX(指数走势!$F$34:$ACK$34,1,LOOKUP(2,1/(指数走势!$F$34:$ACK$34&lt;&gt;""),COLUMN(指数走势!$F$34:$ACK$34))-COLUMN(指数走势!$F$34)+1-760+626)=0,NA(),INDEX(指数走势!$F$34:$ACK$34,1,LOOKUP(2,1/(指数走势!$F$34:$ACK$34&lt;&gt;""),COLUMN(指数走势!$F$34:$ACK$34))-COLUMN(指数走势!$F$34)+1-760+626)))</f>
        <v>30.1191997528076</v>
      </c>
      <c r="XD98">
        <f>IF(ISERROR(INDEX(指数走势!$F$34:$ACK$34,1,LOOKUP(2,1/(指数走势!$F$34:$ACK$34&lt;&gt;""),COLUMN(指数走势!$F$34:$ACK$34))-COLUMN(指数走势!$F$34)+1-760+627)),NA(),IF(INDEX(指数走势!$F$34:$ACK$34,1,LOOKUP(2,1/(指数走势!$F$34:$ACK$34&lt;&gt;""),COLUMN(指数走势!$F$34:$ACK$34))-COLUMN(指数走势!$F$34)+1-760+627)=0,NA(),INDEX(指数走势!$F$34:$ACK$34,1,LOOKUP(2,1/(指数走势!$F$34:$ACK$34&lt;&gt;""),COLUMN(指数走势!$F$34:$ACK$34))-COLUMN(指数走势!$F$34)+1-760+627)))</f>
        <v>30.3567008972168</v>
      </c>
      <c r="XE98">
        <f>IF(ISERROR(INDEX(指数走势!$F$34:$ACK$34,1,LOOKUP(2,1/(指数走势!$F$34:$ACK$34&lt;&gt;""),COLUMN(指数走势!$F$34:$ACK$34))-COLUMN(指数走势!$F$34)+1-760+628)),NA(),IF(INDEX(指数走势!$F$34:$ACK$34,1,LOOKUP(2,1/(指数走势!$F$34:$ACK$34&lt;&gt;""),COLUMN(指数走势!$F$34:$ACK$34))-COLUMN(指数走势!$F$34)+1-760+628)=0,NA(),INDEX(指数走势!$F$34:$ACK$34,1,LOOKUP(2,1/(指数走势!$F$34:$ACK$34&lt;&gt;""),COLUMN(指数走势!$F$34:$ACK$34))-COLUMN(指数走势!$F$34)+1-760+628)))</f>
        <v>30.3637008666992</v>
      </c>
      <c r="XF98">
        <f>IF(ISERROR(INDEX(指数走势!$F$34:$ACK$34,1,LOOKUP(2,1/(指数走势!$F$34:$ACK$34&lt;&gt;""),COLUMN(指数走势!$F$34:$ACK$34))-COLUMN(指数走势!$F$34)+1-760+629)),NA(),IF(INDEX(指数走势!$F$34:$ACK$34,1,LOOKUP(2,1/(指数走势!$F$34:$ACK$34&lt;&gt;""),COLUMN(指数走势!$F$34:$ACK$34))-COLUMN(指数走势!$F$34)+1-760+629)=0,NA(),INDEX(指数走势!$F$34:$ACK$34,1,LOOKUP(2,1/(指数走势!$F$34:$ACK$34&lt;&gt;""),COLUMN(指数走势!$F$34:$ACK$34))-COLUMN(指数走势!$F$34)+1-760+629)))</f>
        <v>29.9535007476807</v>
      </c>
      <c r="XG98">
        <f>IF(ISERROR(INDEX(指数走势!$F$34:$ACK$34,1,LOOKUP(2,1/(指数走势!$F$34:$ACK$34&lt;&gt;""),COLUMN(指数走势!$F$34:$ACK$34))-COLUMN(指数走势!$F$34)+1-760+630)),NA(),IF(INDEX(指数走势!$F$34:$ACK$34,1,LOOKUP(2,1/(指数走势!$F$34:$ACK$34&lt;&gt;""),COLUMN(指数走势!$F$34:$ACK$34))-COLUMN(指数走势!$F$34)+1-760+630)=0,NA(),INDEX(指数走势!$F$34:$ACK$34,1,LOOKUP(2,1/(指数走势!$F$34:$ACK$34&lt;&gt;""),COLUMN(指数走势!$F$34:$ACK$34))-COLUMN(指数走势!$F$34)+1-760+630)))</f>
        <v>30.6093997955322</v>
      </c>
      <c r="XH98">
        <f>IF(ISERROR(INDEX(指数走势!$F$34:$ACK$34,1,LOOKUP(2,1/(指数走势!$F$34:$ACK$34&lt;&gt;""),COLUMN(指数走势!$F$34:$ACK$34))-COLUMN(指数走势!$F$34)+1-760+631)),NA(),IF(INDEX(指数走势!$F$34:$ACK$34,1,LOOKUP(2,1/(指数走势!$F$34:$ACK$34&lt;&gt;""),COLUMN(指数走势!$F$34:$ACK$34))-COLUMN(指数走势!$F$34)+1-760+631)=0,NA(),INDEX(指数走势!$F$34:$ACK$34,1,LOOKUP(2,1/(指数走势!$F$34:$ACK$34&lt;&gt;""),COLUMN(指数走势!$F$34:$ACK$34))-COLUMN(指数走势!$F$34)+1-760+631)))</f>
        <v>30.2472991943359</v>
      </c>
      <c r="XI98">
        <f>IF(ISERROR(INDEX(指数走势!$F$34:$ACK$34,1,LOOKUP(2,1/(指数走势!$F$34:$ACK$34&lt;&gt;""),COLUMN(指数走势!$F$34:$ACK$34))-COLUMN(指数走势!$F$34)+1-760+632)),NA(),IF(INDEX(指数走势!$F$34:$ACK$34,1,LOOKUP(2,1/(指数走势!$F$34:$ACK$34&lt;&gt;""),COLUMN(指数走势!$F$34:$ACK$34))-COLUMN(指数走势!$F$34)+1-760+632)=0,NA(),INDEX(指数走势!$F$34:$ACK$34,1,LOOKUP(2,1/(指数走势!$F$34:$ACK$34&lt;&gt;""),COLUMN(指数走势!$F$34:$ACK$34))-COLUMN(指数走势!$F$34)+1-760+632)))</f>
        <v>30.4496994018555</v>
      </c>
      <c r="XJ98">
        <f>IF(ISERROR(INDEX(指数走势!$F$34:$ACK$34,1,LOOKUP(2,1/(指数走势!$F$34:$ACK$34&lt;&gt;""),COLUMN(指数走势!$F$34:$ACK$34))-COLUMN(指数走势!$F$34)+1-760+633)),NA(),IF(INDEX(指数走势!$F$34:$ACK$34,1,LOOKUP(2,1/(指数走势!$F$34:$ACK$34&lt;&gt;""),COLUMN(指数走势!$F$34:$ACK$34))-COLUMN(指数走势!$F$34)+1-760+633)=0,NA(),INDEX(指数走势!$F$34:$ACK$34,1,LOOKUP(2,1/(指数走势!$F$34:$ACK$34&lt;&gt;""),COLUMN(指数走势!$F$34:$ACK$34))-COLUMN(指数走势!$F$34)+1-760+633)))</f>
        <v>30.8442993164063</v>
      </c>
      <c r="XK98">
        <f>IF(ISERROR(INDEX(指数走势!$F$34:$ACK$34,1,LOOKUP(2,1/(指数走势!$F$34:$ACK$34&lt;&gt;""),COLUMN(指数走势!$F$34:$ACK$34))-COLUMN(指数走势!$F$34)+1-760+634)),NA(),IF(INDEX(指数走势!$F$34:$ACK$34,1,LOOKUP(2,1/(指数走势!$F$34:$ACK$34&lt;&gt;""),COLUMN(指数走势!$F$34:$ACK$34))-COLUMN(指数走势!$F$34)+1-760+634)=0,NA(),INDEX(指数走势!$F$34:$ACK$34,1,LOOKUP(2,1/(指数走势!$F$34:$ACK$34&lt;&gt;""),COLUMN(指数走势!$F$34:$ACK$34))-COLUMN(指数走势!$F$34)+1-760+634)))</f>
        <v>30.9218006134033</v>
      </c>
      <c r="XL98">
        <f>IF(ISERROR(INDEX(指数走势!$F$34:$ACK$34,1,LOOKUP(2,1/(指数走势!$F$34:$ACK$34&lt;&gt;""),COLUMN(指数走势!$F$34:$ACK$34))-COLUMN(指数走势!$F$34)+1-760+635)),NA(),IF(INDEX(指数走势!$F$34:$ACK$34,1,LOOKUP(2,1/(指数走势!$F$34:$ACK$34&lt;&gt;""),COLUMN(指数走势!$F$34:$ACK$34))-COLUMN(指数走势!$F$34)+1-760+635)=0,NA(),INDEX(指数走势!$F$34:$ACK$34,1,LOOKUP(2,1/(指数走势!$F$34:$ACK$34&lt;&gt;""),COLUMN(指数走势!$F$34:$ACK$34))-COLUMN(指数走势!$F$34)+1-760+635)))</f>
        <v>31.1604995727539</v>
      </c>
      <c r="XM98">
        <f>IF(ISERROR(INDEX(指数走势!$F$34:$ACK$34,1,LOOKUP(2,1/(指数走势!$F$34:$ACK$34&lt;&gt;""),COLUMN(指数走势!$F$34:$ACK$34))-COLUMN(指数走势!$F$34)+1-760+636)),NA(),IF(INDEX(指数走势!$F$34:$ACK$34,1,LOOKUP(2,1/(指数走势!$F$34:$ACK$34&lt;&gt;""),COLUMN(指数走势!$F$34:$ACK$34))-COLUMN(指数走势!$F$34)+1-760+636)=0,NA(),INDEX(指数走势!$F$34:$ACK$34,1,LOOKUP(2,1/(指数走势!$F$34:$ACK$34&lt;&gt;""),COLUMN(指数走势!$F$34:$ACK$34))-COLUMN(指数走势!$F$34)+1-760+636)))</f>
        <v>31.2721996307373</v>
      </c>
      <c r="XN98">
        <f>IF(ISERROR(INDEX(指数走势!$F$34:$ACK$34,1,LOOKUP(2,1/(指数走势!$F$34:$ACK$34&lt;&gt;""),COLUMN(指数走势!$F$34:$ACK$34))-COLUMN(指数走势!$F$34)+1-760+637)),NA(),IF(INDEX(指数走势!$F$34:$ACK$34,1,LOOKUP(2,1/(指数走势!$F$34:$ACK$34&lt;&gt;""),COLUMN(指数走势!$F$34:$ACK$34))-COLUMN(指数走势!$F$34)+1-760+637)=0,NA(),INDEX(指数走势!$F$34:$ACK$34,1,LOOKUP(2,1/(指数走势!$F$34:$ACK$34&lt;&gt;""),COLUMN(指数走势!$F$34:$ACK$34))-COLUMN(指数走势!$F$34)+1-760+637)))</f>
        <v>31.4431991577148</v>
      </c>
      <c r="XO98">
        <f>IF(ISERROR(INDEX(指数走势!$F$34:$ACK$34,1,LOOKUP(2,1/(指数走势!$F$34:$ACK$34&lt;&gt;""),COLUMN(指数走势!$F$34:$ACK$34))-COLUMN(指数走势!$F$34)+1-760+638)),NA(),IF(INDEX(指数走势!$F$34:$ACK$34,1,LOOKUP(2,1/(指数走势!$F$34:$ACK$34&lt;&gt;""),COLUMN(指数走势!$F$34:$ACK$34))-COLUMN(指数走势!$F$34)+1-760+638)=0,NA(),INDEX(指数走势!$F$34:$ACK$34,1,LOOKUP(2,1/(指数走势!$F$34:$ACK$34&lt;&gt;""),COLUMN(指数走势!$F$34:$ACK$34))-COLUMN(指数走势!$F$34)+1-760+638)))</f>
        <v>31.2982006072998</v>
      </c>
      <c r="XP98">
        <f>IF(ISERROR(INDEX(指数走势!$F$34:$ACK$34,1,LOOKUP(2,1/(指数走势!$F$34:$ACK$34&lt;&gt;""),COLUMN(指数走势!$F$34:$ACK$34))-COLUMN(指数走势!$F$34)+1-760+639)),NA(),IF(INDEX(指数走势!$F$34:$ACK$34,1,LOOKUP(2,1/(指数走势!$F$34:$ACK$34&lt;&gt;""),COLUMN(指数走势!$F$34:$ACK$34))-COLUMN(指数走势!$F$34)+1-760+639)=0,NA(),INDEX(指数走势!$F$34:$ACK$34,1,LOOKUP(2,1/(指数走势!$F$34:$ACK$34&lt;&gt;""),COLUMN(指数走势!$F$34:$ACK$34))-COLUMN(指数走势!$F$34)+1-760+639)))</f>
        <v>31.4204006195068</v>
      </c>
      <c r="XQ98">
        <f>IF(ISERROR(INDEX(指数走势!$F$34:$ACK$34,1,LOOKUP(2,1/(指数走势!$F$34:$ACK$34&lt;&gt;""),COLUMN(指数走势!$F$34:$ACK$34))-COLUMN(指数走势!$F$34)+1-760+640)),NA(),IF(INDEX(指数走势!$F$34:$ACK$34,1,LOOKUP(2,1/(指数走势!$F$34:$ACK$34&lt;&gt;""),COLUMN(指数走势!$F$34:$ACK$34))-COLUMN(指数走势!$F$34)+1-760+640)=0,NA(),INDEX(指数走势!$F$34:$ACK$34,1,LOOKUP(2,1/(指数走势!$F$34:$ACK$34&lt;&gt;""),COLUMN(指数走势!$F$34:$ACK$34))-COLUMN(指数走势!$F$34)+1-760+640)))</f>
        <v>31.2409992218018</v>
      </c>
      <c r="XR98">
        <f>IF(ISERROR(INDEX(指数走势!$F$34:$ACK$34,1,LOOKUP(2,1/(指数走势!$F$34:$ACK$34&lt;&gt;""),COLUMN(指数走势!$F$34:$ACK$34))-COLUMN(指数走势!$F$34)+1-760+641)),NA(),IF(INDEX(指数走势!$F$34:$ACK$34,1,LOOKUP(2,1/(指数走势!$F$34:$ACK$34&lt;&gt;""),COLUMN(指数走势!$F$34:$ACK$34))-COLUMN(指数走势!$F$34)+1-760+641)=0,NA(),INDEX(指数走势!$F$34:$ACK$34,1,LOOKUP(2,1/(指数走势!$F$34:$ACK$34&lt;&gt;""),COLUMN(指数走势!$F$34:$ACK$34))-COLUMN(指数走势!$F$34)+1-760+641)))</f>
        <v>31.9011993408203</v>
      </c>
      <c r="XS98">
        <f>IF(ISERROR(INDEX(指数走势!$F$34:$ACK$34,1,LOOKUP(2,1/(指数走势!$F$34:$ACK$34&lt;&gt;""),COLUMN(指数走势!$F$34:$ACK$34))-COLUMN(指数走势!$F$34)+1-760+642)),NA(),IF(INDEX(指数走势!$F$34:$ACK$34,1,LOOKUP(2,1/(指数走势!$F$34:$ACK$34&lt;&gt;""),COLUMN(指数走势!$F$34:$ACK$34))-COLUMN(指数走势!$F$34)+1-760+642)=0,NA(),INDEX(指数走势!$F$34:$ACK$34,1,LOOKUP(2,1/(指数走势!$F$34:$ACK$34&lt;&gt;""),COLUMN(指数走势!$F$34:$ACK$34))-COLUMN(指数走势!$F$34)+1-760+642)))</f>
        <v>32.3674011230469</v>
      </c>
      <c r="XT98">
        <f>IF(ISERROR(INDEX(指数走势!$F$34:$ACK$34,1,LOOKUP(2,1/(指数走势!$F$34:$ACK$34&lt;&gt;""),COLUMN(指数走势!$F$34:$ACK$34))-COLUMN(指数走势!$F$34)+1-760+643)),NA(),IF(INDEX(指数走势!$F$34:$ACK$34,1,LOOKUP(2,1/(指数走势!$F$34:$ACK$34&lt;&gt;""),COLUMN(指数走势!$F$34:$ACK$34))-COLUMN(指数走势!$F$34)+1-760+643)=0,NA(),INDEX(指数走势!$F$34:$ACK$34,1,LOOKUP(2,1/(指数走势!$F$34:$ACK$34&lt;&gt;""),COLUMN(指数走势!$F$34:$ACK$34))-COLUMN(指数走势!$F$34)+1-760+643)))</f>
        <v>32.3690986633301</v>
      </c>
      <c r="XU98">
        <f>IF(ISERROR(INDEX(指数走势!$F$34:$ACK$34,1,LOOKUP(2,1/(指数走势!$F$34:$ACK$34&lt;&gt;""),COLUMN(指数走势!$F$34:$ACK$34))-COLUMN(指数走势!$F$34)+1-760+644)),NA(),IF(INDEX(指数走势!$F$34:$ACK$34,1,LOOKUP(2,1/(指数走势!$F$34:$ACK$34&lt;&gt;""),COLUMN(指数走势!$F$34:$ACK$34))-COLUMN(指数走势!$F$34)+1-760+644)=0,NA(),INDEX(指数走势!$F$34:$ACK$34,1,LOOKUP(2,1/(指数走势!$F$34:$ACK$34&lt;&gt;""),COLUMN(指数走势!$F$34:$ACK$34))-COLUMN(指数走势!$F$34)+1-760+644)))</f>
        <v>32.2111015319824</v>
      </c>
      <c r="XV98">
        <f>IF(ISERROR(INDEX(指数走势!$F$34:$ACK$34,1,LOOKUP(2,1/(指数走势!$F$34:$ACK$34&lt;&gt;""),COLUMN(指数走势!$F$34:$ACK$34))-COLUMN(指数走势!$F$34)+1-760+645)),NA(),IF(INDEX(指数走势!$F$34:$ACK$34,1,LOOKUP(2,1/(指数走势!$F$34:$ACK$34&lt;&gt;""),COLUMN(指数走势!$F$34:$ACK$34))-COLUMN(指数走势!$F$34)+1-760+645)=0,NA(),INDEX(指数走势!$F$34:$ACK$34,1,LOOKUP(2,1/(指数走势!$F$34:$ACK$34&lt;&gt;""),COLUMN(指数走势!$F$34:$ACK$34))-COLUMN(指数走势!$F$34)+1-760+645)))</f>
        <v>32.5820999145508</v>
      </c>
      <c r="XW98">
        <f>IF(ISERROR(INDEX(指数走势!$F$34:$ACK$34,1,LOOKUP(2,1/(指数走势!$F$34:$ACK$34&lt;&gt;""),COLUMN(指数走势!$F$34:$ACK$34))-COLUMN(指数走势!$F$34)+1-760+646)),NA(),IF(INDEX(指数走势!$F$34:$ACK$34,1,LOOKUP(2,1/(指数走势!$F$34:$ACK$34&lt;&gt;""),COLUMN(指数走势!$F$34:$ACK$34))-COLUMN(指数走势!$F$34)+1-760+646)=0,NA(),INDEX(指数走势!$F$34:$ACK$34,1,LOOKUP(2,1/(指数走势!$F$34:$ACK$34&lt;&gt;""),COLUMN(指数走势!$F$34:$ACK$34))-COLUMN(指数走势!$F$34)+1-760+646)))</f>
        <v>33.1041984558105</v>
      </c>
      <c r="XX98">
        <f>IF(ISERROR(INDEX(指数走势!$F$34:$ACK$34,1,LOOKUP(2,1/(指数走势!$F$34:$ACK$34&lt;&gt;""),COLUMN(指数走势!$F$34:$ACK$34))-COLUMN(指数走势!$F$34)+1-760+647)),NA(),IF(INDEX(指数走势!$F$34:$ACK$34,1,LOOKUP(2,1/(指数走势!$F$34:$ACK$34&lt;&gt;""),COLUMN(指数走势!$F$34:$ACK$34))-COLUMN(指数走势!$F$34)+1-760+647)=0,NA(),INDEX(指数走势!$F$34:$ACK$34,1,LOOKUP(2,1/(指数走势!$F$34:$ACK$34&lt;&gt;""),COLUMN(指数走势!$F$34:$ACK$34))-COLUMN(指数走势!$F$34)+1-760+647)))</f>
        <v>32.7509994506836</v>
      </c>
      <c r="XY98">
        <f>IF(ISERROR(INDEX(指数走势!$F$34:$ACK$34,1,LOOKUP(2,1/(指数走势!$F$34:$ACK$34&lt;&gt;""),COLUMN(指数走势!$F$34:$ACK$34))-COLUMN(指数走势!$F$34)+1-760+648)),NA(),IF(INDEX(指数走势!$F$34:$ACK$34,1,LOOKUP(2,1/(指数走势!$F$34:$ACK$34&lt;&gt;""),COLUMN(指数走势!$F$34:$ACK$34))-COLUMN(指数走势!$F$34)+1-760+648)=0,NA(),INDEX(指数走势!$F$34:$ACK$34,1,LOOKUP(2,1/(指数走势!$F$34:$ACK$34&lt;&gt;""),COLUMN(指数走势!$F$34:$ACK$34))-COLUMN(指数走势!$F$34)+1-760+648)))</f>
        <v>32.9103012084961</v>
      </c>
      <c r="XZ98">
        <f>IF(ISERROR(INDEX(指数走势!$F$34:$ACK$34,1,LOOKUP(2,1/(指数走势!$F$34:$ACK$34&lt;&gt;""),COLUMN(指数走势!$F$34:$ACK$34))-COLUMN(指数走势!$F$34)+1-760+649)),NA(),IF(INDEX(指数走势!$F$34:$ACK$34,1,LOOKUP(2,1/(指数走势!$F$34:$ACK$34&lt;&gt;""),COLUMN(指数走势!$F$34:$ACK$34))-COLUMN(指数走势!$F$34)+1-760+649)=0,NA(),INDEX(指数走势!$F$34:$ACK$34,1,LOOKUP(2,1/(指数走势!$F$34:$ACK$34&lt;&gt;""),COLUMN(指数走势!$F$34:$ACK$34))-COLUMN(指数走势!$F$34)+1-760+649)))</f>
        <v>33.0084991455078</v>
      </c>
      <c r="YA98">
        <f>IF(ISERROR(INDEX(指数走势!$F$34:$ACK$34,1,LOOKUP(2,1/(指数走势!$F$34:$ACK$34&lt;&gt;""),COLUMN(指数走势!$F$34:$ACK$34))-COLUMN(指数走势!$F$34)+1-760+650)),NA(),IF(INDEX(指数走势!$F$34:$ACK$34,1,LOOKUP(2,1/(指数走势!$F$34:$ACK$34&lt;&gt;""),COLUMN(指数走势!$F$34:$ACK$34))-COLUMN(指数走势!$F$34)+1-760+650)=0,NA(),INDEX(指数走势!$F$34:$ACK$34,1,LOOKUP(2,1/(指数走势!$F$34:$ACK$34&lt;&gt;""),COLUMN(指数走势!$F$34:$ACK$34))-COLUMN(指数走势!$F$34)+1-760+650)))</f>
        <v>32.9412002563477</v>
      </c>
      <c r="YB98">
        <f>IF(ISERROR(INDEX(指数走势!$F$34:$ACK$34,1,LOOKUP(2,1/(指数走势!$F$34:$ACK$34&lt;&gt;""),COLUMN(指数走势!$F$34:$ACK$34))-COLUMN(指数走势!$F$34)+1-760+651)),NA(),IF(INDEX(指数走势!$F$34:$ACK$34,1,LOOKUP(2,1/(指数走势!$F$34:$ACK$34&lt;&gt;""),COLUMN(指数走势!$F$34:$ACK$34))-COLUMN(指数走势!$F$34)+1-760+651)=0,NA(),INDEX(指数走势!$F$34:$ACK$34,1,LOOKUP(2,1/(指数走势!$F$34:$ACK$34&lt;&gt;""),COLUMN(指数走势!$F$34:$ACK$34))-COLUMN(指数走势!$F$34)+1-760+651)))</f>
        <v>32.9939994812012</v>
      </c>
      <c r="YC98">
        <f>IF(ISERROR(INDEX(指数走势!$F$34:$ACK$34,1,LOOKUP(2,1/(指数走势!$F$34:$ACK$34&lt;&gt;""),COLUMN(指数走势!$F$34:$ACK$34))-COLUMN(指数走势!$F$34)+1-760+652)),NA(),IF(INDEX(指数走势!$F$34:$ACK$34,1,LOOKUP(2,1/(指数走势!$F$34:$ACK$34&lt;&gt;""),COLUMN(指数走势!$F$34:$ACK$34))-COLUMN(指数走势!$F$34)+1-760+652)=0,NA(),INDEX(指数走势!$F$34:$ACK$34,1,LOOKUP(2,1/(指数走势!$F$34:$ACK$34&lt;&gt;""),COLUMN(指数走势!$F$34:$ACK$34))-COLUMN(指数走势!$F$34)+1-760+652)))</f>
        <v>32.7332000732422</v>
      </c>
      <c r="YD98">
        <f>IF(ISERROR(INDEX(指数走势!$F$34:$ACK$34,1,LOOKUP(2,1/(指数走势!$F$34:$ACK$34&lt;&gt;""),COLUMN(指数走势!$F$34:$ACK$34))-COLUMN(指数走势!$F$34)+1-760+653)),NA(),IF(INDEX(指数走势!$F$34:$ACK$34,1,LOOKUP(2,1/(指数走势!$F$34:$ACK$34&lt;&gt;""),COLUMN(指数走势!$F$34:$ACK$34))-COLUMN(指数走势!$F$34)+1-760+653)=0,NA(),INDEX(指数走势!$F$34:$ACK$34,1,LOOKUP(2,1/(指数走势!$F$34:$ACK$34&lt;&gt;""),COLUMN(指数走势!$F$34:$ACK$34))-COLUMN(指数走势!$F$34)+1-760+653)))</f>
        <v>32.8835983276367</v>
      </c>
      <c r="YE98">
        <f>IF(ISERROR(INDEX(指数走势!$F$34:$ACK$34,1,LOOKUP(2,1/(指数走势!$F$34:$ACK$34&lt;&gt;""),COLUMN(指数走势!$F$34:$ACK$34))-COLUMN(指数走势!$F$34)+1-760+654)),NA(),IF(INDEX(指数走势!$F$34:$ACK$34,1,LOOKUP(2,1/(指数走势!$F$34:$ACK$34&lt;&gt;""),COLUMN(指数走势!$F$34:$ACK$34))-COLUMN(指数走势!$F$34)+1-760+654)=0,NA(),INDEX(指数走势!$F$34:$ACK$34,1,LOOKUP(2,1/(指数走势!$F$34:$ACK$34&lt;&gt;""),COLUMN(指数走势!$F$34:$ACK$34))-COLUMN(指数走势!$F$34)+1-760+654)))</f>
        <v>33.0512008666992</v>
      </c>
      <c r="YF98">
        <f>IF(ISERROR(INDEX(指数走势!$F$34:$ACK$34,1,LOOKUP(2,1/(指数走势!$F$34:$ACK$34&lt;&gt;""),COLUMN(指数走势!$F$34:$ACK$34))-COLUMN(指数走势!$F$34)+1-760+655)),NA(),IF(INDEX(指数走势!$F$34:$ACK$34,1,LOOKUP(2,1/(指数走势!$F$34:$ACK$34&lt;&gt;""),COLUMN(指数走势!$F$34:$ACK$34))-COLUMN(指数走势!$F$34)+1-760+655)=0,NA(),INDEX(指数走势!$F$34:$ACK$34,1,LOOKUP(2,1/(指数走势!$F$34:$ACK$34&lt;&gt;""),COLUMN(指数走势!$F$34:$ACK$34))-COLUMN(指数走势!$F$34)+1-760+655)))</f>
        <v>33.3095016479492</v>
      </c>
      <c r="YG98">
        <f>IF(ISERROR(INDEX(指数走势!$F$34:$ACK$34,1,LOOKUP(2,1/(指数走势!$F$34:$ACK$34&lt;&gt;""),COLUMN(指数走势!$F$34:$ACK$34))-COLUMN(指数走势!$F$34)+1-760+656)),NA(),IF(INDEX(指数走势!$F$34:$ACK$34,1,LOOKUP(2,1/(指数走势!$F$34:$ACK$34&lt;&gt;""),COLUMN(指数走势!$F$34:$ACK$34))-COLUMN(指数走势!$F$34)+1-760+656)=0,NA(),INDEX(指数走势!$F$34:$ACK$34,1,LOOKUP(2,1/(指数走势!$F$34:$ACK$34&lt;&gt;""),COLUMN(指数走势!$F$34:$ACK$34))-COLUMN(指数走势!$F$34)+1-760+656)))</f>
        <v>33.0438003540039</v>
      </c>
      <c r="YH98">
        <f>IF(ISERROR(INDEX(指数走势!$F$34:$ACK$34,1,LOOKUP(2,1/(指数走势!$F$34:$ACK$34&lt;&gt;""),COLUMN(指数走势!$F$34:$ACK$34))-COLUMN(指数走势!$F$34)+1-760+657)),NA(),IF(INDEX(指数走势!$F$34:$ACK$34,1,LOOKUP(2,1/(指数走势!$F$34:$ACK$34&lt;&gt;""),COLUMN(指数走势!$F$34:$ACK$34))-COLUMN(指数走势!$F$34)+1-760+657)=0,NA(),INDEX(指数走势!$F$34:$ACK$34,1,LOOKUP(2,1/(指数走势!$F$34:$ACK$34&lt;&gt;""),COLUMN(指数走势!$F$34:$ACK$34))-COLUMN(指数走势!$F$34)+1-760+657)))</f>
        <v>33.0304985046387</v>
      </c>
      <c r="YI98">
        <f>IF(ISERROR(INDEX(指数走势!$F$34:$ACK$34,1,LOOKUP(2,1/(指数走势!$F$34:$ACK$34&lt;&gt;""),COLUMN(指数走势!$F$34:$ACK$34))-COLUMN(指数走势!$F$34)+1-760+658)),NA(),IF(INDEX(指数走势!$F$34:$ACK$34,1,LOOKUP(2,1/(指数走势!$F$34:$ACK$34&lt;&gt;""),COLUMN(指数走势!$F$34:$ACK$34))-COLUMN(指数走势!$F$34)+1-760+658)=0,NA(),INDEX(指数走势!$F$34:$ACK$34,1,LOOKUP(2,1/(指数走势!$F$34:$ACK$34&lt;&gt;""),COLUMN(指数走势!$F$34:$ACK$34))-COLUMN(指数走势!$F$34)+1-760+658)))</f>
        <v>33.0747985839844</v>
      </c>
      <c r="YJ98">
        <f>IF(ISERROR(INDEX(指数走势!$F$34:$ACK$34,1,LOOKUP(2,1/(指数走势!$F$34:$ACK$34&lt;&gt;""),COLUMN(指数走势!$F$34:$ACK$34))-COLUMN(指数走势!$F$34)+1-760+659)),NA(),IF(INDEX(指数走势!$F$34:$ACK$34,1,LOOKUP(2,1/(指数走势!$F$34:$ACK$34&lt;&gt;""),COLUMN(指数走势!$F$34:$ACK$34))-COLUMN(指数走势!$F$34)+1-760+659)=0,NA(),INDEX(指数走势!$F$34:$ACK$34,1,LOOKUP(2,1/(指数走势!$F$34:$ACK$34&lt;&gt;""),COLUMN(指数走势!$F$34:$ACK$34))-COLUMN(指数走势!$F$34)+1-760+659)))</f>
        <v>32.9986000061035</v>
      </c>
      <c r="YK98">
        <f>IF(ISERROR(INDEX(指数走势!$F$34:$ACK$34,1,LOOKUP(2,1/(指数走势!$F$34:$ACK$34&lt;&gt;""),COLUMN(指数走势!$F$34:$ACK$34))-COLUMN(指数走势!$F$34)+1-760+660)),NA(),IF(INDEX(指数走势!$F$34:$ACK$34,1,LOOKUP(2,1/(指数走势!$F$34:$ACK$34&lt;&gt;""),COLUMN(指数走势!$F$34:$ACK$34))-COLUMN(指数走势!$F$34)+1-760+660)=0,NA(),INDEX(指数走势!$F$34:$ACK$34,1,LOOKUP(2,1/(指数走势!$F$34:$ACK$34&lt;&gt;""),COLUMN(指数走势!$F$34:$ACK$34))-COLUMN(指数走势!$F$34)+1-760+660)))</f>
        <v>32.7246017456055</v>
      </c>
      <c r="YL98">
        <f>IF(ISERROR(INDEX(指数走势!$F$34:$ACK$34,1,LOOKUP(2,1/(指数走势!$F$34:$ACK$34&lt;&gt;""),COLUMN(指数走势!$F$34:$ACK$34))-COLUMN(指数走势!$F$34)+1-760+661)),NA(),IF(INDEX(指数走势!$F$34:$ACK$34,1,LOOKUP(2,1/(指数走势!$F$34:$ACK$34&lt;&gt;""),COLUMN(指数走势!$F$34:$ACK$34))-COLUMN(指数走势!$F$34)+1-760+661)=0,NA(),INDEX(指数走势!$F$34:$ACK$34,1,LOOKUP(2,1/(指数走势!$F$34:$ACK$34&lt;&gt;""),COLUMN(指数走势!$F$34:$ACK$34))-COLUMN(指数走势!$F$34)+1-760+661)))</f>
        <v>31.8673992156982</v>
      </c>
      <c r="YM98">
        <f>IF(ISERROR(INDEX(指数走势!$F$34:$ACK$34,1,LOOKUP(2,1/(指数走势!$F$34:$ACK$34&lt;&gt;""),COLUMN(指数走势!$F$34:$ACK$34))-COLUMN(指数走势!$F$34)+1-760+662)),NA(),IF(INDEX(指数走势!$F$34:$ACK$34,1,LOOKUP(2,1/(指数走势!$F$34:$ACK$34&lt;&gt;""),COLUMN(指数走势!$F$34:$ACK$34))-COLUMN(指数走势!$F$34)+1-760+662)=0,NA(),INDEX(指数走势!$F$34:$ACK$34,1,LOOKUP(2,1/(指数走势!$F$34:$ACK$34&lt;&gt;""),COLUMN(指数走势!$F$34:$ACK$34))-COLUMN(指数走势!$F$34)+1-760+662)))</f>
        <v>32.535099029541</v>
      </c>
      <c r="YN98">
        <f>IF(ISERROR(INDEX(指数走势!$F$34:$ACK$34,1,LOOKUP(2,1/(指数走势!$F$34:$ACK$34&lt;&gt;""),COLUMN(指数走势!$F$34:$ACK$34))-COLUMN(指数走势!$F$34)+1-760+663)),NA(),IF(INDEX(指数走势!$F$34:$ACK$34,1,LOOKUP(2,1/(指数走势!$F$34:$ACK$34&lt;&gt;""),COLUMN(指数走势!$F$34:$ACK$34))-COLUMN(指数走势!$F$34)+1-760+663)=0,NA(),INDEX(指数走势!$F$34:$ACK$34,1,LOOKUP(2,1/(指数走势!$F$34:$ACK$34&lt;&gt;""),COLUMN(指数走势!$F$34:$ACK$34))-COLUMN(指数走势!$F$34)+1-760+663)))</f>
        <v>32.6950988769531</v>
      </c>
      <c r="YO98">
        <f>IF(ISERROR(INDEX(指数走势!$F$34:$ACK$34,1,LOOKUP(2,1/(指数走势!$F$34:$ACK$34&lt;&gt;""),COLUMN(指数走势!$F$34:$ACK$34))-COLUMN(指数走势!$F$34)+1-760+664)),NA(),IF(INDEX(指数走势!$F$34:$ACK$34,1,LOOKUP(2,1/(指数走势!$F$34:$ACK$34&lt;&gt;""),COLUMN(指数走势!$F$34:$ACK$34))-COLUMN(指数走势!$F$34)+1-760+664)=0,NA(),INDEX(指数走势!$F$34:$ACK$34,1,LOOKUP(2,1/(指数走势!$F$34:$ACK$34&lt;&gt;""),COLUMN(指数走势!$F$34:$ACK$34))-COLUMN(指数走势!$F$34)+1-760+664)))</f>
        <v>32.2790985107422</v>
      </c>
      <c r="YP98">
        <f>IF(ISERROR(INDEX(指数走势!$F$34:$ACK$34,1,LOOKUP(2,1/(指数走势!$F$34:$ACK$34&lt;&gt;""),COLUMN(指数走势!$F$34:$ACK$34))-COLUMN(指数走势!$F$34)+1-760+665)),NA(),IF(INDEX(指数走势!$F$34:$ACK$34,1,LOOKUP(2,1/(指数走势!$F$34:$ACK$34&lt;&gt;""),COLUMN(指数走势!$F$34:$ACK$34))-COLUMN(指数走势!$F$34)+1-760+665)=0,NA(),INDEX(指数走势!$F$34:$ACK$34,1,LOOKUP(2,1/(指数走势!$F$34:$ACK$34&lt;&gt;""),COLUMN(指数走势!$F$34:$ACK$34))-COLUMN(指数走势!$F$34)+1-760+665)))</f>
        <v>32.1966018676758</v>
      </c>
      <c r="YQ98">
        <f>IF(ISERROR(INDEX(指数走势!$F$34:$ACK$34,1,LOOKUP(2,1/(指数走势!$F$34:$ACK$34&lt;&gt;""),COLUMN(指数走势!$F$34:$ACK$34))-COLUMN(指数走势!$F$34)+1-760+666)),NA(),IF(INDEX(指数走势!$F$34:$ACK$34,1,LOOKUP(2,1/(指数走势!$F$34:$ACK$34&lt;&gt;""),COLUMN(指数走势!$F$34:$ACK$34))-COLUMN(指数走势!$F$34)+1-760+666)=0,NA(),INDEX(指数走势!$F$34:$ACK$34,1,LOOKUP(2,1/(指数走势!$F$34:$ACK$34&lt;&gt;""),COLUMN(指数走势!$F$34:$ACK$34))-COLUMN(指数走势!$F$34)+1-760+666)))</f>
        <v>32.8042984008789</v>
      </c>
      <c r="YR98">
        <f>IF(ISERROR(INDEX(指数走势!$F$34:$ACK$34,1,LOOKUP(2,1/(指数走势!$F$34:$ACK$34&lt;&gt;""),COLUMN(指数走势!$F$34:$ACK$34))-COLUMN(指数走势!$F$34)+1-760+667)),NA(),IF(INDEX(指数走势!$F$34:$ACK$34,1,LOOKUP(2,1/(指数走势!$F$34:$ACK$34&lt;&gt;""),COLUMN(指数走势!$F$34:$ACK$34))-COLUMN(指数走势!$F$34)+1-760+667)=0,NA(),INDEX(指数走势!$F$34:$ACK$34,1,LOOKUP(2,1/(指数走势!$F$34:$ACK$34&lt;&gt;""),COLUMN(指数走势!$F$34:$ACK$34))-COLUMN(指数走势!$F$34)+1-760+667)))</f>
        <v>32.8321990966797</v>
      </c>
      <c r="YS98">
        <f>IF(ISERROR(INDEX(指数走势!$F$34:$ACK$34,1,LOOKUP(2,1/(指数走势!$F$34:$ACK$34&lt;&gt;""),COLUMN(指数走势!$F$34:$ACK$34))-COLUMN(指数走势!$F$34)+1-760+668)),NA(),IF(INDEX(指数走势!$F$34:$ACK$34,1,LOOKUP(2,1/(指数走势!$F$34:$ACK$34&lt;&gt;""),COLUMN(指数走势!$F$34:$ACK$34))-COLUMN(指数走势!$F$34)+1-760+668)=0,NA(),INDEX(指数走势!$F$34:$ACK$34,1,LOOKUP(2,1/(指数走势!$F$34:$ACK$34&lt;&gt;""),COLUMN(指数走势!$F$34:$ACK$34))-COLUMN(指数走势!$F$34)+1-760+668)))</f>
        <v>32.7752990722656</v>
      </c>
      <c r="YT98">
        <f>IF(ISERROR(INDEX(指数走势!$F$34:$ACK$34,1,LOOKUP(2,1/(指数走势!$F$34:$ACK$34&lt;&gt;""),COLUMN(指数走势!$F$34:$ACK$34))-COLUMN(指数走势!$F$34)+1-760+669)),NA(),IF(INDEX(指数走势!$F$34:$ACK$34,1,LOOKUP(2,1/(指数走势!$F$34:$ACK$34&lt;&gt;""),COLUMN(指数走势!$F$34:$ACK$34))-COLUMN(指数走势!$F$34)+1-760+669)=0,NA(),INDEX(指数走势!$F$34:$ACK$34,1,LOOKUP(2,1/(指数走势!$F$34:$ACK$34&lt;&gt;""),COLUMN(指数走势!$F$34:$ACK$34))-COLUMN(指数走势!$F$34)+1-760+669)))</f>
        <v>33.0172996520996</v>
      </c>
      <c r="YU98">
        <f>IF(ISERROR(INDEX(指数走势!$F$34:$ACK$34,1,LOOKUP(2,1/(指数走势!$F$34:$ACK$34&lt;&gt;""),COLUMN(指数走势!$F$34:$ACK$34))-COLUMN(指数走势!$F$34)+1-760+670)),NA(),IF(INDEX(指数走势!$F$34:$ACK$34,1,LOOKUP(2,1/(指数走势!$F$34:$ACK$34&lt;&gt;""),COLUMN(指数走势!$F$34:$ACK$34))-COLUMN(指数走势!$F$34)+1-760+670)=0,NA(),INDEX(指数走势!$F$34:$ACK$34,1,LOOKUP(2,1/(指数走势!$F$34:$ACK$34&lt;&gt;""),COLUMN(指数走势!$F$34:$ACK$34))-COLUMN(指数走势!$F$34)+1-760+670)))</f>
        <v>32.611198425293</v>
      </c>
      <c r="YV98">
        <f>IF(ISERROR(INDEX(指数走势!$F$34:$ACK$34,1,LOOKUP(2,1/(指数走势!$F$34:$ACK$34&lt;&gt;""),COLUMN(指数走势!$F$34:$ACK$34))-COLUMN(指数走势!$F$34)+1-760+671)),NA(),IF(INDEX(指数走势!$F$34:$ACK$34,1,LOOKUP(2,1/(指数走势!$F$34:$ACK$34&lt;&gt;""),COLUMN(指数走势!$F$34:$ACK$34))-COLUMN(指数走势!$F$34)+1-760+671)=0,NA(),INDEX(指数走势!$F$34:$ACK$34,1,LOOKUP(2,1/(指数走势!$F$34:$ACK$34&lt;&gt;""),COLUMN(指数走势!$F$34:$ACK$34))-COLUMN(指数走势!$F$34)+1-760+671)))</f>
        <v>33.0410003662109</v>
      </c>
      <c r="YW98">
        <f>IF(ISERROR(INDEX(指数走势!$F$34:$ACK$34,1,LOOKUP(2,1/(指数走势!$F$34:$ACK$34&lt;&gt;""),COLUMN(指数走势!$F$34:$ACK$34))-COLUMN(指数走势!$F$34)+1-760+672)),NA(),IF(INDEX(指数走势!$F$34:$ACK$34,1,LOOKUP(2,1/(指数走势!$F$34:$ACK$34&lt;&gt;""),COLUMN(指数走势!$F$34:$ACK$34))-COLUMN(指数走势!$F$34)+1-760+672)=0,NA(),INDEX(指数走势!$F$34:$ACK$34,1,LOOKUP(2,1/(指数走势!$F$34:$ACK$34&lt;&gt;""),COLUMN(指数走势!$F$34:$ACK$34))-COLUMN(指数走势!$F$34)+1-760+672)))</f>
        <v>33.5392990112305</v>
      </c>
      <c r="YX98">
        <f>IF(ISERROR(INDEX(指数走势!$F$34:$ACK$34,1,LOOKUP(2,1/(指数走势!$F$34:$ACK$34&lt;&gt;""),COLUMN(指数走势!$F$34:$ACK$34))-COLUMN(指数走势!$F$34)+1-760+673)),NA(),IF(INDEX(指数走势!$F$34:$ACK$34,1,LOOKUP(2,1/(指数走势!$F$34:$ACK$34&lt;&gt;""),COLUMN(指数走势!$F$34:$ACK$34))-COLUMN(指数走势!$F$34)+1-760+673)=0,NA(),INDEX(指数走势!$F$34:$ACK$34,1,LOOKUP(2,1/(指数走势!$F$34:$ACK$34&lt;&gt;""),COLUMN(指数走势!$F$34:$ACK$34))-COLUMN(指数走势!$F$34)+1-760+673)))</f>
        <v>33.611499786377</v>
      </c>
      <c r="YY98">
        <f>IF(ISERROR(INDEX(指数走势!$F$34:$ACK$34,1,LOOKUP(2,1/(指数走势!$F$34:$ACK$34&lt;&gt;""),COLUMN(指数走势!$F$34:$ACK$34))-COLUMN(指数走势!$F$34)+1-760+674)),NA(),IF(INDEX(指数走势!$F$34:$ACK$34,1,LOOKUP(2,1/(指数走势!$F$34:$ACK$34&lt;&gt;""),COLUMN(指数走势!$F$34:$ACK$34))-COLUMN(指数走势!$F$34)+1-760+674)=0,NA(),INDEX(指数走势!$F$34:$ACK$34,1,LOOKUP(2,1/(指数走势!$F$34:$ACK$34&lt;&gt;""),COLUMN(指数走势!$F$34:$ACK$34))-COLUMN(指数走势!$F$34)+1-760+674)))</f>
        <v>33.6542015075684</v>
      </c>
      <c r="YZ98">
        <f>IF(ISERROR(INDEX(指数走势!$F$34:$ACK$34,1,LOOKUP(2,1/(指数走势!$F$34:$ACK$34&lt;&gt;""),COLUMN(指数走势!$F$34:$ACK$34))-COLUMN(指数走势!$F$34)+1-760+675)),NA(),IF(INDEX(指数走势!$F$34:$ACK$34,1,LOOKUP(2,1/(指数走势!$F$34:$ACK$34&lt;&gt;""),COLUMN(指数走势!$F$34:$ACK$34))-COLUMN(指数走势!$F$34)+1-760+675)=0,NA(),INDEX(指数走势!$F$34:$ACK$34,1,LOOKUP(2,1/(指数走势!$F$34:$ACK$34&lt;&gt;""),COLUMN(指数走势!$F$34:$ACK$34))-COLUMN(指数走势!$F$34)+1-760+675)))</f>
        <v>33.4833984375</v>
      </c>
      <c r="ZA98">
        <f>IF(ISERROR(INDEX(指数走势!$F$34:$ACK$34,1,LOOKUP(2,1/(指数走势!$F$34:$ACK$34&lt;&gt;""),COLUMN(指数走势!$F$34:$ACK$34))-COLUMN(指数走势!$F$34)+1-760+676)),NA(),IF(INDEX(指数走势!$F$34:$ACK$34,1,LOOKUP(2,1/(指数走势!$F$34:$ACK$34&lt;&gt;""),COLUMN(指数走势!$F$34:$ACK$34))-COLUMN(指数走势!$F$34)+1-760+676)=0,NA(),INDEX(指数走势!$F$34:$ACK$34,1,LOOKUP(2,1/(指数走势!$F$34:$ACK$34&lt;&gt;""),COLUMN(指数走势!$F$34:$ACK$34))-COLUMN(指数走势!$F$34)+1-760+676)))</f>
        <v>32.5201988220215</v>
      </c>
      <c r="ZB98">
        <f>IF(ISERROR(INDEX(指数走势!$F$34:$ACK$34,1,LOOKUP(2,1/(指数走势!$F$34:$ACK$34&lt;&gt;""),COLUMN(指数走势!$F$34:$ACK$34))-COLUMN(指数走势!$F$34)+1-760+677)),NA(),IF(INDEX(指数走势!$F$34:$ACK$34,1,LOOKUP(2,1/(指数走势!$F$34:$ACK$34&lt;&gt;""),COLUMN(指数走势!$F$34:$ACK$34))-COLUMN(指数走势!$F$34)+1-760+677)=0,NA(),INDEX(指数走势!$F$34:$ACK$34,1,LOOKUP(2,1/(指数走势!$F$34:$ACK$34&lt;&gt;""),COLUMN(指数走势!$F$34:$ACK$34))-COLUMN(指数走势!$F$34)+1-760+677)))</f>
        <v>32.279598236084</v>
      </c>
      <c r="ZC98">
        <f>IF(ISERROR(INDEX(指数走势!$F$34:$ACK$34,1,LOOKUP(2,1/(指数走势!$F$34:$ACK$34&lt;&gt;""),COLUMN(指数走势!$F$34:$ACK$34))-COLUMN(指数走势!$F$34)+1-760+678)),NA(),IF(INDEX(指数走势!$F$34:$ACK$34,1,LOOKUP(2,1/(指数走势!$F$34:$ACK$34&lt;&gt;""),COLUMN(指数走势!$F$34:$ACK$34))-COLUMN(指数走势!$F$34)+1-760+678)=0,NA(),INDEX(指数走势!$F$34:$ACK$34,1,LOOKUP(2,1/(指数走势!$F$34:$ACK$34&lt;&gt;""),COLUMN(指数走势!$F$34:$ACK$34))-COLUMN(指数走势!$F$34)+1-760+678)))</f>
        <v>32.6073989868164</v>
      </c>
      <c r="ZD98">
        <f>IF(ISERROR(INDEX(指数走势!$F$34:$ACK$34,1,LOOKUP(2,1/(指数走势!$F$34:$ACK$34&lt;&gt;""),COLUMN(指数走势!$F$34:$ACK$34))-COLUMN(指数走势!$F$34)+1-760+679)),NA(),IF(INDEX(指数走势!$F$34:$ACK$34,1,LOOKUP(2,1/(指数走势!$F$34:$ACK$34&lt;&gt;""),COLUMN(指数走势!$F$34:$ACK$34))-COLUMN(指数走势!$F$34)+1-760+679)=0,NA(),INDEX(指数走势!$F$34:$ACK$34,1,LOOKUP(2,1/(指数走势!$F$34:$ACK$34&lt;&gt;""),COLUMN(指数走势!$F$34:$ACK$34))-COLUMN(指数走势!$F$34)+1-760+679)))</f>
        <v>32.8107986450195</v>
      </c>
      <c r="ZE98">
        <f>IF(ISERROR(INDEX(指数走势!$F$34:$ACK$34,1,LOOKUP(2,1/(指数走势!$F$34:$ACK$34&lt;&gt;""),COLUMN(指数走势!$F$34:$ACK$34))-COLUMN(指数走势!$F$34)+1-760+680)),NA(),IF(INDEX(指数走势!$F$34:$ACK$34,1,LOOKUP(2,1/(指数走势!$F$34:$ACK$34&lt;&gt;""),COLUMN(指数走势!$F$34:$ACK$34))-COLUMN(指数走势!$F$34)+1-760+680)=0,NA(),INDEX(指数走势!$F$34:$ACK$34,1,LOOKUP(2,1/(指数走势!$F$34:$ACK$34&lt;&gt;""),COLUMN(指数走势!$F$34:$ACK$34))-COLUMN(指数走势!$F$34)+1-760+680)))</f>
        <v>32.6012001037598</v>
      </c>
      <c r="ZF98">
        <f>IF(ISERROR(INDEX(指数走势!$F$34:$ACK$34,1,LOOKUP(2,1/(指数走势!$F$34:$ACK$34&lt;&gt;""),COLUMN(指数走势!$F$34:$ACK$34))-COLUMN(指数走势!$F$34)+1-760+681)),NA(),IF(INDEX(指数走势!$F$34:$ACK$34,1,LOOKUP(2,1/(指数走势!$F$34:$ACK$34&lt;&gt;""),COLUMN(指数走势!$F$34:$ACK$34))-COLUMN(指数走势!$F$34)+1-760+681)=0,NA(),INDEX(指数走势!$F$34:$ACK$34,1,LOOKUP(2,1/(指数走势!$F$34:$ACK$34&lt;&gt;""),COLUMN(指数走势!$F$34:$ACK$34))-COLUMN(指数走势!$F$34)+1-760+681)))</f>
        <v>32.8446998596191</v>
      </c>
      <c r="ZG98">
        <f>IF(ISERROR(INDEX(指数走势!$F$34:$ACK$34,1,LOOKUP(2,1/(指数走势!$F$34:$ACK$34&lt;&gt;""),COLUMN(指数走势!$F$34:$ACK$34))-COLUMN(指数走势!$F$34)+1-760+682)),NA(),IF(INDEX(指数走势!$F$34:$ACK$34,1,LOOKUP(2,1/(指数走势!$F$34:$ACK$34&lt;&gt;""),COLUMN(指数走势!$F$34:$ACK$34))-COLUMN(指数走势!$F$34)+1-760+682)=0,NA(),INDEX(指数走势!$F$34:$ACK$34,1,LOOKUP(2,1/(指数走势!$F$34:$ACK$34&lt;&gt;""),COLUMN(指数走势!$F$34:$ACK$34))-COLUMN(指数走势!$F$34)+1-760+682)))</f>
        <v>33.1239013671875</v>
      </c>
      <c r="ZH98">
        <f>IF(ISERROR(INDEX(指数走势!$F$34:$ACK$34,1,LOOKUP(2,1/(指数走势!$F$34:$ACK$34&lt;&gt;""),COLUMN(指数走势!$F$34:$ACK$34))-COLUMN(指数走势!$F$34)+1-760+683)),NA(),IF(INDEX(指数走势!$F$34:$ACK$34,1,LOOKUP(2,1/(指数走势!$F$34:$ACK$34&lt;&gt;""),COLUMN(指数走势!$F$34:$ACK$34))-COLUMN(指数走势!$F$34)+1-760+683)=0,NA(),INDEX(指数走势!$F$34:$ACK$34,1,LOOKUP(2,1/(指数走势!$F$34:$ACK$34&lt;&gt;""),COLUMN(指数走势!$F$34:$ACK$34))-COLUMN(指数走势!$F$34)+1-760+683)))</f>
        <v>32.9658012390137</v>
      </c>
      <c r="ZI98">
        <f>IF(ISERROR(INDEX(指数走势!$F$34:$ACK$34,1,LOOKUP(2,1/(指数走势!$F$34:$ACK$34&lt;&gt;""),COLUMN(指数走势!$F$34:$ACK$34))-COLUMN(指数走势!$F$34)+1-760+684)),NA(),IF(INDEX(指数走势!$F$34:$ACK$34,1,LOOKUP(2,1/(指数走势!$F$34:$ACK$34&lt;&gt;""),COLUMN(指数走势!$F$34:$ACK$34))-COLUMN(指数走势!$F$34)+1-760+684)=0,NA(),INDEX(指数走势!$F$34:$ACK$34,1,LOOKUP(2,1/(指数走势!$F$34:$ACK$34&lt;&gt;""),COLUMN(指数走势!$F$34:$ACK$34))-COLUMN(指数走势!$F$34)+1-760+684)))</f>
        <v>32.7154998779297</v>
      </c>
      <c r="ZJ98">
        <f>IF(ISERROR(INDEX(指数走势!$F$34:$ACK$34,1,LOOKUP(2,1/(指数走势!$F$34:$ACK$34&lt;&gt;""),COLUMN(指数走势!$F$34:$ACK$34))-COLUMN(指数走势!$F$34)+1-760+685)),NA(),IF(INDEX(指数走势!$F$34:$ACK$34,1,LOOKUP(2,1/(指数走势!$F$34:$ACK$34&lt;&gt;""),COLUMN(指数走势!$F$34:$ACK$34))-COLUMN(指数走势!$F$34)+1-760+685)=0,NA(),INDEX(指数走势!$F$34:$ACK$34,1,LOOKUP(2,1/(指数走势!$F$34:$ACK$34&lt;&gt;""),COLUMN(指数走势!$F$34:$ACK$34))-COLUMN(指数走势!$F$34)+1-760+685)))</f>
        <v>32.7821006774902</v>
      </c>
      <c r="ZK98">
        <f>IF(ISERROR(INDEX(指数走势!$F$34:$ACK$34,1,LOOKUP(2,1/(指数走势!$F$34:$ACK$34&lt;&gt;""),COLUMN(指数走势!$F$34:$ACK$34))-COLUMN(指数走势!$F$34)+1-760+686)),NA(),IF(INDEX(指数走势!$F$34:$ACK$34,1,LOOKUP(2,1/(指数走势!$F$34:$ACK$34&lt;&gt;""),COLUMN(指数走势!$F$34:$ACK$34))-COLUMN(指数走势!$F$34)+1-760+686)=0,NA(),INDEX(指数走势!$F$34:$ACK$34,1,LOOKUP(2,1/(指数走势!$F$34:$ACK$34&lt;&gt;""),COLUMN(指数走势!$F$34:$ACK$34))-COLUMN(指数走势!$F$34)+1-760+686)))</f>
        <v>32.309398651123</v>
      </c>
      <c r="ZL98">
        <f>IF(ISERROR(INDEX(指数走势!$F$34:$ACK$34,1,LOOKUP(2,1/(指数走势!$F$34:$ACK$34&lt;&gt;""),COLUMN(指数走势!$F$34:$ACK$34))-COLUMN(指数走势!$F$34)+1-760+687)),NA(),IF(INDEX(指数走势!$F$34:$ACK$34,1,LOOKUP(2,1/(指数走势!$F$34:$ACK$34&lt;&gt;""),COLUMN(指数走势!$F$34:$ACK$34))-COLUMN(指数走势!$F$34)+1-760+687)=0,NA(),INDEX(指数走势!$F$34:$ACK$34,1,LOOKUP(2,1/(指数走势!$F$34:$ACK$34&lt;&gt;""),COLUMN(指数走势!$F$34:$ACK$34))-COLUMN(指数走势!$F$34)+1-760+687)))</f>
        <v>32.5556983947754</v>
      </c>
      <c r="ZM98">
        <f>IF(ISERROR(INDEX(指数走势!$F$34:$ACK$34,1,LOOKUP(2,1/(指数走势!$F$34:$ACK$34&lt;&gt;""),COLUMN(指数走势!$F$34:$ACK$34))-COLUMN(指数走势!$F$34)+1-760+688)),NA(),IF(INDEX(指数走势!$F$34:$ACK$34,1,LOOKUP(2,1/(指数走势!$F$34:$ACK$34&lt;&gt;""),COLUMN(指数走势!$F$34:$ACK$34))-COLUMN(指数走势!$F$34)+1-760+688)=0,NA(),INDEX(指数走势!$F$34:$ACK$34,1,LOOKUP(2,1/(指数走势!$F$34:$ACK$34&lt;&gt;""),COLUMN(指数走势!$F$34:$ACK$34))-COLUMN(指数走势!$F$34)+1-760+688)))</f>
        <v>31.9169998168945</v>
      </c>
      <c r="ZN98">
        <f>IF(ISERROR(INDEX(指数走势!$F$34:$ACK$34,1,LOOKUP(2,1/(指数走势!$F$34:$ACK$34&lt;&gt;""),COLUMN(指数走势!$F$34:$ACK$34))-COLUMN(指数走势!$F$34)+1-760+689)),NA(),IF(INDEX(指数走势!$F$34:$ACK$34,1,LOOKUP(2,1/(指数走势!$F$34:$ACK$34&lt;&gt;""),COLUMN(指数走势!$F$34:$ACK$34))-COLUMN(指数走势!$F$34)+1-760+689)=0,NA(),INDEX(指数走势!$F$34:$ACK$34,1,LOOKUP(2,1/(指数走势!$F$34:$ACK$34&lt;&gt;""),COLUMN(指数走势!$F$34:$ACK$34))-COLUMN(指数走势!$F$34)+1-760+689)))</f>
        <v>31.8020000457764</v>
      </c>
      <c r="ZO98">
        <f>IF(ISERROR(INDEX(指数走势!$F$34:$ACK$34,1,LOOKUP(2,1/(指数走势!$F$34:$ACK$34&lt;&gt;""),COLUMN(指数走势!$F$34:$ACK$34))-COLUMN(指数走势!$F$34)+1-760+690)),NA(),IF(INDEX(指数走势!$F$34:$ACK$34,1,LOOKUP(2,1/(指数走势!$F$34:$ACK$34&lt;&gt;""),COLUMN(指数走势!$F$34:$ACK$34))-COLUMN(指数走势!$F$34)+1-760+690)=0,NA(),INDEX(指数走势!$F$34:$ACK$34,1,LOOKUP(2,1/(指数走势!$F$34:$ACK$34&lt;&gt;""),COLUMN(指数走势!$F$34:$ACK$34))-COLUMN(指数走势!$F$34)+1-760+690)))</f>
        <v>30.7122993469238</v>
      </c>
      <c r="ZP98">
        <f>IF(ISERROR(INDEX(指数走势!$F$34:$ACK$34,1,LOOKUP(2,1/(指数走势!$F$34:$ACK$34&lt;&gt;""),COLUMN(指数走势!$F$34:$ACK$34))-COLUMN(指数走势!$F$34)+1-760+691)),NA(),IF(INDEX(指数走势!$F$34:$ACK$34,1,LOOKUP(2,1/(指数走势!$F$34:$ACK$34&lt;&gt;""),COLUMN(指数走势!$F$34:$ACK$34))-COLUMN(指数走势!$F$34)+1-760+691)=0,NA(),INDEX(指数走势!$F$34:$ACK$34,1,LOOKUP(2,1/(指数走势!$F$34:$ACK$34&lt;&gt;""),COLUMN(指数走势!$F$34:$ACK$34))-COLUMN(指数走势!$F$34)+1-760+691)))</f>
        <v>31.1779003143311</v>
      </c>
      <c r="ZQ98">
        <f>IF(ISERROR(INDEX(指数走势!$F$34:$ACK$34,1,LOOKUP(2,1/(指数走势!$F$34:$ACK$34&lt;&gt;""),COLUMN(指数走势!$F$34:$ACK$34))-COLUMN(指数走势!$F$34)+1-760+692)),NA(),IF(INDEX(指数走势!$F$34:$ACK$34,1,LOOKUP(2,1/(指数走势!$F$34:$ACK$34&lt;&gt;""),COLUMN(指数走势!$F$34:$ACK$34))-COLUMN(指数走势!$F$34)+1-760+692)=0,NA(),INDEX(指数走势!$F$34:$ACK$34,1,LOOKUP(2,1/(指数走势!$F$34:$ACK$34&lt;&gt;""),COLUMN(指数走势!$F$34:$ACK$34))-COLUMN(指数走势!$F$34)+1-760+692)))</f>
        <v>31.7611999511719</v>
      </c>
      <c r="ZR98">
        <f>IF(ISERROR(INDEX(指数走势!$F$34:$ACK$34,1,LOOKUP(2,1/(指数走势!$F$34:$ACK$34&lt;&gt;""),COLUMN(指数走势!$F$34:$ACK$34))-COLUMN(指数走势!$F$34)+1-760+693)),NA(),IF(INDEX(指数走势!$F$34:$ACK$34,1,LOOKUP(2,1/(指数走势!$F$34:$ACK$34&lt;&gt;""),COLUMN(指数走势!$F$34:$ACK$34))-COLUMN(指数走势!$F$34)+1-760+693)=0,NA(),INDEX(指数走势!$F$34:$ACK$34,1,LOOKUP(2,1/(指数走势!$F$34:$ACK$34&lt;&gt;""),COLUMN(指数走势!$F$34:$ACK$34))-COLUMN(指数走势!$F$34)+1-760+693)))</f>
        <v>31.32080078125</v>
      </c>
      <c r="ZS98">
        <f>IF(ISERROR(INDEX(指数走势!$F$34:$ACK$34,1,LOOKUP(2,1/(指数走势!$F$34:$ACK$34&lt;&gt;""),COLUMN(指数走势!$F$34:$ACK$34))-COLUMN(指数走势!$F$34)+1-760+694)),NA(),IF(INDEX(指数走势!$F$34:$ACK$34,1,LOOKUP(2,1/(指数走势!$F$34:$ACK$34&lt;&gt;""),COLUMN(指数走势!$F$34:$ACK$34))-COLUMN(指数走势!$F$34)+1-760+694)=0,NA(),INDEX(指数走势!$F$34:$ACK$34,1,LOOKUP(2,1/(指数走势!$F$34:$ACK$34&lt;&gt;""),COLUMN(指数走势!$F$34:$ACK$34))-COLUMN(指数走势!$F$34)+1-760+694)))</f>
        <v>31.7859001159668</v>
      </c>
      <c r="ZT98">
        <f>IF(ISERROR(INDEX(指数走势!$F$34:$ACK$34,1,LOOKUP(2,1/(指数走势!$F$34:$ACK$34&lt;&gt;""),COLUMN(指数走势!$F$34:$ACK$34))-COLUMN(指数走势!$F$34)+1-760+695)),NA(),IF(INDEX(指数走势!$F$34:$ACK$34,1,LOOKUP(2,1/(指数走势!$F$34:$ACK$34&lt;&gt;""),COLUMN(指数走势!$F$34:$ACK$34))-COLUMN(指数走势!$F$34)+1-760+695)=0,NA(),INDEX(指数走势!$F$34:$ACK$34,1,LOOKUP(2,1/(指数走势!$F$34:$ACK$34&lt;&gt;""),COLUMN(指数走势!$F$34:$ACK$34))-COLUMN(指数走势!$F$34)+1-760+695)))</f>
        <v>31.9332008361816</v>
      </c>
      <c r="ZU98">
        <f>IF(ISERROR(INDEX(指数走势!$F$34:$ACK$34,1,LOOKUP(2,1/(指数走势!$F$34:$ACK$34&lt;&gt;""),COLUMN(指数走势!$F$34:$ACK$34))-COLUMN(指数走势!$F$34)+1-760+696)),NA(),IF(INDEX(指数走势!$F$34:$ACK$34,1,LOOKUP(2,1/(指数走势!$F$34:$ACK$34&lt;&gt;""),COLUMN(指数走势!$F$34:$ACK$34))-COLUMN(指数走势!$F$34)+1-760+696)=0,NA(),INDEX(指数走势!$F$34:$ACK$34,1,LOOKUP(2,1/(指数走势!$F$34:$ACK$34&lt;&gt;""),COLUMN(指数走势!$F$34:$ACK$34))-COLUMN(指数走势!$F$34)+1-760+696)))</f>
        <v>31.6012992858887</v>
      </c>
      <c r="ZV98">
        <f>IF(ISERROR(INDEX(指数走势!$F$34:$ACK$34,1,LOOKUP(2,1/(指数走势!$F$34:$ACK$34&lt;&gt;""),COLUMN(指数走势!$F$34:$ACK$34))-COLUMN(指数走势!$F$34)+1-760+697)),NA(),IF(INDEX(指数走势!$F$34:$ACK$34,1,LOOKUP(2,1/(指数走势!$F$34:$ACK$34&lt;&gt;""),COLUMN(指数走势!$F$34:$ACK$34))-COLUMN(指数走势!$F$34)+1-760+697)=0,NA(),INDEX(指数走势!$F$34:$ACK$34,1,LOOKUP(2,1/(指数走势!$F$34:$ACK$34&lt;&gt;""),COLUMN(指数走势!$F$34:$ACK$34))-COLUMN(指数走势!$F$34)+1-760+697)))</f>
        <v>33.2974014282227</v>
      </c>
      <c r="ZW98">
        <f>IF(ISERROR(INDEX(指数走势!$F$34:$ACK$34,1,LOOKUP(2,1/(指数走势!$F$34:$ACK$34&lt;&gt;""),COLUMN(指数走势!$F$34:$ACK$34))-COLUMN(指数走势!$F$34)+1-760+698)),NA(),IF(INDEX(指数走势!$F$34:$ACK$34,1,LOOKUP(2,1/(指数走势!$F$34:$ACK$34&lt;&gt;""),COLUMN(指数走势!$F$34:$ACK$34))-COLUMN(指数走势!$F$34)+1-760+698)=0,NA(),INDEX(指数走势!$F$34:$ACK$34,1,LOOKUP(2,1/(指数走势!$F$34:$ACK$34&lt;&gt;""),COLUMN(指数走势!$F$34:$ACK$34))-COLUMN(指数走势!$F$34)+1-760+698)))</f>
        <v>32.82080078125</v>
      </c>
      <c r="ZX98">
        <f>IF(ISERROR(INDEX(指数走势!$F$34:$ACK$34,1,LOOKUP(2,1/(指数走势!$F$34:$ACK$34&lt;&gt;""),COLUMN(指数走势!$F$34:$ACK$34))-COLUMN(指数走势!$F$34)+1-760+699)),NA(),IF(INDEX(指数走势!$F$34:$ACK$34,1,LOOKUP(2,1/(指数走势!$F$34:$ACK$34&lt;&gt;""),COLUMN(指数走势!$F$34:$ACK$34))-COLUMN(指数走势!$F$34)+1-760+699)=0,NA(),INDEX(指数走势!$F$34:$ACK$34,1,LOOKUP(2,1/(指数走势!$F$34:$ACK$34&lt;&gt;""),COLUMN(指数走势!$F$34:$ACK$34))-COLUMN(指数走势!$F$34)+1-760+699)))</f>
        <v>32.4748001098633</v>
      </c>
      <c r="ZY98">
        <f>IF(ISERROR(INDEX(指数走势!$F$34:$ACK$34,1,LOOKUP(2,1/(指数走势!$F$34:$ACK$34&lt;&gt;""),COLUMN(指数走势!$F$34:$ACK$34))-COLUMN(指数走势!$F$34)+1-760+700)),NA(),IF(INDEX(指数走势!$F$34:$ACK$34,1,LOOKUP(2,1/(指数走势!$F$34:$ACK$34&lt;&gt;""),COLUMN(指数走势!$F$34:$ACK$34))-COLUMN(指数走势!$F$34)+1-760+700)=0,NA(),INDEX(指数走势!$F$34:$ACK$34,1,LOOKUP(2,1/(指数走势!$F$34:$ACK$34&lt;&gt;""),COLUMN(指数走势!$F$34:$ACK$34))-COLUMN(指数走势!$F$34)+1-760+700)))</f>
        <v>32.5805015563965</v>
      </c>
      <c r="ZZ98">
        <f>IF(ISERROR(INDEX(指数走势!$F$34:$ACK$34,1,LOOKUP(2,1/(指数走势!$F$34:$ACK$34&lt;&gt;""),COLUMN(指数走势!$F$34:$ACK$34))-COLUMN(指数走势!$F$34)+1-760+701)),NA(),IF(INDEX(指数走势!$F$34:$ACK$34,1,LOOKUP(2,1/(指数走势!$F$34:$ACK$34&lt;&gt;""),COLUMN(指数走势!$F$34:$ACK$34))-COLUMN(指数走势!$F$34)+1-760+701)=0,NA(),INDEX(指数走势!$F$34:$ACK$34,1,LOOKUP(2,1/(指数走势!$F$34:$ACK$34&lt;&gt;""),COLUMN(指数走势!$F$34:$ACK$34))-COLUMN(指数走势!$F$34)+1-760+701)))</f>
        <v>33.848201751709</v>
      </c>
      <c r="AAA98">
        <f>IF(ISERROR(INDEX(指数走势!$F$34:$ACK$34,1,LOOKUP(2,1/(指数走势!$F$34:$ACK$34&lt;&gt;""),COLUMN(指数走势!$F$34:$ACK$34))-COLUMN(指数走势!$F$34)+1-760+702)),NA(),IF(INDEX(指数走势!$F$34:$ACK$34,1,LOOKUP(2,1/(指数走势!$F$34:$ACK$34&lt;&gt;""),COLUMN(指数走势!$F$34:$ACK$34))-COLUMN(指数走势!$F$34)+1-760+702)=0,NA(),INDEX(指数走势!$F$34:$ACK$34,1,LOOKUP(2,1/(指数走势!$F$34:$ACK$34&lt;&gt;""),COLUMN(指数走势!$F$34:$ACK$34))-COLUMN(指数走势!$F$34)+1-760+702)))</f>
        <v>33.6996994018555</v>
      </c>
      <c r="AAB98">
        <f>IF(ISERROR(INDEX(指数走势!$F$34:$ACK$34,1,LOOKUP(2,1/(指数走势!$F$34:$ACK$34&lt;&gt;""),COLUMN(指数走势!$F$34:$ACK$34))-COLUMN(指数走势!$F$34)+1-760+703)),NA(),IF(INDEX(指数走势!$F$34:$ACK$34,1,LOOKUP(2,1/(指数走势!$F$34:$ACK$34&lt;&gt;""),COLUMN(指数走势!$F$34:$ACK$34))-COLUMN(指数走势!$F$34)+1-760+703)=0,NA(),INDEX(指数走势!$F$34:$ACK$34,1,LOOKUP(2,1/(指数走势!$F$34:$ACK$34&lt;&gt;""),COLUMN(指数走势!$F$34:$ACK$34))-COLUMN(指数走势!$F$34)+1-760+703)))</f>
        <v>34.3706016540527</v>
      </c>
      <c r="AAC98">
        <f>IF(ISERROR(INDEX(指数走势!$F$34:$ACK$34,1,LOOKUP(2,1/(指数走势!$F$34:$ACK$34&lt;&gt;""),COLUMN(指数走势!$F$34:$ACK$34))-COLUMN(指数走势!$F$34)+1-760+704)),NA(),IF(INDEX(指数走势!$F$34:$ACK$34,1,LOOKUP(2,1/(指数走势!$F$34:$ACK$34&lt;&gt;""),COLUMN(指数走势!$F$34:$ACK$34))-COLUMN(指数走势!$F$34)+1-760+704)=0,NA(),INDEX(指数走势!$F$34:$ACK$34,1,LOOKUP(2,1/(指数走势!$F$34:$ACK$34&lt;&gt;""),COLUMN(指数走势!$F$34:$ACK$34))-COLUMN(指数走势!$F$34)+1-760+704)))</f>
        <v>34.7426986694336</v>
      </c>
      <c r="AAD98">
        <f>IF(ISERROR(INDEX(指数走势!$F$34:$ACK$34,1,LOOKUP(2,1/(指数走势!$F$34:$ACK$34&lt;&gt;""),COLUMN(指数走势!$F$34:$ACK$34))-COLUMN(指数走势!$F$34)+1-760+705)),NA(),IF(INDEX(指数走势!$F$34:$ACK$34,1,LOOKUP(2,1/(指数走势!$F$34:$ACK$34&lt;&gt;""),COLUMN(指数走势!$F$34:$ACK$34))-COLUMN(指数走势!$F$34)+1-760+705)=0,NA(),INDEX(指数走势!$F$34:$ACK$34,1,LOOKUP(2,1/(指数走势!$F$34:$ACK$34&lt;&gt;""),COLUMN(指数走势!$F$34:$ACK$34))-COLUMN(指数走势!$F$34)+1-760+705)))</f>
        <v>35.0686988830566</v>
      </c>
      <c r="AAE98">
        <f>IF(ISERROR(INDEX(指数走势!$F$34:$ACK$34,1,LOOKUP(2,1/(指数走势!$F$34:$ACK$34&lt;&gt;""),COLUMN(指数走势!$F$34:$ACK$34))-COLUMN(指数走势!$F$34)+1-760+706)),NA(),IF(INDEX(指数走势!$F$34:$ACK$34,1,LOOKUP(2,1/(指数走势!$F$34:$ACK$34&lt;&gt;""),COLUMN(指数走势!$F$34:$ACK$34))-COLUMN(指数走势!$F$34)+1-760+706)=0,NA(),INDEX(指数走势!$F$34:$ACK$34,1,LOOKUP(2,1/(指数走势!$F$34:$ACK$34&lt;&gt;""),COLUMN(指数走势!$F$34:$ACK$34))-COLUMN(指数走势!$F$34)+1-760+706)))</f>
        <v>34.5957984924316</v>
      </c>
      <c r="AAF98">
        <f>IF(ISERROR(INDEX(指数走势!$F$34:$ACK$34,1,LOOKUP(2,1/(指数走势!$F$34:$ACK$34&lt;&gt;""),COLUMN(指数走势!$F$34:$ACK$34))-COLUMN(指数走势!$F$34)+1-760+707)),NA(),IF(INDEX(指数走势!$F$34:$ACK$34,1,LOOKUP(2,1/(指数走势!$F$34:$ACK$34&lt;&gt;""),COLUMN(指数走势!$F$34:$ACK$34))-COLUMN(指数走势!$F$34)+1-760+707)=0,NA(),INDEX(指数走势!$F$34:$ACK$34,1,LOOKUP(2,1/(指数走势!$F$34:$ACK$34&lt;&gt;""),COLUMN(指数走势!$F$34:$ACK$34))-COLUMN(指数走势!$F$34)+1-760+707)))</f>
        <v>34.9235992431641</v>
      </c>
      <c r="AAG98">
        <f>IF(ISERROR(INDEX(指数走势!$F$34:$ACK$34,1,LOOKUP(2,1/(指数走势!$F$34:$ACK$34&lt;&gt;""),COLUMN(指数走势!$F$34:$ACK$34))-COLUMN(指数走势!$F$34)+1-760+708)),NA(),IF(INDEX(指数走势!$F$34:$ACK$34,1,LOOKUP(2,1/(指数走势!$F$34:$ACK$34&lt;&gt;""),COLUMN(指数走势!$F$34:$ACK$34))-COLUMN(指数走势!$F$34)+1-760+708)=0,NA(),INDEX(指数走势!$F$34:$ACK$34,1,LOOKUP(2,1/(指数走势!$F$34:$ACK$34&lt;&gt;""),COLUMN(指数走势!$F$34:$ACK$34))-COLUMN(指数走势!$F$34)+1-760+708)))</f>
        <v>34.8109016418457</v>
      </c>
      <c r="AAH98">
        <f>IF(ISERROR(INDEX(指数走势!$F$34:$ACK$34,1,LOOKUP(2,1/(指数走势!$F$34:$ACK$34&lt;&gt;""),COLUMN(指数走势!$F$34:$ACK$34))-COLUMN(指数走势!$F$34)+1-760+709)),NA(),IF(INDEX(指数走势!$F$34:$ACK$34,1,LOOKUP(2,1/(指数走势!$F$34:$ACK$34&lt;&gt;""),COLUMN(指数走势!$F$34:$ACK$34))-COLUMN(指数走势!$F$34)+1-760+709)=0,NA(),INDEX(指数走势!$F$34:$ACK$34,1,LOOKUP(2,1/(指数走势!$F$34:$ACK$34&lt;&gt;""),COLUMN(指数走势!$F$34:$ACK$34))-COLUMN(指数走势!$F$34)+1-760+709)))</f>
        <v>34.9683990478516</v>
      </c>
      <c r="AAI98">
        <f>IF(ISERROR(INDEX(指数走势!$F$34:$ACK$34,1,LOOKUP(2,1/(指数走势!$F$34:$ACK$34&lt;&gt;""),COLUMN(指数走势!$F$34:$ACK$34))-COLUMN(指数走势!$F$34)+1-760+710)),NA(),IF(INDEX(指数走势!$F$34:$ACK$34,1,LOOKUP(2,1/(指数走势!$F$34:$ACK$34&lt;&gt;""),COLUMN(指数走势!$F$34:$ACK$34))-COLUMN(指数走势!$F$34)+1-760+710)=0,NA(),INDEX(指数走势!$F$34:$ACK$34,1,LOOKUP(2,1/(指数走势!$F$34:$ACK$34&lt;&gt;""),COLUMN(指数走势!$F$34:$ACK$34))-COLUMN(指数走势!$F$34)+1-760+710)))</f>
        <v>34.9790992736816</v>
      </c>
      <c r="AAJ98">
        <f>IF(ISERROR(INDEX(指数走势!$F$34:$ACK$34,1,LOOKUP(2,1/(指数走势!$F$34:$ACK$34&lt;&gt;""),COLUMN(指数走势!$F$34:$ACK$34))-COLUMN(指数走势!$F$34)+1-760+711)),NA(),IF(INDEX(指数走势!$F$34:$ACK$34,1,LOOKUP(2,1/(指数走势!$F$34:$ACK$34&lt;&gt;""),COLUMN(指数走势!$F$34:$ACK$34))-COLUMN(指数走势!$F$34)+1-760+711)=0,NA(),INDEX(指数走势!$F$34:$ACK$34,1,LOOKUP(2,1/(指数走势!$F$34:$ACK$34&lt;&gt;""),COLUMN(指数走势!$F$34:$ACK$34))-COLUMN(指数走势!$F$34)+1-760+711)))</f>
        <v>35.8869018554688</v>
      </c>
      <c r="AAK98">
        <f>IF(ISERROR(INDEX(指数走势!$F$34:$ACK$34,1,LOOKUP(2,1/(指数走势!$F$34:$ACK$34&lt;&gt;""),COLUMN(指数走势!$F$34:$ACK$34))-COLUMN(指数走势!$F$34)+1-760+712)),NA(),IF(INDEX(指数走势!$F$34:$ACK$34,1,LOOKUP(2,1/(指数走势!$F$34:$ACK$34&lt;&gt;""),COLUMN(指数走势!$F$34:$ACK$34))-COLUMN(指数走势!$F$34)+1-760+712)=0,NA(),INDEX(指数走势!$F$34:$ACK$34,1,LOOKUP(2,1/(指数走势!$F$34:$ACK$34&lt;&gt;""),COLUMN(指数走势!$F$34:$ACK$34))-COLUMN(指数走势!$F$34)+1-760+712)))</f>
        <v>35.4938011169434</v>
      </c>
      <c r="AAL98">
        <f>IF(ISERROR(INDEX(指数走势!$F$34:$ACK$34,1,LOOKUP(2,1/(指数走势!$F$34:$ACK$34&lt;&gt;""),COLUMN(指数走势!$F$34:$ACK$34))-COLUMN(指数走势!$F$34)+1-760+713)),NA(),IF(INDEX(指数走势!$F$34:$ACK$34,1,LOOKUP(2,1/(指数走势!$F$34:$ACK$34&lt;&gt;""),COLUMN(指数走势!$F$34:$ACK$34))-COLUMN(指数走势!$F$34)+1-760+713)=0,NA(),INDEX(指数走势!$F$34:$ACK$34,1,LOOKUP(2,1/(指数走势!$F$34:$ACK$34&lt;&gt;""),COLUMN(指数走势!$F$34:$ACK$34))-COLUMN(指数走势!$F$34)+1-760+713)))</f>
        <v>34.9355010986328</v>
      </c>
      <c r="AAM98">
        <f>IF(ISERROR(INDEX(指数走势!$F$34:$ACK$34,1,LOOKUP(2,1/(指数走势!$F$34:$ACK$34&lt;&gt;""),COLUMN(指数走势!$F$34:$ACK$34))-COLUMN(指数走势!$F$34)+1-760+714)),NA(),IF(INDEX(指数走势!$F$34:$ACK$34,1,LOOKUP(2,1/(指数走势!$F$34:$ACK$34&lt;&gt;""),COLUMN(指数走势!$F$34:$ACK$34))-COLUMN(指数走势!$F$34)+1-760+714)=0,NA(),INDEX(指数走势!$F$34:$ACK$34,1,LOOKUP(2,1/(指数走势!$F$34:$ACK$34&lt;&gt;""),COLUMN(指数走势!$F$34:$ACK$34))-COLUMN(指数走势!$F$34)+1-760+714)))</f>
        <v>34.913501739502</v>
      </c>
      <c r="AAN98">
        <f>IF(ISERROR(INDEX(指数走势!$F$34:$ACK$34,1,LOOKUP(2,1/(指数走势!$F$34:$ACK$34&lt;&gt;""),COLUMN(指数走势!$F$34:$ACK$34))-COLUMN(指数走势!$F$34)+1-760+715)),NA(),IF(INDEX(指数走势!$F$34:$ACK$34,1,LOOKUP(2,1/(指数走势!$F$34:$ACK$34&lt;&gt;""),COLUMN(指数走势!$F$34:$ACK$34))-COLUMN(指数走势!$F$34)+1-760+715)=0,NA(),INDEX(指数走势!$F$34:$ACK$34,1,LOOKUP(2,1/(指数走势!$F$34:$ACK$34&lt;&gt;""),COLUMN(指数走势!$F$34:$ACK$34))-COLUMN(指数走势!$F$34)+1-760+715)))</f>
        <v>34.6528015136719</v>
      </c>
      <c r="AAO98">
        <f>IF(ISERROR(INDEX(指数走势!$F$34:$ACK$34,1,LOOKUP(2,1/(指数走势!$F$34:$ACK$34&lt;&gt;""),COLUMN(指数走势!$F$34:$ACK$34))-COLUMN(指数走势!$F$34)+1-760+716)),NA(),IF(INDEX(指数走势!$F$34:$ACK$34,1,LOOKUP(2,1/(指数走势!$F$34:$ACK$34&lt;&gt;""),COLUMN(指数走势!$F$34:$ACK$34))-COLUMN(指数走势!$F$34)+1-760+716)=0,NA(),INDEX(指数走势!$F$34:$ACK$34,1,LOOKUP(2,1/(指数走势!$F$34:$ACK$34&lt;&gt;""),COLUMN(指数走势!$F$34:$ACK$34))-COLUMN(指数走势!$F$34)+1-760+716)))</f>
        <v>35.6161003112793</v>
      </c>
      <c r="AAP98">
        <f>IF(ISERROR(INDEX(指数走势!$F$34:$ACK$34,1,LOOKUP(2,1/(指数走势!$F$34:$ACK$34&lt;&gt;""),COLUMN(指数走势!$F$34:$ACK$34))-COLUMN(指数走势!$F$34)+1-760+717)),NA(),IF(INDEX(指数走势!$F$34:$ACK$34,1,LOOKUP(2,1/(指数走势!$F$34:$ACK$34&lt;&gt;""),COLUMN(指数走势!$F$34:$ACK$34))-COLUMN(指数走势!$F$34)+1-760+717)=0,NA(),INDEX(指数走势!$F$34:$ACK$34,1,LOOKUP(2,1/(指数走势!$F$34:$ACK$34&lt;&gt;""),COLUMN(指数走势!$F$34:$ACK$34))-COLUMN(指数走势!$F$34)+1-760+717)))</f>
        <v>35.2683982849121</v>
      </c>
      <c r="AAQ98">
        <f>IF(ISERROR(INDEX(指数走势!$F$34:$ACK$34,1,LOOKUP(2,1/(指数走势!$F$34:$ACK$34&lt;&gt;""),COLUMN(指数走势!$F$34:$ACK$34))-COLUMN(指数走势!$F$34)+1-760+718)),NA(),IF(INDEX(指数走势!$F$34:$ACK$34,1,LOOKUP(2,1/(指数走势!$F$34:$ACK$34&lt;&gt;""),COLUMN(指数走势!$F$34:$ACK$34))-COLUMN(指数走势!$F$34)+1-760+718)=0,NA(),INDEX(指数走势!$F$34:$ACK$34,1,LOOKUP(2,1/(指数走势!$F$34:$ACK$34&lt;&gt;""),COLUMN(指数走势!$F$34:$ACK$34))-COLUMN(指数走势!$F$34)+1-760+718)))</f>
        <v>36.7262992858887</v>
      </c>
      <c r="AAR98">
        <f>IF(ISERROR(INDEX(指数走势!$F$34:$ACK$34,1,LOOKUP(2,1/(指数走势!$F$34:$ACK$34&lt;&gt;""),COLUMN(指数走势!$F$34:$ACK$34))-COLUMN(指数走势!$F$34)+1-760+719)),NA(),IF(INDEX(指数走势!$F$34:$ACK$34,1,LOOKUP(2,1/(指数走势!$F$34:$ACK$34&lt;&gt;""),COLUMN(指数走势!$F$34:$ACK$34))-COLUMN(指数走势!$F$34)+1-760+719)=0,NA(),INDEX(指数走势!$F$34:$ACK$34,1,LOOKUP(2,1/(指数走势!$F$34:$ACK$34&lt;&gt;""),COLUMN(指数走势!$F$34:$ACK$34))-COLUMN(指数走势!$F$34)+1-760+719)))</f>
        <v>37.0441017150879</v>
      </c>
      <c r="AAS98">
        <f>IF(ISERROR(INDEX(指数走势!$F$34:$ACK$34,1,LOOKUP(2,1/(指数走势!$F$34:$ACK$34&lt;&gt;""),COLUMN(指数走势!$F$34:$ACK$34))-COLUMN(指数走势!$F$34)+1-760+720)),NA(),IF(INDEX(指数走势!$F$34:$ACK$34,1,LOOKUP(2,1/(指数走势!$F$34:$ACK$34&lt;&gt;""),COLUMN(指数走势!$F$34:$ACK$34))-COLUMN(指数走势!$F$34)+1-760+720)=0,NA(),INDEX(指数走势!$F$34:$ACK$34,1,LOOKUP(2,1/(指数走势!$F$34:$ACK$34&lt;&gt;""),COLUMN(指数走势!$F$34:$ACK$34))-COLUMN(指数走势!$F$34)+1-760+720)))</f>
        <v>36.8616981506348</v>
      </c>
      <c r="AAT98">
        <f>IF(ISERROR(INDEX(指数走势!$F$34:$ACK$34,1,LOOKUP(2,1/(指数走势!$F$34:$ACK$34&lt;&gt;""),COLUMN(指数走势!$F$34:$ACK$34))-COLUMN(指数走势!$F$34)+1-760+721)),NA(),IF(INDEX(指数走势!$F$34:$ACK$34,1,LOOKUP(2,1/(指数走势!$F$34:$ACK$34&lt;&gt;""),COLUMN(指数走势!$F$34:$ACK$34))-COLUMN(指数走势!$F$34)+1-760+721)=0,NA(),INDEX(指数走势!$F$34:$ACK$34,1,LOOKUP(2,1/(指数走势!$F$34:$ACK$34&lt;&gt;""),COLUMN(指数走势!$F$34:$ACK$34))-COLUMN(指数走势!$F$34)+1-760+721)))</f>
        <v>37.5068016052246</v>
      </c>
      <c r="AAU98">
        <f>IF(ISERROR(INDEX(指数走势!$F$34:$ACK$34,1,LOOKUP(2,1/(指数走势!$F$34:$ACK$34&lt;&gt;""),COLUMN(指数走势!$F$34:$ACK$34))-COLUMN(指数走势!$F$34)+1-760+722)),NA(),IF(INDEX(指数走势!$F$34:$ACK$34,1,LOOKUP(2,1/(指数走势!$F$34:$ACK$34&lt;&gt;""),COLUMN(指数走势!$F$34:$ACK$34))-COLUMN(指数走势!$F$34)+1-760+722)=0,NA(),INDEX(指数走势!$F$34:$ACK$34,1,LOOKUP(2,1/(指数走势!$F$34:$ACK$34&lt;&gt;""),COLUMN(指数走势!$F$34:$ACK$34))-COLUMN(指数走势!$F$34)+1-760+722)))</f>
        <v>37.3068008422852</v>
      </c>
      <c r="AAV98">
        <f>IF(ISERROR(INDEX(指数走势!$F$34:$ACK$34,1,LOOKUP(2,1/(指数走势!$F$34:$ACK$34&lt;&gt;""),COLUMN(指数走势!$F$34:$ACK$34))-COLUMN(指数走势!$F$34)+1-760+723)),NA(),IF(INDEX(指数走势!$F$34:$ACK$34,1,LOOKUP(2,1/(指数走势!$F$34:$ACK$34&lt;&gt;""),COLUMN(指数走势!$F$34:$ACK$34))-COLUMN(指数走势!$F$34)+1-760+723)=0,NA(),INDEX(指数走势!$F$34:$ACK$34,1,LOOKUP(2,1/(指数走势!$F$34:$ACK$34&lt;&gt;""),COLUMN(指数走势!$F$34:$ACK$34))-COLUMN(指数走势!$F$34)+1-760+723)))</f>
        <v>37.8723983764648</v>
      </c>
      <c r="AAW98">
        <f>IF(ISERROR(INDEX(指数走势!$F$34:$ACK$34,1,LOOKUP(2,1/(指数走势!$F$34:$ACK$34&lt;&gt;""),COLUMN(指数走势!$F$34:$ACK$34))-COLUMN(指数走势!$F$34)+1-760+724)),NA(),IF(INDEX(指数走势!$F$34:$ACK$34,1,LOOKUP(2,1/(指数走势!$F$34:$ACK$34&lt;&gt;""),COLUMN(指数走势!$F$34:$ACK$34))-COLUMN(指数走势!$F$34)+1-760+724)=0,NA(),INDEX(指数走势!$F$34:$ACK$34,1,LOOKUP(2,1/(指数走势!$F$34:$ACK$34&lt;&gt;""),COLUMN(指数走势!$F$34:$ACK$34))-COLUMN(指数走势!$F$34)+1-760+724)))</f>
        <v>37.0932006835938</v>
      </c>
      <c r="AAX98">
        <f>IF(ISERROR(INDEX(指数走势!$F$34:$ACK$34,1,LOOKUP(2,1/(指数走势!$F$34:$ACK$34&lt;&gt;""),COLUMN(指数走势!$F$34:$ACK$34))-COLUMN(指数走势!$F$34)+1-760+725)),NA(),IF(INDEX(指数走势!$F$34:$ACK$34,1,LOOKUP(2,1/(指数走势!$F$34:$ACK$34&lt;&gt;""),COLUMN(指数走势!$F$34:$ACK$34))-COLUMN(指数走势!$F$34)+1-760+725)=0,NA(),INDEX(指数走势!$F$34:$ACK$34,1,LOOKUP(2,1/(指数走势!$F$34:$ACK$34&lt;&gt;""),COLUMN(指数走势!$F$34:$ACK$34))-COLUMN(指数走势!$F$34)+1-760+725)))</f>
        <v>36.6778984069824</v>
      </c>
      <c r="AAY98">
        <f>IF(ISERROR(INDEX(指数走势!$F$34:$ACK$34,1,LOOKUP(2,1/(指数走势!$F$34:$ACK$34&lt;&gt;""),COLUMN(指数走势!$F$34:$ACK$34))-COLUMN(指数走势!$F$34)+1-760+726)),NA(),IF(INDEX(指数走势!$F$34:$ACK$34,1,LOOKUP(2,1/(指数走势!$F$34:$ACK$34&lt;&gt;""),COLUMN(指数走势!$F$34:$ACK$34))-COLUMN(指数走势!$F$34)+1-760+726)=0,NA(),INDEX(指数走势!$F$34:$ACK$34,1,LOOKUP(2,1/(指数走势!$F$34:$ACK$34&lt;&gt;""),COLUMN(指数走势!$F$34:$ACK$34))-COLUMN(指数走势!$F$34)+1-760+726)))</f>
        <v>36.5672988891602</v>
      </c>
      <c r="AAZ98">
        <f>IF(ISERROR(INDEX(指数走势!$F$34:$ACK$34,1,LOOKUP(2,1/(指数走势!$F$34:$ACK$34&lt;&gt;""),COLUMN(指数走势!$F$34:$ACK$34))-COLUMN(指数走势!$F$34)+1-760+727)),NA(),IF(INDEX(指数走势!$F$34:$ACK$34,1,LOOKUP(2,1/(指数走势!$F$34:$ACK$34&lt;&gt;""),COLUMN(指数走势!$F$34:$ACK$34))-COLUMN(指数走势!$F$34)+1-760+727)=0,NA(),INDEX(指数走势!$F$34:$ACK$34,1,LOOKUP(2,1/(指数走势!$F$34:$ACK$34&lt;&gt;""),COLUMN(指数走势!$F$34:$ACK$34))-COLUMN(指数走势!$F$34)+1-760+727)))</f>
        <v>36.6717987060547</v>
      </c>
      <c r="ABA98">
        <f>IF(ISERROR(INDEX(指数走势!$F$34:$ACK$34,1,LOOKUP(2,1/(指数走势!$F$34:$ACK$34&lt;&gt;""),COLUMN(指数走势!$F$34:$ACK$34))-COLUMN(指数走势!$F$34)+1-760+728)),NA(),IF(INDEX(指数走势!$F$34:$ACK$34,1,LOOKUP(2,1/(指数走势!$F$34:$ACK$34&lt;&gt;""),COLUMN(指数走势!$F$34:$ACK$34))-COLUMN(指数走势!$F$34)+1-760+728)=0,NA(),INDEX(指数走势!$F$34:$ACK$34,1,LOOKUP(2,1/(指数走势!$F$34:$ACK$34&lt;&gt;""),COLUMN(指数走势!$F$34:$ACK$34))-COLUMN(指数走势!$F$34)+1-760+728)))</f>
        <v>36.5915985107422</v>
      </c>
      <c r="ABB98">
        <f>IF(ISERROR(INDEX(指数走势!$F$34:$ACK$34,1,LOOKUP(2,1/(指数走势!$F$34:$ACK$34&lt;&gt;""),COLUMN(指数走势!$F$34:$ACK$34))-COLUMN(指数走势!$F$34)+1-760+729)),NA(),IF(INDEX(指数走势!$F$34:$ACK$34,1,LOOKUP(2,1/(指数走势!$F$34:$ACK$34&lt;&gt;""),COLUMN(指数走势!$F$34:$ACK$34))-COLUMN(指数走势!$F$34)+1-760+729)=0,NA(),INDEX(指数走势!$F$34:$ACK$34,1,LOOKUP(2,1/(指数走势!$F$34:$ACK$34&lt;&gt;""),COLUMN(指数走势!$F$34:$ACK$34))-COLUMN(指数走势!$F$34)+1-760+729)))</f>
        <v>35.9019012451172</v>
      </c>
      <c r="ABC98">
        <f>IF(ISERROR(INDEX(指数走势!$F$34:$ACK$34,1,LOOKUP(2,1/(指数走势!$F$34:$ACK$34&lt;&gt;""),COLUMN(指数走势!$F$34:$ACK$34))-COLUMN(指数走势!$F$34)+1-760+730)),NA(),IF(INDEX(指数走势!$F$34:$ACK$34,1,LOOKUP(2,1/(指数走势!$F$34:$ACK$34&lt;&gt;""),COLUMN(指数走势!$F$34:$ACK$34))-COLUMN(指数走势!$F$34)+1-760+730)=0,NA(),INDEX(指数走势!$F$34:$ACK$34,1,LOOKUP(2,1/(指数走势!$F$34:$ACK$34&lt;&gt;""),COLUMN(指数走势!$F$34:$ACK$34))-COLUMN(指数走势!$F$34)+1-760+730)))</f>
        <v>36.6531982421875</v>
      </c>
      <c r="ABD98">
        <f>IF(ISERROR(INDEX(指数走势!$F$34:$ACK$34,1,LOOKUP(2,1/(指数走势!$F$34:$ACK$34&lt;&gt;""),COLUMN(指数走势!$F$34:$ACK$34))-COLUMN(指数走势!$F$34)+1-760+731)),NA(),IF(INDEX(指数走势!$F$34:$ACK$34,1,LOOKUP(2,1/(指数走势!$F$34:$ACK$34&lt;&gt;""),COLUMN(指数走势!$F$34:$ACK$34))-COLUMN(指数走势!$F$34)+1-760+731)=0,NA(),INDEX(指数走势!$F$34:$ACK$34,1,LOOKUP(2,1/(指数走势!$F$34:$ACK$34&lt;&gt;""),COLUMN(指数走势!$F$34:$ACK$34))-COLUMN(指数走势!$F$34)+1-760+731)))</f>
        <v>37.2020988464355</v>
      </c>
      <c r="ABE98">
        <f>IF(ISERROR(INDEX(指数走势!$F$34:$ACK$34,1,LOOKUP(2,1/(指数走势!$F$34:$ACK$34&lt;&gt;""),COLUMN(指数走势!$F$34:$ACK$34))-COLUMN(指数走势!$F$34)+1-760+732)),NA(),IF(INDEX(指数走势!$F$34:$ACK$34,1,LOOKUP(2,1/(指数走势!$F$34:$ACK$34&lt;&gt;""),COLUMN(指数走势!$F$34:$ACK$34))-COLUMN(指数走势!$F$34)+1-760+732)=0,NA(),INDEX(指数走势!$F$34:$ACK$34,1,LOOKUP(2,1/(指数走势!$F$34:$ACK$34&lt;&gt;""),COLUMN(指数走势!$F$34:$ACK$34))-COLUMN(指数走势!$F$34)+1-760+732)))</f>
        <v>37.2070999145508</v>
      </c>
      <c r="ABF98">
        <f>IF(ISERROR(INDEX(指数走势!$F$34:$ACK$34,1,LOOKUP(2,1/(指数走势!$F$34:$ACK$34&lt;&gt;""),COLUMN(指数走势!$F$34:$ACK$34))-COLUMN(指数走势!$F$34)+1-760+733)),NA(),IF(INDEX(指数走势!$F$34:$ACK$34,1,LOOKUP(2,1/(指数走势!$F$34:$ACK$34&lt;&gt;""),COLUMN(指数走势!$F$34:$ACK$34))-COLUMN(指数走势!$F$34)+1-760+733)=0,NA(),INDEX(指数走势!$F$34:$ACK$34,1,LOOKUP(2,1/(指数走势!$F$34:$ACK$34&lt;&gt;""),COLUMN(指数走势!$F$34:$ACK$34))-COLUMN(指数走势!$F$34)+1-760+733)))</f>
        <v>36.8672981262207</v>
      </c>
      <c r="ABG98">
        <f>IF(ISERROR(INDEX(指数走势!$F$34:$ACK$34,1,LOOKUP(2,1/(指数走势!$F$34:$ACK$34&lt;&gt;""),COLUMN(指数走势!$F$34:$ACK$34))-COLUMN(指数走势!$F$34)+1-760+734)),NA(),IF(INDEX(指数走势!$F$34:$ACK$34,1,LOOKUP(2,1/(指数走势!$F$34:$ACK$34&lt;&gt;""),COLUMN(指数走势!$F$34:$ACK$34))-COLUMN(指数走势!$F$34)+1-760+734)=0,NA(),INDEX(指数走势!$F$34:$ACK$34,1,LOOKUP(2,1/(指数走势!$F$34:$ACK$34&lt;&gt;""),COLUMN(指数走势!$F$34:$ACK$34))-COLUMN(指数走势!$F$34)+1-760+734)))</f>
        <v>37.0937004089355</v>
      </c>
      <c r="ABH98">
        <f>IF(ISERROR(INDEX(指数走势!$F$34:$ACK$34,1,LOOKUP(2,1/(指数走势!$F$34:$ACK$34&lt;&gt;""),COLUMN(指数走势!$F$34:$ACK$34))-COLUMN(指数走势!$F$34)+1-760+735)),NA(),IF(INDEX(指数走势!$F$34:$ACK$34,1,LOOKUP(2,1/(指数走势!$F$34:$ACK$34&lt;&gt;""),COLUMN(指数走势!$F$34:$ACK$34))-COLUMN(指数走势!$F$34)+1-760+735)=0,NA(),INDEX(指数走势!$F$34:$ACK$34,1,LOOKUP(2,1/(指数走势!$F$34:$ACK$34&lt;&gt;""),COLUMN(指数走势!$F$34:$ACK$34))-COLUMN(指数走势!$F$34)+1-760+735)))</f>
        <v>36.5709991455078</v>
      </c>
      <c r="ABI98">
        <f>IF(ISERROR(INDEX(指数走势!$F$34:$ACK$34,1,LOOKUP(2,1/(指数走势!$F$34:$ACK$34&lt;&gt;""),COLUMN(指数走势!$F$34:$ACK$34))-COLUMN(指数走势!$F$34)+1-760+736)),NA(),IF(INDEX(指数走势!$F$34:$ACK$34,1,LOOKUP(2,1/(指数走势!$F$34:$ACK$34&lt;&gt;""),COLUMN(指数走势!$F$34:$ACK$34))-COLUMN(指数走势!$F$34)+1-760+736)=0,NA(),INDEX(指数走势!$F$34:$ACK$34,1,LOOKUP(2,1/(指数走势!$F$34:$ACK$34&lt;&gt;""),COLUMN(指数走势!$F$34:$ACK$34))-COLUMN(指数走势!$F$34)+1-760+736)))</f>
        <v>36.0820999145508</v>
      </c>
      <c r="ABJ98">
        <f>IF(ISERROR(INDEX(指数走势!$F$34:$ACK$34,1,LOOKUP(2,1/(指数走势!$F$34:$ACK$34&lt;&gt;""),COLUMN(指数走势!$F$34:$ACK$34))-COLUMN(指数走势!$F$34)+1-760+737)),NA(),IF(INDEX(指数走势!$F$34:$ACK$34,1,LOOKUP(2,1/(指数走势!$F$34:$ACK$34&lt;&gt;""),COLUMN(指数走势!$F$34:$ACK$34))-COLUMN(指数走势!$F$34)+1-760+737)=0,NA(),INDEX(指数走势!$F$34:$ACK$34,1,LOOKUP(2,1/(指数走势!$F$34:$ACK$34&lt;&gt;""),COLUMN(指数走势!$F$34:$ACK$34))-COLUMN(指数走势!$F$34)+1-760+737)))</f>
        <v>36.5793991088867</v>
      </c>
      <c r="ABK98">
        <f>IF(ISERROR(INDEX(指数走势!$F$34:$ACK$34,1,LOOKUP(2,1/(指数走势!$F$34:$ACK$34&lt;&gt;""),COLUMN(指数走势!$F$34:$ACK$34))-COLUMN(指数走势!$F$34)+1-760+738)),NA(),IF(INDEX(指数走势!$F$34:$ACK$34,1,LOOKUP(2,1/(指数走势!$F$34:$ACK$34&lt;&gt;""),COLUMN(指数走势!$F$34:$ACK$34))-COLUMN(指数走势!$F$34)+1-760+738)=0,NA(),INDEX(指数走势!$F$34:$ACK$34,1,LOOKUP(2,1/(指数走势!$F$34:$ACK$34&lt;&gt;""),COLUMN(指数走势!$F$34:$ACK$34))-COLUMN(指数走势!$F$34)+1-760+738)))</f>
        <v>36.7756996154785</v>
      </c>
      <c r="ABL98">
        <f>IF(ISERROR(INDEX(指数走势!$F$34:$ACK$34,1,LOOKUP(2,1/(指数走势!$F$34:$ACK$34&lt;&gt;""),COLUMN(指数走势!$F$34:$ACK$34))-COLUMN(指数走势!$F$34)+1-760+739)),NA(),IF(INDEX(指数走势!$F$34:$ACK$34,1,LOOKUP(2,1/(指数走势!$F$34:$ACK$34&lt;&gt;""),COLUMN(指数走势!$F$34:$ACK$34))-COLUMN(指数走势!$F$34)+1-760+739)=0,NA(),INDEX(指数走势!$F$34:$ACK$34,1,LOOKUP(2,1/(指数走势!$F$34:$ACK$34&lt;&gt;""),COLUMN(指数走势!$F$34:$ACK$34))-COLUMN(指数走势!$F$34)+1-760+739)))</f>
        <v>36.6265983581543</v>
      </c>
      <c r="ABM98">
        <f>IF(ISERROR(INDEX(指数走势!$F$34:$ACK$34,1,LOOKUP(2,1/(指数走势!$F$34:$ACK$34&lt;&gt;""),COLUMN(指数走势!$F$34:$ACK$34))-COLUMN(指数走势!$F$34)+1-760+740)),NA(),IF(INDEX(指数走势!$F$34:$ACK$34,1,LOOKUP(2,1/(指数走势!$F$34:$ACK$34&lt;&gt;""),COLUMN(指数走势!$F$34:$ACK$34))-COLUMN(指数走势!$F$34)+1-760+740)=0,NA(),INDEX(指数走势!$F$34:$ACK$34,1,LOOKUP(2,1/(指数走势!$F$34:$ACK$34&lt;&gt;""),COLUMN(指数走势!$F$34:$ACK$34))-COLUMN(指数走势!$F$34)+1-760+740)))</f>
        <v>35.8777008056641</v>
      </c>
      <c r="ABN98">
        <f>IF(ISERROR(INDEX(指数走势!$F$34:$ACK$34,1,LOOKUP(2,1/(指数走势!$F$34:$ACK$34&lt;&gt;""),COLUMN(指数走势!$F$34:$ACK$34))-COLUMN(指数走势!$F$34)+1-760+741)),NA(),IF(INDEX(指数走势!$F$34:$ACK$34,1,LOOKUP(2,1/(指数走势!$F$34:$ACK$34&lt;&gt;""),COLUMN(指数走势!$F$34:$ACK$34))-COLUMN(指数走势!$F$34)+1-760+741)=0,NA(),INDEX(指数走势!$F$34:$ACK$34,1,LOOKUP(2,1/(指数走势!$F$34:$ACK$34&lt;&gt;""),COLUMN(指数走势!$F$34:$ACK$34))-COLUMN(指数走势!$F$34)+1-760+741)))</f>
        <v>34.7911987304688</v>
      </c>
      <c r="ABO98">
        <f>IF(ISERROR(INDEX(指数走势!$F$34:$ACK$34,1,LOOKUP(2,1/(指数走势!$F$34:$ACK$34&lt;&gt;""),COLUMN(指数走势!$F$34:$ACK$34))-COLUMN(指数走势!$F$34)+1-760+742)),NA(),IF(INDEX(指数走势!$F$34:$ACK$34,1,LOOKUP(2,1/(指数走势!$F$34:$ACK$34&lt;&gt;""),COLUMN(指数走势!$F$34:$ACK$34))-COLUMN(指数走势!$F$34)+1-760+742)=0,NA(),INDEX(指数走势!$F$34:$ACK$34,1,LOOKUP(2,1/(指数走势!$F$34:$ACK$34&lt;&gt;""),COLUMN(指数走势!$F$34:$ACK$34))-COLUMN(指数走势!$F$34)+1-760+742)))</f>
        <v>35.7285003662109</v>
      </c>
      <c r="ABP98">
        <f>IF(ISERROR(INDEX(指数走势!$F$34:$ACK$34,1,LOOKUP(2,1/(指数走势!$F$34:$ACK$34&lt;&gt;""),COLUMN(指数走势!$F$34:$ACK$34))-COLUMN(指数走势!$F$34)+1-760+743)),NA(),IF(INDEX(指数走势!$F$34:$ACK$34,1,LOOKUP(2,1/(指数走势!$F$34:$ACK$34&lt;&gt;""),COLUMN(指数走势!$F$34:$ACK$34))-COLUMN(指数走势!$F$34)+1-760+743)=0,NA(),INDEX(指数走势!$F$34:$ACK$34,1,LOOKUP(2,1/(指数走势!$F$34:$ACK$34&lt;&gt;""),COLUMN(指数走势!$F$34:$ACK$34))-COLUMN(指数走势!$F$34)+1-760+743)))</f>
        <v>35.0717010498047</v>
      </c>
      <c r="ABQ98">
        <f>IF(ISERROR(INDEX(指数走势!$F$34:$ACK$34,1,LOOKUP(2,1/(指数走势!$F$34:$ACK$34&lt;&gt;""),COLUMN(指数走势!$F$34:$ACK$34))-COLUMN(指数走势!$F$34)+1-760+744)),NA(),IF(INDEX(指数走势!$F$34:$ACK$34,1,LOOKUP(2,1/(指数走势!$F$34:$ACK$34&lt;&gt;""),COLUMN(指数走势!$F$34:$ACK$34))-COLUMN(指数走势!$F$34)+1-760+744)=0,NA(),INDEX(指数走势!$F$34:$ACK$34,1,LOOKUP(2,1/(指数走势!$F$34:$ACK$34&lt;&gt;""),COLUMN(指数走势!$F$34:$ACK$34))-COLUMN(指数走势!$F$34)+1-760+744)))</f>
        <v>34.878101348877</v>
      </c>
      <c r="ABR98">
        <f>IF(ISERROR(INDEX(指数走势!$F$34:$ACK$34,1,LOOKUP(2,1/(指数走势!$F$34:$ACK$34&lt;&gt;""),COLUMN(指数走势!$F$34:$ACK$34))-COLUMN(指数走势!$F$34)+1-760+745)),NA(),IF(INDEX(指数走势!$F$34:$ACK$34,1,LOOKUP(2,1/(指数走势!$F$34:$ACK$34&lt;&gt;""),COLUMN(指数走势!$F$34:$ACK$34))-COLUMN(指数走势!$F$34)+1-760+745)=0,NA(),INDEX(指数走势!$F$34:$ACK$34,1,LOOKUP(2,1/(指数走势!$F$34:$ACK$34&lt;&gt;""),COLUMN(指数走势!$F$34:$ACK$34))-COLUMN(指数走势!$F$34)+1-760+745)))</f>
        <v>35.2420997619629</v>
      </c>
      <c r="ABS98">
        <f>IF(ISERROR(INDEX(指数走势!$F$34:$ACK$34,1,LOOKUP(2,1/(指数走势!$F$34:$ACK$34&lt;&gt;""),COLUMN(指数走势!$F$34:$ACK$34))-COLUMN(指数走势!$F$34)+1-760+746)),NA(),IF(INDEX(指数走势!$F$34:$ACK$34,1,LOOKUP(2,1/(指数走势!$F$34:$ACK$34&lt;&gt;""),COLUMN(指数走势!$F$34:$ACK$34))-COLUMN(指数走势!$F$34)+1-760+746)=0,NA(),INDEX(指数走势!$F$34:$ACK$34,1,LOOKUP(2,1/(指数走势!$F$34:$ACK$34&lt;&gt;""),COLUMN(指数走势!$F$34:$ACK$34))-COLUMN(指数走势!$F$34)+1-760+746)))</f>
        <v>37.0755996704102</v>
      </c>
      <c r="ABT98">
        <f>IF(ISERROR(INDEX(指数走势!$F$34:$ACK$34,1,LOOKUP(2,1/(指数走势!$F$34:$ACK$34&lt;&gt;""),COLUMN(指数走势!$F$34:$ACK$34))-COLUMN(指数走势!$F$34)+1-760+747)),NA(),IF(INDEX(指数走势!$F$34:$ACK$34,1,LOOKUP(2,1/(指数走势!$F$34:$ACK$34&lt;&gt;""),COLUMN(指数走势!$F$34:$ACK$34))-COLUMN(指数走势!$F$34)+1-760+747)=0,NA(),INDEX(指数走势!$F$34:$ACK$34,1,LOOKUP(2,1/(指数走势!$F$34:$ACK$34&lt;&gt;""),COLUMN(指数走势!$F$34:$ACK$34))-COLUMN(指数走势!$F$34)+1-760+747)))</f>
        <v>37.3585014343262</v>
      </c>
      <c r="ABU98">
        <f>IF(ISERROR(INDEX(指数走势!$F$34:$ACK$34,1,LOOKUP(2,1/(指数走势!$F$34:$ACK$34&lt;&gt;""),COLUMN(指数走势!$F$34:$ACK$34))-COLUMN(指数走势!$F$34)+1-760+748)),NA(),IF(INDEX(指数走势!$F$34:$ACK$34,1,LOOKUP(2,1/(指数走势!$F$34:$ACK$34&lt;&gt;""),COLUMN(指数走势!$F$34:$ACK$34))-COLUMN(指数走势!$F$34)+1-760+748)=0,NA(),INDEX(指数走势!$F$34:$ACK$34,1,LOOKUP(2,1/(指数走势!$F$34:$ACK$34&lt;&gt;""),COLUMN(指数走势!$F$34:$ACK$34))-COLUMN(指数走势!$F$34)+1-760+748)))</f>
        <v>37.7588005065918</v>
      </c>
      <c r="ABV98">
        <f>IF(ISERROR(INDEX(指数走势!$F$34:$ACK$34,1,LOOKUP(2,1/(指数走势!$F$34:$ACK$34&lt;&gt;""),COLUMN(指数走势!$F$34:$ACK$34))-COLUMN(指数走势!$F$34)+1-760+749)),NA(),IF(INDEX(指数走势!$F$34:$ACK$34,1,LOOKUP(2,1/(指数走势!$F$34:$ACK$34&lt;&gt;""),COLUMN(指数走势!$F$34:$ACK$34))-COLUMN(指数走势!$F$34)+1-760+749)=0,NA(),INDEX(指数走势!$F$34:$ACK$34,1,LOOKUP(2,1/(指数走势!$F$34:$ACK$34&lt;&gt;""),COLUMN(指数走势!$F$34:$ACK$34))-COLUMN(指数走势!$F$34)+1-760+749)))</f>
        <v>37.9976005554199</v>
      </c>
      <c r="ABW98">
        <f>IF(ISERROR(INDEX(指数走势!$F$34:$ACK$34,1,LOOKUP(2,1/(指数走势!$F$34:$ACK$34&lt;&gt;""),COLUMN(指数走势!$F$34:$ACK$34))-COLUMN(指数走势!$F$34)+1-760+750)),NA(),IF(INDEX(指数走势!$F$34:$ACK$34,1,LOOKUP(2,1/(指数走势!$F$34:$ACK$34&lt;&gt;""),COLUMN(指数走势!$F$34:$ACK$34))-COLUMN(指数走势!$F$34)+1-760+750)=0,NA(),INDEX(指数走势!$F$34:$ACK$34,1,LOOKUP(2,1/(指数走势!$F$34:$ACK$34&lt;&gt;""),COLUMN(指数走势!$F$34:$ACK$34))-COLUMN(指数走势!$F$34)+1-760+750)))</f>
        <v>38.7812004089355</v>
      </c>
      <c r="ABX98">
        <f>IF(ISERROR(INDEX(指数走势!$F$34:$ACK$34,1,LOOKUP(2,1/(指数走势!$F$34:$ACK$34&lt;&gt;""),COLUMN(指数走势!$F$34:$ACK$34))-COLUMN(指数走势!$F$34)+1-760+751)),NA(),IF(INDEX(指数走势!$F$34:$ACK$34,1,LOOKUP(2,1/(指数走势!$F$34:$ACK$34&lt;&gt;""),COLUMN(指数走势!$F$34:$ACK$34))-COLUMN(指数走势!$F$34)+1-760+751)=0,NA(),INDEX(指数走势!$F$34:$ACK$34,1,LOOKUP(2,1/(指数走势!$F$34:$ACK$34&lt;&gt;""),COLUMN(指数走势!$F$34:$ACK$34))-COLUMN(指数走势!$F$34)+1-760+751)))</f>
        <v>37.6234016418457</v>
      </c>
      <c r="ABY98">
        <f>IF(ISERROR(INDEX(指数走势!$F$34:$ACK$34,1,LOOKUP(2,1/(指数走势!$F$34:$ACK$34&lt;&gt;""),COLUMN(指数走势!$F$34:$ACK$34))-COLUMN(指数走势!$F$34)+1-760+752)),NA(),IF(INDEX(指数走势!$F$34:$ACK$34,1,LOOKUP(2,1/(指数走势!$F$34:$ACK$34&lt;&gt;""),COLUMN(指数走势!$F$34:$ACK$34))-COLUMN(指数走势!$F$34)+1-760+752)=0,NA(),INDEX(指数走势!$F$34:$ACK$34,1,LOOKUP(2,1/(指数走势!$F$34:$ACK$34&lt;&gt;""),COLUMN(指数走势!$F$34:$ACK$34))-COLUMN(指数走势!$F$34)+1-760+752)))</f>
        <v>38.0377006530762</v>
      </c>
      <c r="ABZ98">
        <f>IF(ISERROR(INDEX(指数走势!$F$34:$ACK$34,1,LOOKUP(2,1/(指数走势!$F$34:$ACK$34&lt;&gt;""),COLUMN(指数走势!$F$34:$ACK$34))-COLUMN(指数走势!$F$34)+1-760+753)),NA(),IF(INDEX(指数走势!$F$34:$ACK$34,1,LOOKUP(2,1/(指数走势!$F$34:$ACK$34&lt;&gt;""),COLUMN(指数走势!$F$34:$ACK$34))-COLUMN(指数走势!$F$34)+1-760+753)=0,NA(),INDEX(指数走势!$F$34:$ACK$34,1,LOOKUP(2,1/(指数走势!$F$34:$ACK$34&lt;&gt;""),COLUMN(指数走势!$F$34:$ACK$34))-COLUMN(指数走势!$F$34)+1-760+753)))</f>
        <v>38.6343002319336</v>
      </c>
      <c r="ACA98">
        <f>IF(ISERROR(INDEX(指数走势!$F$34:$ACK$34,1,LOOKUP(2,1/(指数走势!$F$34:$ACK$34&lt;&gt;""),COLUMN(指数走势!$F$34:$ACK$34))-COLUMN(指数走势!$F$34)+1-760+754)),NA(),IF(INDEX(指数走势!$F$34:$ACK$34,1,LOOKUP(2,1/(指数走势!$F$34:$ACK$34&lt;&gt;""),COLUMN(指数走势!$F$34:$ACK$34))-COLUMN(指数走势!$F$34)+1-760+754)=0,NA(),INDEX(指数走势!$F$34:$ACK$34,1,LOOKUP(2,1/(指数走势!$F$34:$ACK$34&lt;&gt;""),COLUMN(指数走势!$F$34:$ACK$34))-COLUMN(指数走势!$F$34)+1-760+754)))</f>
        <v>37.3855018615723</v>
      </c>
      <c r="ACB98">
        <f>IF(ISERROR(INDEX(指数走势!$F$34:$ACK$34,1,LOOKUP(2,1/(指数走势!$F$34:$ACK$34&lt;&gt;""),COLUMN(指数走势!$F$34:$ACK$34))-COLUMN(指数走势!$F$34)+1-760+755)),NA(),IF(INDEX(指数走势!$F$34:$ACK$34,1,LOOKUP(2,1/(指数走势!$F$34:$ACK$34&lt;&gt;""),COLUMN(指数走势!$F$34:$ACK$34))-COLUMN(指数走势!$F$34)+1-760+755)=0,NA(),INDEX(指数走势!$F$34:$ACK$34,1,LOOKUP(2,1/(指数走势!$F$34:$ACK$34&lt;&gt;""),COLUMN(指数走势!$F$34:$ACK$34))-COLUMN(指数走势!$F$34)+1-760+755)))</f>
        <v>37.4294013977051</v>
      </c>
      <c r="ACC98">
        <f>IF(ISERROR(INDEX(指数走势!$F$34:$ACK$34,1,LOOKUP(2,1/(指数走势!$F$34:$ACK$34&lt;&gt;""),COLUMN(指数走势!$F$34:$ACK$34))-COLUMN(指数走势!$F$34)+1-760+756)),NA(),IF(INDEX(指数走势!$F$34:$ACK$34,1,LOOKUP(2,1/(指数走势!$F$34:$ACK$34&lt;&gt;""),COLUMN(指数走势!$F$34:$ACK$34))-COLUMN(指数走势!$F$34)+1-760+756)=0,NA(),INDEX(指数走势!$F$34:$ACK$34,1,LOOKUP(2,1/(指数走势!$F$34:$ACK$34&lt;&gt;""),COLUMN(指数走势!$F$34:$ACK$34))-COLUMN(指数走势!$F$34)+1-760+756)))</f>
        <v>38.1997985839844</v>
      </c>
      <c r="ACD98">
        <f>IF(ISERROR(INDEX(指数走势!$F$34:$ACK$34,1,LOOKUP(2,1/(指数走势!$F$34:$ACK$34&lt;&gt;""),COLUMN(指数走势!$F$34:$ACK$34))-COLUMN(指数走势!$F$34)+1-760+757)),NA(),IF(INDEX(指数走势!$F$34:$ACK$34,1,LOOKUP(2,1/(指数走势!$F$34:$ACK$34&lt;&gt;""),COLUMN(指数走势!$F$34:$ACK$34))-COLUMN(指数走势!$F$34)+1-760+757)=0,NA(),INDEX(指数走势!$F$34:$ACK$34,1,LOOKUP(2,1/(指数走势!$F$34:$ACK$34&lt;&gt;""),COLUMN(指数走势!$F$34:$ACK$34))-COLUMN(指数走势!$F$34)+1-760+757)))</f>
        <v>38.1615982055664</v>
      </c>
      <c r="ACE98">
        <f>IF(ISERROR(INDEX(指数走势!$F$34:$ACK$34,1,LOOKUP(2,1/(指数走势!$F$34:$ACK$34&lt;&gt;""),COLUMN(指数走势!$F$34:$ACK$34))-COLUMN(指数走势!$F$34)+1-760+758)),NA(),IF(INDEX(指数走势!$F$34:$ACK$34,1,LOOKUP(2,1/(指数走势!$F$34:$ACK$34&lt;&gt;""),COLUMN(指数走势!$F$34:$ACK$34))-COLUMN(指数走势!$F$34)+1-760+758)=0,NA(),INDEX(指数走势!$F$34:$ACK$34,1,LOOKUP(2,1/(指数走势!$F$34:$ACK$34&lt;&gt;""),COLUMN(指数走势!$F$34:$ACK$34))-COLUMN(指数走势!$F$34)+1-760+758)))</f>
        <v>36.8604011535645</v>
      </c>
      <c r="ACF98">
        <f>IF(ISERROR(INDEX(指数走势!$F$34:$ACK$34,1,LOOKUP(2,1/(指数走势!$F$34:$ACK$34&lt;&gt;""),COLUMN(指数走势!$F$34:$ACK$34))-COLUMN(指数走势!$F$34)+1-760+759)),NA(),IF(INDEX(指数走势!$F$34:$ACK$34,1,LOOKUP(2,1/(指数走势!$F$34:$ACK$34&lt;&gt;""),COLUMN(指数走势!$F$34:$ACK$34))-COLUMN(指数走势!$F$34)+1-760+759)=0,NA(),INDEX(指数走势!$F$34:$ACK$34,1,LOOKUP(2,1/(指数走势!$F$34:$ACK$34&lt;&gt;""),COLUMN(指数走势!$F$34:$ACK$34))-COLUMN(指数走势!$F$34)+1-760+759)))</f>
        <v>37.1804008483887</v>
      </c>
      <c r="ACG98">
        <f>IF(ISERROR(INDEX(指数走势!$F$34:$ACK$34,1,LOOKUP(2,1/(指数走势!$F$34:$ACK$34&lt;&gt;""),COLUMN(指数走势!$F$34:$ACK$34))-COLUMN(指数走势!$F$34)+1-760+760)),NA(),IF(INDEX(指数走势!$F$34:$ACK$34,1,LOOKUP(2,1/(指数走势!$F$34:$ACK$34&lt;&gt;""),COLUMN(指数走势!$F$34:$ACK$34))-COLUMN(指数走势!$F$34)+1-760+760)=0,NA(),INDEX(指数走势!$F$34:$ACK$34,1,LOOKUP(2,1/(指数走势!$F$34:$ACK$34&lt;&gt;""),COLUMN(指数走势!$F$34:$ACK$34))-COLUMN(指数走势!$F$34)+1-760+760)))</f>
        <v>37.1803016662598</v>
      </c>
    </row>
    <row r="99" ht="15" customHeight="1" spans="1:761">
      <c r="A99" s="1" t="s">
        <v>45</v>
      </c>
      <c r="B99" s="2" t="e">
        <f>IF(ISERROR(INDEX(指数走势!$F$35:$ACK$35,1,LOOKUP(2,1/(指数走势!$F$35:$ACK$35&lt;&gt;""),COLUMN(指数走势!$F$35:$ACK$35))-COLUMN(指数走势!$F$35)+1-760+1)),NA(),IF(INDEX(指数走势!$F$35:$ACK$35,1,LOOKUP(2,1/(指数走势!$F$35:$ACK$35&lt;&gt;""),COLUMN(指数走势!$F$35:$ACK$35))-COLUMN(指数走势!$F$35)+1-760+1)=0,NA(),INDEX(指数走势!$F$35:$ACK$35,1,LOOKUP(2,1/(指数走势!$F$35:$ACK$35&lt;&gt;""),COLUMN(指数走势!$F$35:$ACK$35))-COLUMN(指数走势!$F$35)+1-760+1)))</f>
        <v>#N/A</v>
      </c>
      <c r="C99" s="2" t="e">
        <f>IF(ISERROR(INDEX(指数走势!$F$35:$ACK$35,1,LOOKUP(2,1/(指数走势!$F$35:$ACK$35&lt;&gt;""),COLUMN(指数走势!$F$35:$ACK$35))-COLUMN(指数走势!$F$35)+1-760+2)),NA(),IF(INDEX(指数走势!$F$35:$ACK$35,1,LOOKUP(2,1/(指数走势!$F$35:$ACK$35&lt;&gt;""),COLUMN(指数走势!$F$35:$ACK$35))-COLUMN(指数走势!$F$35)+1-760+2)=0,NA(),INDEX(指数走势!$F$35:$ACK$35,1,LOOKUP(2,1/(指数走势!$F$35:$ACK$35&lt;&gt;""),COLUMN(指数走势!$F$35:$ACK$35))-COLUMN(指数走势!$F$35)+1-760+2)))</f>
        <v>#N/A</v>
      </c>
      <c r="D99" s="2" t="e">
        <f>IF(ISERROR(INDEX(指数走势!$F$35:$ACK$35,1,LOOKUP(2,1/(指数走势!$F$35:$ACK$35&lt;&gt;""),COLUMN(指数走势!$F$35:$ACK$35))-COLUMN(指数走势!$F$35)+1-760+3)),NA(),IF(INDEX(指数走势!$F$35:$ACK$35,1,LOOKUP(2,1/(指数走势!$F$35:$ACK$35&lt;&gt;""),COLUMN(指数走势!$F$35:$ACK$35))-COLUMN(指数走势!$F$35)+1-760+3)=0,NA(),INDEX(指数走势!$F$35:$ACK$35,1,LOOKUP(2,1/(指数走势!$F$35:$ACK$35&lt;&gt;""),COLUMN(指数走势!$F$35:$ACK$35))-COLUMN(指数走势!$F$35)+1-760+3)))</f>
        <v>#N/A</v>
      </c>
      <c r="E99" s="2" t="e">
        <f>IF(ISERROR(INDEX(指数走势!$F$35:$ACK$35,1,LOOKUP(2,1/(指数走势!$F$35:$ACK$35&lt;&gt;""),COLUMN(指数走势!$F$35:$ACK$35))-COLUMN(指数走势!$F$35)+1-760+4)),NA(),IF(INDEX(指数走势!$F$35:$ACK$35,1,LOOKUP(2,1/(指数走势!$F$35:$ACK$35&lt;&gt;""),COLUMN(指数走势!$F$35:$ACK$35))-COLUMN(指数走势!$F$35)+1-760+4)=0,NA(),INDEX(指数走势!$F$35:$ACK$35,1,LOOKUP(2,1/(指数走势!$F$35:$ACK$35&lt;&gt;""),COLUMN(指数走势!$F$35:$ACK$35))-COLUMN(指数走势!$F$35)+1-760+4)))</f>
        <v>#N/A</v>
      </c>
      <c r="F99" s="2" t="e">
        <f>IF(ISERROR(INDEX(指数走势!$F$35:$ACK$35,1,LOOKUP(2,1/(指数走势!$F$35:$ACK$35&lt;&gt;""),COLUMN(指数走势!$F$35:$ACK$35))-COLUMN(指数走势!$F$35)+1-760+5)),NA(),IF(INDEX(指数走势!$F$35:$ACK$35,1,LOOKUP(2,1/(指数走势!$F$35:$ACK$35&lt;&gt;""),COLUMN(指数走势!$F$35:$ACK$35))-COLUMN(指数走势!$F$35)+1-760+5)=0,NA(),INDEX(指数走势!$F$35:$ACK$35,1,LOOKUP(2,1/(指数走势!$F$35:$ACK$35&lt;&gt;""),COLUMN(指数走势!$F$35:$ACK$35))-COLUMN(指数走势!$F$35)+1-760+5)))</f>
        <v>#N/A</v>
      </c>
      <c r="G99" s="2" t="e">
        <f>IF(ISERROR(INDEX(指数走势!$F$35:$ACK$35,1,LOOKUP(2,1/(指数走势!$F$35:$ACK$35&lt;&gt;""),COLUMN(指数走势!$F$35:$ACK$35))-COLUMN(指数走势!$F$35)+1-760+6)),NA(),IF(INDEX(指数走势!$F$35:$ACK$35,1,LOOKUP(2,1/(指数走势!$F$35:$ACK$35&lt;&gt;""),COLUMN(指数走势!$F$35:$ACK$35))-COLUMN(指数走势!$F$35)+1-760+6)=0,NA(),INDEX(指数走势!$F$35:$ACK$35,1,LOOKUP(2,1/(指数走势!$F$35:$ACK$35&lt;&gt;""),COLUMN(指数走势!$F$35:$ACK$35))-COLUMN(指数走势!$F$35)+1-760+6)))</f>
        <v>#N/A</v>
      </c>
      <c r="H99" s="2" t="e">
        <f>IF(ISERROR(INDEX(指数走势!$F$35:$ACK$35,1,LOOKUP(2,1/(指数走势!$F$35:$ACK$35&lt;&gt;""),COLUMN(指数走势!$F$35:$ACK$35))-COLUMN(指数走势!$F$35)+1-760+7)),NA(),IF(INDEX(指数走势!$F$35:$ACK$35,1,LOOKUP(2,1/(指数走势!$F$35:$ACK$35&lt;&gt;""),COLUMN(指数走势!$F$35:$ACK$35))-COLUMN(指数走势!$F$35)+1-760+7)=0,NA(),INDEX(指数走势!$F$35:$ACK$35,1,LOOKUP(2,1/(指数走势!$F$35:$ACK$35&lt;&gt;""),COLUMN(指数走势!$F$35:$ACK$35))-COLUMN(指数走势!$F$35)+1-760+7)))</f>
        <v>#N/A</v>
      </c>
      <c r="I99" s="2" t="e">
        <f>IF(ISERROR(INDEX(指数走势!$F$35:$ACK$35,1,LOOKUP(2,1/(指数走势!$F$35:$ACK$35&lt;&gt;""),COLUMN(指数走势!$F$35:$ACK$35))-COLUMN(指数走势!$F$35)+1-760+8)),NA(),IF(INDEX(指数走势!$F$35:$ACK$35,1,LOOKUP(2,1/(指数走势!$F$35:$ACK$35&lt;&gt;""),COLUMN(指数走势!$F$35:$ACK$35))-COLUMN(指数走势!$F$35)+1-760+8)=0,NA(),INDEX(指数走势!$F$35:$ACK$35,1,LOOKUP(2,1/(指数走势!$F$35:$ACK$35&lt;&gt;""),COLUMN(指数走势!$F$35:$ACK$35))-COLUMN(指数走势!$F$35)+1-760+8)))</f>
        <v>#N/A</v>
      </c>
      <c r="J99" s="2" t="e">
        <f>IF(ISERROR(INDEX(指数走势!$F$35:$ACK$35,1,LOOKUP(2,1/(指数走势!$F$35:$ACK$35&lt;&gt;""),COLUMN(指数走势!$F$35:$ACK$35))-COLUMN(指数走势!$F$35)+1-760+9)),NA(),IF(INDEX(指数走势!$F$35:$ACK$35,1,LOOKUP(2,1/(指数走势!$F$35:$ACK$35&lt;&gt;""),COLUMN(指数走势!$F$35:$ACK$35))-COLUMN(指数走势!$F$35)+1-760+9)=0,NA(),INDEX(指数走势!$F$35:$ACK$35,1,LOOKUP(2,1/(指数走势!$F$35:$ACK$35&lt;&gt;""),COLUMN(指数走势!$F$35:$ACK$35))-COLUMN(指数走势!$F$35)+1-760+9)))</f>
        <v>#N/A</v>
      </c>
      <c r="K99" s="2" t="e">
        <f>IF(ISERROR(INDEX(指数走势!$F$35:$ACK$35,1,LOOKUP(2,1/(指数走势!$F$35:$ACK$35&lt;&gt;""),COLUMN(指数走势!$F$35:$ACK$35))-COLUMN(指数走势!$F$35)+1-760+10)),NA(),IF(INDEX(指数走势!$F$35:$ACK$35,1,LOOKUP(2,1/(指数走势!$F$35:$ACK$35&lt;&gt;""),COLUMN(指数走势!$F$35:$ACK$35))-COLUMN(指数走势!$F$35)+1-760+10)=0,NA(),INDEX(指数走势!$F$35:$ACK$35,1,LOOKUP(2,1/(指数走势!$F$35:$ACK$35&lt;&gt;""),COLUMN(指数走势!$F$35:$ACK$35))-COLUMN(指数走势!$F$35)+1-760+10)))</f>
        <v>#N/A</v>
      </c>
      <c r="L99" s="2" t="e">
        <f>IF(ISERROR(INDEX(指数走势!$F$35:$ACK$35,1,LOOKUP(2,1/(指数走势!$F$35:$ACK$35&lt;&gt;""),COLUMN(指数走势!$F$35:$ACK$35))-COLUMN(指数走势!$F$35)+1-760+11)),NA(),IF(INDEX(指数走势!$F$35:$ACK$35,1,LOOKUP(2,1/(指数走势!$F$35:$ACK$35&lt;&gt;""),COLUMN(指数走势!$F$35:$ACK$35))-COLUMN(指数走势!$F$35)+1-760+11)=0,NA(),INDEX(指数走势!$F$35:$ACK$35,1,LOOKUP(2,1/(指数走势!$F$35:$ACK$35&lt;&gt;""),COLUMN(指数走势!$F$35:$ACK$35))-COLUMN(指数走势!$F$35)+1-760+11)))</f>
        <v>#N/A</v>
      </c>
      <c r="M99" s="2" t="e">
        <f>IF(ISERROR(INDEX(指数走势!$F$35:$ACK$35,1,LOOKUP(2,1/(指数走势!$F$35:$ACK$35&lt;&gt;""),COLUMN(指数走势!$F$35:$ACK$35))-COLUMN(指数走势!$F$35)+1-760+12)),NA(),IF(INDEX(指数走势!$F$35:$ACK$35,1,LOOKUP(2,1/(指数走势!$F$35:$ACK$35&lt;&gt;""),COLUMN(指数走势!$F$35:$ACK$35))-COLUMN(指数走势!$F$35)+1-760+12)=0,NA(),INDEX(指数走势!$F$35:$ACK$35,1,LOOKUP(2,1/(指数走势!$F$35:$ACK$35&lt;&gt;""),COLUMN(指数走势!$F$35:$ACK$35))-COLUMN(指数走势!$F$35)+1-760+12)))</f>
        <v>#N/A</v>
      </c>
      <c r="N99" s="2" t="e">
        <f>IF(ISERROR(INDEX(指数走势!$F$35:$ACK$35,1,LOOKUP(2,1/(指数走势!$F$35:$ACK$35&lt;&gt;""),COLUMN(指数走势!$F$35:$ACK$35))-COLUMN(指数走势!$F$35)+1-760+13)),NA(),IF(INDEX(指数走势!$F$35:$ACK$35,1,LOOKUP(2,1/(指数走势!$F$35:$ACK$35&lt;&gt;""),COLUMN(指数走势!$F$35:$ACK$35))-COLUMN(指数走势!$F$35)+1-760+13)=0,NA(),INDEX(指数走势!$F$35:$ACK$35,1,LOOKUP(2,1/(指数走势!$F$35:$ACK$35&lt;&gt;""),COLUMN(指数走势!$F$35:$ACK$35))-COLUMN(指数走势!$F$35)+1-760+13)))</f>
        <v>#N/A</v>
      </c>
      <c r="O99" s="2" t="e">
        <f>IF(ISERROR(INDEX(指数走势!$F$35:$ACK$35,1,LOOKUP(2,1/(指数走势!$F$35:$ACK$35&lt;&gt;""),COLUMN(指数走势!$F$35:$ACK$35))-COLUMN(指数走势!$F$35)+1-760+14)),NA(),IF(INDEX(指数走势!$F$35:$ACK$35,1,LOOKUP(2,1/(指数走势!$F$35:$ACK$35&lt;&gt;""),COLUMN(指数走势!$F$35:$ACK$35))-COLUMN(指数走势!$F$35)+1-760+14)=0,NA(),INDEX(指数走势!$F$35:$ACK$35,1,LOOKUP(2,1/(指数走势!$F$35:$ACK$35&lt;&gt;""),COLUMN(指数走势!$F$35:$ACK$35))-COLUMN(指数走势!$F$35)+1-760+14)))</f>
        <v>#N/A</v>
      </c>
      <c r="P99" s="2" t="e">
        <f>IF(ISERROR(INDEX(指数走势!$F$35:$ACK$35,1,LOOKUP(2,1/(指数走势!$F$35:$ACK$35&lt;&gt;""),COLUMN(指数走势!$F$35:$ACK$35))-COLUMN(指数走势!$F$35)+1-760+15)),NA(),IF(INDEX(指数走势!$F$35:$ACK$35,1,LOOKUP(2,1/(指数走势!$F$35:$ACK$35&lt;&gt;""),COLUMN(指数走势!$F$35:$ACK$35))-COLUMN(指数走势!$F$35)+1-760+15)=0,NA(),INDEX(指数走势!$F$35:$ACK$35,1,LOOKUP(2,1/(指数走势!$F$35:$ACK$35&lt;&gt;""),COLUMN(指数走势!$F$35:$ACK$35))-COLUMN(指数走势!$F$35)+1-760+15)))</f>
        <v>#N/A</v>
      </c>
      <c r="Q99" s="2" t="e">
        <f>IF(ISERROR(INDEX(指数走势!$F$35:$ACK$35,1,LOOKUP(2,1/(指数走势!$F$35:$ACK$35&lt;&gt;""),COLUMN(指数走势!$F$35:$ACK$35))-COLUMN(指数走势!$F$35)+1-760+16)),NA(),IF(INDEX(指数走势!$F$35:$ACK$35,1,LOOKUP(2,1/(指数走势!$F$35:$ACK$35&lt;&gt;""),COLUMN(指数走势!$F$35:$ACK$35))-COLUMN(指数走势!$F$35)+1-760+16)=0,NA(),INDEX(指数走势!$F$35:$ACK$35,1,LOOKUP(2,1/(指数走势!$F$35:$ACK$35&lt;&gt;""),COLUMN(指数走势!$F$35:$ACK$35))-COLUMN(指数走势!$F$35)+1-760+16)))</f>
        <v>#N/A</v>
      </c>
      <c r="R99" s="2" t="e">
        <f>IF(ISERROR(INDEX(指数走势!$F$35:$ACK$35,1,LOOKUP(2,1/(指数走势!$F$35:$ACK$35&lt;&gt;""),COLUMN(指数走势!$F$35:$ACK$35))-COLUMN(指数走势!$F$35)+1-760+17)),NA(),IF(INDEX(指数走势!$F$35:$ACK$35,1,LOOKUP(2,1/(指数走势!$F$35:$ACK$35&lt;&gt;""),COLUMN(指数走势!$F$35:$ACK$35))-COLUMN(指数走势!$F$35)+1-760+17)=0,NA(),INDEX(指数走势!$F$35:$ACK$35,1,LOOKUP(2,1/(指数走势!$F$35:$ACK$35&lt;&gt;""),COLUMN(指数走势!$F$35:$ACK$35))-COLUMN(指数走势!$F$35)+1-760+17)))</f>
        <v>#N/A</v>
      </c>
      <c r="S99" s="2" t="e">
        <f>IF(ISERROR(INDEX(指数走势!$F$35:$ACK$35,1,LOOKUP(2,1/(指数走势!$F$35:$ACK$35&lt;&gt;""),COLUMN(指数走势!$F$35:$ACK$35))-COLUMN(指数走势!$F$35)+1-760+18)),NA(),IF(INDEX(指数走势!$F$35:$ACK$35,1,LOOKUP(2,1/(指数走势!$F$35:$ACK$35&lt;&gt;""),COLUMN(指数走势!$F$35:$ACK$35))-COLUMN(指数走势!$F$35)+1-760+18)=0,NA(),INDEX(指数走势!$F$35:$ACK$35,1,LOOKUP(2,1/(指数走势!$F$35:$ACK$35&lt;&gt;""),COLUMN(指数走势!$F$35:$ACK$35))-COLUMN(指数走势!$F$35)+1-760+18)))</f>
        <v>#N/A</v>
      </c>
      <c r="T99" s="2" t="e">
        <f>IF(ISERROR(INDEX(指数走势!$F$35:$ACK$35,1,LOOKUP(2,1/(指数走势!$F$35:$ACK$35&lt;&gt;""),COLUMN(指数走势!$F$35:$ACK$35))-COLUMN(指数走势!$F$35)+1-760+19)),NA(),IF(INDEX(指数走势!$F$35:$ACK$35,1,LOOKUP(2,1/(指数走势!$F$35:$ACK$35&lt;&gt;""),COLUMN(指数走势!$F$35:$ACK$35))-COLUMN(指数走势!$F$35)+1-760+19)=0,NA(),INDEX(指数走势!$F$35:$ACK$35,1,LOOKUP(2,1/(指数走势!$F$35:$ACK$35&lt;&gt;""),COLUMN(指数走势!$F$35:$ACK$35))-COLUMN(指数走势!$F$35)+1-760+19)))</f>
        <v>#N/A</v>
      </c>
      <c r="U99" s="2" t="e">
        <f>IF(ISERROR(INDEX(指数走势!$F$35:$ACK$35,1,LOOKUP(2,1/(指数走势!$F$35:$ACK$35&lt;&gt;""),COLUMN(指数走势!$F$35:$ACK$35))-COLUMN(指数走势!$F$35)+1-760+20)),NA(),IF(INDEX(指数走势!$F$35:$ACK$35,1,LOOKUP(2,1/(指数走势!$F$35:$ACK$35&lt;&gt;""),COLUMN(指数走势!$F$35:$ACK$35))-COLUMN(指数走势!$F$35)+1-760+20)=0,NA(),INDEX(指数走势!$F$35:$ACK$35,1,LOOKUP(2,1/(指数走势!$F$35:$ACK$35&lt;&gt;""),COLUMN(指数走势!$F$35:$ACK$35))-COLUMN(指数走势!$F$35)+1-760+20)))</f>
        <v>#N/A</v>
      </c>
      <c r="V99" s="2" t="e">
        <f>IF(ISERROR(INDEX(指数走势!$F$35:$ACK$35,1,LOOKUP(2,1/(指数走势!$F$35:$ACK$35&lt;&gt;""),COLUMN(指数走势!$F$35:$ACK$35))-COLUMN(指数走势!$F$35)+1-760+21)),NA(),IF(INDEX(指数走势!$F$35:$ACK$35,1,LOOKUP(2,1/(指数走势!$F$35:$ACK$35&lt;&gt;""),COLUMN(指数走势!$F$35:$ACK$35))-COLUMN(指数走势!$F$35)+1-760+21)=0,NA(),INDEX(指数走势!$F$35:$ACK$35,1,LOOKUP(2,1/(指数走势!$F$35:$ACK$35&lt;&gt;""),COLUMN(指数走势!$F$35:$ACK$35))-COLUMN(指数走势!$F$35)+1-760+21)))</f>
        <v>#N/A</v>
      </c>
      <c r="W99" s="2" t="e">
        <f>IF(ISERROR(INDEX(指数走势!$F$35:$ACK$35,1,LOOKUP(2,1/(指数走势!$F$35:$ACK$35&lt;&gt;""),COLUMN(指数走势!$F$35:$ACK$35))-COLUMN(指数走势!$F$35)+1-760+22)),NA(),IF(INDEX(指数走势!$F$35:$ACK$35,1,LOOKUP(2,1/(指数走势!$F$35:$ACK$35&lt;&gt;""),COLUMN(指数走势!$F$35:$ACK$35))-COLUMN(指数走势!$F$35)+1-760+22)=0,NA(),INDEX(指数走势!$F$35:$ACK$35,1,LOOKUP(2,1/(指数走势!$F$35:$ACK$35&lt;&gt;""),COLUMN(指数走势!$F$35:$ACK$35))-COLUMN(指数走势!$F$35)+1-760+22)))</f>
        <v>#N/A</v>
      </c>
      <c r="X99" s="2" t="e">
        <f>IF(ISERROR(INDEX(指数走势!$F$35:$ACK$35,1,LOOKUP(2,1/(指数走势!$F$35:$ACK$35&lt;&gt;""),COLUMN(指数走势!$F$35:$ACK$35))-COLUMN(指数走势!$F$35)+1-760+23)),NA(),IF(INDEX(指数走势!$F$35:$ACK$35,1,LOOKUP(2,1/(指数走势!$F$35:$ACK$35&lt;&gt;""),COLUMN(指数走势!$F$35:$ACK$35))-COLUMN(指数走势!$F$35)+1-760+23)=0,NA(),INDEX(指数走势!$F$35:$ACK$35,1,LOOKUP(2,1/(指数走势!$F$35:$ACK$35&lt;&gt;""),COLUMN(指数走势!$F$35:$ACK$35))-COLUMN(指数走势!$F$35)+1-760+23)))</f>
        <v>#N/A</v>
      </c>
      <c r="Y99" s="2" t="e">
        <f>IF(ISERROR(INDEX(指数走势!$F$35:$ACK$35,1,LOOKUP(2,1/(指数走势!$F$35:$ACK$35&lt;&gt;""),COLUMN(指数走势!$F$35:$ACK$35))-COLUMN(指数走势!$F$35)+1-760+24)),NA(),IF(INDEX(指数走势!$F$35:$ACK$35,1,LOOKUP(2,1/(指数走势!$F$35:$ACK$35&lt;&gt;""),COLUMN(指数走势!$F$35:$ACK$35))-COLUMN(指数走势!$F$35)+1-760+24)=0,NA(),INDEX(指数走势!$F$35:$ACK$35,1,LOOKUP(2,1/(指数走势!$F$35:$ACK$35&lt;&gt;""),COLUMN(指数走势!$F$35:$ACK$35))-COLUMN(指数走势!$F$35)+1-760+24)))</f>
        <v>#N/A</v>
      </c>
      <c r="Z99" s="2" t="e">
        <f>IF(ISERROR(INDEX(指数走势!$F$35:$ACK$35,1,LOOKUP(2,1/(指数走势!$F$35:$ACK$35&lt;&gt;""),COLUMN(指数走势!$F$35:$ACK$35))-COLUMN(指数走势!$F$35)+1-760+25)),NA(),IF(INDEX(指数走势!$F$35:$ACK$35,1,LOOKUP(2,1/(指数走势!$F$35:$ACK$35&lt;&gt;""),COLUMN(指数走势!$F$35:$ACK$35))-COLUMN(指数走势!$F$35)+1-760+25)=0,NA(),INDEX(指数走势!$F$35:$ACK$35,1,LOOKUP(2,1/(指数走势!$F$35:$ACK$35&lt;&gt;""),COLUMN(指数走势!$F$35:$ACK$35))-COLUMN(指数走势!$F$35)+1-760+25)))</f>
        <v>#N/A</v>
      </c>
      <c r="AA99" s="2" t="e">
        <f>IF(ISERROR(INDEX(指数走势!$F$35:$ACK$35,1,LOOKUP(2,1/(指数走势!$F$35:$ACK$35&lt;&gt;""),COLUMN(指数走势!$F$35:$ACK$35))-COLUMN(指数走势!$F$35)+1-760+26)),NA(),IF(INDEX(指数走势!$F$35:$ACK$35,1,LOOKUP(2,1/(指数走势!$F$35:$ACK$35&lt;&gt;""),COLUMN(指数走势!$F$35:$ACK$35))-COLUMN(指数走势!$F$35)+1-760+26)=0,NA(),INDEX(指数走势!$F$35:$ACK$35,1,LOOKUP(2,1/(指数走势!$F$35:$ACK$35&lt;&gt;""),COLUMN(指数走势!$F$35:$ACK$35))-COLUMN(指数走势!$F$35)+1-760+26)))</f>
        <v>#N/A</v>
      </c>
      <c r="AB99" s="2" t="e">
        <f>IF(ISERROR(INDEX(指数走势!$F$35:$ACK$35,1,LOOKUP(2,1/(指数走势!$F$35:$ACK$35&lt;&gt;""),COLUMN(指数走势!$F$35:$ACK$35))-COLUMN(指数走势!$F$35)+1-760+27)),NA(),IF(INDEX(指数走势!$F$35:$ACK$35,1,LOOKUP(2,1/(指数走势!$F$35:$ACK$35&lt;&gt;""),COLUMN(指数走势!$F$35:$ACK$35))-COLUMN(指数走势!$F$35)+1-760+27)=0,NA(),INDEX(指数走势!$F$35:$ACK$35,1,LOOKUP(2,1/(指数走势!$F$35:$ACK$35&lt;&gt;""),COLUMN(指数走势!$F$35:$ACK$35))-COLUMN(指数走势!$F$35)+1-760+27)))</f>
        <v>#N/A</v>
      </c>
      <c r="AC99" s="2" t="e">
        <f>IF(ISERROR(INDEX(指数走势!$F$35:$ACK$35,1,LOOKUP(2,1/(指数走势!$F$35:$ACK$35&lt;&gt;""),COLUMN(指数走势!$F$35:$ACK$35))-COLUMN(指数走势!$F$35)+1-760+28)),NA(),IF(INDEX(指数走势!$F$35:$ACK$35,1,LOOKUP(2,1/(指数走势!$F$35:$ACK$35&lt;&gt;""),COLUMN(指数走势!$F$35:$ACK$35))-COLUMN(指数走势!$F$35)+1-760+28)=0,NA(),INDEX(指数走势!$F$35:$ACK$35,1,LOOKUP(2,1/(指数走势!$F$35:$ACK$35&lt;&gt;""),COLUMN(指数走势!$F$35:$ACK$35))-COLUMN(指数走势!$F$35)+1-760+28)))</f>
        <v>#N/A</v>
      </c>
      <c r="AD99" s="2" t="e">
        <f>IF(ISERROR(INDEX(指数走势!$F$35:$ACK$35,1,LOOKUP(2,1/(指数走势!$F$35:$ACK$35&lt;&gt;""),COLUMN(指数走势!$F$35:$ACK$35))-COLUMN(指数走势!$F$35)+1-760+29)),NA(),IF(INDEX(指数走势!$F$35:$ACK$35,1,LOOKUP(2,1/(指数走势!$F$35:$ACK$35&lt;&gt;""),COLUMN(指数走势!$F$35:$ACK$35))-COLUMN(指数走势!$F$35)+1-760+29)=0,NA(),INDEX(指数走势!$F$35:$ACK$35,1,LOOKUP(2,1/(指数走势!$F$35:$ACK$35&lt;&gt;""),COLUMN(指数走势!$F$35:$ACK$35))-COLUMN(指数走势!$F$35)+1-760+29)))</f>
        <v>#N/A</v>
      </c>
      <c r="AE99" s="2" t="e">
        <f>IF(ISERROR(INDEX(指数走势!$F$35:$ACK$35,1,LOOKUP(2,1/(指数走势!$F$35:$ACK$35&lt;&gt;""),COLUMN(指数走势!$F$35:$ACK$35))-COLUMN(指数走势!$F$35)+1-760+30)),NA(),IF(INDEX(指数走势!$F$35:$ACK$35,1,LOOKUP(2,1/(指数走势!$F$35:$ACK$35&lt;&gt;""),COLUMN(指数走势!$F$35:$ACK$35))-COLUMN(指数走势!$F$35)+1-760+30)=0,NA(),INDEX(指数走势!$F$35:$ACK$35,1,LOOKUP(2,1/(指数走势!$F$35:$ACK$35&lt;&gt;""),COLUMN(指数走势!$F$35:$ACK$35))-COLUMN(指数走势!$F$35)+1-760+30)))</f>
        <v>#N/A</v>
      </c>
      <c r="AF99" s="2" t="e">
        <f>IF(ISERROR(INDEX(指数走势!$F$35:$ACK$35,1,LOOKUP(2,1/(指数走势!$F$35:$ACK$35&lt;&gt;""),COLUMN(指数走势!$F$35:$ACK$35))-COLUMN(指数走势!$F$35)+1-760+31)),NA(),IF(INDEX(指数走势!$F$35:$ACK$35,1,LOOKUP(2,1/(指数走势!$F$35:$ACK$35&lt;&gt;""),COLUMN(指数走势!$F$35:$ACK$35))-COLUMN(指数走势!$F$35)+1-760+31)=0,NA(),INDEX(指数走势!$F$35:$ACK$35,1,LOOKUP(2,1/(指数走势!$F$35:$ACK$35&lt;&gt;""),COLUMN(指数走势!$F$35:$ACK$35))-COLUMN(指数走势!$F$35)+1-760+31)))</f>
        <v>#N/A</v>
      </c>
      <c r="AG99" s="2" t="e">
        <f>IF(ISERROR(INDEX(指数走势!$F$35:$ACK$35,1,LOOKUP(2,1/(指数走势!$F$35:$ACK$35&lt;&gt;""),COLUMN(指数走势!$F$35:$ACK$35))-COLUMN(指数走势!$F$35)+1-760+32)),NA(),IF(INDEX(指数走势!$F$35:$ACK$35,1,LOOKUP(2,1/(指数走势!$F$35:$ACK$35&lt;&gt;""),COLUMN(指数走势!$F$35:$ACK$35))-COLUMN(指数走势!$F$35)+1-760+32)=0,NA(),INDEX(指数走势!$F$35:$ACK$35,1,LOOKUP(2,1/(指数走势!$F$35:$ACK$35&lt;&gt;""),COLUMN(指数走势!$F$35:$ACK$35))-COLUMN(指数走势!$F$35)+1-760+32)))</f>
        <v>#N/A</v>
      </c>
      <c r="AH99" s="2" t="e">
        <f>IF(ISERROR(INDEX(指数走势!$F$35:$ACK$35,1,LOOKUP(2,1/(指数走势!$F$35:$ACK$35&lt;&gt;""),COLUMN(指数走势!$F$35:$ACK$35))-COLUMN(指数走势!$F$35)+1-760+33)),NA(),IF(INDEX(指数走势!$F$35:$ACK$35,1,LOOKUP(2,1/(指数走势!$F$35:$ACK$35&lt;&gt;""),COLUMN(指数走势!$F$35:$ACK$35))-COLUMN(指数走势!$F$35)+1-760+33)=0,NA(),INDEX(指数走势!$F$35:$ACK$35,1,LOOKUP(2,1/(指数走势!$F$35:$ACK$35&lt;&gt;""),COLUMN(指数走势!$F$35:$ACK$35))-COLUMN(指数走势!$F$35)+1-760+33)))</f>
        <v>#N/A</v>
      </c>
      <c r="AI99" s="2">
        <f>IF(ISERROR(INDEX(指数走势!$F$35:$ACK$35,1,LOOKUP(2,1/(指数走势!$F$35:$ACK$35&lt;&gt;""),COLUMN(指数走势!$F$35:$ACK$35))-COLUMN(指数走势!$F$35)+1-760+34)),NA(),IF(INDEX(指数走势!$F$35:$ACK$35,1,LOOKUP(2,1/(指数走势!$F$35:$ACK$35&lt;&gt;""),COLUMN(指数走势!$F$35:$ACK$35))-COLUMN(指数走势!$F$35)+1-760+34)=0,NA(),INDEX(指数走势!$F$35:$ACK$35,1,LOOKUP(2,1/(指数走势!$F$35:$ACK$35&lt;&gt;""),COLUMN(指数走势!$F$35:$ACK$35))-COLUMN(指数走势!$F$35)+1-760+34)))</f>
        <v>11.5756998062134</v>
      </c>
      <c r="AJ99" s="2">
        <f>IF(ISERROR(INDEX(指数走势!$F$35:$ACK$35,1,LOOKUP(2,1/(指数走势!$F$35:$ACK$35&lt;&gt;""),COLUMN(指数走势!$F$35:$ACK$35))-COLUMN(指数走势!$F$35)+1-760+35)),NA(),IF(INDEX(指数走势!$F$35:$ACK$35,1,LOOKUP(2,1/(指数走势!$F$35:$ACK$35&lt;&gt;""),COLUMN(指数走势!$F$35:$ACK$35))-COLUMN(指数走势!$F$35)+1-760+35)=0,NA(),INDEX(指数走势!$F$35:$ACK$35,1,LOOKUP(2,1/(指数走势!$F$35:$ACK$35&lt;&gt;""),COLUMN(指数走势!$F$35:$ACK$35))-COLUMN(指数走势!$F$35)+1-760+35)))</f>
        <v>11.6929998397827</v>
      </c>
      <c r="AK99" s="2">
        <f>IF(ISERROR(INDEX(指数走势!$F$35:$ACK$35,1,LOOKUP(2,1/(指数走势!$F$35:$ACK$35&lt;&gt;""),COLUMN(指数走势!$F$35:$ACK$35))-COLUMN(指数走势!$F$35)+1-760+36)),NA(),IF(INDEX(指数走势!$F$35:$ACK$35,1,LOOKUP(2,1/(指数走势!$F$35:$ACK$35&lt;&gt;""),COLUMN(指数走势!$F$35:$ACK$35))-COLUMN(指数走势!$F$35)+1-760+36)=0,NA(),INDEX(指数走势!$F$35:$ACK$35,1,LOOKUP(2,1/(指数走势!$F$35:$ACK$35&lt;&gt;""),COLUMN(指数走势!$F$35:$ACK$35))-COLUMN(指数走势!$F$35)+1-760+36)))</f>
        <v>11.6471996307373</v>
      </c>
      <c r="AL99" s="2">
        <f>IF(ISERROR(INDEX(指数走势!$F$35:$ACK$35,1,LOOKUP(2,1/(指数走势!$F$35:$ACK$35&lt;&gt;""),COLUMN(指数走势!$F$35:$ACK$35))-COLUMN(指数走势!$F$35)+1-760+37)),NA(),IF(INDEX(指数走势!$F$35:$ACK$35,1,LOOKUP(2,1/(指数走势!$F$35:$ACK$35&lt;&gt;""),COLUMN(指数走势!$F$35:$ACK$35))-COLUMN(指数走势!$F$35)+1-760+37)=0,NA(),INDEX(指数走势!$F$35:$ACK$35,1,LOOKUP(2,1/(指数走势!$F$35:$ACK$35&lt;&gt;""),COLUMN(指数走势!$F$35:$ACK$35))-COLUMN(指数走势!$F$35)+1-760+37)))</f>
        <v>11.6827001571655</v>
      </c>
      <c r="AM99" s="2">
        <f>IF(ISERROR(INDEX(指数走势!$F$35:$ACK$35,1,LOOKUP(2,1/(指数走势!$F$35:$ACK$35&lt;&gt;""),COLUMN(指数走势!$F$35:$ACK$35))-COLUMN(指数走势!$F$35)+1-760+38)),NA(),IF(INDEX(指数走势!$F$35:$ACK$35,1,LOOKUP(2,1/(指数走势!$F$35:$ACK$35&lt;&gt;""),COLUMN(指数走势!$F$35:$ACK$35))-COLUMN(指数走势!$F$35)+1-760+38)=0,NA(),INDEX(指数走势!$F$35:$ACK$35,1,LOOKUP(2,1/(指数走势!$F$35:$ACK$35&lt;&gt;""),COLUMN(指数走势!$F$35:$ACK$35))-COLUMN(指数走势!$F$35)+1-760+38)))</f>
        <v>11.7504997253418</v>
      </c>
      <c r="AN99" s="2">
        <f>IF(ISERROR(INDEX(指数走势!$F$35:$ACK$35,1,LOOKUP(2,1/(指数走势!$F$35:$ACK$35&lt;&gt;""),COLUMN(指数走势!$F$35:$ACK$35))-COLUMN(指数走势!$F$35)+1-760+39)),NA(),IF(INDEX(指数走势!$F$35:$ACK$35,1,LOOKUP(2,1/(指数走势!$F$35:$ACK$35&lt;&gt;""),COLUMN(指数走势!$F$35:$ACK$35))-COLUMN(指数走势!$F$35)+1-760+39)=0,NA(),INDEX(指数走势!$F$35:$ACK$35,1,LOOKUP(2,1/(指数走势!$F$35:$ACK$35&lt;&gt;""),COLUMN(指数走势!$F$35:$ACK$35))-COLUMN(指数走势!$F$35)+1-760+39)))</f>
        <v>11.6660995483398</v>
      </c>
      <c r="AO99" s="2">
        <f>IF(ISERROR(INDEX(指数走势!$F$35:$ACK$35,1,LOOKUP(2,1/(指数走势!$F$35:$ACK$35&lt;&gt;""),COLUMN(指数走势!$F$35:$ACK$35))-COLUMN(指数走势!$F$35)+1-760+40)),NA(),IF(INDEX(指数走势!$F$35:$ACK$35,1,LOOKUP(2,1/(指数走势!$F$35:$ACK$35&lt;&gt;""),COLUMN(指数走势!$F$35:$ACK$35))-COLUMN(指数走势!$F$35)+1-760+40)=0,NA(),INDEX(指数走势!$F$35:$ACK$35,1,LOOKUP(2,1/(指数走势!$F$35:$ACK$35&lt;&gt;""),COLUMN(指数走势!$F$35:$ACK$35))-COLUMN(指数走势!$F$35)+1-760+40)))</f>
        <v>11.8437995910645</v>
      </c>
      <c r="AP99" s="2">
        <f>IF(ISERROR(INDEX(指数走势!$F$35:$ACK$35,1,LOOKUP(2,1/(指数走势!$F$35:$ACK$35&lt;&gt;""),COLUMN(指数走势!$F$35:$ACK$35))-COLUMN(指数走势!$F$35)+1-760+41)),NA(),IF(INDEX(指数走势!$F$35:$ACK$35,1,LOOKUP(2,1/(指数走势!$F$35:$ACK$35&lt;&gt;""),COLUMN(指数走势!$F$35:$ACK$35))-COLUMN(指数走势!$F$35)+1-760+41)=0,NA(),INDEX(指数走势!$F$35:$ACK$35,1,LOOKUP(2,1/(指数走势!$F$35:$ACK$35&lt;&gt;""),COLUMN(指数走势!$F$35:$ACK$35))-COLUMN(指数走势!$F$35)+1-760+41)))</f>
        <v>11.8492002487183</v>
      </c>
      <c r="AQ99" s="2">
        <f>IF(ISERROR(INDEX(指数走势!$F$35:$ACK$35,1,LOOKUP(2,1/(指数走势!$F$35:$ACK$35&lt;&gt;""),COLUMN(指数走势!$F$35:$ACK$35))-COLUMN(指数走势!$F$35)+1-760+42)),NA(),IF(INDEX(指数走势!$F$35:$ACK$35,1,LOOKUP(2,1/(指数走势!$F$35:$ACK$35&lt;&gt;""),COLUMN(指数走势!$F$35:$ACK$35))-COLUMN(指数走势!$F$35)+1-760+42)=0,NA(),INDEX(指数走势!$F$35:$ACK$35,1,LOOKUP(2,1/(指数走势!$F$35:$ACK$35&lt;&gt;""),COLUMN(指数走势!$F$35:$ACK$35))-COLUMN(指数走势!$F$35)+1-760+42)))</f>
        <v>11.7150001525879</v>
      </c>
      <c r="AR99" s="2">
        <f>IF(ISERROR(INDEX(指数走势!$F$35:$ACK$35,1,LOOKUP(2,1/(指数走势!$F$35:$ACK$35&lt;&gt;""),COLUMN(指数走势!$F$35:$ACK$35))-COLUMN(指数走势!$F$35)+1-760+43)),NA(),IF(INDEX(指数走势!$F$35:$ACK$35,1,LOOKUP(2,1/(指数走势!$F$35:$ACK$35&lt;&gt;""),COLUMN(指数走势!$F$35:$ACK$35))-COLUMN(指数走势!$F$35)+1-760+43)=0,NA(),INDEX(指数走势!$F$35:$ACK$35,1,LOOKUP(2,1/(指数走势!$F$35:$ACK$35&lt;&gt;""),COLUMN(指数走势!$F$35:$ACK$35))-COLUMN(指数走势!$F$35)+1-760+43)))</f>
        <v>11.6590003967285</v>
      </c>
      <c r="AS99" s="2">
        <f>IF(ISERROR(INDEX(指数走势!$F$35:$ACK$35,1,LOOKUP(2,1/(指数走势!$F$35:$ACK$35&lt;&gt;""),COLUMN(指数走势!$F$35:$ACK$35))-COLUMN(指数走势!$F$35)+1-760+44)),NA(),IF(INDEX(指数走势!$F$35:$ACK$35,1,LOOKUP(2,1/(指数走势!$F$35:$ACK$35&lt;&gt;""),COLUMN(指数走势!$F$35:$ACK$35))-COLUMN(指数走势!$F$35)+1-760+44)=0,NA(),INDEX(指数走势!$F$35:$ACK$35,1,LOOKUP(2,1/(指数走势!$F$35:$ACK$35&lt;&gt;""),COLUMN(指数走势!$F$35:$ACK$35))-COLUMN(指数走势!$F$35)+1-760+44)))</f>
        <v>11.6595001220703</v>
      </c>
      <c r="AT99" s="2">
        <f>IF(ISERROR(INDEX(指数走势!$F$35:$ACK$35,1,LOOKUP(2,1/(指数走势!$F$35:$ACK$35&lt;&gt;""),COLUMN(指数走势!$F$35:$ACK$35))-COLUMN(指数走势!$F$35)+1-760+45)),NA(),IF(INDEX(指数走势!$F$35:$ACK$35,1,LOOKUP(2,1/(指数走势!$F$35:$ACK$35&lt;&gt;""),COLUMN(指数走势!$F$35:$ACK$35))-COLUMN(指数走势!$F$35)+1-760+45)=0,NA(),INDEX(指数走势!$F$35:$ACK$35,1,LOOKUP(2,1/(指数走势!$F$35:$ACK$35&lt;&gt;""),COLUMN(指数走势!$F$35:$ACK$35))-COLUMN(指数走势!$F$35)+1-760+45)))</f>
        <v>11.5768003463745</v>
      </c>
      <c r="AU99" s="2">
        <f>IF(ISERROR(INDEX(指数走势!$F$35:$ACK$35,1,LOOKUP(2,1/(指数走势!$F$35:$ACK$35&lt;&gt;""),COLUMN(指数走势!$F$35:$ACK$35))-COLUMN(指数走势!$F$35)+1-760+46)),NA(),IF(INDEX(指数走势!$F$35:$ACK$35,1,LOOKUP(2,1/(指数走势!$F$35:$ACK$35&lt;&gt;""),COLUMN(指数走势!$F$35:$ACK$35))-COLUMN(指数走势!$F$35)+1-760+46)=0,NA(),INDEX(指数走势!$F$35:$ACK$35,1,LOOKUP(2,1/(指数走势!$F$35:$ACK$35&lt;&gt;""),COLUMN(指数走势!$F$35:$ACK$35))-COLUMN(指数走势!$F$35)+1-760+46)))</f>
        <v>11.5704002380371</v>
      </c>
      <c r="AV99" s="2">
        <f>IF(ISERROR(INDEX(指数走势!$F$35:$ACK$35,1,LOOKUP(2,1/(指数走势!$F$35:$ACK$35&lt;&gt;""),COLUMN(指数走势!$F$35:$ACK$35))-COLUMN(指数走势!$F$35)+1-760+47)),NA(),IF(INDEX(指数走势!$F$35:$ACK$35,1,LOOKUP(2,1/(指数走势!$F$35:$ACK$35&lt;&gt;""),COLUMN(指数走势!$F$35:$ACK$35))-COLUMN(指数走势!$F$35)+1-760+47)=0,NA(),INDEX(指数走势!$F$35:$ACK$35,1,LOOKUP(2,1/(指数走势!$F$35:$ACK$35&lt;&gt;""),COLUMN(指数走势!$F$35:$ACK$35))-COLUMN(指数走势!$F$35)+1-760+47)))</f>
        <v>11.5380001068115</v>
      </c>
      <c r="AW99" s="2">
        <f>IF(ISERROR(INDEX(指数走势!$F$35:$ACK$35,1,LOOKUP(2,1/(指数走势!$F$35:$ACK$35&lt;&gt;""),COLUMN(指数走势!$F$35:$ACK$35))-COLUMN(指数走势!$F$35)+1-760+48)),NA(),IF(INDEX(指数走势!$F$35:$ACK$35,1,LOOKUP(2,1/(指数走势!$F$35:$ACK$35&lt;&gt;""),COLUMN(指数走势!$F$35:$ACK$35))-COLUMN(指数走势!$F$35)+1-760+48)=0,NA(),INDEX(指数走势!$F$35:$ACK$35,1,LOOKUP(2,1/(指数走势!$F$35:$ACK$35&lt;&gt;""),COLUMN(指数走势!$F$35:$ACK$35))-COLUMN(指数走势!$F$35)+1-760+48)))</f>
        <v>11.8395004272461</v>
      </c>
      <c r="AX99" s="2">
        <f>IF(ISERROR(INDEX(指数走势!$F$35:$ACK$35,1,LOOKUP(2,1/(指数走势!$F$35:$ACK$35&lt;&gt;""),COLUMN(指数走势!$F$35:$ACK$35))-COLUMN(指数走势!$F$35)+1-760+49)),NA(),IF(INDEX(指数走势!$F$35:$ACK$35,1,LOOKUP(2,1/(指数走势!$F$35:$ACK$35&lt;&gt;""),COLUMN(指数走势!$F$35:$ACK$35))-COLUMN(指数走势!$F$35)+1-760+49)=0,NA(),INDEX(指数走势!$F$35:$ACK$35,1,LOOKUP(2,1/(指数走势!$F$35:$ACK$35&lt;&gt;""),COLUMN(指数走势!$F$35:$ACK$35))-COLUMN(指数走势!$F$35)+1-760+49)))</f>
        <v>11.7732000350952</v>
      </c>
      <c r="AY99" s="2">
        <f>IF(ISERROR(INDEX(指数走势!$F$35:$ACK$35,1,LOOKUP(2,1/(指数走势!$F$35:$ACK$35&lt;&gt;""),COLUMN(指数走势!$F$35:$ACK$35))-COLUMN(指数走势!$F$35)+1-760+50)),NA(),IF(INDEX(指数走势!$F$35:$ACK$35,1,LOOKUP(2,1/(指数走势!$F$35:$ACK$35&lt;&gt;""),COLUMN(指数走势!$F$35:$ACK$35))-COLUMN(指数走势!$F$35)+1-760+50)=0,NA(),INDEX(指数走势!$F$35:$ACK$35,1,LOOKUP(2,1/(指数走势!$F$35:$ACK$35&lt;&gt;""),COLUMN(指数走势!$F$35:$ACK$35))-COLUMN(指数走势!$F$35)+1-760+50)))</f>
        <v>11.7817001342773</v>
      </c>
      <c r="AZ99" s="2">
        <f>IF(ISERROR(INDEX(指数走势!$F$35:$ACK$35,1,LOOKUP(2,1/(指数走势!$F$35:$ACK$35&lt;&gt;""),COLUMN(指数走势!$F$35:$ACK$35))-COLUMN(指数走势!$F$35)+1-760+51)),NA(),IF(INDEX(指数走势!$F$35:$ACK$35,1,LOOKUP(2,1/(指数走势!$F$35:$ACK$35&lt;&gt;""),COLUMN(指数走势!$F$35:$ACK$35))-COLUMN(指数走势!$F$35)+1-760+51)=0,NA(),INDEX(指数走势!$F$35:$ACK$35,1,LOOKUP(2,1/(指数走势!$F$35:$ACK$35&lt;&gt;""),COLUMN(指数走势!$F$35:$ACK$35))-COLUMN(指数走势!$F$35)+1-760+51)))</f>
        <v>12.0466003417969</v>
      </c>
      <c r="BA99" s="2">
        <f>IF(ISERROR(INDEX(指数走势!$F$35:$ACK$35,1,LOOKUP(2,1/(指数走势!$F$35:$ACK$35&lt;&gt;""),COLUMN(指数走势!$F$35:$ACK$35))-COLUMN(指数走势!$F$35)+1-760+52)),NA(),IF(INDEX(指数走势!$F$35:$ACK$35,1,LOOKUP(2,1/(指数走势!$F$35:$ACK$35&lt;&gt;""),COLUMN(指数走势!$F$35:$ACK$35))-COLUMN(指数走势!$F$35)+1-760+52)=0,NA(),INDEX(指数走势!$F$35:$ACK$35,1,LOOKUP(2,1/(指数走势!$F$35:$ACK$35&lt;&gt;""),COLUMN(指数走势!$F$35:$ACK$35))-COLUMN(指数走势!$F$35)+1-760+52)))</f>
        <v>12.0958003997803</v>
      </c>
      <c r="BB99" s="2">
        <f>IF(ISERROR(INDEX(指数走势!$F$35:$ACK$35,1,LOOKUP(2,1/(指数走势!$F$35:$ACK$35&lt;&gt;""),COLUMN(指数走势!$F$35:$ACK$35))-COLUMN(指数走势!$F$35)+1-760+53)),NA(),IF(INDEX(指数走势!$F$35:$ACK$35,1,LOOKUP(2,1/(指数走势!$F$35:$ACK$35&lt;&gt;""),COLUMN(指数走势!$F$35:$ACK$35))-COLUMN(指数走势!$F$35)+1-760+53)=0,NA(),INDEX(指数走势!$F$35:$ACK$35,1,LOOKUP(2,1/(指数走势!$F$35:$ACK$35&lt;&gt;""),COLUMN(指数走势!$F$35:$ACK$35))-COLUMN(指数走势!$F$35)+1-760+53)))</f>
        <v>12.0733995437622</v>
      </c>
      <c r="BC99" s="2">
        <f>IF(ISERROR(INDEX(指数走势!$F$35:$ACK$35,1,LOOKUP(2,1/(指数走势!$F$35:$ACK$35&lt;&gt;""),COLUMN(指数走势!$F$35:$ACK$35))-COLUMN(指数走势!$F$35)+1-760+54)),NA(),IF(INDEX(指数走势!$F$35:$ACK$35,1,LOOKUP(2,1/(指数走势!$F$35:$ACK$35&lt;&gt;""),COLUMN(指数走势!$F$35:$ACK$35))-COLUMN(指数走势!$F$35)+1-760+54)=0,NA(),INDEX(指数走势!$F$35:$ACK$35,1,LOOKUP(2,1/(指数走势!$F$35:$ACK$35&lt;&gt;""),COLUMN(指数走势!$F$35:$ACK$35))-COLUMN(指数走势!$F$35)+1-760+54)))</f>
        <v>11.9379997253418</v>
      </c>
      <c r="BD99" s="2">
        <f>IF(ISERROR(INDEX(指数走势!$F$35:$ACK$35,1,LOOKUP(2,1/(指数走势!$F$35:$ACK$35&lt;&gt;""),COLUMN(指数走势!$F$35:$ACK$35))-COLUMN(指数走势!$F$35)+1-760+55)),NA(),IF(INDEX(指数走势!$F$35:$ACK$35,1,LOOKUP(2,1/(指数走势!$F$35:$ACK$35&lt;&gt;""),COLUMN(指数走势!$F$35:$ACK$35))-COLUMN(指数走势!$F$35)+1-760+55)=0,NA(),INDEX(指数走势!$F$35:$ACK$35,1,LOOKUP(2,1/(指数走势!$F$35:$ACK$35&lt;&gt;""),COLUMN(指数走势!$F$35:$ACK$35))-COLUMN(指数走势!$F$35)+1-760+55)))</f>
        <v>12.0198001861572</v>
      </c>
      <c r="BE99" s="2">
        <f>IF(ISERROR(INDEX(指数走势!$F$35:$ACK$35,1,LOOKUP(2,1/(指数走势!$F$35:$ACK$35&lt;&gt;""),COLUMN(指数走势!$F$35:$ACK$35))-COLUMN(指数走势!$F$35)+1-760+56)),NA(),IF(INDEX(指数走势!$F$35:$ACK$35,1,LOOKUP(2,1/(指数走势!$F$35:$ACK$35&lt;&gt;""),COLUMN(指数走势!$F$35:$ACK$35))-COLUMN(指数走势!$F$35)+1-760+56)=0,NA(),INDEX(指数走势!$F$35:$ACK$35,1,LOOKUP(2,1/(指数走势!$F$35:$ACK$35&lt;&gt;""),COLUMN(指数走势!$F$35:$ACK$35))-COLUMN(指数走势!$F$35)+1-760+56)))</f>
        <v>12.0927000045776</v>
      </c>
      <c r="BF99" s="2">
        <f>IF(ISERROR(INDEX(指数走势!$F$35:$ACK$35,1,LOOKUP(2,1/(指数走势!$F$35:$ACK$35&lt;&gt;""),COLUMN(指数走势!$F$35:$ACK$35))-COLUMN(指数走势!$F$35)+1-760+57)),NA(),IF(INDEX(指数走势!$F$35:$ACK$35,1,LOOKUP(2,1/(指数走势!$F$35:$ACK$35&lt;&gt;""),COLUMN(指数走势!$F$35:$ACK$35))-COLUMN(指数走势!$F$35)+1-760+57)=0,NA(),INDEX(指数走势!$F$35:$ACK$35,1,LOOKUP(2,1/(指数走势!$F$35:$ACK$35&lt;&gt;""),COLUMN(指数走势!$F$35:$ACK$35))-COLUMN(指数走势!$F$35)+1-760+57)))</f>
        <v>12.0089998245239</v>
      </c>
      <c r="BG99" s="2">
        <f>IF(ISERROR(INDEX(指数走势!$F$35:$ACK$35,1,LOOKUP(2,1/(指数走势!$F$35:$ACK$35&lt;&gt;""),COLUMN(指数走势!$F$35:$ACK$35))-COLUMN(指数走势!$F$35)+1-760+58)),NA(),IF(INDEX(指数走势!$F$35:$ACK$35,1,LOOKUP(2,1/(指数走势!$F$35:$ACK$35&lt;&gt;""),COLUMN(指数走势!$F$35:$ACK$35))-COLUMN(指数走势!$F$35)+1-760+58)=0,NA(),INDEX(指数走势!$F$35:$ACK$35,1,LOOKUP(2,1/(指数走势!$F$35:$ACK$35&lt;&gt;""),COLUMN(指数走势!$F$35:$ACK$35))-COLUMN(指数走势!$F$35)+1-760+58)))</f>
        <v>11.9883003234863</v>
      </c>
      <c r="BH99" s="2">
        <f>IF(ISERROR(INDEX(指数走势!$F$35:$ACK$35,1,LOOKUP(2,1/(指数走势!$F$35:$ACK$35&lt;&gt;""),COLUMN(指数走势!$F$35:$ACK$35))-COLUMN(指数走势!$F$35)+1-760+59)),NA(),IF(INDEX(指数走势!$F$35:$ACK$35,1,LOOKUP(2,1/(指数走势!$F$35:$ACK$35&lt;&gt;""),COLUMN(指数走势!$F$35:$ACK$35))-COLUMN(指数走势!$F$35)+1-760+59)=0,NA(),INDEX(指数走势!$F$35:$ACK$35,1,LOOKUP(2,1/(指数走势!$F$35:$ACK$35&lt;&gt;""),COLUMN(指数走势!$F$35:$ACK$35))-COLUMN(指数走势!$F$35)+1-760+59)))</f>
        <v>11.9484996795654</v>
      </c>
      <c r="BI99">
        <f>IF(ISERROR(INDEX(指数走势!$F$35:$ACK$35,1,LOOKUP(2,1/(指数走势!$F$35:$ACK$35&lt;&gt;""),COLUMN(指数走势!$F$35:$ACK$35))-COLUMN(指数走势!$F$35)+1-760+60)),NA(),IF(INDEX(指数走势!$F$35:$ACK$35,1,LOOKUP(2,1/(指数走势!$F$35:$ACK$35&lt;&gt;""),COLUMN(指数走势!$F$35:$ACK$35))-COLUMN(指数走势!$F$35)+1-760+60)=0,NA(),INDEX(指数走势!$F$35:$ACK$35,1,LOOKUP(2,1/(指数走势!$F$35:$ACK$35&lt;&gt;""),COLUMN(指数走势!$F$35:$ACK$35))-COLUMN(指数走势!$F$35)+1-760+60)))</f>
        <v>11.9889001846313</v>
      </c>
      <c r="BJ99">
        <f>IF(ISERROR(INDEX(指数走势!$F$35:$ACK$35,1,LOOKUP(2,1/(指数走势!$F$35:$ACK$35&lt;&gt;""),COLUMN(指数走势!$F$35:$ACK$35))-COLUMN(指数走势!$F$35)+1-760+61)),NA(),IF(INDEX(指数走势!$F$35:$ACK$35,1,LOOKUP(2,1/(指数走势!$F$35:$ACK$35&lt;&gt;""),COLUMN(指数走势!$F$35:$ACK$35))-COLUMN(指数走势!$F$35)+1-760+61)=0,NA(),INDEX(指数走势!$F$35:$ACK$35,1,LOOKUP(2,1/(指数走势!$F$35:$ACK$35&lt;&gt;""),COLUMN(指数走势!$F$35:$ACK$35))-COLUMN(指数走势!$F$35)+1-760+61)))</f>
        <v>11.7325000762939</v>
      </c>
      <c r="BK99">
        <f>IF(ISERROR(INDEX(指数走势!$F$35:$ACK$35,1,LOOKUP(2,1/(指数走势!$F$35:$ACK$35&lt;&gt;""),COLUMN(指数走势!$F$35:$ACK$35))-COLUMN(指数走势!$F$35)+1-760+62)),NA(),IF(INDEX(指数走势!$F$35:$ACK$35,1,LOOKUP(2,1/(指数走势!$F$35:$ACK$35&lt;&gt;""),COLUMN(指数走势!$F$35:$ACK$35))-COLUMN(指数走势!$F$35)+1-760+62)=0,NA(),INDEX(指数走势!$F$35:$ACK$35,1,LOOKUP(2,1/(指数走势!$F$35:$ACK$35&lt;&gt;""),COLUMN(指数走势!$F$35:$ACK$35))-COLUMN(指数走势!$F$35)+1-760+62)))</f>
        <v>11.6561002731323</v>
      </c>
      <c r="BL99">
        <f>IF(ISERROR(INDEX(指数走势!$F$35:$ACK$35,1,LOOKUP(2,1/(指数走势!$F$35:$ACK$35&lt;&gt;""),COLUMN(指数走势!$F$35:$ACK$35))-COLUMN(指数走势!$F$35)+1-760+63)),NA(),IF(INDEX(指数走势!$F$35:$ACK$35,1,LOOKUP(2,1/(指数走势!$F$35:$ACK$35&lt;&gt;""),COLUMN(指数走势!$F$35:$ACK$35))-COLUMN(指数走势!$F$35)+1-760+63)=0,NA(),INDEX(指数走势!$F$35:$ACK$35,1,LOOKUP(2,1/(指数走势!$F$35:$ACK$35&lt;&gt;""),COLUMN(指数走势!$F$35:$ACK$35))-COLUMN(指数走势!$F$35)+1-760+63)))</f>
        <v>11.6709003448486</v>
      </c>
      <c r="BM99">
        <f>IF(ISERROR(INDEX(指数走势!$F$35:$ACK$35,1,LOOKUP(2,1/(指数走势!$F$35:$ACK$35&lt;&gt;""),COLUMN(指数走势!$F$35:$ACK$35))-COLUMN(指数走势!$F$35)+1-760+64)),NA(),IF(INDEX(指数走势!$F$35:$ACK$35,1,LOOKUP(2,1/(指数走势!$F$35:$ACK$35&lt;&gt;""),COLUMN(指数走势!$F$35:$ACK$35))-COLUMN(指数走势!$F$35)+1-760+64)=0,NA(),INDEX(指数走势!$F$35:$ACK$35,1,LOOKUP(2,1/(指数走势!$F$35:$ACK$35&lt;&gt;""),COLUMN(指数走势!$F$35:$ACK$35))-COLUMN(指数走势!$F$35)+1-760+64)))</f>
        <v>11.5756998062134</v>
      </c>
      <c r="BN99">
        <f>IF(ISERROR(INDEX(指数走势!$F$35:$ACK$35,1,LOOKUP(2,1/(指数走势!$F$35:$ACK$35&lt;&gt;""),COLUMN(指数走势!$F$35:$ACK$35))-COLUMN(指数走势!$F$35)+1-760+65)),NA(),IF(INDEX(指数走势!$F$35:$ACK$35,1,LOOKUP(2,1/(指数走势!$F$35:$ACK$35&lt;&gt;""),COLUMN(指数走势!$F$35:$ACK$35))-COLUMN(指数走势!$F$35)+1-760+65)=0,NA(),INDEX(指数走势!$F$35:$ACK$35,1,LOOKUP(2,1/(指数走势!$F$35:$ACK$35&lt;&gt;""),COLUMN(指数走势!$F$35:$ACK$35))-COLUMN(指数走势!$F$35)+1-760+65)))</f>
        <v>11.5934000015259</v>
      </c>
      <c r="BO99">
        <f>IF(ISERROR(INDEX(指数走势!$F$35:$ACK$35,1,LOOKUP(2,1/(指数走势!$F$35:$ACK$35&lt;&gt;""),COLUMN(指数走势!$F$35:$ACK$35))-COLUMN(指数走势!$F$35)+1-760+66)),NA(),IF(INDEX(指数走势!$F$35:$ACK$35,1,LOOKUP(2,1/(指数走势!$F$35:$ACK$35&lt;&gt;""),COLUMN(指数走势!$F$35:$ACK$35))-COLUMN(指数走势!$F$35)+1-760+66)=0,NA(),INDEX(指数走势!$F$35:$ACK$35,1,LOOKUP(2,1/(指数走势!$F$35:$ACK$35&lt;&gt;""),COLUMN(指数走势!$F$35:$ACK$35))-COLUMN(指数走势!$F$35)+1-760+66)))</f>
        <v>11.4912996292114</v>
      </c>
      <c r="BP99">
        <f>IF(ISERROR(INDEX(指数走势!$F$35:$ACK$35,1,LOOKUP(2,1/(指数走势!$F$35:$ACK$35&lt;&gt;""),COLUMN(指数走势!$F$35:$ACK$35))-COLUMN(指数走势!$F$35)+1-760+67)),NA(),IF(INDEX(指数走势!$F$35:$ACK$35,1,LOOKUP(2,1/(指数走势!$F$35:$ACK$35&lt;&gt;""),COLUMN(指数走势!$F$35:$ACK$35))-COLUMN(指数走势!$F$35)+1-760+67)=0,NA(),INDEX(指数走势!$F$35:$ACK$35,1,LOOKUP(2,1/(指数走势!$F$35:$ACK$35&lt;&gt;""),COLUMN(指数走势!$F$35:$ACK$35))-COLUMN(指数走势!$F$35)+1-760+67)))</f>
        <v>11.3512001037598</v>
      </c>
      <c r="BQ99">
        <f>IF(ISERROR(INDEX(指数走势!$F$35:$ACK$35,1,LOOKUP(2,1/(指数走势!$F$35:$ACK$35&lt;&gt;""),COLUMN(指数走势!$F$35:$ACK$35))-COLUMN(指数走势!$F$35)+1-760+68)),NA(),IF(INDEX(指数走势!$F$35:$ACK$35,1,LOOKUP(2,1/(指数走势!$F$35:$ACK$35&lt;&gt;""),COLUMN(指数走势!$F$35:$ACK$35))-COLUMN(指数走势!$F$35)+1-760+68)=0,NA(),INDEX(指数走势!$F$35:$ACK$35,1,LOOKUP(2,1/(指数走势!$F$35:$ACK$35&lt;&gt;""),COLUMN(指数走势!$F$35:$ACK$35))-COLUMN(指数走势!$F$35)+1-760+68)))</f>
        <v>11.4890003204346</v>
      </c>
      <c r="BR99">
        <f>IF(ISERROR(INDEX(指数走势!$F$35:$ACK$35,1,LOOKUP(2,1/(指数走势!$F$35:$ACK$35&lt;&gt;""),COLUMN(指数走势!$F$35:$ACK$35))-COLUMN(指数走势!$F$35)+1-760+69)),NA(),IF(INDEX(指数走势!$F$35:$ACK$35,1,LOOKUP(2,1/(指数走势!$F$35:$ACK$35&lt;&gt;""),COLUMN(指数走势!$F$35:$ACK$35))-COLUMN(指数走势!$F$35)+1-760+69)=0,NA(),INDEX(指数走势!$F$35:$ACK$35,1,LOOKUP(2,1/(指数走势!$F$35:$ACK$35&lt;&gt;""),COLUMN(指数走势!$F$35:$ACK$35))-COLUMN(指数走势!$F$35)+1-760+69)))</f>
        <v>11.3509998321533</v>
      </c>
      <c r="BS99">
        <f>IF(ISERROR(INDEX(指数走势!$F$35:$ACK$35,1,LOOKUP(2,1/(指数走势!$F$35:$ACK$35&lt;&gt;""),COLUMN(指数走势!$F$35:$ACK$35))-COLUMN(指数走势!$F$35)+1-760+70)),NA(),IF(INDEX(指数走势!$F$35:$ACK$35,1,LOOKUP(2,1/(指数走势!$F$35:$ACK$35&lt;&gt;""),COLUMN(指数走势!$F$35:$ACK$35))-COLUMN(指数走势!$F$35)+1-760+70)=0,NA(),INDEX(指数走势!$F$35:$ACK$35,1,LOOKUP(2,1/(指数走势!$F$35:$ACK$35&lt;&gt;""),COLUMN(指数走势!$F$35:$ACK$35))-COLUMN(指数走势!$F$35)+1-760+70)))</f>
        <v>11.3929004669189</v>
      </c>
      <c r="BT99">
        <f>IF(ISERROR(INDEX(指数走势!$F$35:$ACK$35,1,LOOKUP(2,1/(指数走势!$F$35:$ACK$35&lt;&gt;""),COLUMN(指数走势!$F$35:$ACK$35))-COLUMN(指数走势!$F$35)+1-760+71)),NA(),IF(INDEX(指数走势!$F$35:$ACK$35,1,LOOKUP(2,1/(指数走势!$F$35:$ACK$35&lt;&gt;""),COLUMN(指数走势!$F$35:$ACK$35))-COLUMN(指数走势!$F$35)+1-760+71)=0,NA(),INDEX(指数走势!$F$35:$ACK$35,1,LOOKUP(2,1/(指数走势!$F$35:$ACK$35&lt;&gt;""),COLUMN(指数走势!$F$35:$ACK$35))-COLUMN(指数走势!$F$35)+1-760+71)))</f>
        <v>11.3604001998901</v>
      </c>
      <c r="BU99">
        <f>IF(ISERROR(INDEX(指数走势!$F$35:$ACK$35,1,LOOKUP(2,1/(指数走势!$F$35:$ACK$35&lt;&gt;""),COLUMN(指数走势!$F$35:$ACK$35))-COLUMN(指数走势!$F$35)+1-760+72)),NA(),IF(INDEX(指数走势!$F$35:$ACK$35,1,LOOKUP(2,1/(指数走势!$F$35:$ACK$35&lt;&gt;""),COLUMN(指数走势!$F$35:$ACK$35))-COLUMN(指数走势!$F$35)+1-760+72)=0,NA(),INDEX(指数走势!$F$35:$ACK$35,1,LOOKUP(2,1/(指数走势!$F$35:$ACK$35&lt;&gt;""),COLUMN(指数走势!$F$35:$ACK$35))-COLUMN(指数走势!$F$35)+1-760+72)))</f>
        <v>11.5805997848511</v>
      </c>
      <c r="BV99">
        <f>IF(ISERROR(INDEX(指数走势!$F$35:$ACK$35,1,LOOKUP(2,1/(指数走势!$F$35:$ACK$35&lt;&gt;""),COLUMN(指数走势!$F$35:$ACK$35))-COLUMN(指数走势!$F$35)+1-760+73)),NA(),IF(INDEX(指数走势!$F$35:$ACK$35,1,LOOKUP(2,1/(指数走势!$F$35:$ACK$35&lt;&gt;""),COLUMN(指数走势!$F$35:$ACK$35))-COLUMN(指数走势!$F$35)+1-760+73)=0,NA(),INDEX(指数走势!$F$35:$ACK$35,1,LOOKUP(2,1/(指数走势!$F$35:$ACK$35&lt;&gt;""),COLUMN(指数走势!$F$35:$ACK$35))-COLUMN(指数走势!$F$35)+1-760+73)))</f>
        <v>11.6254997253418</v>
      </c>
      <c r="BW99">
        <f>IF(ISERROR(INDEX(指数走势!$F$35:$ACK$35,1,LOOKUP(2,1/(指数走势!$F$35:$ACK$35&lt;&gt;""),COLUMN(指数走势!$F$35:$ACK$35))-COLUMN(指数走势!$F$35)+1-760+74)),NA(),IF(INDEX(指数走势!$F$35:$ACK$35,1,LOOKUP(2,1/(指数走势!$F$35:$ACK$35&lt;&gt;""),COLUMN(指数走势!$F$35:$ACK$35))-COLUMN(指数走势!$F$35)+1-760+74)=0,NA(),INDEX(指数走势!$F$35:$ACK$35,1,LOOKUP(2,1/(指数走势!$F$35:$ACK$35&lt;&gt;""),COLUMN(指数走势!$F$35:$ACK$35))-COLUMN(指数走势!$F$35)+1-760+74)))</f>
        <v>11.6958999633789</v>
      </c>
      <c r="BX99">
        <f>IF(ISERROR(INDEX(指数走势!$F$35:$ACK$35,1,LOOKUP(2,1/(指数走势!$F$35:$ACK$35&lt;&gt;""),COLUMN(指数走势!$F$35:$ACK$35))-COLUMN(指数走势!$F$35)+1-760+75)),NA(),IF(INDEX(指数走势!$F$35:$ACK$35,1,LOOKUP(2,1/(指数走势!$F$35:$ACK$35&lt;&gt;""),COLUMN(指数走势!$F$35:$ACK$35))-COLUMN(指数走势!$F$35)+1-760+75)=0,NA(),INDEX(指数走势!$F$35:$ACK$35,1,LOOKUP(2,1/(指数走势!$F$35:$ACK$35&lt;&gt;""),COLUMN(指数走势!$F$35:$ACK$35))-COLUMN(指数走势!$F$35)+1-760+75)))</f>
        <v>11.6529998779297</v>
      </c>
      <c r="BY99">
        <f>IF(ISERROR(INDEX(指数走势!$F$35:$ACK$35,1,LOOKUP(2,1/(指数走势!$F$35:$ACK$35&lt;&gt;""),COLUMN(指数走势!$F$35:$ACK$35))-COLUMN(指数走势!$F$35)+1-760+76)),NA(),IF(INDEX(指数走势!$F$35:$ACK$35,1,LOOKUP(2,1/(指数走势!$F$35:$ACK$35&lt;&gt;""),COLUMN(指数走势!$F$35:$ACK$35))-COLUMN(指数走势!$F$35)+1-760+76)=0,NA(),INDEX(指数走势!$F$35:$ACK$35,1,LOOKUP(2,1/(指数走势!$F$35:$ACK$35&lt;&gt;""),COLUMN(指数走势!$F$35:$ACK$35))-COLUMN(指数走势!$F$35)+1-760+76)))</f>
        <v>11.7084999084473</v>
      </c>
      <c r="BZ99">
        <f>IF(ISERROR(INDEX(指数走势!$F$35:$ACK$35,1,LOOKUP(2,1/(指数走势!$F$35:$ACK$35&lt;&gt;""),COLUMN(指数走势!$F$35:$ACK$35))-COLUMN(指数走势!$F$35)+1-760+77)),NA(),IF(INDEX(指数走势!$F$35:$ACK$35,1,LOOKUP(2,1/(指数走势!$F$35:$ACK$35&lt;&gt;""),COLUMN(指数走势!$F$35:$ACK$35))-COLUMN(指数走势!$F$35)+1-760+77)=0,NA(),INDEX(指数走势!$F$35:$ACK$35,1,LOOKUP(2,1/(指数走势!$F$35:$ACK$35&lt;&gt;""),COLUMN(指数走势!$F$35:$ACK$35))-COLUMN(指数走势!$F$35)+1-760+77)))</f>
        <v>11.8871002197266</v>
      </c>
      <c r="CA99">
        <f>IF(ISERROR(INDEX(指数走势!$F$35:$ACK$35,1,LOOKUP(2,1/(指数走势!$F$35:$ACK$35&lt;&gt;""),COLUMN(指数走势!$F$35:$ACK$35))-COLUMN(指数走势!$F$35)+1-760+78)),NA(),IF(INDEX(指数走势!$F$35:$ACK$35,1,LOOKUP(2,1/(指数走势!$F$35:$ACK$35&lt;&gt;""),COLUMN(指数走势!$F$35:$ACK$35))-COLUMN(指数走势!$F$35)+1-760+78)=0,NA(),INDEX(指数走势!$F$35:$ACK$35,1,LOOKUP(2,1/(指数走势!$F$35:$ACK$35&lt;&gt;""),COLUMN(指数走势!$F$35:$ACK$35))-COLUMN(指数走势!$F$35)+1-760+78)))</f>
        <v>11.7941999435425</v>
      </c>
      <c r="CB99">
        <f>IF(ISERROR(INDEX(指数走势!$F$35:$ACK$35,1,LOOKUP(2,1/(指数走势!$F$35:$ACK$35&lt;&gt;""),COLUMN(指数走势!$F$35:$ACK$35))-COLUMN(指数走势!$F$35)+1-760+79)),NA(),IF(INDEX(指数走势!$F$35:$ACK$35,1,LOOKUP(2,1/(指数走势!$F$35:$ACK$35&lt;&gt;""),COLUMN(指数走势!$F$35:$ACK$35))-COLUMN(指数走势!$F$35)+1-760+79)=0,NA(),INDEX(指数走势!$F$35:$ACK$35,1,LOOKUP(2,1/(指数走势!$F$35:$ACK$35&lt;&gt;""),COLUMN(指数走势!$F$35:$ACK$35))-COLUMN(指数走势!$F$35)+1-760+79)))</f>
        <v>11.7798004150391</v>
      </c>
      <c r="CC99">
        <f>IF(ISERROR(INDEX(指数走势!$F$35:$ACK$35,1,LOOKUP(2,1/(指数走势!$F$35:$ACK$35&lt;&gt;""),COLUMN(指数走势!$F$35:$ACK$35))-COLUMN(指数走势!$F$35)+1-760+80)),NA(),IF(INDEX(指数走势!$F$35:$ACK$35,1,LOOKUP(2,1/(指数走势!$F$35:$ACK$35&lt;&gt;""),COLUMN(指数走势!$F$35:$ACK$35))-COLUMN(指数走势!$F$35)+1-760+80)=0,NA(),INDEX(指数走势!$F$35:$ACK$35,1,LOOKUP(2,1/(指数走势!$F$35:$ACK$35&lt;&gt;""),COLUMN(指数走势!$F$35:$ACK$35))-COLUMN(指数走势!$F$35)+1-760+80)))</f>
        <v>11.6586999893188</v>
      </c>
      <c r="CD99">
        <f>IF(ISERROR(INDEX(指数走势!$F$35:$ACK$35,1,LOOKUP(2,1/(指数走势!$F$35:$ACK$35&lt;&gt;""),COLUMN(指数走势!$F$35:$ACK$35))-COLUMN(指数走势!$F$35)+1-760+81)),NA(),IF(INDEX(指数走势!$F$35:$ACK$35,1,LOOKUP(2,1/(指数走势!$F$35:$ACK$35&lt;&gt;""),COLUMN(指数走势!$F$35:$ACK$35))-COLUMN(指数走势!$F$35)+1-760+81)=0,NA(),INDEX(指数走势!$F$35:$ACK$35,1,LOOKUP(2,1/(指数走势!$F$35:$ACK$35&lt;&gt;""),COLUMN(指数走势!$F$35:$ACK$35))-COLUMN(指数走势!$F$35)+1-760+81)))</f>
        <v>11.6142997741699</v>
      </c>
      <c r="CE99">
        <f>IF(ISERROR(INDEX(指数走势!$F$35:$ACK$35,1,LOOKUP(2,1/(指数走势!$F$35:$ACK$35&lt;&gt;""),COLUMN(指数走势!$F$35:$ACK$35))-COLUMN(指数走势!$F$35)+1-760+82)),NA(),IF(INDEX(指数走势!$F$35:$ACK$35,1,LOOKUP(2,1/(指数走势!$F$35:$ACK$35&lt;&gt;""),COLUMN(指数走势!$F$35:$ACK$35))-COLUMN(指数走势!$F$35)+1-760+82)=0,NA(),INDEX(指数走势!$F$35:$ACK$35,1,LOOKUP(2,1/(指数走势!$F$35:$ACK$35&lt;&gt;""),COLUMN(指数走势!$F$35:$ACK$35))-COLUMN(指数走势!$F$35)+1-760+82)))</f>
        <v>11.6870002746582</v>
      </c>
      <c r="CF99">
        <f>IF(ISERROR(INDEX(指数走势!$F$35:$ACK$35,1,LOOKUP(2,1/(指数走势!$F$35:$ACK$35&lt;&gt;""),COLUMN(指数走势!$F$35:$ACK$35))-COLUMN(指数走势!$F$35)+1-760+83)),NA(),IF(INDEX(指数走势!$F$35:$ACK$35,1,LOOKUP(2,1/(指数走势!$F$35:$ACK$35&lt;&gt;""),COLUMN(指数走势!$F$35:$ACK$35))-COLUMN(指数走势!$F$35)+1-760+83)=0,NA(),INDEX(指数走势!$F$35:$ACK$35,1,LOOKUP(2,1/(指数走势!$F$35:$ACK$35&lt;&gt;""),COLUMN(指数走势!$F$35:$ACK$35))-COLUMN(指数走势!$F$35)+1-760+83)))</f>
        <v>11.6693000793457</v>
      </c>
      <c r="CG99">
        <f>IF(ISERROR(INDEX(指数走势!$F$35:$ACK$35,1,LOOKUP(2,1/(指数走势!$F$35:$ACK$35&lt;&gt;""),COLUMN(指数走势!$F$35:$ACK$35))-COLUMN(指数走势!$F$35)+1-760+84)),NA(),IF(INDEX(指数走势!$F$35:$ACK$35,1,LOOKUP(2,1/(指数走势!$F$35:$ACK$35&lt;&gt;""),COLUMN(指数走势!$F$35:$ACK$35))-COLUMN(指数走势!$F$35)+1-760+84)=0,NA(),INDEX(指数走势!$F$35:$ACK$35,1,LOOKUP(2,1/(指数走势!$F$35:$ACK$35&lt;&gt;""),COLUMN(指数走势!$F$35:$ACK$35))-COLUMN(指数走势!$F$35)+1-760+84)))</f>
        <v>11.6319999694824</v>
      </c>
      <c r="CH99">
        <f>IF(ISERROR(INDEX(指数走势!$F$35:$ACK$35,1,LOOKUP(2,1/(指数走势!$F$35:$ACK$35&lt;&gt;""),COLUMN(指数走势!$F$35:$ACK$35))-COLUMN(指数走势!$F$35)+1-760+85)),NA(),IF(INDEX(指数走势!$F$35:$ACK$35,1,LOOKUP(2,1/(指数走势!$F$35:$ACK$35&lt;&gt;""),COLUMN(指数走势!$F$35:$ACK$35))-COLUMN(指数走势!$F$35)+1-760+85)=0,NA(),INDEX(指数走势!$F$35:$ACK$35,1,LOOKUP(2,1/(指数走势!$F$35:$ACK$35&lt;&gt;""),COLUMN(指数走势!$F$35:$ACK$35))-COLUMN(指数走势!$F$35)+1-760+85)))</f>
        <v>11.6641998291016</v>
      </c>
      <c r="CI99">
        <f>IF(ISERROR(INDEX(指数走势!$F$35:$ACK$35,1,LOOKUP(2,1/(指数走势!$F$35:$ACK$35&lt;&gt;""),COLUMN(指数走势!$F$35:$ACK$35))-COLUMN(指数走势!$F$35)+1-760+86)),NA(),IF(INDEX(指数走势!$F$35:$ACK$35,1,LOOKUP(2,1/(指数走势!$F$35:$ACK$35&lt;&gt;""),COLUMN(指数走势!$F$35:$ACK$35))-COLUMN(指数走势!$F$35)+1-760+86)=0,NA(),INDEX(指数走势!$F$35:$ACK$35,1,LOOKUP(2,1/(指数走势!$F$35:$ACK$35&lt;&gt;""),COLUMN(指数走势!$F$35:$ACK$35))-COLUMN(指数走势!$F$35)+1-760+86)))</f>
        <v>11.5886001586914</v>
      </c>
      <c r="CJ99">
        <f>IF(ISERROR(INDEX(指数走势!$F$35:$ACK$35,1,LOOKUP(2,1/(指数走势!$F$35:$ACK$35&lt;&gt;""),COLUMN(指数走势!$F$35:$ACK$35))-COLUMN(指数走势!$F$35)+1-760+87)),NA(),IF(INDEX(指数走势!$F$35:$ACK$35,1,LOOKUP(2,1/(指数走势!$F$35:$ACK$35&lt;&gt;""),COLUMN(指数走势!$F$35:$ACK$35))-COLUMN(指数走势!$F$35)+1-760+87)=0,NA(),INDEX(指数走势!$F$35:$ACK$35,1,LOOKUP(2,1/(指数走势!$F$35:$ACK$35&lt;&gt;""),COLUMN(指数走势!$F$35:$ACK$35))-COLUMN(指数走势!$F$35)+1-760+87)))</f>
        <v>11.6157999038696</v>
      </c>
      <c r="CK99">
        <f>IF(ISERROR(INDEX(指数走势!$F$35:$ACK$35,1,LOOKUP(2,1/(指数走势!$F$35:$ACK$35&lt;&gt;""),COLUMN(指数走势!$F$35:$ACK$35))-COLUMN(指数走势!$F$35)+1-760+88)),NA(),IF(INDEX(指数走势!$F$35:$ACK$35,1,LOOKUP(2,1/(指数走势!$F$35:$ACK$35&lt;&gt;""),COLUMN(指数走势!$F$35:$ACK$35))-COLUMN(指数走势!$F$35)+1-760+88)=0,NA(),INDEX(指数走势!$F$35:$ACK$35,1,LOOKUP(2,1/(指数走势!$F$35:$ACK$35&lt;&gt;""),COLUMN(指数走势!$F$35:$ACK$35))-COLUMN(指数走势!$F$35)+1-760+88)))</f>
        <v>11.6346998214722</v>
      </c>
      <c r="CL99">
        <f>IF(ISERROR(INDEX(指数走势!$F$35:$ACK$35,1,LOOKUP(2,1/(指数走势!$F$35:$ACK$35&lt;&gt;""),COLUMN(指数走势!$F$35:$ACK$35))-COLUMN(指数走势!$F$35)+1-760+89)),NA(),IF(INDEX(指数走势!$F$35:$ACK$35,1,LOOKUP(2,1/(指数走势!$F$35:$ACK$35&lt;&gt;""),COLUMN(指数走势!$F$35:$ACK$35))-COLUMN(指数走势!$F$35)+1-760+89)=0,NA(),INDEX(指数走势!$F$35:$ACK$35,1,LOOKUP(2,1/(指数走势!$F$35:$ACK$35&lt;&gt;""),COLUMN(指数走势!$F$35:$ACK$35))-COLUMN(指数走势!$F$35)+1-760+89)))</f>
        <v>11.59850025177</v>
      </c>
      <c r="CM99">
        <f>IF(ISERROR(INDEX(指数走势!$F$35:$ACK$35,1,LOOKUP(2,1/(指数走势!$F$35:$ACK$35&lt;&gt;""),COLUMN(指数走势!$F$35:$ACK$35))-COLUMN(指数走势!$F$35)+1-760+90)),NA(),IF(INDEX(指数走势!$F$35:$ACK$35,1,LOOKUP(2,1/(指数走势!$F$35:$ACK$35&lt;&gt;""),COLUMN(指数走势!$F$35:$ACK$35))-COLUMN(指数走势!$F$35)+1-760+90)=0,NA(),INDEX(指数走势!$F$35:$ACK$35,1,LOOKUP(2,1/(指数走势!$F$35:$ACK$35&lt;&gt;""),COLUMN(指数走势!$F$35:$ACK$35))-COLUMN(指数走势!$F$35)+1-760+90)))</f>
        <v>11.507399559021</v>
      </c>
      <c r="CN99">
        <f>IF(ISERROR(INDEX(指数走势!$F$35:$ACK$35,1,LOOKUP(2,1/(指数走势!$F$35:$ACK$35&lt;&gt;""),COLUMN(指数走势!$F$35:$ACK$35))-COLUMN(指数走势!$F$35)+1-760+91)),NA(),IF(INDEX(指数走势!$F$35:$ACK$35,1,LOOKUP(2,1/(指数走势!$F$35:$ACK$35&lt;&gt;""),COLUMN(指数走势!$F$35:$ACK$35))-COLUMN(指数走势!$F$35)+1-760+91)=0,NA(),INDEX(指数走势!$F$35:$ACK$35,1,LOOKUP(2,1/(指数走势!$F$35:$ACK$35&lt;&gt;""),COLUMN(指数走势!$F$35:$ACK$35))-COLUMN(指数走势!$F$35)+1-760+91)))</f>
        <v>11.6812000274658</v>
      </c>
      <c r="CO99">
        <f>IF(ISERROR(INDEX(指数走势!$F$35:$ACK$35,1,LOOKUP(2,1/(指数走势!$F$35:$ACK$35&lt;&gt;""),COLUMN(指数走势!$F$35:$ACK$35))-COLUMN(指数走势!$F$35)+1-760+92)),NA(),IF(INDEX(指数走势!$F$35:$ACK$35,1,LOOKUP(2,1/(指数走势!$F$35:$ACK$35&lt;&gt;""),COLUMN(指数走势!$F$35:$ACK$35))-COLUMN(指数走势!$F$35)+1-760+92)=0,NA(),INDEX(指数走势!$F$35:$ACK$35,1,LOOKUP(2,1/(指数走势!$F$35:$ACK$35&lt;&gt;""),COLUMN(指数走势!$F$35:$ACK$35))-COLUMN(指数走势!$F$35)+1-760+92)))</f>
        <v>11.6159000396729</v>
      </c>
      <c r="CP99">
        <f>IF(ISERROR(INDEX(指数走势!$F$35:$ACK$35,1,LOOKUP(2,1/(指数走势!$F$35:$ACK$35&lt;&gt;""),COLUMN(指数走势!$F$35:$ACK$35))-COLUMN(指数走势!$F$35)+1-760+93)),NA(),IF(INDEX(指数走势!$F$35:$ACK$35,1,LOOKUP(2,1/(指数走势!$F$35:$ACK$35&lt;&gt;""),COLUMN(指数走势!$F$35:$ACK$35))-COLUMN(指数走势!$F$35)+1-760+93)=0,NA(),INDEX(指数走势!$F$35:$ACK$35,1,LOOKUP(2,1/(指数走势!$F$35:$ACK$35&lt;&gt;""),COLUMN(指数走势!$F$35:$ACK$35))-COLUMN(指数走势!$F$35)+1-760+93)))</f>
        <v>11.546199798584</v>
      </c>
      <c r="CQ99">
        <f>IF(ISERROR(INDEX(指数走势!$F$35:$ACK$35,1,LOOKUP(2,1/(指数走势!$F$35:$ACK$35&lt;&gt;""),COLUMN(指数走势!$F$35:$ACK$35))-COLUMN(指数走势!$F$35)+1-760+94)),NA(),IF(INDEX(指数走势!$F$35:$ACK$35,1,LOOKUP(2,1/(指数走势!$F$35:$ACK$35&lt;&gt;""),COLUMN(指数走势!$F$35:$ACK$35))-COLUMN(指数走势!$F$35)+1-760+94)=0,NA(),INDEX(指数走势!$F$35:$ACK$35,1,LOOKUP(2,1/(指数走势!$F$35:$ACK$35&lt;&gt;""),COLUMN(指数走势!$F$35:$ACK$35))-COLUMN(指数走势!$F$35)+1-760+94)))</f>
        <v>11.5412998199463</v>
      </c>
      <c r="CR99">
        <f>IF(ISERROR(INDEX(指数走势!$F$35:$ACK$35,1,LOOKUP(2,1/(指数走势!$F$35:$ACK$35&lt;&gt;""),COLUMN(指数走势!$F$35:$ACK$35))-COLUMN(指数走势!$F$35)+1-760+95)),NA(),IF(INDEX(指数走势!$F$35:$ACK$35,1,LOOKUP(2,1/(指数走势!$F$35:$ACK$35&lt;&gt;""),COLUMN(指数走势!$F$35:$ACK$35))-COLUMN(指数走势!$F$35)+1-760+95)=0,NA(),INDEX(指数走势!$F$35:$ACK$35,1,LOOKUP(2,1/(指数走势!$F$35:$ACK$35&lt;&gt;""),COLUMN(指数走势!$F$35:$ACK$35))-COLUMN(指数走势!$F$35)+1-760+95)))</f>
        <v>11.521900177002</v>
      </c>
      <c r="CS99">
        <f>IF(ISERROR(INDEX(指数走势!$F$35:$ACK$35,1,LOOKUP(2,1/(指数走势!$F$35:$ACK$35&lt;&gt;""),COLUMN(指数走势!$F$35:$ACK$35))-COLUMN(指数走势!$F$35)+1-760+96)),NA(),IF(INDEX(指数走势!$F$35:$ACK$35,1,LOOKUP(2,1/(指数走势!$F$35:$ACK$35&lt;&gt;""),COLUMN(指数走势!$F$35:$ACK$35))-COLUMN(指数走势!$F$35)+1-760+96)=0,NA(),INDEX(指数走势!$F$35:$ACK$35,1,LOOKUP(2,1/(指数走势!$F$35:$ACK$35&lt;&gt;""),COLUMN(指数走势!$F$35:$ACK$35))-COLUMN(指数走势!$F$35)+1-760+96)))</f>
        <v>11.5146999359131</v>
      </c>
      <c r="CT99">
        <f>IF(ISERROR(INDEX(指数走势!$F$35:$ACK$35,1,LOOKUP(2,1/(指数走势!$F$35:$ACK$35&lt;&gt;""),COLUMN(指数走势!$F$35:$ACK$35))-COLUMN(指数走势!$F$35)+1-760+97)),NA(),IF(INDEX(指数走势!$F$35:$ACK$35,1,LOOKUP(2,1/(指数走势!$F$35:$ACK$35&lt;&gt;""),COLUMN(指数走势!$F$35:$ACK$35))-COLUMN(指数走势!$F$35)+1-760+97)=0,NA(),INDEX(指数走势!$F$35:$ACK$35,1,LOOKUP(2,1/(指数走势!$F$35:$ACK$35&lt;&gt;""),COLUMN(指数走势!$F$35:$ACK$35))-COLUMN(指数走势!$F$35)+1-760+97)))</f>
        <v>11.4267997741699</v>
      </c>
      <c r="CU99">
        <f>IF(ISERROR(INDEX(指数走势!$F$35:$ACK$35,1,LOOKUP(2,1/(指数走势!$F$35:$ACK$35&lt;&gt;""),COLUMN(指数走势!$F$35:$ACK$35))-COLUMN(指数走势!$F$35)+1-760+98)),NA(),IF(INDEX(指数走势!$F$35:$ACK$35,1,LOOKUP(2,1/(指数走势!$F$35:$ACK$35&lt;&gt;""),COLUMN(指数走势!$F$35:$ACK$35))-COLUMN(指数走势!$F$35)+1-760+98)=0,NA(),INDEX(指数走势!$F$35:$ACK$35,1,LOOKUP(2,1/(指数走势!$F$35:$ACK$35&lt;&gt;""),COLUMN(指数走势!$F$35:$ACK$35))-COLUMN(指数走势!$F$35)+1-760+98)))</f>
        <v>11.4512996673584</v>
      </c>
      <c r="CV99">
        <f>IF(ISERROR(INDEX(指数走势!$F$35:$ACK$35,1,LOOKUP(2,1/(指数走势!$F$35:$ACK$35&lt;&gt;""),COLUMN(指数走势!$F$35:$ACK$35))-COLUMN(指数走势!$F$35)+1-760+99)),NA(),IF(INDEX(指数走势!$F$35:$ACK$35,1,LOOKUP(2,1/(指数走势!$F$35:$ACK$35&lt;&gt;""),COLUMN(指数走势!$F$35:$ACK$35))-COLUMN(指数走势!$F$35)+1-760+99)=0,NA(),INDEX(指数走势!$F$35:$ACK$35,1,LOOKUP(2,1/(指数走势!$F$35:$ACK$35&lt;&gt;""),COLUMN(指数走势!$F$35:$ACK$35))-COLUMN(指数走势!$F$35)+1-760+99)))</f>
        <v>11.585000038147</v>
      </c>
      <c r="CW99">
        <f>IF(ISERROR(INDEX(指数走势!$F$35:$ACK$35,1,LOOKUP(2,1/(指数走势!$F$35:$ACK$35&lt;&gt;""),COLUMN(指数走势!$F$35:$ACK$35))-COLUMN(指数走势!$F$35)+1-760+100)),NA(),IF(INDEX(指数走势!$F$35:$ACK$35,1,LOOKUP(2,1/(指数走势!$F$35:$ACK$35&lt;&gt;""),COLUMN(指数走势!$F$35:$ACK$35))-COLUMN(指数走势!$F$35)+1-760+100)=0,NA(),INDEX(指数走势!$F$35:$ACK$35,1,LOOKUP(2,1/(指数走势!$F$35:$ACK$35&lt;&gt;""),COLUMN(指数走势!$F$35:$ACK$35))-COLUMN(指数走势!$F$35)+1-760+100)))</f>
        <v>11.5179004669189</v>
      </c>
      <c r="CX99">
        <f>IF(ISERROR(INDEX(指数走势!$F$35:$ACK$35,1,LOOKUP(2,1/(指数走势!$F$35:$ACK$35&lt;&gt;""),COLUMN(指数走势!$F$35:$ACK$35))-COLUMN(指数走势!$F$35)+1-760+101)),NA(),IF(INDEX(指数走势!$F$35:$ACK$35,1,LOOKUP(2,1/(指数走势!$F$35:$ACK$35&lt;&gt;""),COLUMN(指数走势!$F$35:$ACK$35))-COLUMN(指数走势!$F$35)+1-760+101)=0,NA(),INDEX(指数走势!$F$35:$ACK$35,1,LOOKUP(2,1/(指数走势!$F$35:$ACK$35&lt;&gt;""),COLUMN(指数走势!$F$35:$ACK$35))-COLUMN(指数走势!$F$35)+1-760+101)))</f>
        <v>11.4472999572754</v>
      </c>
      <c r="CY99">
        <f>IF(ISERROR(INDEX(指数走势!$F$35:$ACK$35,1,LOOKUP(2,1/(指数走势!$F$35:$ACK$35&lt;&gt;""),COLUMN(指数走势!$F$35:$ACK$35))-COLUMN(指数走势!$F$35)+1-760+102)),NA(),IF(INDEX(指数走势!$F$35:$ACK$35,1,LOOKUP(2,1/(指数走势!$F$35:$ACK$35&lt;&gt;""),COLUMN(指数走势!$F$35:$ACK$35))-COLUMN(指数走势!$F$35)+1-760+102)=0,NA(),INDEX(指数走势!$F$35:$ACK$35,1,LOOKUP(2,1/(指数走势!$F$35:$ACK$35&lt;&gt;""),COLUMN(指数走势!$F$35:$ACK$35))-COLUMN(指数走势!$F$35)+1-760+102)))</f>
        <v>11.5150003433228</v>
      </c>
      <c r="CZ99">
        <f>IF(ISERROR(INDEX(指数走势!$F$35:$ACK$35,1,LOOKUP(2,1/(指数走势!$F$35:$ACK$35&lt;&gt;""),COLUMN(指数走势!$F$35:$ACK$35))-COLUMN(指数走势!$F$35)+1-760+103)),NA(),IF(INDEX(指数走势!$F$35:$ACK$35,1,LOOKUP(2,1/(指数走势!$F$35:$ACK$35&lt;&gt;""),COLUMN(指数走势!$F$35:$ACK$35))-COLUMN(指数走势!$F$35)+1-760+103)=0,NA(),INDEX(指数走势!$F$35:$ACK$35,1,LOOKUP(2,1/(指数走势!$F$35:$ACK$35&lt;&gt;""),COLUMN(指数走势!$F$35:$ACK$35))-COLUMN(指数走势!$F$35)+1-760+103)))</f>
        <v>11.4517002105713</v>
      </c>
      <c r="DA99">
        <f>IF(ISERROR(INDEX(指数走势!$F$35:$ACK$35,1,LOOKUP(2,1/(指数走势!$F$35:$ACK$35&lt;&gt;""),COLUMN(指数走势!$F$35:$ACK$35))-COLUMN(指数走势!$F$35)+1-760+104)),NA(),IF(INDEX(指数走势!$F$35:$ACK$35,1,LOOKUP(2,1/(指数走势!$F$35:$ACK$35&lt;&gt;""),COLUMN(指数走势!$F$35:$ACK$35))-COLUMN(指数走势!$F$35)+1-760+104)=0,NA(),INDEX(指数走势!$F$35:$ACK$35,1,LOOKUP(2,1/(指数走势!$F$35:$ACK$35&lt;&gt;""),COLUMN(指数走势!$F$35:$ACK$35))-COLUMN(指数走势!$F$35)+1-760+104)))</f>
        <v>11.2030000686646</v>
      </c>
      <c r="DB99">
        <f>IF(ISERROR(INDEX(指数走势!$F$35:$ACK$35,1,LOOKUP(2,1/(指数走势!$F$35:$ACK$35&lt;&gt;""),COLUMN(指数走势!$F$35:$ACK$35))-COLUMN(指数走势!$F$35)+1-760+105)),NA(),IF(INDEX(指数走势!$F$35:$ACK$35,1,LOOKUP(2,1/(指数走势!$F$35:$ACK$35&lt;&gt;""),COLUMN(指数走势!$F$35:$ACK$35))-COLUMN(指数走势!$F$35)+1-760+105)=0,NA(),INDEX(指数走势!$F$35:$ACK$35,1,LOOKUP(2,1/(指数走势!$F$35:$ACK$35&lt;&gt;""),COLUMN(指数走势!$F$35:$ACK$35))-COLUMN(指数走势!$F$35)+1-760+105)))</f>
        <v>11.1127996444702</v>
      </c>
      <c r="DC99">
        <f>IF(ISERROR(INDEX(指数走势!$F$35:$ACK$35,1,LOOKUP(2,1/(指数走势!$F$35:$ACK$35&lt;&gt;""),COLUMN(指数走势!$F$35:$ACK$35))-COLUMN(指数走势!$F$35)+1-760+106)),NA(),IF(INDEX(指数走势!$F$35:$ACK$35,1,LOOKUP(2,1/(指数走势!$F$35:$ACK$35&lt;&gt;""),COLUMN(指数走势!$F$35:$ACK$35))-COLUMN(指数走势!$F$35)+1-760+106)=0,NA(),INDEX(指数走势!$F$35:$ACK$35,1,LOOKUP(2,1/(指数走势!$F$35:$ACK$35&lt;&gt;""),COLUMN(指数走势!$F$35:$ACK$35))-COLUMN(指数走势!$F$35)+1-760+106)))</f>
        <v>11.003399848938</v>
      </c>
      <c r="DD99">
        <f>IF(ISERROR(INDEX(指数走势!$F$35:$ACK$35,1,LOOKUP(2,1/(指数走势!$F$35:$ACK$35&lt;&gt;""),COLUMN(指数走势!$F$35:$ACK$35))-COLUMN(指数走势!$F$35)+1-760+107)),NA(),IF(INDEX(指数走势!$F$35:$ACK$35,1,LOOKUP(2,1/(指数走势!$F$35:$ACK$35&lt;&gt;""),COLUMN(指数走势!$F$35:$ACK$35))-COLUMN(指数走势!$F$35)+1-760+107)=0,NA(),INDEX(指数走势!$F$35:$ACK$35,1,LOOKUP(2,1/(指数走势!$F$35:$ACK$35&lt;&gt;""),COLUMN(指数走势!$F$35:$ACK$35))-COLUMN(指数走势!$F$35)+1-760+107)))</f>
        <v>11.0080003738403</v>
      </c>
      <c r="DE99">
        <f>IF(ISERROR(INDEX(指数走势!$F$35:$ACK$35,1,LOOKUP(2,1/(指数走势!$F$35:$ACK$35&lt;&gt;""),COLUMN(指数走势!$F$35:$ACK$35))-COLUMN(指数走势!$F$35)+1-760+108)),NA(),IF(INDEX(指数走势!$F$35:$ACK$35,1,LOOKUP(2,1/(指数走势!$F$35:$ACK$35&lt;&gt;""),COLUMN(指数走势!$F$35:$ACK$35))-COLUMN(指数走势!$F$35)+1-760+108)=0,NA(),INDEX(指数走势!$F$35:$ACK$35,1,LOOKUP(2,1/(指数走势!$F$35:$ACK$35&lt;&gt;""),COLUMN(指数走势!$F$35:$ACK$35))-COLUMN(指数走势!$F$35)+1-760+108)))</f>
        <v>10.9687995910645</v>
      </c>
      <c r="DF99">
        <f>IF(ISERROR(INDEX(指数走势!$F$35:$ACK$35,1,LOOKUP(2,1/(指数走势!$F$35:$ACK$35&lt;&gt;""),COLUMN(指数走势!$F$35:$ACK$35))-COLUMN(指数走势!$F$35)+1-760+109)),NA(),IF(INDEX(指数走势!$F$35:$ACK$35,1,LOOKUP(2,1/(指数走势!$F$35:$ACK$35&lt;&gt;""),COLUMN(指数走势!$F$35:$ACK$35))-COLUMN(指数走势!$F$35)+1-760+109)=0,NA(),INDEX(指数走势!$F$35:$ACK$35,1,LOOKUP(2,1/(指数走势!$F$35:$ACK$35&lt;&gt;""),COLUMN(指数走势!$F$35:$ACK$35))-COLUMN(指数走势!$F$35)+1-760+109)))</f>
        <v>11.0593996047974</v>
      </c>
      <c r="DG99">
        <f>IF(ISERROR(INDEX(指数走势!$F$35:$ACK$35,1,LOOKUP(2,1/(指数走势!$F$35:$ACK$35&lt;&gt;""),COLUMN(指数走势!$F$35:$ACK$35))-COLUMN(指数走势!$F$35)+1-760+110)),NA(),IF(INDEX(指数走势!$F$35:$ACK$35,1,LOOKUP(2,1/(指数走势!$F$35:$ACK$35&lt;&gt;""),COLUMN(指数走势!$F$35:$ACK$35))-COLUMN(指数走势!$F$35)+1-760+110)=0,NA(),INDEX(指数走势!$F$35:$ACK$35,1,LOOKUP(2,1/(指数走势!$F$35:$ACK$35&lt;&gt;""),COLUMN(指数走势!$F$35:$ACK$35))-COLUMN(指数走势!$F$35)+1-760+110)))</f>
        <v>11.1363000869751</v>
      </c>
      <c r="DH99">
        <f>IF(ISERROR(INDEX(指数走势!$F$35:$ACK$35,1,LOOKUP(2,1/(指数走势!$F$35:$ACK$35&lt;&gt;""),COLUMN(指数走势!$F$35:$ACK$35))-COLUMN(指数走势!$F$35)+1-760+111)),NA(),IF(INDEX(指数走势!$F$35:$ACK$35,1,LOOKUP(2,1/(指数走势!$F$35:$ACK$35&lt;&gt;""),COLUMN(指数走势!$F$35:$ACK$35))-COLUMN(指数走势!$F$35)+1-760+111)=0,NA(),INDEX(指数走势!$F$35:$ACK$35,1,LOOKUP(2,1/(指数走势!$F$35:$ACK$35&lt;&gt;""),COLUMN(指数走势!$F$35:$ACK$35))-COLUMN(指数走势!$F$35)+1-760+111)))</f>
        <v>11.1021003723145</v>
      </c>
      <c r="DI99">
        <f>IF(ISERROR(INDEX(指数走势!$F$35:$ACK$35,1,LOOKUP(2,1/(指数走势!$F$35:$ACK$35&lt;&gt;""),COLUMN(指数走势!$F$35:$ACK$35))-COLUMN(指数走势!$F$35)+1-760+112)),NA(),IF(INDEX(指数走势!$F$35:$ACK$35,1,LOOKUP(2,1/(指数走势!$F$35:$ACK$35&lt;&gt;""),COLUMN(指数走势!$F$35:$ACK$35))-COLUMN(指数走势!$F$35)+1-760+112)=0,NA(),INDEX(指数走势!$F$35:$ACK$35,1,LOOKUP(2,1/(指数走势!$F$35:$ACK$35&lt;&gt;""),COLUMN(指数走势!$F$35:$ACK$35))-COLUMN(指数走势!$F$35)+1-760+112)))</f>
        <v>11.1363000869751</v>
      </c>
      <c r="DJ99">
        <f>IF(ISERROR(INDEX(指数走势!$F$35:$ACK$35,1,LOOKUP(2,1/(指数走势!$F$35:$ACK$35&lt;&gt;""),COLUMN(指数走势!$F$35:$ACK$35))-COLUMN(指数走势!$F$35)+1-760+113)),NA(),IF(INDEX(指数走势!$F$35:$ACK$35,1,LOOKUP(2,1/(指数走势!$F$35:$ACK$35&lt;&gt;""),COLUMN(指数走势!$F$35:$ACK$35))-COLUMN(指数走势!$F$35)+1-760+113)=0,NA(),INDEX(指数走势!$F$35:$ACK$35,1,LOOKUP(2,1/(指数走势!$F$35:$ACK$35&lt;&gt;""),COLUMN(指数走势!$F$35:$ACK$35))-COLUMN(指数走势!$F$35)+1-760+113)))</f>
        <v>11.1541996002197</v>
      </c>
      <c r="DK99">
        <f>IF(ISERROR(INDEX(指数走势!$F$35:$ACK$35,1,LOOKUP(2,1/(指数走势!$F$35:$ACK$35&lt;&gt;""),COLUMN(指数走势!$F$35:$ACK$35))-COLUMN(指数走势!$F$35)+1-760+114)),NA(),IF(INDEX(指数走势!$F$35:$ACK$35,1,LOOKUP(2,1/(指数走势!$F$35:$ACK$35&lt;&gt;""),COLUMN(指数走势!$F$35:$ACK$35))-COLUMN(指数走势!$F$35)+1-760+114)=0,NA(),INDEX(指数走势!$F$35:$ACK$35,1,LOOKUP(2,1/(指数走势!$F$35:$ACK$35&lt;&gt;""),COLUMN(指数走势!$F$35:$ACK$35))-COLUMN(指数走势!$F$35)+1-760+114)))</f>
        <v>11.1282997131348</v>
      </c>
      <c r="DL99">
        <f>IF(ISERROR(INDEX(指数走势!$F$35:$ACK$35,1,LOOKUP(2,1/(指数走势!$F$35:$ACK$35&lt;&gt;""),COLUMN(指数走势!$F$35:$ACK$35))-COLUMN(指数走势!$F$35)+1-760+115)),NA(),IF(INDEX(指数走势!$F$35:$ACK$35,1,LOOKUP(2,1/(指数走势!$F$35:$ACK$35&lt;&gt;""),COLUMN(指数走势!$F$35:$ACK$35))-COLUMN(指数走势!$F$35)+1-760+115)=0,NA(),INDEX(指数走势!$F$35:$ACK$35,1,LOOKUP(2,1/(指数走势!$F$35:$ACK$35&lt;&gt;""),COLUMN(指数走势!$F$35:$ACK$35))-COLUMN(指数走势!$F$35)+1-760+115)))</f>
        <v>11.1842002868652</v>
      </c>
      <c r="DM99">
        <f>IF(ISERROR(INDEX(指数走势!$F$35:$ACK$35,1,LOOKUP(2,1/(指数走势!$F$35:$ACK$35&lt;&gt;""),COLUMN(指数走势!$F$35:$ACK$35))-COLUMN(指数走势!$F$35)+1-760+116)),NA(),IF(INDEX(指数走势!$F$35:$ACK$35,1,LOOKUP(2,1/(指数走势!$F$35:$ACK$35&lt;&gt;""),COLUMN(指数走势!$F$35:$ACK$35))-COLUMN(指数走势!$F$35)+1-760+116)=0,NA(),INDEX(指数走势!$F$35:$ACK$35,1,LOOKUP(2,1/(指数走势!$F$35:$ACK$35&lt;&gt;""),COLUMN(指数走势!$F$35:$ACK$35))-COLUMN(指数走势!$F$35)+1-760+116)))</f>
        <v>11.2493000030518</v>
      </c>
      <c r="DN99">
        <f>IF(ISERROR(INDEX(指数走势!$F$35:$ACK$35,1,LOOKUP(2,1/(指数走势!$F$35:$ACK$35&lt;&gt;""),COLUMN(指数走势!$F$35:$ACK$35))-COLUMN(指数走势!$F$35)+1-760+117)),NA(),IF(INDEX(指数走势!$F$35:$ACK$35,1,LOOKUP(2,1/(指数走势!$F$35:$ACK$35&lt;&gt;""),COLUMN(指数走势!$F$35:$ACK$35))-COLUMN(指数走势!$F$35)+1-760+117)=0,NA(),INDEX(指数走势!$F$35:$ACK$35,1,LOOKUP(2,1/(指数走势!$F$35:$ACK$35&lt;&gt;""),COLUMN(指数走势!$F$35:$ACK$35))-COLUMN(指数走势!$F$35)+1-760+117)))</f>
        <v>11.2232999801636</v>
      </c>
      <c r="DO99">
        <f>IF(ISERROR(INDEX(指数走势!$F$35:$ACK$35,1,LOOKUP(2,1/(指数走势!$F$35:$ACK$35&lt;&gt;""),COLUMN(指数走势!$F$35:$ACK$35))-COLUMN(指数走势!$F$35)+1-760+118)),NA(),IF(INDEX(指数走势!$F$35:$ACK$35,1,LOOKUP(2,1/(指数走势!$F$35:$ACK$35&lt;&gt;""),COLUMN(指数走势!$F$35:$ACK$35))-COLUMN(指数走势!$F$35)+1-760+118)=0,NA(),INDEX(指数走势!$F$35:$ACK$35,1,LOOKUP(2,1/(指数走势!$F$35:$ACK$35&lt;&gt;""),COLUMN(指数走势!$F$35:$ACK$35))-COLUMN(指数走势!$F$35)+1-760+118)))</f>
        <v>11.1928997039795</v>
      </c>
      <c r="DP99">
        <f>IF(ISERROR(INDEX(指数走势!$F$35:$ACK$35,1,LOOKUP(2,1/(指数走势!$F$35:$ACK$35&lt;&gt;""),COLUMN(指数走势!$F$35:$ACK$35))-COLUMN(指数走势!$F$35)+1-760+119)),NA(),IF(INDEX(指数走势!$F$35:$ACK$35,1,LOOKUP(2,1/(指数走势!$F$35:$ACK$35&lt;&gt;""),COLUMN(指数走势!$F$35:$ACK$35))-COLUMN(指数走势!$F$35)+1-760+119)=0,NA(),INDEX(指数走势!$F$35:$ACK$35,1,LOOKUP(2,1/(指数走势!$F$35:$ACK$35&lt;&gt;""),COLUMN(指数走势!$F$35:$ACK$35))-COLUMN(指数走势!$F$35)+1-760+119)))</f>
        <v>11.2252998352051</v>
      </c>
      <c r="DQ99">
        <f>IF(ISERROR(INDEX(指数走势!$F$35:$ACK$35,1,LOOKUP(2,1/(指数走势!$F$35:$ACK$35&lt;&gt;""),COLUMN(指数走势!$F$35:$ACK$35))-COLUMN(指数走势!$F$35)+1-760+120)),NA(),IF(INDEX(指数走势!$F$35:$ACK$35,1,LOOKUP(2,1/(指数走势!$F$35:$ACK$35&lt;&gt;""),COLUMN(指数走势!$F$35:$ACK$35))-COLUMN(指数走势!$F$35)+1-760+120)=0,NA(),INDEX(指数走势!$F$35:$ACK$35,1,LOOKUP(2,1/(指数走势!$F$35:$ACK$35&lt;&gt;""),COLUMN(指数走势!$F$35:$ACK$35))-COLUMN(指数走势!$F$35)+1-760+120)))</f>
        <v>11.1631002426147</v>
      </c>
      <c r="DR99">
        <f>IF(ISERROR(INDEX(指数走势!$F$35:$ACK$35,1,LOOKUP(2,1/(指数走势!$F$35:$ACK$35&lt;&gt;""),COLUMN(指数走势!$F$35:$ACK$35))-COLUMN(指数走势!$F$35)+1-760+121)),NA(),IF(INDEX(指数走势!$F$35:$ACK$35,1,LOOKUP(2,1/(指数走势!$F$35:$ACK$35&lt;&gt;""),COLUMN(指数走势!$F$35:$ACK$35))-COLUMN(指数走势!$F$35)+1-760+121)=0,NA(),INDEX(指数走势!$F$35:$ACK$35,1,LOOKUP(2,1/(指数走势!$F$35:$ACK$35&lt;&gt;""),COLUMN(指数走势!$F$35:$ACK$35))-COLUMN(指数走势!$F$35)+1-760+121)))</f>
        <v>11.1513996124268</v>
      </c>
      <c r="DS99">
        <f>IF(ISERROR(INDEX(指数走势!$F$35:$ACK$35,1,LOOKUP(2,1/(指数走势!$F$35:$ACK$35&lt;&gt;""),COLUMN(指数走势!$F$35:$ACK$35))-COLUMN(指数走势!$F$35)+1-760+122)),NA(),IF(INDEX(指数走势!$F$35:$ACK$35,1,LOOKUP(2,1/(指数走势!$F$35:$ACK$35&lt;&gt;""),COLUMN(指数走势!$F$35:$ACK$35))-COLUMN(指数走势!$F$35)+1-760+122)=0,NA(),INDEX(指数走势!$F$35:$ACK$35,1,LOOKUP(2,1/(指数走势!$F$35:$ACK$35&lt;&gt;""),COLUMN(指数走势!$F$35:$ACK$35))-COLUMN(指数走势!$F$35)+1-760+122)))</f>
        <v>11.1621999740601</v>
      </c>
      <c r="DT99">
        <f>IF(ISERROR(INDEX(指数走势!$F$35:$ACK$35,1,LOOKUP(2,1/(指数走势!$F$35:$ACK$35&lt;&gt;""),COLUMN(指数走势!$F$35:$ACK$35))-COLUMN(指数走势!$F$35)+1-760+123)),NA(),IF(INDEX(指数走势!$F$35:$ACK$35,1,LOOKUP(2,1/(指数走势!$F$35:$ACK$35&lt;&gt;""),COLUMN(指数走势!$F$35:$ACK$35))-COLUMN(指数走势!$F$35)+1-760+123)=0,NA(),INDEX(指数走势!$F$35:$ACK$35,1,LOOKUP(2,1/(指数走势!$F$35:$ACK$35&lt;&gt;""),COLUMN(指数走势!$F$35:$ACK$35))-COLUMN(指数走势!$F$35)+1-760+123)))</f>
        <v>11.2285003662109</v>
      </c>
      <c r="DU99">
        <f>IF(ISERROR(INDEX(指数走势!$F$35:$ACK$35,1,LOOKUP(2,1/(指数走势!$F$35:$ACK$35&lt;&gt;""),COLUMN(指数走势!$F$35:$ACK$35))-COLUMN(指数走势!$F$35)+1-760+124)),NA(),IF(INDEX(指数走势!$F$35:$ACK$35,1,LOOKUP(2,1/(指数走势!$F$35:$ACK$35&lt;&gt;""),COLUMN(指数走势!$F$35:$ACK$35))-COLUMN(指数走势!$F$35)+1-760+124)=0,NA(),INDEX(指数走势!$F$35:$ACK$35,1,LOOKUP(2,1/(指数走势!$F$35:$ACK$35&lt;&gt;""),COLUMN(指数走势!$F$35:$ACK$35))-COLUMN(指数走势!$F$35)+1-760+124)))</f>
        <v>11.1498003005981</v>
      </c>
      <c r="DV99">
        <f>IF(ISERROR(INDEX(指数走势!$F$35:$ACK$35,1,LOOKUP(2,1/(指数走势!$F$35:$ACK$35&lt;&gt;""),COLUMN(指数走势!$F$35:$ACK$35))-COLUMN(指数走势!$F$35)+1-760+125)),NA(),IF(INDEX(指数走势!$F$35:$ACK$35,1,LOOKUP(2,1/(指数走势!$F$35:$ACK$35&lt;&gt;""),COLUMN(指数走势!$F$35:$ACK$35))-COLUMN(指数走势!$F$35)+1-760+125)=0,NA(),INDEX(指数走势!$F$35:$ACK$35,1,LOOKUP(2,1/(指数走势!$F$35:$ACK$35&lt;&gt;""),COLUMN(指数走势!$F$35:$ACK$35))-COLUMN(指数走势!$F$35)+1-760+125)))</f>
        <v>11.1219997406006</v>
      </c>
      <c r="DW99">
        <f>IF(ISERROR(INDEX(指数走势!$F$35:$ACK$35,1,LOOKUP(2,1/(指数走势!$F$35:$ACK$35&lt;&gt;""),COLUMN(指数走势!$F$35:$ACK$35))-COLUMN(指数走势!$F$35)+1-760+126)),NA(),IF(INDEX(指数走势!$F$35:$ACK$35,1,LOOKUP(2,1/(指数走势!$F$35:$ACK$35&lt;&gt;""),COLUMN(指数走势!$F$35:$ACK$35))-COLUMN(指数走势!$F$35)+1-760+126)=0,NA(),INDEX(指数走势!$F$35:$ACK$35,1,LOOKUP(2,1/(指数走势!$F$35:$ACK$35&lt;&gt;""),COLUMN(指数走势!$F$35:$ACK$35))-COLUMN(指数走势!$F$35)+1-760+126)))</f>
        <v>11.1450004577637</v>
      </c>
      <c r="DX99">
        <f>IF(ISERROR(INDEX(指数走势!$F$35:$ACK$35,1,LOOKUP(2,1/(指数走势!$F$35:$ACK$35&lt;&gt;""),COLUMN(指数走势!$F$35:$ACK$35))-COLUMN(指数走势!$F$35)+1-760+127)),NA(),IF(INDEX(指数走势!$F$35:$ACK$35,1,LOOKUP(2,1/(指数走势!$F$35:$ACK$35&lt;&gt;""),COLUMN(指数走势!$F$35:$ACK$35))-COLUMN(指数走势!$F$35)+1-760+127)=0,NA(),INDEX(指数走势!$F$35:$ACK$35,1,LOOKUP(2,1/(指数走势!$F$35:$ACK$35&lt;&gt;""),COLUMN(指数走势!$F$35:$ACK$35))-COLUMN(指数走势!$F$35)+1-760+127)))</f>
        <v>11.1605997085571</v>
      </c>
      <c r="DY99">
        <f>IF(ISERROR(INDEX(指数走势!$F$35:$ACK$35,1,LOOKUP(2,1/(指数走势!$F$35:$ACK$35&lt;&gt;""),COLUMN(指数走势!$F$35:$ACK$35))-COLUMN(指数走势!$F$35)+1-760+128)),NA(),IF(INDEX(指数走势!$F$35:$ACK$35,1,LOOKUP(2,1/(指数走势!$F$35:$ACK$35&lt;&gt;""),COLUMN(指数走势!$F$35:$ACK$35))-COLUMN(指数走势!$F$35)+1-760+128)=0,NA(),INDEX(指数走势!$F$35:$ACK$35,1,LOOKUP(2,1/(指数走势!$F$35:$ACK$35&lt;&gt;""),COLUMN(指数走势!$F$35:$ACK$35))-COLUMN(指数走势!$F$35)+1-760+128)))</f>
        <v>11.0789003372192</v>
      </c>
      <c r="DZ99">
        <f>IF(ISERROR(INDEX(指数走势!$F$35:$ACK$35,1,LOOKUP(2,1/(指数走势!$F$35:$ACK$35&lt;&gt;""),COLUMN(指数走势!$F$35:$ACK$35))-COLUMN(指数走势!$F$35)+1-760+129)),NA(),IF(INDEX(指数走势!$F$35:$ACK$35,1,LOOKUP(2,1/(指数走势!$F$35:$ACK$35&lt;&gt;""),COLUMN(指数走势!$F$35:$ACK$35))-COLUMN(指数走势!$F$35)+1-760+129)=0,NA(),INDEX(指数走势!$F$35:$ACK$35,1,LOOKUP(2,1/(指数走势!$F$35:$ACK$35&lt;&gt;""),COLUMN(指数走势!$F$35:$ACK$35))-COLUMN(指数走势!$F$35)+1-760+129)))</f>
        <v>11.1223001480103</v>
      </c>
      <c r="EA99">
        <f>IF(ISERROR(INDEX(指数走势!$F$35:$ACK$35,1,LOOKUP(2,1/(指数走势!$F$35:$ACK$35&lt;&gt;""),COLUMN(指数走势!$F$35:$ACK$35))-COLUMN(指数走势!$F$35)+1-760+130)),NA(),IF(INDEX(指数走势!$F$35:$ACK$35,1,LOOKUP(2,1/(指数走势!$F$35:$ACK$35&lt;&gt;""),COLUMN(指数走势!$F$35:$ACK$35))-COLUMN(指数走势!$F$35)+1-760+130)=0,NA(),INDEX(指数走势!$F$35:$ACK$35,1,LOOKUP(2,1/(指数走势!$F$35:$ACK$35&lt;&gt;""),COLUMN(指数走势!$F$35:$ACK$35))-COLUMN(指数走势!$F$35)+1-760+130)))</f>
        <v>11.0705003738403</v>
      </c>
      <c r="EB99">
        <f>IF(ISERROR(INDEX(指数走势!$F$35:$ACK$35,1,LOOKUP(2,1/(指数走势!$F$35:$ACK$35&lt;&gt;""),COLUMN(指数走势!$F$35:$ACK$35))-COLUMN(指数走势!$F$35)+1-760+131)),NA(),IF(INDEX(指数走势!$F$35:$ACK$35,1,LOOKUP(2,1/(指数走势!$F$35:$ACK$35&lt;&gt;""),COLUMN(指数走势!$F$35:$ACK$35))-COLUMN(指数走势!$F$35)+1-760+131)=0,NA(),INDEX(指数走势!$F$35:$ACK$35,1,LOOKUP(2,1/(指数走势!$F$35:$ACK$35&lt;&gt;""),COLUMN(指数走势!$F$35:$ACK$35))-COLUMN(指数走势!$F$35)+1-760+131)))</f>
        <v>10.9883003234863</v>
      </c>
      <c r="EC99">
        <f>IF(ISERROR(INDEX(指数走势!$F$35:$ACK$35,1,LOOKUP(2,1/(指数走势!$F$35:$ACK$35&lt;&gt;""),COLUMN(指数走势!$F$35:$ACK$35))-COLUMN(指数走势!$F$35)+1-760+132)),NA(),IF(INDEX(指数走势!$F$35:$ACK$35,1,LOOKUP(2,1/(指数走势!$F$35:$ACK$35&lt;&gt;""),COLUMN(指数走势!$F$35:$ACK$35))-COLUMN(指数走势!$F$35)+1-760+132)=0,NA(),INDEX(指数走势!$F$35:$ACK$35,1,LOOKUP(2,1/(指数走势!$F$35:$ACK$35&lt;&gt;""),COLUMN(指数走势!$F$35:$ACK$35))-COLUMN(指数走势!$F$35)+1-760+132)))</f>
        <v>10.9952001571655</v>
      </c>
      <c r="ED99">
        <f>IF(ISERROR(INDEX(指数走势!$F$35:$ACK$35,1,LOOKUP(2,1/(指数走势!$F$35:$ACK$35&lt;&gt;""),COLUMN(指数走势!$F$35:$ACK$35))-COLUMN(指数走势!$F$35)+1-760+133)),NA(),IF(INDEX(指数走势!$F$35:$ACK$35,1,LOOKUP(2,1/(指数走势!$F$35:$ACK$35&lt;&gt;""),COLUMN(指数走势!$F$35:$ACK$35))-COLUMN(指数走势!$F$35)+1-760+133)=0,NA(),INDEX(指数走势!$F$35:$ACK$35,1,LOOKUP(2,1/(指数走势!$F$35:$ACK$35&lt;&gt;""),COLUMN(指数走势!$F$35:$ACK$35))-COLUMN(指数走势!$F$35)+1-760+133)))</f>
        <v>10.9145002365112</v>
      </c>
      <c r="EE99">
        <f>IF(ISERROR(INDEX(指数走势!$F$35:$ACK$35,1,LOOKUP(2,1/(指数走势!$F$35:$ACK$35&lt;&gt;""),COLUMN(指数走势!$F$35:$ACK$35))-COLUMN(指数走势!$F$35)+1-760+134)),NA(),IF(INDEX(指数走势!$F$35:$ACK$35,1,LOOKUP(2,1/(指数走势!$F$35:$ACK$35&lt;&gt;""),COLUMN(指数走势!$F$35:$ACK$35))-COLUMN(指数走势!$F$35)+1-760+134)=0,NA(),INDEX(指数走势!$F$35:$ACK$35,1,LOOKUP(2,1/(指数走势!$F$35:$ACK$35&lt;&gt;""),COLUMN(指数走势!$F$35:$ACK$35))-COLUMN(指数走势!$F$35)+1-760+134)))</f>
        <v>10.9697999954224</v>
      </c>
      <c r="EF99">
        <f>IF(ISERROR(INDEX(指数走势!$F$35:$ACK$35,1,LOOKUP(2,1/(指数走势!$F$35:$ACK$35&lt;&gt;""),COLUMN(指数走势!$F$35:$ACK$35))-COLUMN(指数走势!$F$35)+1-760+135)),NA(),IF(INDEX(指数走势!$F$35:$ACK$35,1,LOOKUP(2,1/(指数走势!$F$35:$ACK$35&lt;&gt;""),COLUMN(指数走势!$F$35:$ACK$35))-COLUMN(指数走势!$F$35)+1-760+135)=0,NA(),INDEX(指数走势!$F$35:$ACK$35,1,LOOKUP(2,1/(指数走势!$F$35:$ACK$35&lt;&gt;""),COLUMN(指数走势!$F$35:$ACK$35))-COLUMN(指数走势!$F$35)+1-760+135)))</f>
        <v>10.9477996826172</v>
      </c>
      <c r="EG99">
        <f>IF(ISERROR(INDEX(指数走势!$F$35:$ACK$35,1,LOOKUP(2,1/(指数走势!$F$35:$ACK$35&lt;&gt;""),COLUMN(指数走势!$F$35:$ACK$35))-COLUMN(指数走势!$F$35)+1-760+136)),NA(),IF(INDEX(指数走势!$F$35:$ACK$35,1,LOOKUP(2,1/(指数走势!$F$35:$ACK$35&lt;&gt;""),COLUMN(指数走势!$F$35:$ACK$35))-COLUMN(指数走势!$F$35)+1-760+136)=0,NA(),INDEX(指数走势!$F$35:$ACK$35,1,LOOKUP(2,1/(指数走势!$F$35:$ACK$35&lt;&gt;""),COLUMN(指数走势!$F$35:$ACK$35))-COLUMN(指数走势!$F$35)+1-760+136)))</f>
        <v>10.8927001953125</v>
      </c>
      <c r="EH99">
        <f>IF(ISERROR(INDEX(指数走势!$F$35:$ACK$35,1,LOOKUP(2,1/(指数走势!$F$35:$ACK$35&lt;&gt;""),COLUMN(指数走势!$F$35:$ACK$35))-COLUMN(指数走势!$F$35)+1-760+137)),NA(),IF(INDEX(指数走势!$F$35:$ACK$35,1,LOOKUP(2,1/(指数走势!$F$35:$ACK$35&lt;&gt;""),COLUMN(指数走势!$F$35:$ACK$35))-COLUMN(指数走势!$F$35)+1-760+137)=0,NA(),INDEX(指数走势!$F$35:$ACK$35,1,LOOKUP(2,1/(指数走势!$F$35:$ACK$35&lt;&gt;""),COLUMN(指数走势!$F$35:$ACK$35))-COLUMN(指数走势!$F$35)+1-760+137)))</f>
        <v>10.7103996276855</v>
      </c>
      <c r="EI99">
        <f>IF(ISERROR(INDEX(指数走势!$F$35:$ACK$35,1,LOOKUP(2,1/(指数走势!$F$35:$ACK$35&lt;&gt;""),COLUMN(指数走势!$F$35:$ACK$35))-COLUMN(指数走势!$F$35)+1-760+138)),NA(),IF(INDEX(指数走势!$F$35:$ACK$35,1,LOOKUP(2,1/(指数走势!$F$35:$ACK$35&lt;&gt;""),COLUMN(指数走势!$F$35:$ACK$35))-COLUMN(指数走势!$F$35)+1-760+138)=0,NA(),INDEX(指数走势!$F$35:$ACK$35,1,LOOKUP(2,1/(指数走势!$F$35:$ACK$35&lt;&gt;""),COLUMN(指数走势!$F$35:$ACK$35))-COLUMN(指数走势!$F$35)+1-760+138)))</f>
        <v>10.6858997344971</v>
      </c>
      <c r="EJ99">
        <f>IF(ISERROR(INDEX(指数走势!$F$35:$ACK$35,1,LOOKUP(2,1/(指数走势!$F$35:$ACK$35&lt;&gt;""),COLUMN(指数走势!$F$35:$ACK$35))-COLUMN(指数走势!$F$35)+1-760+139)),NA(),IF(INDEX(指数走势!$F$35:$ACK$35,1,LOOKUP(2,1/(指数走势!$F$35:$ACK$35&lt;&gt;""),COLUMN(指数走势!$F$35:$ACK$35))-COLUMN(指数走势!$F$35)+1-760+139)=0,NA(),INDEX(指数走势!$F$35:$ACK$35,1,LOOKUP(2,1/(指数走势!$F$35:$ACK$35&lt;&gt;""),COLUMN(指数走势!$F$35:$ACK$35))-COLUMN(指数走势!$F$35)+1-760+139)))</f>
        <v>10.6759996414185</v>
      </c>
      <c r="EK99">
        <f>IF(ISERROR(INDEX(指数走势!$F$35:$ACK$35,1,LOOKUP(2,1/(指数走势!$F$35:$ACK$35&lt;&gt;""),COLUMN(指数走势!$F$35:$ACK$35))-COLUMN(指数走势!$F$35)+1-760+140)),NA(),IF(INDEX(指数走势!$F$35:$ACK$35,1,LOOKUP(2,1/(指数走势!$F$35:$ACK$35&lt;&gt;""),COLUMN(指数走势!$F$35:$ACK$35))-COLUMN(指数走势!$F$35)+1-760+140)=0,NA(),INDEX(指数走势!$F$35:$ACK$35,1,LOOKUP(2,1/(指数走势!$F$35:$ACK$35&lt;&gt;""),COLUMN(指数走势!$F$35:$ACK$35))-COLUMN(指数走势!$F$35)+1-760+140)))</f>
        <v>10.7074003219604</v>
      </c>
      <c r="EL99">
        <f>IF(ISERROR(INDEX(指数走势!$F$35:$ACK$35,1,LOOKUP(2,1/(指数走势!$F$35:$ACK$35&lt;&gt;""),COLUMN(指数走势!$F$35:$ACK$35))-COLUMN(指数走势!$F$35)+1-760+141)),NA(),IF(INDEX(指数走势!$F$35:$ACK$35,1,LOOKUP(2,1/(指数走势!$F$35:$ACK$35&lt;&gt;""),COLUMN(指数走势!$F$35:$ACK$35))-COLUMN(指数走势!$F$35)+1-760+141)=0,NA(),INDEX(指数走势!$F$35:$ACK$35,1,LOOKUP(2,1/(指数走势!$F$35:$ACK$35&lt;&gt;""),COLUMN(指数走势!$F$35:$ACK$35))-COLUMN(指数走势!$F$35)+1-760+141)))</f>
        <v>10.7648000717163</v>
      </c>
      <c r="EM99">
        <f>IF(ISERROR(INDEX(指数走势!$F$35:$ACK$35,1,LOOKUP(2,1/(指数走势!$F$35:$ACK$35&lt;&gt;""),COLUMN(指数走势!$F$35:$ACK$35))-COLUMN(指数走势!$F$35)+1-760+142)),NA(),IF(INDEX(指数走势!$F$35:$ACK$35,1,LOOKUP(2,1/(指数走势!$F$35:$ACK$35&lt;&gt;""),COLUMN(指数走势!$F$35:$ACK$35))-COLUMN(指数走势!$F$35)+1-760+142)=0,NA(),INDEX(指数走势!$F$35:$ACK$35,1,LOOKUP(2,1/(指数走势!$F$35:$ACK$35&lt;&gt;""),COLUMN(指数走势!$F$35:$ACK$35))-COLUMN(指数走势!$F$35)+1-760+142)))</f>
        <v>10.8076000213623</v>
      </c>
      <c r="EN99">
        <f>IF(ISERROR(INDEX(指数走势!$F$35:$ACK$35,1,LOOKUP(2,1/(指数走势!$F$35:$ACK$35&lt;&gt;""),COLUMN(指数走势!$F$35:$ACK$35))-COLUMN(指数走势!$F$35)+1-760+143)),NA(),IF(INDEX(指数走势!$F$35:$ACK$35,1,LOOKUP(2,1/(指数走势!$F$35:$ACK$35&lt;&gt;""),COLUMN(指数走势!$F$35:$ACK$35))-COLUMN(指数走势!$F$35)+1-760+143)=0,NA(),INDEX(指数走势!$F$35:$ACK$35,1,LOOKUP(2,1/(指数走势!$F$35:$ACK$35&lt;&gt;""),COLUMN(指数走势!$F$35:$ACK$35))-COLUMN(指数走势!$F$35)+1-760+143)))</f>
        <v>10.6527996063232</v>
      </c>
      <c r="EO99">
        <f>IF(ISERROR(INDEX(指数走势!$F$35:$ACK$35,1,LOOKUP(2,1/(指数走势!$F$35:$ACK$35&lt;&gt;""),COLUMN(指数走势!$F$35:$ACK$35))-COLUMN(指数走势!$F$35)+1-760+144)),NA(),IF(INDEX(指数走势!$F$35:$ACK$35,1,LOOKUP(2,1/(指数走势!$F$35:$ACK$35&lt;&gt;""),COLUMN(指数走势!$F$35:$ACK$35))-COLUMN(指数走势!$F$35)+1-760+144)=0,NA(),INDEX(指数走势!$F$35:$ACK$35,1,LOOKUP(2,1/(指数走势!$F$35:$ACK$35&lt;&gt;""),COLUMN(指数走势!$F$35:$ACK$35))-COLUMN(指数走势!$F$35)+1-760+144)))</f>
        <v>10.6071996688843</v>
      </c>
      <c r="EP99">
        <f>IF(ISERROR(INDEX(指数走势!$F$35:$ACK$35,1,LOOKUP(2,1/(指数走势!$F$35:$ACK$35&lt;&gt;""),COLUMN(指数走势!$F$35:$ACK$35))-COLUMN(指数走势!$F$35)+1-760+145)),NA(),IF(INDEX(指数走势!$F$35:$ACK$35,1,LOOKUP(2,1/(指数走势!$F$35:$ACK$35&lt;&gt;""),COLUMN(指数走势!$F$35:$ACK$35))-COLUMN(指数走势!$F$35)+1-760+145)=0,NA(),INDEX(指数走势!$F$35:$ACK$35,1,LOOKUP(2,1/(指数走势!$F$35:$ACK$35&lt;&gt;""),COLUMN(指数走势!$F$35:$ACK$35))-COLUMN(指数走势!$F$35)+1-760+145)))</f>
        <v>10.5631999969482</v>
      </c>
      <c r="EQ99">
        <f>IF(ISERROR(INDEX(指数走势!$F$35:$ACK$35,1,LOOKUP(2,1/(指数走势!$F$35:$ACK$35&lt;&gt;""),COLUMN(指数走势!$F$35:$ACK$35))-COLUMN(指数走势!$F$35)+1-760+146)),NA(),IF(INDEX(指数走势!$F$35:$ACK$35,1,LOOKUP(2,1/(指数走势!$F$35:$ACK$35&lt;&gt;""),COLUMN(指数走势!$F$35:$ACK$35))-COLUMN(指数走势!$F$35)+1-760+146)=0,NA(),INDEX(指数走势!$F$35:$ACK$35,1,LOOKUP(2,1/(指数走势!$F$35:$ACK$35&lt;&gt;""),COLUMN(指数走势!$F$35:$ACK$35))-COLUMN(指数走势!$F$35)+1-760+146)))</f>
        <v>10.5578002929687</v>
      </c>
      <c r="ER99">
        <f>IF(ISERROR(INDEX(指数走势!$F$35:$ACK$35,1,LOOKUP(2,1/(指数走势!$F$35:$ACK$35&lt;&gt;""),COLUMN(指数走势!$F$35:$ACK$35))-COLUMN(指数走势!$F$35)+1-760+147)),NA(),IF(INDEX(指数走势!$F$35:$ACK$35,1,LOOKUP(2,1/(指数走势!$F$35:$ACK$35&lt;&gt;""),COLUMN(指数走势!$F$35:$ACK$35))-COLUMN(指数走势!$F$35)+1-760+147)=0,NA(),INDEX(指数走势!$F$35:$ACK$35,1,LOOKUP(2,1/(指数走势!$F$35:$ACK$35&lt;&gt;""),COLUMN(指数走势!$F$35:$ACK$35))-COLUMN(指数走势!$F$35)+1-760+147)))</f>
        <v>10.5776996612549</v>
      </c>
      <c r="ES99">
        <f>IF(ISERROR(INDEX(指数走势!$F$35:$ACK$35,1,LOOKUP(2,1/(指数走势!$F$35:$ACK$35&lt;&gt;""),COLUMN(指数走势!$F$35:$ACK$35))-COLUMN(指数走势!$F$35)+1-760+148)),NA(),IF(INDEX(指数走势!$F$35:$ACK$35,1,LOOKUP(2,1/(指数走势!$F$35:$ACK$35&lt;&gt;""),COLUMN(指数走势!$F$35:$ACK$35))-COLUMN(指数走势!$F$35)+1-760+148)=0,NA(),INDEX(指数走势!$F$35:$ACK$35,1,LOOKUP(2,1/(指数走势!$F$35:$ACK$35&lt;&gt;""),COLUMN(指数走势!$F$35:$ACK$35))-COLUMN(指数走势!$F$35)+1-760+148)))</f>
        <v>10.483099937439</v>
      </c>
      <c r="ET99">
        <f>IF(ISERROR(INDEX(指数走势!$F$35:$ACK$35,1,LOOKUP(2,1/(指数走势!$F$35:$ACK$35&lt;&gt;""),COLUMN(指数走势!$F$35:$ACK$35))-COLUMN(指数走势!$F$35)+1-760+149)),NA(),IF(INDEX(指数走势!$F$35:$ACK$35,1,LOOKUP(2,1/(指数走势!$F$35:$ACK$35&lt;&gt;""),COLUMN(指数走势!$F$35:$ACK$35))-COLUMN(指数走势!$F$35)+1-760+149)=0,NA(),INDEX(指数走势!$F$35:$ACK$35,1,LOOKUP(2,1/(指数走势!$F$35:$ACK$35&lt;&gt;""),COLUMN(指数走势!$F$35:$ACK$35))-COLUMN(指数走势!$F$35)+1-760+149)))</f>
        <v>10.5466995239258</v>
      </c>
      <c r="EU99">
        <f>IF(ISERROR(INDEX(指数走势!$F$35:$ACK$35,1,LOOKUP(2,1/(指数走势!$F$35:$ACK$35&lt;&gt;""),COLUMN(指数走势!$F$35:$ACK$35))-COLUMN(指数走势!$F$35)+1-760+150)),NA(),IF(INDEX(指数走势!$F$35:$ACK$35,1,LOOKUP(2,1/(指数走势!$F$35:$ACK$35&lt;&gt;""),COLUMN(指数走势!$F$35:$ACK$35))-COLUMN(指数走势!$F$35)+1-760+150)=0,NA(),INDEX(指数走势!$F$35:$ACK$35,1,LOOKUP(2,1/(指数走势!$F$35:$ACK$35&lt;&gt;""),COLUMN(指数走势!$F$35:$ACK$35))-COLUMN(指数走势!$F$35)+1-760+150)))</f>
        <v>10.5838003158569</v>
      </c>
      <c r="EV99">
        <f>IF(ISERROR(INDEX(指数走势!$F$35:$ACK$35,1,LOOKUP(2,1/(指数走势!$F$35:$ACK$35&lt;&gt;""),COLUMN(指数走势!$F$35:$ACK$35))-COLUMN(指数走势!$F$35)+1-760+151)),NA(),IF(INDEX(指数走势!$F$35:$ACK$35,1,LOOKUP(2,1/(指数走势!$F$35:$ACK$35&lt;&gt;""),COLUMN(指数走势!$F$35:$ACK$35))-COLUMN(指数走势!$F$35)+1-760+151)=0,NA(),INDEX(指数走势!$F$35:$ACK$35,1,LOOKUP(2,1/(指数走势!$F$35:$ACK$35&lt;&gt;""),COLUMN(指数走势!$F$35:$ACK$35))-COLUMN(指数走势!$F$35)+1-760+151)))</f>
        <v>10.6240997314453</v>
      </c>
      <c r="EW99">
        <f>IF(ISERROR(INDEX(指数走势!$F$35:$ACK$35,1,LOOKUP(2,1/(指数走势!$F$35:$ACK$35&lt;&gt;""),COLUMN(指数走势!$F$35:$ACK$35))-COLUMN(指数走势!$F$35)+1-760+152)),NA(),IF(INDEX(指数走势!$F$35:$ACK$35,1,LOOKUP(2,1/(指数走势!$F$35:$ACK$35&lt;&gt;""),COLUMN(指数走势!$F$35:$ACK$35))-COLUMN(指数走势!$F$35)+1-760+152)=0,NA(),INDEX(指数走势!$F$35:$ACK$35,1,LOOKUP(2,1/(指数走势!$F$35:$ACK$35&lt;&gt;""),COLUMN(指数走势!$F$35:$ACK$35))-COLUMN(指数走势!$F$35)+1-760+152)))</f>
        <v>10.586799621582</v>
      </c>
      <c r="EX99">
        <f>IF(ISERROR(INDEX(指数走势!$F$35:$ACK$35,1,LOOKUP(2,1/(指数走势!$F$35:$ACK$35&lt;&gt;""),COLUMN(指数走势!$F$35:$ACK$35))-COLUMN(指数走势!$F$35)+1-760+153)),NA(),IF(INDEX(指数走势!$F$35:$ACK$35,1,LOOKUP(2,1/(指数走势!$F$35:$ACK$35&lt;&gt;""),COLUMN(指数走势!$F$35:$ACK$35))-COLUMN(指数走势!$F$35)+1-760+153)=0,NA(),INDEX(指数走势!$F$35:$ACK$35,1,LOOKUP(2,1/(指数走势!$F$35:$ACK$35&lt;&gt;""),COLUMN(指数走势!$F$35:$ACK$35))-COLUMN(指数走势!$F$35)+1-760+153)))</f>
        <v>10.6461000442505</v>
      </c>
      <c r="EY99">
        <f>IF(ISERROR(INDEX(指数走势!$F$35:$ACK$35,1,LOOKUP(2,1/(指数走势!$F$35:$ACK$35&lt;&gt;""),COLUMN(指数走势!$F$35:$ACK$35))-COLUMN(指数走势!$F$35)+1-760+154)),NA(),IF(INDEX(指数走势!$F$35:$ACK$35,1,LOOKUP(2,1/(指数走势!$F$35:$ACK$35&lt;&gt;""),COLUMN(指数走势!$F$35:$ACK$35))-COLUMN(指数走势!$F$35)+1-760+154)=0,NA(),INDEX(指数走势!$F$35:$ACK$35,1,LOOKUP(2,1/(指数走势!$F$35:$ACK$35&lt;&gt;""),COLUMN(指数走势!$F$35:$ACK$35))-COLUMN(指数走势!$F$35)+1-760+154)))</f>
        <v>10.8043003082275</v>
      </c>
      <c r="EZ99">
        <f>IF(ISERROR(INDEX(指数走势!$F$35:$ACK$35,1,LOOKUP(2,1/(指数走势!$F$35:$ACK$35&lt;&gt;""),COLUMN(指数走势!$F$35:$ACK$35))-COLUMN(指数走势!$F$35)+1-760+155)),NA(),IF(INDEX(指数走势!$F$35:$ACK$35,1,LOOKUP(2,1/(指数走势!$F$35:$ACK$35&lt;&gt;""),COLUMN(指数走势!$F$35:$ACK$35))-COLUMN(指数走势!$F$35)+1-760+155)=0,NA(),INDEX(指数走势!$F$35:$ACK$35,1,LOOKUP(2,1/(指数走势!$F$35:$ACK$35&lt;&gt;""),COLUMN(指数走势!$F$35:$ACK$35))-COLUMN(指数走势!$F$35)+1-760+155)))</f>
        <v>10.854700088501</v>
      </c>
      <c r="FA99">
        <f>IF(ISERROR(INDEX(指数走势!$F$35:$ACK$35,1,LOOKUP(2,1/(指数走势!$F$35:$ACK$35&lt;&gt;""),COLUMN(指数走势!$F$35:$ACK$35))-COLUMN(指数走势!$F$35)+1-760+156)),NA(),IF(INDEX(指数走势!$F$35:$ACK$35,1,LOOKUP(2,1/(指数走势!$F$35:$ACK$35&lt;&gt;""),COLUMN(指数走势!$F$35:$ACK$35))-COLUMN(指数走势!$F$35)+1-760+156)=0,NA(),INDEX(指数走势!$F$35:$ACK$35,1,LOOKUP(2,1/(指数走势!$F$35:$ACK$35&lt;&gt;""),COLUMN(指数走势!$F$35:$ACK$35))-COLUMN(指数走势!$F$35)+1-760+156)))</f>
        <v>10.7658996582031</v>
      </c>
      <c r="FB99">
        <f>IF(ISERROR(INDEX(指数走势!$F$35:$ACK$35,1,LOOKUP(2,1/(指数走势!$F$35:$ACK$35&lt;&gt;""),COLUMN(指数走势!$F$35:$ACK$35))-COLUMN(指数走势!$F$35)+1-760+157)),NA(),IF(INDEX(指数走势!$F$35:$ACK$35,1,LOOKUP(2,1/(指数走势!$F$35:$ACK$35&lt;&gt;""),COLUMN(指数走势!$F$35:$ACK$35))-COLUMN(指数走势!$F$35)+1-760+157)=0,NA(),INDEX(指数走势!$F$35:$ACK$35,1,LOOKUP(2,1/(指数走势!$F$35:$ACK$35&lt;&gt;""),COLUMN(指数走势!$F$35:$ACK$35))-COLUMN(指数走势!$F$35)+1-760+157)))</f>
        <v>10.7807998657227</v>
      </c>
      <c r="FC99">
        <f>IF(ISERROR(INDEX(指数走势!$F$35:$ACK$35,1,LOOKUP(2,1/(指数走势!$F$35:$ACK$35&lt;&gt;""),COLUMN(指数走势!$F$35:$ACK$35))-COLUMN(指数走势!$F$35)+1-760+158)),NA(),IF(INDEX(指数走势!$F$35:$ACK$35,1,LOOKUP(2,1/(指数走势!$F$35:$ACK$35&lt;&gt;""),COLUMN(指数走势!$F$35:$ACK$35))-COLUMN(指数走势!$F$35)+1-760+158)=0,NA(),INDEX(指数走势!$F$35:$ACK$35,1,LOOKUP(2,1/(指数走势!$F$35:$ACK$35&lt;&gt;""),COLUMN(指数走势!$F$35:$ACK$35))-COLUMN(指数走势!$F$35)+1-760+158)))</f>
        <v>10.7333002090454</v>
      </c>
      <c r="FD99">
        <f>IF(ISERROR(INDEX(指数走势!$F$35:$ACK$35,1,LOOKUP(2,1/(指数走势!$F$35:$ACK$35&lt;&gt;""),COLUMN(指数走势!$F$35:$ACK$35))-COLUMN(指数走势!$F$35)+1-760+159)),NA(),IF(INDEX(指数走势!$F$35:$ACK$35,1,LOOKUP(2,1/(指数走势!$F$35:$ACK$35&lt;&gt;""),COLUMN(指数走势!$F$35:$ACK$35))-COLUMN(指数走势!$F$35)+1-760+159)=0,NA(),INDEX(指数走势!$F$35:$ACK$35,1,LOOKUP(2,1/(指数走势!$F$35:$ACK$35&lt;&gt;""),COLUMN(指数走势!$F$35:$ACK$35))-COLUMN(指数走势!$F$35)+1-760+159)))</f>
        <v>10.6826000213623</v>
      </c>
      <c r="FE99">
        <f>IF(ISERROR(INDEX(指数走势!$F$35:$ACK$35,1,LOOKUP(2,1/(指数走势!$F$35:$ACK$35&lt;&gt;""),COLUMN(指数走势!$F$35:$ACK$35))-COLUMN(指数走势!$F$35)+1-760+160)),NA(),IF(INDEX(指数走势!$F$35:$ACK$35,1,LOOKUP(2,1/(指数走势!$F$35:$ACK$35&lt;&gt;""),COLUMN(指数走势!$F$35:$ACK$35))-COLUMN(指数走势!$F$35)+1-760+160)=0,NA(),INDEX(指数走势!$F$35:$ACK$35,1,LOOKUP(2,1/(指数走势!$F$35:$ACK$35&lt;&gt;""),COLUMN(指数走势!$F$35:$ACK$35))-COLUMN(指数走势!$F$35)+1-760+160)))</f>
        <v>10.5719003677368</v>
      </c>
      <c r="FF99">
        <f>IF(ISERROR(INDEX(指数走势!$F$35:$ACK$35,1,LOOKUP(2,1/(指数走势!$F$35:$ACK$35&lt;&gt;""),COLUMN(指数走势!$F$35:$ACK$35))-COLUMN(指数走势!$F$35)+1-760+161)),NA(),IF(INDEX(指数走势!$F$35:$ACK$35,1,LOOKUP(2,1/(指数走势!$F$35:$ACK$35&lt;&gt;""),COLUMN(指数走势!$F$35:$ACK$35))-COLUMN(指数走势!$F$35)+1-760+161)=0,NA(),INDEX(指数走势!$F$35:$ACK$35,1,LOOKUP(2,1/(指数走势!$F$35:$ACK$35&lt;&gt;""),COLUMN(指数走势!$F$35:$ACK$35))-COLUMN(指数走势!$F$35)+1-760+161)))</f>
        <v>10.5801000595093</v>
      </c>
      <c r="FG99">
        <f>IF(ISERROR(INDEX(指数走势!$F$35:$ACK$35,1,LOOKUP(2,1/(指数走势!$F$35:$ACK$35&lt;&gt;""),COLUMN(指数走势!$F$35:$ACK$35))-COLUMN(指数走势!$F$35)+1-760+162)),NA(),IF(INDEX(指数走势!$F$35:$ACK$35,1,LOOKUP(2,1/(指数走势!$F$35:$ACK$35&lt;&gt;""),COLUMN(指数走势!$F$35:$ACK$35))-COLUMN(指数走势!$F$35)+1-760+162)=0,NA(),INDEX(指数走势!$F$35:$ACK$35,1,LOOKUP(2,1/(指数走势!$F$35:$ACK$35&lt;&gt;""),COLUMN(指数走势!$F$35:$ACK$35))-COLUMN(指数走势!$F$35)+1-760+162)))</f>
        <v>10.5124998092651</v>
      </c>
      <c r="FH99">
        <f>IF(ISERROR(INDEX(指数走势!$F$35:$ACK$35,1,LOOKUP(2,1/(指数走势!$F$35:$ACK$35&lt;&gt;""),COLUMN(指数走势!$F$35:$ACK$35))-COLUMN(指数走势!$F$35)+1-760+163)),NA(),IF(INDEX(指数走势!$F$35:$ACK$35,1,LOOKUP(2,1/(指数走势!$F$35:$ACK$35&lt;&gt;""),COLUMN(指数走势!$F$35:$ACK$35))-COLUMN(指数走势!$F$35)+1-760+163)=0,NA(),INDEX(指数走势!$F$35:$ACK$35,1,LOOKUP(2,1/(指数走势!$F$35:$ACK$35&lt;&gt;""),COLUMN(指数走势!$F$35:$ACK$35))-COLUMN(指数走势!$F$35)+1-760+163)))</f>
        <v>10.5120000839233</v>
      </c>
      <c r="FI99">
        <f>IF(ISERROR(INDEX(指数走势!$F$35:$ACK$35,1,LOOKUP(2,1/(指数走势!$F$35:$ACK$35&lt;&gt;""),COLUMN(指数走势!$F$35:$ACK$35))-COLUMN(指数走势!$F$35)+1-760+164)),NA(),IF(INDEX(指数走势!$F$35:$ACK$35,1,LOOKUP(2,1/(指数走势!$F$35:$ACK$35&lt;&gt;""),COLUMN(指数走势!$F$35:$ACK$35))-COLUMN(指数走势!$F$35)+1-760+164)=0,NA(),INDEX(指数走势!$F$35:$ACK$35,1,LOOKUP(2,1/(指数走势!$F$35:$ACK$35&lt;&gt;""),COLUMN(指数走势!$F$35:$ACK$35))-COLUMN(指数走势!$F$35)+1-760+164)))</f>
        <v>10.5016002655029</v>
      </c>
      <c r="FJ99">
        <f>IF(ISERROR(INDEX(指数走势!$F$35:$ACK$35,1,LOOKUP(2,1/(指数走势!$F$35:$ACK$35&lt;&gt;""),COLUMN(指数走势!$F$35:$ACK$35))-COLUMN(指数走势!$F$35)+1-760+165)),NA(),IF(INDEX(指数走势!$F$35:$ACK$35,1,LOOKUP(2,1/(指数走势!$F$35:$ACK$35&lt;&gt;""),COLUMN(指数走势!$F$35:$ACK$35))-COLUMN(指数走势!$F$35)+1-760+165)=0,NA(),INDEX(指数走势!$F$35:$ACK$35,1,LOOKUP(2,1/(指数走势!$F$35:$ACK$35&lt;&gt;""),COLUMN(指数走势!$F$35:$ACK$35))-COLUMN(指数走势!$F$35)+1-760+165)))</f>
        <v>10.520899772644</v>
      </c>
      <c r="FK99">
        <f>IF(ISERROR(INDEX(指数走势!$F$35:$ACK$35,1,LOOKUP(2,1/(指数走势!$F$35:$ACK$35&lt;&gt;""),COLUMN(指数走势!$F$35:$ACK$35))-COLUMN(指数走势!$F$35)+1-760+166)),NA(),IF(INDEX(指数走势!$F$35:$ACK$35,1,LOOKUP(2,1/(指数走势!$F$35:$ACK$35&lt;&gt;""),COLUMN(指数走势!$F$35:$ACK$35))-COLUMN(指数走势!$F$35)+1-760+166)=0,NA(),INDEX(指数走势!$F$35:$ACK$35,1,LOOKUP(2,1/(指数走势!$F$35:$ACK$35&lt;&gt;""),COLUMN(指数走势!$F$35:$ACK$35))-COLUMN(指数走势!$F$35)+1-760+166)))</f>
        <v>10.581000328064</v>
      </c>
      <c r="FL99">
        <f>IF(ISERROR(INDEX(指数走势!$F$35:$ACK$35,1,LOOKUP(2,1/(指数走势!$F$35:$ACK$35&lt;&gt;""),COLUMN(指数走势!$F$35:$ACK$35))-COLUMN(指数走势!$F$35)+1-760+167)),NA(),IF(INDEX(指数走势!$F$35:$ACK$35,1,LOOKUP(2,1/(指数走势!$F$35:$ACK$35&lt;&gt;""),COLUMN(指数走势!$F$35:$ACK$35))-COLUMN(指数走势!$F$35)+1-760+167)=0,NA(),INDEX(指数走势!$F$35:$ACK$35,1,LOOKUP(2,1/(指数走势!$F$35:$ACK$35&lt;&gt;""),COLUMN(指数走势!$F$35:$ACK$35))-COLUMN(指数走势!$F$35)+1-760+167)))</f>
        <v>10.3833999633789</v>
      </c>
      <c r="FM99">
        <f>IF(ISERROR(INDEX(指数走势!$F$35:$ACK$35,1,LOOKUP(2,1/(指数走势!$F$35:$ACK$35&lt;&gt;""),COLUMN(指数走势!$F$35:$ACK$35))-COLUMN(指数走势!$F$35)+1-760+168)),NA(),IF(INDEX(指数走势!$F$35:$ACK$35,1,LOOKUP(2,1/(指数走势!$F$35:$ACK$35&lt;&gt;""),COLUMN(指数走势!$F$35:$ACK$35))-COLUMN(指数走势!$F$35)+1-760+168)=0,NA(),INDEX(指数走势!$F$35:$ACK$35,1,LOOKUP(2,1/(指数走势!$F$35:$ACK$35&lt;&gt;""),COLUMN(指数走势!$F$35:$ACK$35))-COLUMN(指数走势!$F$35)+1-760+168)))</f>
        <v>10.4906997680664</v>
      </c>
      <c r="FN99">
        <f>IF(ISERROR(INDEX(指数走势!$F$35:$ACK$35,1,LOOKUP(2,1/(指数走势!$F$35:$ACK$35&lt;&gt;""),COLUMN(指数走势!$F$35:$ACK$35))-COLUMN(指数走势!$F$35)+1-760+169)),NA(),IF(INDEX(指数走势!$F$35:$ACK$35,1,LOOKUP(2,1/(指数走势!$F$35:$ACK$35&lt;&gt;""),COLUMN(指数走势!$F$35:$ACK$35))-COLUMN(指数走势!$F$35)+1-760+169)=0,NA(),INDEX(指数走势!$F$35:$ACK$35,1,LOOKUP(2,1/(指数走势!$F$35:$ACK$35&lt;&gt;""),COLUMN(指数走势!$F$35:$ACK$35))-COLUMN(指数走势!$F$35)+1-760+169)))</f>
        <v>10.4688997268677</v>
      </c>
      <c r="FO99">
        <f>IF(ISERROR(INDEX(指数走势!$F$35:$ACK$35,1,LOOKUP(2,1/(指数走势!$F$35:$ACK$35&lt;&gt;""),COLUMN(指数走势!$F$35:$ACK$35))-COLUMN(指数走势!$F$35)+1-760+170)),NA(),IF(INDEX(指数走势!$F$35:$ACK$35,1,LOOKUP(2,1/(指数走势!$F$35:$ACK$35&lt;&gt;""),COLUMN(指数走势!$F$35:$ACK$35))-COLUMN(指数走势!$F$35)+1-760+170)=0,NA(),INDEX(指数走势!$F$35:$ACK$35,1,LOOKUP(2,1/(指数走势!$F$35:$ACK$35&lt;&gt;""),COLUMN(指数走势!$F$35:$ACK$35))-COLUMN(指数走势!$F$35)+1-760+170)))</f>
        <v>10.3352003097534</v>
      </c>
      <c r="FP99">
        <f>IF(ISERROR(INDEX(指数走势!$F$35:$ACK$35,1,LOOKUP(2,1/(指数走势!$F$35:$ACK$35&lt;&gt;""),COLUMN(指数走势!$F$35:$ACK$35))-COLUMN(指数走势!$F$35)+1-760+171)),NA(),IF(INDEX(指数走势!$F$35:$ACK$35,1,LOOKUP(2,1/(指数走势!$F$35:$ACK$35&lt;&gt;""),COLUMN(指数走势!$F$35:$ACK$35))-COLUMN(指数走势!$F$35)+1-760+171)=0,NA(),INDEX(指数走势!$F$35:$ACK$35,1,LOOKUP(2,1/(指数走势!$F$35:$ACK$35&lt;&gt;""),COLUMN(指数走势!$F$35:$ACK$35))-COLUMN(指数走势!$F$35)+1-760+171)))</f>
        <v>10.3605003356934</v>
      </c>
      <c r="FQ99">
        <f>IF(ISERROR(INDEX(指数走势!$F$35:$ACK$35,1,LOOKUP(2,1/(指数走势!$F$35:$ACK$35&lt;&gt;""),COLUMN(指数走势!$F$35:$ACK$35))-COLUMN(指数走势!$F$35)+1-760+172)),NA(),IF(INDEX(指数走势!$F$35:$ACK$35,1,LOOKUP(2,1/(指数走势!$F$35:$ACK$35&lt;&gt;""),COLUMN(指数走势!$F$35:$ACK$35))-COLUMN(指数走势!$F$35)+1-760+172)=0,NA(),INDEX(指数走势!$F$35:$ACK$35,1,LOOKUP(2,1/(指数走势!$F$35:$ACK$35&lt;&gt;""),COLUMN(指数走势!$F$35:$ACK$35))-COLUMN(指数走势!$F$35)+1-760+172)))</f>
        <v>10.5458002090454</v>
      </c>
      <c r="FR99">
        <f>IF(ISERROR(INDEX(指数走势!$F$35:$ACK$35,1,LOOKUP(2,1/(指数走势!$F$35:$ACK$35&lt;&gt;""),COLUMN(指数走势!$F$35:$ACK$35))-COLUMN(指数走势!$F$35)+1-760+173)),NA(),IF(INDEX(指数走势!$F$35:$ACK$35,1,LOOKUP(2,1/(指数走势!$F$35:$ACK$35&lt;&gt;""),COLUMN(指数走势!$F$35:$ACK$35))-COLUMN(指数走势!$F$35)+1-760+173)=0,NA(),INDEX(指数走势!$F$35:$ACK$35,1,LOOKUP(2,1/(指数走势!$F$35:$ACK$35&lt;&gt;""),COLUMN(指数走势!$F$35:$ACK$35))-COLUMN(指数走势!$F$35)+1-760+173)))</f>
        <v>10.81369972229</v>
      </c>
      <c r="FS99">
        <f>IF(ISERROR(INDEX(指数走势!$F$35:$ACK$35,1,LOOKUP(2,1/(指数走势!$F$35:$ACK$35&lt;&gt;""),COLUMN(指数走势!$F$35:$ACK$35))-COLUMN(指数走势!$F$35)+1-760+174)),NA(),IF(INDEX(指数走势!$F$35:$ACK$35,1,LOOKUP(2,1/(指数走势!$F$35:$ACK$35&lt;&gt;""),COLUMN(指数走势!$F$35:$ACK$35))-COLUMN(指数走势!$F$35)+1-760+174)=0,NA(),INDEX(指数走势!$F$35:$ACK$35,1,LOOKUP(2,1/(指数走势!$F$35:$ACK$35&lt;&gt;""),COLUMN(指数走势!$F$35:$ACK$35))-COLUMN(指数走势!$F$35)+1-760+174)))</f>
        <v>10.8528995513916</v>
      </c>
      <c r="FT99">
        <f>IF(ISERROR(INDEX(指数走势!$F$35:$ACK$35,1,LOOKUP(2,1/(指数走势!$F$35:$ACK$35&lt;&gt;""),COLUMN(指数走势!$F$35:$ACK$35))-COLUMN(指数走势!$F$35)+1-760+175)),NA(),IF(INDEX(指数走势!$F$35:$ACK$35,1,LOOKUP(2,1/(指数走势!$F$35:$ACK$35&lt;&gt;""),COLUMN(指数走势!$F$35:$ACK$35))-COLUMN(指数走势!$F$35)+1-760+175)=0,NA(),INDEX(指数走势!$F$35:$ACK$35,1,LOOKUP(2,1/(指数走势!$F$35:$ACK$35&lt;&gt;""),COLUMN(指数走势!$F$35:$ACK$35))-COLUMN(指数走势!$F$35)+1-760+175)))</f>
        <v>10.8169002532959</v>
      </c>
      <c r="FU99">
        <f>IF(ISERROR(INDEX(指数走势!$F$35:$ACK$35,1,LOOKUP(2,1/(指数走势!$F$35:$ACK$35&lt;&gt;""),COLUMN(指数走势!$F$35:$ACK$35))-COLUMN(指数走势!$F$35)+1-760+176)),NA(),IF(INDEX(指数走势!$F$35:$ACK$35,1,LOOKUP(2,1/(指数走势!$F$35:$ACK$35&lt;&gt;""),COLUMN(指数走势!$F$35:$ACK$35))-COLUMN(指数走势!$F$35)+1-760+176)=0,NA(),INDEX(指数走势!$F$35:$ACK$35,1,LOOKUP(2,1/(指数走势!$F$35:$ACK$35&lt;&gt;""),COLUMN(指数走势!$F$35:$ACK$35))-COLUMN(指数走势!$F$35)+1-760+176)))</f>
        <v>10.6515998840332</v>
      </c>
      <c r="FV99">
        <f>IF(ISERROR(INDEX(指数走势!$F$35:$ACK$35,1,LOOKUP(2,1/(指数走势!$F$35:$ACK$35&lt;&gt;""),COLUMN(指数走势!$F$35:$ACK$35))-COLUMN(指数走势!$F$35)+1-760+177)),NA(),IF(INDEX(指数走势!$F$35:$ACK$35,1,LOOKUP(2,1/(指数走势!$F$35:$ACK$35&lt;&gt;""),COLUMN(指数走势!$F$35:$ACK$35))-COLUMN(指数走势!$F$35)+1-760+177)=0,NA(),INDEX(指数走势!$F$35:$ACK$35,1,LOOKUP(2,1/(指数走势!$F$35:$ACK$35&lt;&gt;""),COLUMN(指数走势!$F$35:$ACK$35))-COLUMN(指数走势!$F$35)+1-760+177)))</f>
        <v>10.6059999465942</v>
      </c>
      <c r="FW99">
        <f>IF(ISERROR(INDEX(指数走势!$F$35:$ACK$35,1,LOOKUP(2,1/(指数走势!$F$35:$ACK$35&lt;&gt;""),COLUMN(指数走势!$F$35:$ACK$35))-COLUMN(指数走势!$F$35)+1-760+178)),NA(),IF(INDEX(指数走势!$F$35:$ACK$35,1,LOOKUP(2,1/(指数走势!$F$35:$ACK$35&lt;&gt;""),COLUMN(指数走势!$F$35:$ACK$35))-COLUMN(指数走势!$F$35)+1-760+178)=0,NA(),INDEX(指数走势!$F$35:$ACK$35,1,LOOKUP(2,1/(指数走势!$F$35:$ACK$35&lt;&gt;""),COLUMN(指数走势!$F$35:$ACK$35))-COLUMN(指数走势!$F$35)+1-760+178)))</f>
        <v>10.5631999969482</v>
      </c>
      <c r="FX99">
        <f>IF(ISERROR(INDEX(指数走势!$F$35:$ACK$35,1,LOOKUP(2,1/(指数走势!$F$35:$ACK$35&lt;&gt;""),COLUMN(指数走势!$F$35:$ACK$35))-COLUMN(指数走势!$F$35)+1-760+179)),NA(),IF(INDEX(指数走势!$F$35:$ACK$35,1,LOOKUP(2,1/(指数走势!$F$35:$ACK$35&lt;&gt;""),COLUMN(指数走势!$F$35:$ACK$35))-COLUMN(指数走势!$F$35)+1-760+179)=0,NA(),INDEX(指数走势!$F$35:$ACK$35,1,LOOKUP(2,1/(指数走势!$F$35:$ACK$35&lt;&gt;""),COLUMN(指数走势!$F$35:$ACK$35))-COLUMN(指数走势!$F$35)+1-760+179)))</f>
        <v>10.5031995773315</v>
      </c>
      <c r="FY99">
        <f>IF(ISERROR(INDEX(指数走势!$F$35:$ACK$35,1,LOOKUP(2,1/(指数走势!$F$35:$ACK$35&lt;&gt;""),COLUMN(指数走势!$F$35:$ACK$35))-COLUMN(指数走势!$F$35)+1-760+180)),NA(),IF(INDEX(指数走势!$F$35:$ACK$35,1,LOOKUP(2,1/(指数走势!$F$35:$ACK$35&lt;&gt;""),COLUMN(指数走势!$F$35:$ACK$35))-COLUMN(指数走势!$F$35)+1-760+180)=0,NA(),INDEX(指数走势!$F$35:$ACK$35,1,LOOKUP(2,1/(指数走势!$F$35:$ACK$35&lt;&gt;""),COLUMN(指数走势!$F$35:$ACK$35))-COLUMN(指数走势!$F$35)+1-760+180)))</f>
        <v>10.6124000549316</v>
      </c>
      <c r="FZ99">
        <f>IF(ISERROR(INDEX(指数走势!$F$35:$ACK$35,1,LOOKUP(2,1/(指数走势!$F$35:$ACK$35&lt;&gt;""),COLUMN(指数走势!$F$35:$ACK$35))-COLUMN(指数走势!$F$35)+1-760+181)),NA(),IF(INDEX(指数走势!$F$35:$ACK$35,1,LOOKUP(2,1/(指数走势!$F$35:$ACK$35&lt;&gt;""),COLUMN(指数走势!$F$35:$ACK$35))-COLUMN(指数走势!$F$35)+1-760+181)=0,NA(),INDEX(指数走势!$F$35:$ACK$35,1,LOOKUP(2,1/(指数走势!$F$35:$ACK$35&lt;&gt;""),COLUMN(指数走势!$F$35:$ACK$35))-COLUMN(指数走势!$F$35)+1-760+181)))</f>
        <v>10.8724002838135</v>
      </c>
      <c r="GA99">
        <f>IF(ISERROR(INDEX(指数走势!$F$35:$ACK$35,1,LOOKUP(2,1/(指数走势!$F$35:$ACK$35&lt;&gt;""),COLUMN(指数走势!$F$35:$ACK$35))-COLUMN(指数走势!$F$35)+1-760+182)),NA(),IF(INDEX(指数走势!$F$35:$ACK$35,1,LOOKUP(2,1/(指数走势!$F$35:$ACK$35&lt;&gt;""),COLUMN(指数走势!$F$35:$ACK$35))-COLUMN(指数走势!$F$35)+1-760+182)=0,NA(),INDEX(指数走势!$F$35:$ACK$35,1,LOOKUP(2,1/(指数走势!$F$35:$ACK$35&lt;&gt;""),COLUMN(指数走势!$F$35:$ACK$35))-COLUMN(指数走势!$F$35)+1-760+182)))</f>
        <v>10.9244003295898</v>
      </c>
      <c r="GB99">
        <f>IF(ISERROR(INDEX(指数走势!$F$35:$ACK$35,1,LOOKUP(2,1/(指数走势!$F$35:$ACK$35&lt;&gt;""),COLUMN(指数走势!$F$35:$ACK$35))-COLUMN(指数走势!$F$35)+1-760+183)),NA(),IF(INDEX(指数走势!$F$35:$ACK$35,1,LOOKUP(2,1/(指数走势!$F$35:$ACK$35&lt;&gt;""),COLUMN(指数走势!$F$35:$ACK$35))-COLUMN(指数走势!$F$35)+1-760+183)=0,NA(),INDEX(指数走势!$F$35:$ACK$35,1,LOOKUP(2,1/(指数走势!$F$35:$ACK$35&lt;&gt;""),COLUMN(指数走势!$F$35:$ACK$35))-COLUMN(指数走势!$F$35)+1-760+183)))</f>
        <v>10.9530000686646</v>
      </c>
      <c r="GC99">
        <f>IF(ISERROR(INDEX(指数走势!$F$35:$ACK$35,1,LOOKUP(2,1/(指数走势!$F$35:$ACK$35&lt;&gt;""),COLUMN(指数走势!$F$35:$ACK$35))-COLUMN(指数走势!$F$35)+1-760+184)),NA(),IF(INDEX(指数走势!$F$35:$ACK$35,1,LOOKUP(2,1/(指数走势!$F$35:$ACK$35&lt;&gt;""),COLUMN(指数走势!$F$35:$ACK$35))-COLUMN(指数走势!$F$35)+1-760+184)=0,NA(),INDEX(指数走势!$F$35:$ACK$35,1,LOOKUP(2,1/(指数走势!$F$35:$ACK$35&lt;&gt;""),COLUMN(指数走势!$F$35:$ACK$35))-COLUMN(指数走势!$F$35)+1-760+184)))</f>
        <v>11.1588001251221</v>
      </c>
      <c r="GD99">
        <f>IF(ISERROR(INDEX(指数走势!$F$35:$ACK$35,1,LOOKUP(2,1/(指数走势!$F$35:$ACK$35&lt;&gt;""),COLUMN(指数走势!$F$35:$ACK$35))-COLUMN(指数走势!$F$35)+1-760+185)),NA(),IF(INDEX(指数走势!$F$35:$ACK$35,1,LOOKUP(2,1/(指数走势!$F$35:$ACK$35&lt;&gt;""),COLUMN(指数走势!$F$35:$ACK$35))-COLUMN(指数走势!$F$35)+1-760+185)=0,NA(),INDEX(指数走势!$F$35:$ACK$35,1,LOOKUP(2,1/(指数走势!$F$35:$ACK$35&lt;&gt;""),COLUMN(指数走势!$F$35:$ACK$35))-COLUMN(指数走势!$F$35)+1-760+185)))</f>
        <v>11.1997003555298</v>
      </c>
      <c r="GE99">
        <f>IF(ISERROR(INDEX(指数走势!$F$35:$ACK$35,1,LOOKUP(2,1/(指数走势!$F$35:$ACK$35&lt;&gt;""),COLUMN(指数走势!$F$35:$ACK$35))-COLUMN(指数走势!$F$35)+1-760+186)),NA(),IF(INDEX(指数走势!$F$35:$ACK$35,1,LOOKUP(2,1/(指数走势!$F$35:$ACK$35&lt;&gt;""),COLUMN(指数走势!$F$35:$ACK$35))-COLUMN(指数走势!$F$35)+1-760+186)=0,NA(),INDEX(指数走势!$F$35:$ACK$35,1,LOOKUP(2,1/(指数走势!$F$35:$ACK$35&lt;&gt;""),COLUMN(指数走势!$F$35:$ACK$35))-COLUMN(指数走势!$F$35)+1-760+186)))</f>
        <v>11.3213996887207</v>
      </c>
      <c r="GF99">
        <f>IF(ISERROR(INDEX(指数走势!$F$35:$ACK$35,1,LOOKUP(2,1/(指数走势!$F$35:$ACK$35&lt;&gt;""),COLUMN(指数走势!$F$35:$ACK$35))-COLUMN(指数走势!$F$35)+1-760+187)),NA(),IF(INDEX(指数走势!$F$35:$ACK$35,1,LOOKUP(2,1/(指数走势!$F$35:$ACK$35&lt;&gt;""),COLUMN(指数走势!$F$35:$ACK$35))-COLUMN(指数走势!$F$35)+1-760+187)=0,NA(),INDEX(指数走势!$F$35:$ACK$35,1,LOOKUP(2,1/(指数走势!$F$35:$ACK$35&lt;&gt;""),COLUMN(指数走势!$F$35:$ACK$35))-COLUMN(指数走势!$F$35)+1-760+187)))</f>
        <v>11.4399003982544</v>
      </c>
      <c r="GG99">
        <f>IF(ISERROR(INDEX(指数走势!$F$35:$ACK$35,1,LOOKUP(2,1/(指数走势!$F$35:$ACK$35&lt;&gt;""),COLUMN(指数走势!$F$35:$ACK$35))-COLUMN(指数走势!$F$35)+1-760+188)),NA(),IF(INDEX(指数走势!$F$35:$ACK$35,1,LOOKUP(2,1/(指数走势!$F$35:$ACK$35&lt;&gt;""),COLUMN(指数走势!$F$35:$ACK$35))-COLUMN(指数走势!$F$35)+1-760+188)=0,NA(),INDEX(指数走势!$F$35:$ACK$35,1,LOOKUP(2,1/(指数走势!$F$35:$ACK$35&lt;&gt;""),COLUMN(指数走势!$F$35:$ACK$35))-COLUMN(指数走势!$F$35)+1-760+188)))</f>
        <v>11.4392995834351</v>
      </c>
      <c r="GH99">
        <f>IF(ISERROR(INDEX(指数走势!$F$35:$ACK$35,1,LOOKUP(2,1/(指数走势!$F$35:$ACK$35&lt;&gt;""),COLUMN(指数走势!$F$35:$ACK$35))-COLUMN(指数走势!$F$35)+1-760+189)),NA(),IF(INDEX(指数走势!$F$35:$ACK$35,1,LOOKUP(2,1/(指数走势!$F$35:$ACK$35&lt;&gt;""),COLUMN(指数走势!$F$35:$ACK$35))-COLUMN(指数走势!$F$35)+1-760+189)=0,NA(),INDEX(指数走势!$F$35:$ACK$35,1,LOOKUP(2,1/(指数走势!$F$35:$ACK$35&lt;&gt;""),COLUMN(指数走势!$F$35:$ACK$35))-COLUMN(指数走势!$F$35)+1-760+189)))</f>
        <v>11.2692003250122</v>
      </c>
      <c r="GI99">
        <f>IF(ISERROR(INDEX(指数走势!$F$35:$ACK$35,1,LOOKUP(2,1/(指数走势!$F$35:$ACK$35&lt;&gt;""),COLUMN(指数走势!$F$35:$ACK$35))-COLUMN(指数走势!$F$35)+1-760+190)),NA(),IF(INDEX(指数走势!$F$35:$ACK$35,1,LOOKUP(2,1/(指数走势!$F$35:$ACK$35&lt;&gt;""),COLUMN(指数走势!$F$35:$ACK$35))-COLUMN(指数走势!$F$35)+1-760+190)=0,NA(),INDEX(指数走势!$F$35:$ACK$35,1,LOOKUP(2,1/(指数走势!$F$35:$ACK$35&lt;&gt;""),COLUMN(指数走势!$F$35:$ACK$35))-COLUMN(指数走势!$F$35)+1-760+190)))</f>
        <v>11.3801002502441</v>
      </c>
      <c r="GJ99">
        <f>IF(ISERROR(INDEX(指数走势!$F$35:$ACK$35,1,LOOKUP(2,1/(指数走势!$F$35:$ACK$35&lt;&gt;""),COLUMN(指数走势!$F$35:$ACK$35))-COLUMN(指数走势!$F$35)+1-760+191)),NA(),IF(INDEX(指数走势!$F$35:$ACK$35,1,LOOKUP(2,1/(指数走势!$F$35:$ACK$35&lt;&gt;""),COLUMN(指数走势!$F$35:$ACK$35))-COLUMN(指数走势!$F$35)+1-760+191)=0,NA(),INDEX(指数走势!$F$35:$ACK$35,1,LOOKUP(2,1/(指数走势!$F$35:$ACK$35&lt;&gt;""),COLUMN(指数走势!$F$35:$ACK$35))-COLUMN(指数走势!$F$35)+1-760+191)))</f>
        <v>11.274299621582</v>
      </c>
      <c r="GK99">
        <f>IF(ISERROR(INDEX(指数走势!$F$35:$ACK$35,1,LOOKUP(2,1/(指数走势!$F$35:$ACK$35&lt;&gt;""),COLUMN(指数走势!$F$35:$ACK$35))-COLUMN(指数走势!$F$35)+1-760+192)),NA(),IF(INDEX(指数走势!$F$35:$ACK$35,1,LOOKUP(2,1/(指数走势!$F$35:$ACK$35&lt;&gt;""),COLUMN(指数走势!$F$35:$ACK$35))-COLUMN(指数走势!$F$35)+1-760+192)=0,NA(),INDEX(指数走势!$F$35:$ACK$35,1,LOOKUP(2,1/(指数走势!$F$35:$ACK$35&lt;&gt;""),COLUMN(指数走势!$F$35:$ACK$35))-COLUMN(指数走势!$F$35)+1-760+192)))</f>
        <v>11.4357004165649</v>
      </c>
      <c r="GL99">
        <f>IF(ISERROR(INDEX(指数走势!$F$35:$ACK$35,1,LOOKUP(2,1/(指数走势!$F$35:$ACK$35&lt;&gt;""),COLUMN(指数走势!$F$35:$ACK$35))-COLUMN(指数走势!$F$35)+1-760+193)),NA(),IF(INDEX(指数走势!$F$35:$ACK$35,1,LOOKUP(2,1/(指数走势!$F$35:$ACK$35&lt;&gt;""),COLUMN(指数走势!$F$35:$ACK$35))-COLUMN(指数走势!$F$35)+1-760+193)=0,NA(),INDEX(指数走势!$F$35:$ACK$35,1,LOOKUP(2,1/(指数走势!$F$35:$ACK$35&lt;&gt;""),COLUMN(指数走势!$F$35:$ACK$35))-COLUMN(指数走势!$F$35)+1-760+193)))</f>
        <v>11.4764995574951</v>
      </c>
      <c r="GM99">
        <f>IF(ISERROR(INDEX(指数走势!$F$35:$ACK$35,1,LOOKUP(2,1/(指数走势!$F$35:$ACK$35&lt;&gt;""),COLUMN(指数走势!$F$35:$ACK$35))-COLUMN(指数走势!$F$35)+1-760+194)),NA(),IF(INDEX(指数走势!$F$35:$ACK$35,1,LOOKUP(2,1/(指数走势!$F$35:$ACK$35&lt;&gt;""),COLUMN(指数走势!$F$35:$ACK$35))-COLUMN(指数走势!$F$35)+1-760+194)=0,NA(),INDEX(指数走势!$F$35:$ACK$35,1,LOOKUP(2,1/(指数走势!$F$35:$ACK$35&lt;&gt;""),COLUMN(指数走势!$F$35:$ACK$35))-COLUMN(指数走势!$F$35)+1-760+194)))</f>
        <v>11.5256004333496</v>
      </c>
      <c r="GN99">
        <f>IF(ISERROR(INDEX(指数走势!$F$35:$ACK$35,1,LOOKUP(2,1/(指数走势!$F$35:$ACK$35&lt;&gt;""),COLUMN(指数走势!$F$35:$ACK$35))-COLUMN(指数走势!$F$35)+1-760+195)),NA(),IF(INDEX(指数走势!$F$35:$ACK$35,1,LOOKUP(2,1/(指数走势!$F$35:$ACK$35&lt;&gt;""),COLUMN(指数走势!$F$35:$ACK$35))-COLUMN(指数走势!$F$35)+1-760+195)=0,NA(),INDEX(指数走势!$F$35:$ACK$35,1,LOOKUP(2,1/(指数走势!$F$35:$ACK$35&lt;&gt;""),COLUMN(指数走势!$F$35:$ACK$35))-COLUMN(指数走势!$F$35)+1-760+195)))</f>
        <v>11.627799987793</v>
      </c>
      <c r="GO99">
        <f>IF(ISERROR(INDEX(指数走势!$F$35:$ACK$35,1,LOOKUP(2,1/(指数走势!$F$35:$ACK$35&lt;&gt;""),COLUMN(指数走势!$F$35:$ACK$35))-COLUMN(指数走势!$F$35)+1-760+196)),NA(),IF(INDEX(指数走势!$F$35:$ACK$35,1,LOOKUP(2,1/(指数走势!$F$35:$ACK$35&lt;&gt;""),COLUMN(指数走势!$F$35:$ACK$35))-COLUMN(指数走势!$F$35)+1-760+196)=0,NA(),INDEX(指数走势!$F$35:$ACK$35,1,LOOKUP(2,1/(指数走势!$F$35:$ACK$35&lt;&gt;""),COLUMN(指数走势!$F$35:$ACK$35))-COLUMN(指数走势!$F$35)+1-760+196)))</f>
        <v>11.5684003829956</v>
      </c>
      <c r="GP99">
        <f>IF(ISERROR(INDEX(指数走势!$F$35:$ACK$35,1,LOOKUP(2,1/(指数走势!$F$35:$ACK$35&lt;&gt;""),COLUMN(指数走势!$F$35:$ACK$35))-COLUMN(指数走势!$F$35)+1-760+197)),NA(),IF(INDEX(指数走势!$F$35:$ACK$35,1,LOOKUP(2,1/(指数走势!$F$35:$ACK$35&lt;&gt;""),COLUMN(指数走势!$F$35:$ACK$35))-COLUMN(指数走势!$F$35)+1-760+197)=0,NA(),INDEX(指数走势!$F$35:$ACK$35,1,LOOKUP(2,1/(指数走势!$F$35:$ACK$35&lt;&gt;""),COLUMN(指数走势!$F$35:$ACK$35))-COLUMN(指数走势!$F$35)+1-760+197)))</f>
        <v>11.5453996658325</v>
      </c>
      <c r="GQ99">
        <f>IF(ISERROR(INDEX(指数走势!$F$35:$ACK$35,1,LOOKUP(2,1/(指数走势!$F$35:$ACK$35&lt;&gt;""),COLUMN(指数走势!$F$35:$ACK$35))-COLUMN(指数走势!$F$35)+1-760+198)),NA(),IF(INDEX(指数走势!$F$35:$ACK$35,1,LOOKUP(2,1/(指数走势!$F$35:$ACK$35&lt;&gt;""),COLUMN(指数走势!$F$35:$ACK$35))-COLUMN(指数走势!$F$35)+1-760+198)=0,NA(),INDEX(指数走势!$F$35:$ACK$35,1,LOOKUP(2,1/(指数走势!$F$35:$ACK$35&lt;&gt;""),COLUMN(指数走势!$F$35:$ACK$35))-COLUMN(指数走势!$F$35)+1-760+198)))</f>
        <v>11.6272001266479</v>
      </c>
      <c r="GR99">
        <f>IF(ISERROR(INDEX(指数走势!$F$35:$ACK$35,1,LOOKUP(2,1/(指数走势!$F$35:$ACK$35&lt;&gt;""),COLUMN(指数走势!$F$35:$ACK$35))-COLUMN(指数走势!$F$35)+1-760+199)),NA(),IF(INDEX(指数走势!$F$35:$ACK$35,1,LOOKUP(2,1/(指数走势!$F$35:$ACK$35&lt;&gt;""),COLUMN(指数走势!$F$35:$ACK$35))-COLUMN(指数走势!$F$35)+1-760+199)=0,NA(),INDEX(指数走势!$F$35:$ACK$35,1,LOOKUP(2,1/(指数走势!$F$35:$ACK$35&lt;&gt;""),COLUMN(指数走势!$F$35:$ACK$35))-COLUMN(指数走势!$F$35)+1-760+199)))</f>
        <v>11.683500289917</v>
      </c>
      <c r="GS99">
        <f>IF(ISERROR(INDEX(指数走势!$F$35:$ACK$35,1,LOOKUP(2,1/(指数走势!$F$35:$ACK$35&lt;&gt;""),COLUMN(指数走势!$F$35:$ACK$35))-COLUMN(指数走势!$F$35)+1-760+200)),NA(),IF(INDEX(指数走势!$F$35:$ACK$35,1,LOOKUP(2,1/(指数走势!$F$35:$ACK$35&lt;&gt;""),COLUMN(指数走势!$F$35:$ACK$35))-COLUMN(指数走势!$F$35)+1-760+200)=0,NA(),INDEX(指数走势!$F$35:$ACK$35,1,LOOKUP(2,1/(指数走势!$F$35:$ACK$35&lt;&gt;""),COLUMN(指数走势!$F$35:$ACK$35))-COLUMN(指数走势!$F$35)+1-760+200)))</f>
        <v>11.5954999923706</v>
      </c>
      <c r="GT99">
        <f>IF(ISERROR(INDEX(指数走势!$F$35:$ACK$35,1,LOOKUP(2,1/(指数走势!$F$35:$ACK$35&lt;&gt;""),COLUMN(指数走势!$F$35:$ACK$35))-COLUMN(指数走势!$F$35)+1-760+201)),NA(),IF(INDEX(指数走势!$F$35:$ACK$35,1,LOOKUP(2,1/(指数走势!$F$35:$ACK$35&lt;&gt;""),COLUMN(指数走势!$F$35:$ACK$35))-COLUMN(指数走势!$F$35)+1-760+201)=0,NA(),INDEX(指数走势!$F$35:$ACK$35,1,LOOKUP(2,1/(指数走势!$F$35:$ACK$35&lt;&gt;""),COLUMN(指数走势!$F$35:$ACK$35))-COLUMN(指数走势!$F$35)+1-760+201)))</f>
        <v>11.510199546814</v>
      </c>
      <c r="GU99">
        <f>IF(ISERROR(INDEX(指数走势!$F$35:$ACK$35,1,LOOKUP(2,1/(指数走势!$F$35:$ACK$35&lt;&gt;""),COLUMN(指数走势!$F$35:$ACK$35))-COLUMN(指数走势!$F$35)+1-760+202)),NA(),IF(INDEX(指数走势!$F$35:$ACK$35,1,LOOKUP(2,1/(指数走势!$F$35:$ACK$35&lt;&gt;""),COLUMN(指数走势!$F$35:$ACK$35))-COLUMN(指数走势!$F$35)+1-760+202)=0,NA(),INDEX(指数走势!$F$35:$ACK$35,1,LOOKUP(2,1/(指数走势!$F$35:$ACK$35&lt;&gt;""),COLUMN(指数走势!$F$35:$ACK$35))-COLUMN(指数走势!$F$35)+1-760+202)))</f>
        <v>11.512900352478</v>
      </c>
      <c r="GV99">
        <f>IF(ISERROR(INDEX(指数走势!$F$35:$ACK$35,1,LOOKUP(2,1/(指数走势!$F$35:$ACK$35&lt;&gt;""),COLUMN(指数走势!$F$35:$ACK$35))-COLUMN(指数走势!$F$35)+1-760+203)),NA(),IF(INDEX(指数走势!$F$35:$ACK$35,1,LOOKUP(2,1/(指数走势!$F$35:$ACK$35&lt;&gt;""),COLUMN(指数走势!$F$35:$ACK$35))-COLUMN(指数走势!$F$35)+1-760+203)=0,NA(),INDEX(指数走势!$F$35:$ACK$35,1,LOOKUP(2,1/(指数走势!$F$35:$ACK$35&lt;&gt;""),COLUMN(指数走势!$F$35:$ACK$35))-COLUMN(指数走势!$F$35)+1-760+203)))</f>
        <v>11.5279998779297</v>
      </c>
      <c r="GW99">
        <f>IF(ISERROR(INDEX(指数走势!$F$35:$ACK$35,1,LOOKUP(2,1/(指数走势!$F$35:$ACK$35&lt;&gt;""),COLUMN(指数走势!$F$35:$ACK$35))-COLUMN(指数走势!$F$35)+1-760+204)),NA(),IF(INDEX(指数走势!$F$35:$ACK$35,1,LOOKUP(2,1/(指数走势!$F$35:$ACK$35&lt;&gt;""),COLUMN(指数走势!$F$35:$ACK$35))-COLUMN(指数走势!$F$35)+1-760+204)=0,NA(),INDEX(指数走势!$F$35:$ACK$35,1,LOOKUP(2,1/(指数走势!$F$35:$ACK$35&lt;&gt;""),COLUMN(指数走势!$F$35:$ACK$35))-COLUMN(指数走势!$F$35)+1-760+204)))</f>
        <v>11.6189002990723</v>
      </c>
      <c r="GX99">
        <f>IF(ISERROR(INDEX(指数走势!$F$35:$ACK$35,1,LOOKUP(2,1/(指数走势!$F$35:$ACK$35&lt;&gt;""),COLUMN(指数走势!$F$35:$ACK$35))-COLUMN(指数走势!$F$35)+1-760+205)),NA(),IF(INDEX(指数走势!$F$35:$ACK$35,1,LOOKUP(2,1/(指数走势!$F$35:$ACK$35&lt;&gt;""),COLUMN(指数走势!$F$35:$ACK$35))-COLUMN(指数走势!$F$35)+1-760+205)=0,NA(),INDEX(指数走势!$F$35:$ACK$35,1,LOOKUP(2,1/(指数走势!$F$35:$ACK$35&lt;&gt;""),COLUMN(指数走势!$F$35:$ACK$35))-COLUMN(指数走势!$F$35)+1-760+205)))</f>
        <v>11.5474996566772</v>
      </c>
      <c r="GY99">
        <f>IF(ISERROR(INDEX(指数走势!$F$35:$ACK$35,1,LOOKUP(2,1/(指数走势!$F$35:$ACK$35&lt;&gt;""),COLUMN(指数走势!$F$35:$ACK$35))-COLUMN(指数走势!$F$35)+1-760+206)),NA(),IF(INDEX(指数走势!$F$35:$ACK$35,1,LOOKUP(2,1/(指数走势!$F$35:$ACK$35&lt;&gt;""),COLUMN(指数走势!$F$35:$ACK$35))-COLUMN(指数走势!$F$35)+1-760+206)=0,NA(),INDEX(指数走势!$F$35:$ACK$35,1,LOOKUP(2,1/(指数走势!$F$35:$ACK$35&lt;&gt;""),COLUMN(指数走势!$F$35:$ACK$35))-COLUMN(指数走势!$F$35)+1-760+206)))</f>
        <v>11.6084995269775</v>
      </c>
      <c r="GZ99">
        <f>IF(ISERROR(INDEX(指数走势!$F$35:$ACK$35,1,LOOKUP(2,1/(指数走势!$F$35:$ACK$35&lt;&gt;""),COLUMN(指数走势!$F$35:$ACK$35))-COLUMN(指数走势!$F$35)+1-760+207)),NA(),IF(INDEX(指数走势!$F$35:$ACK$35,1,LOOKUP(2,1/(指数走势!$F$35:$ACK$35&lt;&gt;""),COLUMN(指数走势!$F$35:$ACK$35))-COLUMN(指数走势!$F$35)+1-760+207)=0,NA(),INDEX(指数走势!$F$35:$ACK$35,1,LOOKUP(2,1/(指数走势!$F$35:$ACK$35&lt;&gt;""),COLUMN(指数走势!$F$35:$ACK$35))-COLUMN(指数走势!$F$35)+1-760+207)))</f>
        <v>11.5937004089355</v>
      </c>
      <c r="HA99">
        <f>IF(ISERROR(INDEX(指数走势!$F$35:$ACK$35,1,LOOKUP(2,1/(指数走势!$F$35:$ACK$35&lt;&gt;""),COLUMN(指数走势!$F$35:$ACK$35))-COLUMN(指数走势!$F$35)+1-760+208)),NA(),IF(INDEX(指数走势!$F$35:$ACK$35,1,LOOKUP(2,1/(指数走势!$F$35:$ACK$35&lt;&gt;""),COLUMN(指数走势!$F$35:$ACK$35))-COLUMN(指数走势!$F$35)+1-760+208)=0,NA(),INDEX(指数走势!$F$35:$ACK$35,1,LOOKUP(2,1/(指数走势!$F$35:$ACK$35&lt;&gt;""),COLUMN(指数走势!$F$35:$ACK$35))-COLUMN(指数走势!$F$35)+1-760+208)))</f>
        <v>11.5488004684448</v>
      </c>
      <c r="HB99">
        <f>IF(ISERROR(INDEX(指数走势!$F$35:$ACK$35,1,LOOKUP(2,1/(指数走势!$F$35:$ACK$35&lt;&gt;""),COLUMN(指数走势!$F$35:$ACK$35))-COLUMN(指数走势!$F$35)+1-760+209)),NA(),IF(INDEX(指数走势!$F$35:$ACK$35,1,LOOKUP(2,1/(指数走势!$F$35:$ACK$35&lt;&gt;""),COLUMN(指数走势!$F$35:$ACK$35))-COLUMN(指数走势!$F$35)+1-760+209)=0,NA(),INDEX(指数走势!$F$35:$ACK$35,1,LOOKUP(2,1/(指数走势!$F$35:$ACK$35&lt;&gt;""),COLUMN(指数走势!$F$35:$ACK$35))-COLUMN(指数走势!$F$35)+1-760+209)))</f>
        <v>11.5279998779297</v>
      </c>
      <c r="HC99">
        <f>IF(ISERROR(INDEX(指数走势!$F$35:$ACK$35,1,LOOKUP(2,1/(指数走势!$F$35:$ACK$35&lt;&gt;""),COLUMN(指数走势!$F$35:$ACK$35))-COLUMN(指数走势!$F$35)+1-760+210)),NA(),IF(INDEX(指数走势!$F$35:$ACK$35,1,LOOKUP(2,1/(指数走势!$F$35:$ACK$35&lt;&gt;""),COLUMN(指数走势!$F$35:$ACK$35))-COLUMN(指数走势!$F$35)+1-760+210)=0,NA(),INDEX(指数走势!$F$35:$ACK$35,1,LOOKUP(2,1/(指数走势!$F$35:$ACK$35&lt;&gt;""),COLUMN(指数走势!$F$35:$ACK$35))-COLUMN(指数走势!$F$35)+1-760+210)))</f>
        <v>11.5832004547119</v>
      </c>
      <c r="HD99">
        <f>IF(ISERROR(INDEX(指数走势!$F$35:$ACK$35,1,LOOKUP(2,1/(指数走势!$F$35:$ACK$35&lt;&gt;""),COLUMN(指数走势!$F$35:$ACK$35))-COLUMN(指数走势!$F$35)+1-760+211)),NA(),IF(INDEX(指数走势!$F$35:$ACK$35,1,LOOKUP(2,1/(指数走势!$F$35:$ACK$35&lt;&gt;""),COLUMN(指数走势!$F$35:$ACK$35))-COLUMN(指数走势!$F$35)+1-760+211)=0,NA(),INDEX(指数走势!$F$35:$ACK$35,1,LOOKUP(2,1/(指数走势!$F$35:$ACK$35&lt;&gt;""),COLUMN(指数走势!$F$35:$ACK$35))-COLUMN(指数走势!$F$35)+1-760+211)))</f>
        <v>11.4909000396729</v>
      </c>
      <c r="HE99">
        <f>IF(ISERROR(INDEX(指数走势!$F$35:$ACK$35,1,LOOKUP(2,1/(指数走势!$F$35:$ACK$35&lt;&gt;""),COLUMN(指数走势!$F$35:$ACK$35))-COLUMN(指数走势!$F$35)+1-760+212)),NA(),IF(INDEX(指数走势!$F$35:$ACK$35,1,LOOKUP(2,1/(指数走势!$F$35:$ACK$35&lt;&gt;""),COLUMN(指数走势!$F$35:$ACK$35))-COLUMN(指数走势!$F$35)+1-760+212)=0,NA(),INDEX(指数走势!$F$35:$ACK$35,1,LOOKUP(2,1/(指数走势!$F$35:$ACK$35&lt;&gt;""),COLUMN(指数走势!$F$35:$ACK$35))-COLUMN(指数走势!$F$35)+1-760+212)))</f>
        <v>11.5128002166748</v>
      </c>
      <c r="HF99">
        <f>IF(ISERROR(INDEX(指数走势!$F$35:$ACK$35,1,LOOKUP(2,1/(指数走势!$F$35:$ACK$35&lt;&gt;""),COLUMN(指数走势!$F$35:$ACK$35))-COLUMN(指数走势!$F$35)+1-760+213)),NA(),IF(INDEX(指数走势!$F$35:$ACK$35,1,LOOKUP(2,1/(指数走势!$F$35:$ACK$35&lt;&gt;""),COLUMN(指数走势!$F$35:$ACK$35))-COLUMN(指数走势!$F$35)+1-760+213)=0,NA(),INDEX(指数走势!$F$35:$ACK$35,1,LOOKUP(2,1/(指数走势!$F$35:$ACK$35&lt;&gt;""),COLUMN(指数走势!$F$35:$ACK$35))-COLUMN(指数走势!$F$35)+1-760+213)))</f>
        <v>11.6589002609253</v>
      </c>
      <c r="HG99">
        <f>IF(ISERROR(INDEX(指数走势!$F$35:$ACK$35,1,LOOKUP(2,1/(指数走势!$F$35:$ACK$35&lt;&gt;""),COLUMN(指数走势!$F$35:$ACK$35))-COLUMN(指数走势!$F$35)+1-760+214)),NA(),IF(INDEX(指数走势!$F$35:$ACK$35,1,LOOKUP(2,1/(指数走势!$F$35:$ACK$35&lt;&gt;""),COLUMN(指数走势!$F$35:$ACK$35))-COLUMN(指数走势!$F$35)+1-760+214)=0,NA(),INDEX(指数走势!$F$35:$ACK$35,1,LOOKUP(2,1/(指数走势!$F$35:$ACK$35&lt;&gt;""),COLUMN(指数走势!$F$35:$ACK$35))-COLUMN(指数走势!$F$35)+1-760+214)))</f>
        <v>11.7749996185303</v>
      </c>
      <c r="HH99">
        <f>IF(ISERROR(INDEX(指数走势!$F$35:$ACK$35,1,LOOKUP(2,1/(指数走势!$F$35:$ACK$35&lt;&gt;""),COLUMN(指数走势!$F$35:$ACK$35))-COLUMN(指数走势!$F$35)+1-760+215)),NA(),IF(INDEX(指数走势!$F$35:$ACK$35,1,LOOKUP(2,1/(指数走势!$F$35:$ACK$35&lt;&gt;""),COLUMN(指数走势!$F$35:$ACK$35))-COLUMN(指数走势!$F$35)+1-760+215)=0,NA(),INDEX(指数走势!$F$35:$ACK$35,1,LOOKUP(2,1/(指数走势!$F$35:$ACK$35&lt;&gt;""),COLUMN(指数走势!$F$35:$ACK$35))-COLUMN(指数走势!$F$35)+1-760+215)))</f>
        <v>11.7825002670288</v>
      </c>
      <c r="HI99">
        <f>IF(ISERROR(INDEX(指数走势!$F$35:$ACK$35,1,LOOKUP(2,1/(指数走势!$F$35:$ACK$35&lt;&gt;""),COLUMN(指数走势!$F$35:$ACK$35))-COLUMN(指数走势!$F$35)+1-760+216)),NA(),IF(INDEX(指数走势!$F$35:$ACK$35,1,LOOKUP(2,1/(指数走势!$F$35:$ACK$35&lt;&gt;""),COLUMN(指数走势!$F$35:$ACK$35))-COLUMN(指数走势!$F$35)+1-760+216)=0,NA(),INDEX(指数走势!$F$35:$ACK$35,1,LOOKUP(2,1/(指数走势!$F$35:$ACK$35&lt;&gt;""),COLUMN(指数走势!$F$35:$ACK$35))-COLUMN(指数走势!$F$35)+1-760+216)))</f>
        <v>11.7519998550415</v>
      </c>
      <c r="HJ99">
        <f>IF(ISERROR(INDEX(指数走势!$F$35:$ACK$35,1,LOOKUP(2,1/(指数走势!$F$35:$ACK$35&lt;&gt;""),COLUMN(指数走势!$F$35:$ACK$35))-COLUMN(指数走势!$F$35)+1-760+217)),NA(),IF(INDEX(指数走势!$F$35:$ACK$35,1,LOOKUP(2,1/(指数走势!$F$35:$ACK$35&lt;&gt;""),COLUMN(指数走势!$F$35:$ACK$35))-COLUMN(指数走势!$F$35)+1-760+217)=0,NA(),INDEX(指数走势!$F$35:$ACK$35,1,LOOKUP(2,1/(指数走势!$F$35:$ACK$35&lt;&gt;""),COLUMN(指数走势!$F$35:$ACK$35))-COLUMN(指数走势!$F$35)+1-760+217)))</f>
        <v>11.7063999176025</v>
      </c>
      <c r="HK99">
        <f>IF(ISERROR(INDEX(指数走势!$F$35:$ACK$35,1,LOOKUP(2,1/(指数走势!$F$35:$ACK$35&lt;&gt;""),COLUMN(指数走势!$F$35:$ACK$35))-COLUMN(指数走势!$F$35)+1-760+218)),NA(),IF(INDEX(指数走势!$F$35:$ACK$35,1,LOOKUP(2,1/(指数走势!$F$35:$ACK$35&lt;&gt;""),COLUMN(指数走势!$F$35:$ACK$35))-COLUMN(指数走势!$F$35)+1-760+218)=0,NA(),INDEX(指数走势!$F$35:$ACK$35,1,LOOKUP(2,1/(指数走势!$F$35:$ACK$35&lt;&gt;""),COLUMN(指数走势!$F$35:$ACK$35))-COLUMN(指数走势!$F$35)+1-760+218)))</f>
        <v>11.6716995239258</v>
      </c>
      <c r="HL99">
        <f>IF(ISERROR(INDEX(指数走势!$F$35:$ACK$35,1,LOOKUP(2,1/(指数走势!$F$35:$ACK$35&lt;&gt;""),COLUMN(指数走势!$F$35:$ACK$35))-COLUMN(指数走势!$F$35)+1-760+219)),NA(),IF(INDEX(指数走势!$F$35:$ACK$35,1,LOOKUP(2,1/(指数走势!$F$35:$ACK$35&lt;&gt;""),COLUMN(指数走势!$F$35:$ACK$35))-COLUMN(指数走势!$F$35)+1-760+219)=0,NA(),INDEX(指数走势!$F$35:$ACK$35,1,LOOKUP(2,1/(指数走势!$F$35:$ACK$35&lt;&gt;""),COLUMN(指数走势!$F$35:$ACK$35))-COLUMN(指数走势!$F$35)+1-760+219)))</f>
        <v>11.608099937439</v>
      </c>
      <c r="HM99">
        <f>IF(ISERROR(INDEX(指数走势!$F$35:$ACK$35,1,LOOKUP(2,1/(指数走势!$F$35:$ACK$35&lt;&gt;""),COLUMN(指数走势!$F$35:$ACK$35))-COLUMN(指数走势!$F$35)+1-760+220)),NA(),IF(INDEX(指数走势!$F$35:$ACK$35,1,LOOKUP(2,1/(指数走势!$F$35:$ACK$35&lt;&gt;""),COLUMN(指数走势!$F$35:$ACK$35))-COLUMN(指数走势!$F$35)+1-760+220)=0,NA(),INDEX(指数走势!$F$35:$ACK$35,1,LOOKUP(2,1/(指数走势!$F$35:$ACK$35&lt;&gt;""),COLUMN(指数走势!$F$35:$ACK$35))-COLUMN(指数走势!$F$35)+1-760+220)))</f>
        <v>11.5956001281738</v>
      </c>
      <c r="HN99">
        <f>IF(ISERROR(INDEX(指数走势!$F$35:$ACK$35,1,LOOKUP(2,1/(指数走势!$F$35:$ACK$35&lt;&gt;""),COLUMN(指数走势!$F$35:$ACK$35))-COLUMN(指数走势!$F$35)+1-760+221)),NA(),IF(INDEX(指数走势!$F$35:$ACK$35,1,LOOKUP(2,1/(指数走势!$F$35:$ACK$35&lt;&gt;""),COLUMN(指数走势!$F$35:$ACK$35))-COLUMN(指数走势!$F$35)+1-760+221)=0,NA(),INDEX(指数走势!$F$35:$ACK$35,1,LOOKUP(2,1/(指数走势!$F$35:$ACK$35&lt;&gt;""),COLUMN(指数走势!$F$35:$ACK$35))-COLUMN(指数走势!$F$35)+1-760+221)))</f>
        <v>11.5160999298096</v>
      </c>
      <c r="HO99">
        <f>IF(ISERROR(INDEX(指数走势!$F$35:$ACK$35,1,LOOKUP(2,1/(指数走势!$F$35:$ACK$35&lt;&gt;""),COLUMN(指数走势!$F$35:$ACK$35))-COLUMN(指数走势!$F$35)+1-760+222)),NA(),IF(INDEX(指数走势!$F$35:$ACK$35,1,LOOKUP(2,1/(指数走势!$F$35:$ACK$35&lt;&gt;""),COLUMN(指数走势!$F$35:$ACK$35))-COLUMN(指数走势!$F$35)+1-760+222)=0,NA(),INDEX(指数走势!$F$35:$ACK$35,1,LOOKUP(2,1/(指数走势!$F$35:$ACK$35&lt;&gt;""),COLUMN(指数走势!$F$35:$ACK$35))-COLUMN(指数走势!$F$35)+1-760+222)))</f>
        <v>11.7878999710083</v>
      </c>
      <c r="HP99">
        <f>IF(ISERROR(INDEX(指数走势!$F$35:$ACK$35,1,LOOKUP(2,1/(指数走势!$F$35:$ACK$35&lt;&gt;""),COLUMN(指数走势!$F$35:$ACK$35))-COLUMN(指数走势!$F$35)+1-760+223)),NA(),IF(INDEX(指数走势!$F$35:$ACK$35,1,LOOKUP(2,1/(指数走势!$F$35:$ACK$35&lt;&gt;""),COLUMN(指数走势!$F$35:$ACK$35))-COLUMN(指数走势!$F$35)+1-760+223)=0,NA(),INDEX(指数走势!$F$35:$ACK$35,1,LOOKUP(2,1/(指数走势!$F$35:$ACK$35&lt;&gt;""),COLUMN(指数走势!$F$35:$ACK$35))-COLUMN(指数走势!$F$35)+1-760+223)))</f>
        <v>11.7004995346069</v>
      </c>
      <c r="HQ99">
        <f>IF(ISERROR(INDEX(指数走势!$F$35:$ACK$35,1,LOOKUP(2,1/(指数走势!$F$35:$ACK$35&lt;&gt;""),COLUMN(指数走势!$F$35:$ACK$35))-COLUMN(指数走势!$F$35)+1-760+224)),NA(),IF(INDEX(指数走势!$F$35:$ACK$35,1,LOOKUP(2,1/(指数走势!$F$35:$ACK$35&lt;&gt;""),COLUMN(指数走势!$F$35:$ACK$35))-COLUMN(指数走势!$F$35)+1-760+224)=0,NA(),INDEX(指数走势!$F$35:$ACK$35,1,LOOKUP(2,1/(指数走势!$F$35:$ACK$35&lt;&gt;""),COLUMN(指数走势!$F$35:$ACK$35))-COLUMN(指数走势!$F$35)+1-760+224)))</f>
        <v>11.8563003540039</v>
      </c>
      <c r="HR99">
        <f>IF(ISERROR(INDEX(指数走势!$F$35:$ACK$35,1,LOOKUP(2,1/(指数走势!$F$35:$ACK$35&lt;&gt;""),COLUMN(指数走势!$F$35:$ACK$35))-COLUMN(指数走势!$F$35)+1-760+225)),NA(),IF(INDEX(指数走势!$F$35:$ACK$35,1,LOOKUP(2,1/(指数走势!$F$35:$ACK$35&lt;&gt;""),COLUMN(指数走势!$F$35:$ACK$35))-COLUMN(指数走势!$F$35)+1-760+225)=0,NA(),INDEX(指数走势!$F$35:$ACK$35,1,LOOKUP(2,1/(指数走势!$F$35:$ACK$35&lt;&gt;""),COLUMN(指数走势!$F$35:$ACK$35))-COLUMN(指数走势!$F$35)+1-760+225)))</f>
        <v>11.8561000823975</v>
      </c>
      <c r="HS99">
        <f>IF(ISERROR(INDEX(指数走势!$F$35:$ACK$35,1,LOOKUP(2,1/(指数走势!$F$35:$ACK$35&lt;&gt;""),COLUMN(指数走势!$F$35:$ACK$35))-COLUMN(指数走势!$F$35)+1-760+226)),NA(),IF(INDEX(指数走势!$F$35:$ACK$35,1,LOOKUP(2,1/(指数走势!$F$35:$ACK$35&lt;&gt;""),COLUMN(指数走势!$F$35:$ACK$35))-COLUMN(指数走势!$F$35)+1-760+226)=0,NA(),INDEX(指数走势!$F$35:$ACK$35,1,LOOKUP(2,1/(指数走势!$F$35:$ACK$35&lt;&gt;""),COLUMN(指数走势!$F$35:$ACK$35))-COLUMN(指数走势!$F$35)+1-760+226)))</f>
        <v>11.8305997848511</v>
      </c>
      <c r="HT99">
        <f>IF(ISERROR(INDEX(指数走势!$F$35:$ACK$35,1,LOOKUP(2,1/(指数走势!$F$35:$ACK$35&lt;&gt;""),COLUMN(指数走势!$F$35:$ACK$35))-COLUMN(指数走势!$F$35)+1-760+227)),NA(),IF(INDEX(指数走势!$F$35:$ACK$35,1,LOOKUP(2,1/(指数走势!$F$35:$ACK$35&lt;&gt;""),COLUMN(指数走势!$F$35:$ACK$35))-COLUMN(指数走势!$F$35)+1-760+227)=0,NA(),INDEX(指数走势!$F$35:$ACK$35,1,LOOKUP(2,1/(指数走势!$F$35:$ACK$35&lt;&gt;""),COLUMN(指数走势!$F$35:$ACK$35))-COLUMN(指数走势!$F$35)+1-760+227)))</f>
        <v>11.7383003234863</v>
      </c>
      <c r="HU99">
        <f>IF(ISERROR(INDEX(指数走势!$F$35:$ACK$35,1,LOOKUP(2,1/(指数走势!$F$35:$ACK$35&lt;&gt;""),COLUMN(指数走势!$F$35:$ACK$35))-COLUMN(指数走势!$F$35)+1-760+228)),NA(),IF(INDEX(指数走势!$F$35:$ACK$35,1,LOOKUP(2,1/(指数走势!$F$35:$ACK$35&lt;&gt;""),COLUMN(指数走势!$F$35:$ACK$35))-COLUMN(指数走势!$F$35)+1-760+228)=0,NA(),INDEX(指数走势!$F$35:$ACK$35,1,LOOKUP(2,1/(指数走势!$F$35:$ACK$35&lt;&gt;""),COLUMN(指数走势!$F$35:$ACK$35))-COLUMN(指数走势!$F$35)+1-760+228)))</f>
        <v>11.6524000167847</v>
      </c>
      <c r="HV99">
        <f>IF(ISERROR(INDEX(指数走势!$F$35:$ACK$35,1,LOOKUP(2,1/(指数走势!$F$35:$ACK$35&lt;&gt;""),COLUMN(指数走势!$F$35:$ACK$35))-COLUMN(指数走势!$F$35)+1-760+229)),NA(),IF(INDEX(指数走势!$F$35:$ACK$35,1,LOOKUP(2,1/(指数走势!$F$35:$ACK$35&lt;&gt;""),COLUMN(指数走势!$F$35:$ACK$35))-COLUMN(指数走势!$F$35)+1-760+229)=0,NA(),INDEX(指数走势!$F$35:$ACK$35,1,LOOKUP(2,1/(指数走势!$F$35:$ACK$35&lt;&gt;""),COLUMN(指数走势!$F$35:$ACK$35))-COLUMN(指数走势!$F$35)+1-760+229)))</f>
        <v>11.68869972229</v>
      </c>
      <c r="HW99">
        <f>IF(ISERROR(INDEX(指数走势!$F$35:$ACK$35,1,LOOKUP(2,1/(指数走势!$F$35:$ACK$35&lt;&gt;""),COLUMN(指数走势!$F$35:$ACK$35))-COLUMN(指数走势!$F$35)+1-760+230)),NA(),IF(INDEX(指数走势!$F$35:$ACK$35,1,LOOKUP(2,1/(指数走势!$F$35:$ACK$35&lt;&gt;""),COLUMN(指数走势!$F$35:$ACK$35))-COLUMN(指数走势!$F$35)+1-760+230)=0,NA(),INDEX(指数走势!$F$35:$ACK$35,1,LOOKUP(2,1/(指数走势!$F$35:$ACK$35&lt;&gt;""),COLUMN(指数走势!$F$35:$ACK$35))-COLUMN(指数走势!$F$35)+1-760+230)))</f>
        <v>11.7189998626709</v>
      </c>
      <c r="HX99">
        <f>IF(ISERROR(INDEX(指数走势!$F$35:$ACK$35,1,LOOKUP(2,1/(指数走势!$F$35:$ACK$35&lt;&gt;""),COLUMN(指数走势!$F$35:$ACK$35))-COLUMN(指数走势!$F$35)+1-760+231)),NA(),IF(INDEX(指数走势!$F$35:$ACK$35,1,LOOKUP(2,1/(指数走势!$F$35:$ACK$35&lt;&gt;""),COLUMN(指数走势!$F$35:$ACK$35))-COLUMN(指数走势!$F$35)+1-760+231)=0,NA(),INDEX(指数走势!$F$35:$ACK$35,1,LOOKUP(2,1/(指数走势!$F$35:$ACK$35&lt;&gt;""),COLUMN(指数走势!$F$35:$ACK$35))-COLUMN(指数走势!$F$35)+1-760+231)))</f>
        <v>11.8422002792358</v>
      </c>
      <c r="HY99">
        <f>IF(ISERROR(INDEX(指数走势!$F$35:$ACK$35,1,LOOKUP(2,1/(指数走势!$F$35:$ACK$35&lt;&gt;""),COLUMN(指数走势!$F$35:$ACK$35))-COLUMN(指数走势!$F$35)+1-760+232)),NA(),IF(INDEX(指数走势!$F$35:$ACK$35,1,LOOKUP(2,1/(指数走势!$F$35:$ACK$35&lt;&gt;""),COLUMN(指数走势!$F$35:$ACK$35))-COLUMN(指数走势!$F$35)+1-760+232)=0,NA(),INDEX(指数走势!$F$35:$ACK$35,1,LOOKUP(2,1/(指数走势!$F$35:$ACK$35&lt;&gt;""),COLUMN(指数走势!$F$35:$ACK$35))-COLUMN(指数走势!$F$35)+1-760+232)))</f>
        <v>11.9441003799438</v>
      </c>
      <c r="HZ99">
        <f>IF(ISERROR(INDEX(指数走势!$F$35:$ACK$35,1,LOOKUP(2,1/(指数走势!$F$35:$ACK$35&lt;&gt;""),COLUMN(指数走势!$F$35:$ACK$35))-COLUMN(指数走势!$F$35)+1-760+233)),NA(),IF(INDEX(指数走势!$F$35:$ACK$35,1,LOOKUP(2,1/(指数走势!$F$35:$ACK$35&lt;&gt;""),COLUMN(指数走势!$F$35:$ACK$35))-COLUMN(指数走势!$F$35)+1-760+233)=0,NA(),INDEX(指数走势!$F$35:$ACK$35,1,LOOKUP(2,1/(指数走势!$F$35:$ACK$35&lt;&gt;""),COLUMN(指数走势!$F$35:$ACK$35))-COLUMN(指数走势!$F$35)+1-760+233)))</f>
        <v>12.0680999755859</v>
      </c>
      <c r="IA99">
        <f>IF(ISERROR(INDEX(指数走势!$F$35:$ACK$35,1,LOOKUP(2,1/(指数走势!$F$35:$ACK$35&lt;&gt;""),COLUMN(指数走势!$F$35:$ACK$35))-COLUMN(指数走势!$F$35)+1-760+234)),NA(),IF(INDEX(指数走势!$F$35:$ACK$35,1,LOOKUP(2,1/(指数走势!$F$35:$ACK$35&lt;&gt;""),COLUMN(指数走势!$F$35:$ACK$35))-COLUMN(指数走势!$F$35)+1-760+234)=0,NA(),INDEX(指数走势!$F$35:$ACK$35,1,LOOKUP(2,1/(指数走势!$F$35:$ACK$35&lt;&gt;""),COLUMN(指数走势!$F$35:$ACK$35))-COLUMN(指数走势!$F$35)+1-760+234)))</f>
        <v>12.1570997238159</v>
      </c>
      <c r="IB99">
        <f>IF(ISERROR(INDEX(指数走势!$F$35:$ACK$35,1,LOOKUP(2,1/(指数走势!$F$35:$ACK$35&lt;&gt;""),COLUMN(指数走势!$F$35:$ACK$35))-COLUMN(指数走势!$F$35)+1-760+235)),NA(),IF(INDEX(指数走势!$F$35:$ACK$35,1,LOOKUP(2,1/(指数走势!$F$35:$ACK$35&lt;&gt;""),COLUMN(指数走势!$F$35:$ACK$35))-COLUMN(指数走势!$F$35)+1-760+235)=0,NA(),INDEX(指数走势!$F$35:$ACK$35,1,LOOKUP(2,1/(指数走势!$F$35:$ACK$35&lt;&gt;""),COLUMN(指数走势!$F$35:$ACK$35))-COLUMN(指数走势!$F$35)+1-760+235)))</f>
        <v>12.1822004318237</v>
      </c>
      <c r="IC99">
        <f>IF(ISERROR(INDEX(指数走势!$F$35:$ACK$35,1,LOOKUP(2,1/(指数走势!$F$35:$ACK$35&lt;&gt;""),COLUMN(指数走势!$F$35:$ACK$35))-COLUMN(指数走势!$F$35)+1-760+236)),NA(),IF(INDEX(指数走势!$F$35:$ACK$35,1,LOOKUP(2,1/(指数走势!$F$35:$ACK$35&lt;&gt;""),COLUMN(指数走势!$F$35:$ACK$35))-COLUMN(指数走势!$F$35)+1-760+236)=0,NA(),INDEX(指数走势!$F$35:$ACK$35,1,LOOKUP(2,1/(指数走势!$F$35:$ACK$35&lt;&gt;""),COLUMN(指数走势!$F$35:$ACK$35))-COLUMN(指数走势!$F$35)+1-760+236)))</f>
        <v>12.1218004226685</v>
      </c>
      <c r="ID99">
        <f>IF(ISERROR(INDEX(指数走势!$F$35:$ACK$35,1,LOOKUP(2,1/(指数走势!$F$35:$ACK$35&lt;&gt;""),COLUMN(指数走势!$F$35:$ACK$35))-COLUMN(指数走势!$F$35)+1-760+237)),NA(),IF(INDEX(指数走势!$F$35:$ACK$35,1,LOOKUP(2,1/(指数走势!$F$35:$ACK$35&lt;&gt;""),COLUMN(指数走势!$F$35:$ACK$35))-COLUMN(指数走势!$F$35)+1-760+237)=0,NA(),INDEX(指数走势!$F$35:$ACK$35,1,LOOKUP(2,1/(指数走势!$F$35:$ACK$35&lt;&gt;""),COLUMN(指数走势!$F$35:$ACK$35))-COLUMN(指数走势!$F$35)+1-760+237)))</f>
        <v>12.1822996139526</v>
      </c>
      <c r="IE99">
        <f>IF(ISERROR(INDEX(指数走势!$F$35:$ACK$35,1,LOOKUP(2,1/(指数走势!$F$35:$ACK$35&lt;&gt;""),COLUMN(指数走势!$F$35:$ACK$35))-COLUMN(指数走势!$F$35)+1-760+238)),NA(),IF(INDEX(指数走势!$F$35:$ACK$35,1,LOOKUP(2,1/(指数走势!$F$35:$ACK$35&lt;&gt;""),COLUMN(指数走势!$F$35:$ACK$35))-COLUMN(指数走势!$F$35)+1-760+238)=0,NA(),INDEX(指数走势!$F$35:$ACK$35,1,LOOKUP(2,1/(指数走势!$F$35:$ACK$35&lt;&gt;""),COLUMN(指数走势!$F$35:$ACK$35))-COLUMN(指数走势!$F$35)+1-760+238)))</f>
        <v>12.2080001831055</v>
      </c>
      <c r="IF99">
        <f>IF(ISERROR(INDEX(指数走势!$F$35:$ACK$35,1,LOOKUP(2,1/(指数走势!$F$35:$ACK$35&lt;&gt;""),COLUMN(指数走势!$F$35:$ACK$35))-COLUMN(指数走势!$F$35)+1-760+239)),NA(),IF(INDEX(指数走势!$F$35:$ACK$35,1,LOOKUP(2,1/(指数走势!$F$35:$ACK$35&lt;&gt;""),COLUMN(指数走势!$F$35:$ACK$35))-COLUMN(指数走势!$F$35)+1-760+239)=0,NA(),INDEX(指数走势!$F$35:$ACK$35,1,LOOKUP(2,1/(指数走势!$F$35:$ACK$35&lt;&gt;""),COLUMN(指数走势!$F$35:$ACK$35))-COLUMN(指数走势!$F$35)+1-760+239)))</f>
        <v>12.2004995346069</v>
      </c>
      <c r="IG99">
        <f>IF(ISERROR(INDEX(指数走势!$F$35:$ACK$35,1,LOOKUP(2,1/(指数走势!$F$35:$ACK$35&lt;&gt;""),COLUMN(指数走势!$F$35:$ACK$35))-COLUMN(指数走势!$F$35)+1-760+240)),NA(),IF(INDEX(指数走势!$F$35:$ACK$35,1,LOOKUP(2,1/(指数走势!$F$35:$ACK$35&lt;&gt;""),COLUMN(指数走势!$F$35:$ACK$35))-COLUMN(指数走势!$F$35)+1-760+240)=0,NA(),INDEX(指数走势!$F$35:$ACK$35,1,LOOKUP(2,1/(指数走势!$F$35:$ACK$35&lt;&gt;""),COLUMN(指数走势!$F$35:$ACK$35))-COLUMN(指数走势!$F$35)+1-760+240)))</f>
        <v>12.1640996932983</v>
      </c>
      <c r="IH99">
        <f>IF(ISERROR(INDEX(指数走势!$F$35:$ACK$35,1,LOOKUP(2,1/(指数走势!$F$35:$ACK$35&lt;&gt;""),COLUMN(指数走势!$F$35:$ACK$35))-COLUMN(指数走势!$F$35)+1-760+241)),NA(),IF(INDEX(指数走势!$F$35:$ACK$35,1,LOOKUP(2,1/(指数走势!$F$35:$ACK$35&lt;&gt;""),COLUMN(指数走势!$F$35:$ACK$35))-COLUMN(指数走势!$F$35)+1-760+241)=0,NA(),INDEX(指数走势!$F$35:$ACK$35,1,LOOKUP(2,1/(指数走势!$F$35:$ACK$35&lt;&gt;""),COLUMN(指数走势!$F$35:$ACK$35))-COLUMN(指数走势!$F$35)+1-760+241)))</f>
        <v>12.0728998184204</v>
      </c>
      <c r="II99">
        <f>IF(ISERROR(INDEX(指数走势!$F$35:$ACK$35,1,LOOKUP(2,1/(指数走势!$F$35:$ACK$35&lt;&gt;""),COLUMN(指数走势!$F$35:$ACK$35))-COLUMN(指数走势!$F$35)+1-760+242)),NA(),IF(INDEX(指数走势!$F$35:$ACK$35,1,LOOKUP(2,1/(指数走势!$F$35:$ACK$35&lt;&gt;""),COLUMN(指数走势!$F$35:$ACK$35))-COLUMN(指数走势!$F$35)+1-760+242)=0,NA(),INDEX(指数走势!$F$35:$ACK$35,1,LOOKUP(2,1/(指数走势!$F$35:$ACK$35&lt;&gt;""),COLUMN(指数走势!$F$35:$ACK$35))-COLUMN(指数走势!$F$35)+1-760+242)))</f>
        <v>12.1124000549316</v>
      </c>
      <c r="IJ99">
        <f>IF(ISERROR(INDEX(指数走势!$F$35:$ACK$35,1,LOOKUP(2,1/(指数走势!$F$35:$ACK$35&lt;&gt;""),COLUMN(指数走势!$F$35:$ACK$35))-COLUMN(指数走势!$F$35)+1-760+243)),NA(),IF(INDEX(指数走势!$F$35:$ACK$35,1,LOOKUP(2,1/(指数走势!$F$35:$ACK$35&lt;&gt;""),COLUMN(指数走势!$F$35:$ACK$35))-COLUMN(指数走势!$F$35)+1-760+243)=0,NA(),INDEX(指数走势!$F$35:$ACK$35,1,LOOKUP(2,1/(指数走势!$F$35:$ACK$35&lt;&gt;""),COLUMN(指数走势!$F$35:$ACK$35))-COLUMN(指数走势!$F$35)+1-760+243)))</f>
        <v>12.2152004241943</v>
      </c>
      <c r="IK99">
        <f>IF(ISERROR(INDEX(指数走势!$F$35:$ACK$35,1,LOOKUP(2,1/(指数走势!$F$35:$ACK$35&lt;&gt;""),COLUMN(指数走势!$F$35:$ACK$35))-COLUMN(指数走势!$F$35)+1-760+244)),NA(),IF(INDEX(指数走势!$F$35:$ACK$35,1,LOOKUP(2,1/(指数走势!$F$35:$ACK$35&lt;&gt;""),COLUMN(指数走势!$F$35:$ACK$35))-COLUMN(指数走势!$F$35)+1-760+244)=0,NA(),INDEX(指数走势!$F$35:$ACK$35,1,LOOKUP(2,1/(指数走势!$F$35:$ACK$35&lt;&gt;""),COLUMN(指数走势!$F$35:$ACK$35))-COLUMN(指数走势!$F$35)+1-760+244)))</f>
        <v>12.2775001525879</v>
      </c>
      <c r="IL99">
        <f>IF(ISERROR(INDEX(指数走势!$F$35:$ACK$35,1,LOOKUP(2,1/(指数走势!$F$35:$ACK$35&lt;&gt;""),COLUMN(指数走势!$F$35:$ACK$35))-COLUMN(指数走势!$F$35)+1-760+245)),NA(),IF(INDEX(指数走势!$F$35:$ACK$35,1,LOOKUP(2,1/(指数走势!$F$35:$ACK$35&lt;&gt;""),COLUMN(指数走势!$F$35:$ACK$35))-COLUMN(指数走势!$F$35)+1-760+245)=0,NA(),INDEX(指数走势!$F$35:$ACK$35,1,LOOKUP(2,1/(指数走势!$F$35:$ACK$35&lt;&gt;""),COLUMN(指数走势!$F$35:$ACK$35))-COLUMN(指数走势!$F$35)+1-760+245)))</f>
        <v>12.2462997436523</v>
      </c>
      <c r="IM99">
        <f>IF(ISERROR(INDEX(指数走势!$F$35:$ACK$35,1,LOOKUP(2,1/(指数走势!$F$35:$ACK$35&lt;&gt;""),COLUMN(指数走势!$F$35:$ACK$35))-COLUMN(指数走势!$F$35)+1-760+246)),NA(),IF(INDEX(指数走势!$F$35:$ACK$35,1,LOOKUP(2,1/(指数走势!$F$35:$ACK$35&lt;&gt;""),COLUMN(指数走势!$F$35:$ACK$35))-COLUMN(指数走势!$F$35)+1-760+246)=0,NA(),INDEX(指数走势!$F$35:$ACK$35,1,LOOKUP(2,1/(指数走势!$F$35:$ACK$35&lt;&gt;""),COLUMN(指数走势!$F$35:$ACK$35))-COLUMN(指数走势!$F$35)+1-760+246)))</f>
        <v>12.2573003768921</v>
      </c>
      <c r="IN99">
        <f>IF(ISERROR(INDEX(指数走势!$F$35:$ACK$35,1,LOOKUP(2,1/(指数走势!$F$35:$ACK$35&lt;&gt;""),COLUMN(指数走势!$F$35:$ACK$35))-COLUMN(指数走势!$F$35)+1-760+247)),NA(),IF(INDEX(指数走势!$F$35:$ACK$35,1,LOOKUP(2,1/(指数走势!$F$35:$ACK$35&lt;&gt;""),COLUMN(指数走势!$F$35:$ACK$35))-COLUMN(指数走势!$F$35)+1-760+247)=0,NA(),INDEX(指数走势!$F$35:$ACK$35,1,LOOKUP(2,1/(指数走势!$F$35:$ACK$35&lt;&gt;""),COLUMN(指数走势!$F$35:$ACK$35))-COLUMN(指数走势!$F$35)+1-760+247)))</f>
        <v>12.1361999511719</v>
      </c>
      <c r="IO99">
        <f>IF(ISERROR(INDEX(指数走势!$F$35:$ACK$35,1,LOOKUP(2,1/(指数走势!$F$35:$ACK$35&lt;&gt;""),COLUMN(指数走势!$F$35:$ACK$35))-COLUMN(指数走势!$F$35)+1-760+248)),NA(),IF(INDEX(指数走势!$F$35:$ACK$35,1,LOOKUP(2,1/(指数走势!$F$35:$ACK$35&lt;&gt;""),COLUMN(指数走势!$F$35:$ACK$35))-COLUMN(指数走势!$F$35)+1-760+248)=0,NA(),INDEX(指数走势!$F$35:$ACK$35,1,LOOKUP(2,1/(指数走势!$F$35:$ACK$35&lt;&gt;""),COLUMN(指数走势!$F$35:$ACK$35))-COLUMN(指数走势!$F$35)+1-760+248)))</f>
        <v>12.027099609375</v>
      </c>
      <c r="IP99">
        <f>IF(ISERROR(INDEX(指数走势!$F$35:$ACK$35,1,LOOKUP(2,1/(指数走势!$F$35:$ACK$35&lt;&gt;""),COLUMN(指数走势!$F$35:$ACK$35))-COLUMN(指数走势!$F$35)+1-760+249)),NA(),IF(INDEX(指数走势!$F$35:$ACK$35,1,LOOKUP(2,1/(指数走势!$F$35:$ACK$35&lt;&gt;""),COLUMN(指数走势!$F$35:$ACK$35))-COLUMN(指数走势!$F$35)+1-760+249)=0,NA(),INDEX(指数走势!$F$35:$ACK$35,1,LOOKUP(2,1/(指数走势!$F$35:$ACK$35&lt;&gt;""),COLUMN(指数走势!$F$35:$ACK$35))-COLUMN(指数走势!$F$35)+1-760+249)))</f>
        <v>12.1653995513916</v>
      </c>
      <c r="IQ99">
        <f>IF(ISERROR(INDEX(指数走势!$F$35:$ACK$35,1,LOOKUP(2,1/(指数走势!$F$35:$ACK$35&lt;&gt;""),COLUMN(指数走势!$F$35:$ACK$35))-COLUMN(指数走势!$F$35)+1-760+250)),NA(),IF(INDEX(指数走势!$F$35:$ACK$35,1,LOOKUP(2,1/(指数走势!$F$35:$ACK$35&lt;&gt;""),COLUMN(指数走势!$F$35:$ACK$35))-COLUMN(指数走势!$F$35)+1-760+250)=0,NA(),INDEX(指数走势!$F$35:$ACK$35,1,LOOKUP(2,1/(指数走势!$F$35:$ACK$35&lt;&gt;""),COLUMN(指数走势!$F$35:$ACK$35))-COLUMN(指数走势!$F$35)+1-760+250)))</f>
        <v>12.1147003173828</v>
      </c>
      <c r="IR99">
        <f>IF(ISERROR(INDEX(指数走势!$F$35:$ACK$35,1,LOOKUP(2,1/(指数走势!$F$35:$ACK$35&lt;&gt;""),COLUMN(指数走势!$F$35:$ACK$35))-COLUMN(指数走势!$F$35)+1-760+251)),NA(),IF(INDEX(指数走势!$F$35:$ACK$35,1,LOOKUP(2,1/(指数走势!$F$35:$ACK$35&lt;&gt;""),COLUMN(指数走势!$F$35:$ACK$35))-COLUMN(指数走势!$F$35)+1-760+251)=0,NA(),INDEX(指数走势!$F$35:$ACK$35,1,LOOKUP(2,1/(指数走势!$F$35:$ACK$35&lt;&gt;""),COLUMN(指数走势!$F$35:$ACK$35))-COLUMN(指数走势!$F$35)+1-760+251)))</f>
        <v>12.1336002349854</v>
      </c>
      <c r="IS99">
        <f>IF(ISERROR(INDEX(指数走势!$F$35:$ACK$35,1,LOOKUP(2,1/(指数走势!$F$35:$ACK$35&lt;&gt;""),COLUMN(指数走势!$F$35:$ACK$35))-COLUMN(指数走势!$F$35)+1-760+252)),NA(),IF(INDEX(指数走势!$F$35:$ACK$35,1,LOOKUP(2,1/(指数走势!$F$35:$ACK$35&lt;&gt;""),COLUMN(指数走势!$F$35:$ACK$35))-COLUMN(指数走势!$F$35)+1-760+252)=0,NA(),INDEX(指数走势!$F$35:$ACK$35,1,LOOKUP(2,1/(指数走势!$F$35:$ACK$35&lt;&gt;""),COLUMN(指数走势!$F$35:$ACK$35))-COLUMN(指数走势!$F$35)+1-760+252)))</f>
        <v>12.0574998855591</v>
      </c>
      <c r="IT99">
        <f>IF(ISERROR(INDEX(指数走势!$F$35:$ACK$35,1,LOOKUP(2,1/(指数走势!$F$35:$ACK$35&lt;&gt;""),COLUMN(指数走势!$F$35:$ACK$35))-COLUMN(指数走势!$F$35)+1-760+253)),NA(),IF(INDEX(指数走势!$F$35:$ACK$35,1,LOOKUP(2,1/(指数走势!$F$35:$ACK$35&lt;&gt;""),COLUMN(指数走势!$F$35:$ACK$35))-COLUMN(指数走势!$F$35)+1-760+253)=0,NA(),INDEX(指数走势!$F$35:$ACK$35,1,LOOKUP(2,1/(指数走势!$F$35:$ACK$35&lt;&gt;""),COLUMN(指数走势!$F$35:$ACK$35))-COLUMN(指数走势!$F$35)+1-760+253)))</f>
        <v>12.0167999267578</v>
      </c>
      <c r="IU99">
        <f>IF(ISERROR(INDEX(指数走势!$F$35:$ACK$35,1,LOOKUP(2,1/(指数走势!$F$35:$ACK$35&lt;&gt;""),COLUMN(指数走势!$F$35:$ACK$35))-COLUMN(指数走势!$F$35)+1-760+254)),NA(),IF(INDEX(指数走势!$F$35:$ACK$35,1,LOOKUP(2,1/(指数走势!$F$35:$ACK$35&lt;&gt;""),COLUMN(指数走势!$F$35:$ACK$35))-COLUMN(指数走势!$F$35)+1-760+254)=0,NA(),INDEX(指数走势!$F$35:$ACK$35,1,LOOKUP(2,1/(指数走势!$F$35:$ACK$35&lt;&gt;""),COLUMN(指数走势!$F$35:$ACK$35))-COLUMN(指数走势!$F$35)+1-760+254)))</f>
        <v>12.0641002655029</v>
      </c>
      <c r="IV99">
        <f>IF(ISERROR(INDEX(指数走势!$F$35:$ACK$35,1,LOOKUP(2,1/(指数走势!$F$35:$ACK$35&lt;&gt;""),COLUMN(指数走势!$F$35:$ACK$35))-COLUMN(指数走势!$F$35)+1-760+255)),NA(),IF(INDEX(指数走势!$F$35:$ACK$35,1,LOOKUP(2,1/(指数走势!$F$35:$ACK$35&lt;&gt;""),COLUMN(指数走势!$F$35:$ACK$35))-COLUMN(指数走势!$F$35)+1-760+255)=0,NA(),INDEX(指数走势!$F$35:$ACK$35,1,LOOKUP(2,1/(指数走势!$F$35:$ACK$35&lt;&gt;""),COLUMN(指数走势!$F$35:$ACK$35))-COLUMN(指数走势!$F$35)+1-760+255)))</f>
        <v>12.1187000274658</v>
      </c>
      <c r="IW99">
        <f>IF(ISERROR(INDEX(指数走势!$F$35:$ACK$35,1,LOOKUP(2,1/(指数走势!$F$35:$ACK$35&lt;&gt;""),COLUMN(指数走势!$F$35:$ACK$35))-COLUMN(指数走势!$F$35)+1-760+256)),NA(),IF(INDEX(指数走势!$F$35:$ACK$35,1,LOOKUP(2,1/(指数走势!$F$35:$ACK$35&lt;&gt;""),COLUMN(指数走势!$F$35:$ACK$35))-COLUMN(指数走势!$F$35)+1-760+256)=0,NA(),INDEX(指数走势!$F$35:$ACK$35,1,LOOKUP(2,1/(指数走势!$F$35:$ACK$35&lt;&gt;""),COLUMN(指数走势!$F$35:$ACK$35))-COLUMN(指数走势!$F$35)+1-760+256)))</f>
        <v>12.0565004348755</v>
      </c>
      <c r="IX99">
        <f>IF(ISERROR(INDEX(指数走势!$F$35:$ACK$35,1,LOOKUP(2,1/(指数走势!$F$35:$ACK$35&lt;&gt;""),COLUMN(指数走势!$F$35:$ACK$35))-COLUMN(指数走势!$F$35)+1-760+257)),NA(),IF(INDEX(指数走势!$F$35:$ACK$35,1,LOOKUP(2,1/(指数走势!$F$35:$ACK$35&lt;&gt;""),COLUMN(指数走势!$F$35:$ACK$35))-COLUMN(指数走势!$F$35)+1-760+257)=0,NA(),INDEX(指数走势!$F$35:$ACK$35,1,LOOKUP(2,1/(指数走势!$F$35:$ACK$35&lt;&gt;""),COLUMN(指数走势!$F$35:$ACK$35))-COLUMN(指数走势!$F$35)+1-760+257)))</f>
        <v>12.0684003829956</v>
      </c>
      <c r="IY99">
        <f>IF(ISERROR(INDEX(指数走势!$F$35:$ACK$35,1,LOOKUP(2,1/(指数走势!$F$35:$ACK$35&lt;&gt;""),COLUMN(指数走势!$F$35:$ACK$35))-COLUMN(指数走势!$F$35)+1-760+258)),NA(),IF(INDEX(指数走势!$F$35:$ACK$35,1,LOOKUP(2,1/(指数走势!$F$35:$ACK$35&lt;&gt;""),COLUMN(指数走势!$F$35:$ACK$35))-COLUMN(指数走势!$F$35)+1-760+258)=0,NA(),INDEX(指数走势!$F$35:$ACK$35,1,LOOKUP(2,1/(指数走势!$F$35:$ACK$35&lt;&gt;""),COLUMN(指数走势!$F$35:$ACK$35))-COLUMN(指数走势!$F$35)+1-760+258)))</f>
        <v>12.0412998199463</v>
      </c>
      <c r="IZ99">
        <f>IF(ISERROR(INDEX(指数走势!$F$35:$ACK$35,1,LOOKUP(2,1/(指数走势!$F$35:$ACK$35&lt;&gt;""),COLUMN(指数走势!$F$35:$ACK$35))-COLUMN(指数走势!$F$35)+1-760+259)),NA(),IF(INDEX(指数走势!$F$35:$ACK$35,1,LOOKUP(2,1/(指数走势!$F$35:$ACK$35&lt;&gt;""),COLUMN(指数走势!$F$35:$ACK$35))-COLUMN(指数走势!$F$35)+1-760+259)=0,NA(),INDEX(指数走势!$F$35:$ACK$35,1,LOOKUP(2,1/(指数走势!$F$35:$ACK$35&lt;&gt;""),COLUMN(指数走势!$F$35:$ACK$35))-COLUMN(指数走势!$F$35)+1-760+259)))</f>
        <v>11.9223003387451</v>
      </c>
      <c r="JA99">
        <f>IF(ISERROR(INDEX(指数走势!$F$35:$ACK$35,1,LOOKUP(2,1/(指数走势!$F$35:$ACK$35&lt;&gt;""),COLUMN(指数走势!$F$35:$ACK$35))-COLUMN(指数走势!$F$35)+1-760+260)),NA(),IF(INDEX(指数走势!$F$35:$ACK$35,1,LOOKUP(2,1/(指数走势!$F$35:$ACK$35&lt;&gt;""),COLUMN(指数走势!$F$35:$ACK$35))-COLUMN(指数走势!$F$35)+1-760+260)=0,NA(),INDEX(指数走势!$F$35:$ACK$35,1,LOOKUP(2,1/(指数走势!$F$35:$ACK$35&lt;&gt;""),COLUMN(指数走势!$F$35:$ACK$35))-COLUMN(指数走势!$F$35)+1-760+260)))</f>
        <v>11.9426002502441</v>
      </c>
      <c r="JB99">
        <f>IF(ISERROR(INDEX(指数走势!$F$35:$ACK$35,1,LOOKUP(2,1/(指数走势!$F$35:$ACK$35&lt;&gt;""),COLUMN(指数走势!$F$35:$ACK$35))-COLUMN(指数走势!$F$35)+1-760+261)),NA(),IF(INDEX(指数走势!$F$35:$ACK$35,1,LOOKUP(2,1/(指数走势!$F$35:$ACK$35&lt;&gt;""),COLUMN(指数走势!$F$35:$ACK$35))-COLUMN(指数走势!$F$35)+1-760+261)=0,NA(),INDEX(指数走势!$F$35:$ACK$35,1,LOOKUP(2,1/(指数走势!$F$35:$ACK$35&lt;&gt;""),COLUMN(指数走势!$F$35:$ACK$35))-COLUMN(指数走势!$F$35)+1-760+261)))</f>
        <v>11.914400100708</v>
      </c>
      <c r="JC99">
        <f>IF(ISERROR(INDEX(指数走势!$F$35:$ACK$35,1,LOOKUP(2,1/(指数走势!$F$35:$ACK$35&lt;&gt;""),COLUMN(指数走势!$F$35:$ACK$35))-COLUMN(指数走势!$F$35)+1-760+262)),NA(),IF(INDEX(指数走势!$F$35:$ACK$35,1,LOOKUP(2,1/(指数走势!$F$35:$ACK$35&lt;&gt;""),COLUMN(指数走势!$F$35:$ACK$35))-COLUMN(指数走势!$F$35)+1-760+262)=0,NA(),INDEX(指数走势!$F$35:$ACK$35,1,LOOKUP(2,1/(指数走势!$F$35:$ACK$35&lt;&gt;""),COLUMN(指数走势!$F$35:$ACK$35))-COLUMN(指数走势!$F$35)+1-760+262)))</f>
        <v>11.9441995620728</v>
      </c>
      <c r="JD99">
        <f>IF(ISERROR(INDEX(指数走势!$F$35:$ACK$35,1,LOOKUP(2,1/(指数走势!$F$35:$ACK$35&lt;&gt;""),COLUMN(指数走势!$F$35:$ACK$35))-COLUMN(指数走势!$F$35)+1-760+263)),NA(),IF(INDEX(指数走势!$F$35:$ACK$35,1,LOOKUP(2,1/(指数走势!$F$35:$ACK$35&lt;&gt;""),COLUMN(指数走势!$F$35:$ACK$35))-COLUMN(指数走势!$F$35)+1-760+263)=0,NA(),INDEX(指数走势!$F$35:$ACK$35,1,LOOKUP(2,1/(指数走势!$F$35:$ACK$35&lt;&gt;""),COLUMN(指数走势!$F$35:$ACK$35))-COLUMN(指数走势!$F$35)+1-760+263)))</f>
        <v>11.8401002883911</v>
      </c>
      <c r="JE99">
        <f>IF(ISERROR(INDEX(指数走势!$F$35:$ACK$35,1,LOOKUP(2,1/(指数走势!$F$35:$ACK$35&lt;&gt;""),COLUMN(指数走势!$F$35:$ACK$35))-COLUMN(指数走势!$F$35)+1-760+264)),NA(),IF(INDEX(指数走势!$F$35:$ACK$35,1,LOOKUP(2,1/(指数走势!$F$35:$ACK$35&lt;&gt;""),COLUMN(指数走势!$F$35:$ACK$35))-COLUMN(指数走势!$F$35)+1-760+264)=0,NA(),INDEX(指数走势!$F$35:$ACK$35,1,LOOKUP(2,1/(指数走势!$F$35:$ACK$35&lt;&gt;""),COLUMN(指数走势!$F$35:$ACK$35))-COLUMN(指数走势!$F$35)+1-760+264)))</f>
        <v>11.8824996948242</v>
      </c>
      <c r="JF99">
        <f>IF(ISERROR(INDEX(指数走势!$F$35:$ACK$35,1,LOOKUP(2,1/(指数走势!$F$35:$ACK$35&lt;&gt;""),COLUMN(指数走势!$F$35:$ACK$35))-COLUMN(指数走势!$F$35)+1-760+265)),NA(),IF(INDEX(指数走势!$F$35:$ACK$35,1,LOOKUP(2,1/(指数走势!$F$35:$ACK$35&lt;&gt;""),COLUMN(指数走势!$F$35:$ACK$35))-COLUMN(指数走势!$F$35)+1-760+265)=0,NA(),INDEX(指数走势!$F$35:$ACK$35,1,LOOKUP(2,1/(指数走势!$F$35:$ACK$35&lt;&gt;""),COLUMN(指数走势!$F$35:$ACK$35))-COLUMN(指数走势!$F$35)+1-760+265)))</f>
        <v>11.8810997009277</v>
      </c>
      <c r="JG99">
        <f>IF(ISERROR(INDEX(指数走势!$F$35:$ACK$35,1,LOOKUP(2,1/(指数走势!$F$35:$ACK$35&lt;&gt;""),COLUMN(指数走势!$F$35:$ACK$35))-COLUMN(指数走势!$F$35)+1-760+266)),NA(),IF(INDEX(指数走势!$F$35:$ACK$35,1,LOOKUP(2,1/(指数走势!$F$35:$ACK$35&lt;&gt;""),COLUMN(指数走势!$F$35:$ACK$35))-COLUMN(指数走势!$F$35)+1-760+266)=0,NA(),INDEX(指数走势!$F$35:$ACK$35,1,LOOKUP(2,1/(指数走势!$F$35:$ACK$35&lt;&gt;""),COLUMN(指数走势!$F$35:$ACK$35))-COLUMN(指数走势!$F$35)+1-760+266)))</f>
        <v>11.8559999465942</v>
      </c>
      <c r="JH99">
        <f>IF(ISERROR(INDEX(指数走势!$F$35:$ACK$35,1,LOOKUP(2,1/(指数走势!$F$35:$ACK$35&lt;&gt;""),COLUMN(指数走势!$F$35:$ACK$35))-COLUMN(指数走势!$F$35)+1-760+267)),NA(),IF(INDEX(指数走势!$F$35:$ACK$35,1,LOOKUP(2,1/(指数走势!$F$35:$ACK$35&lt;&gt;""),COLUMN(指数走势!$F$35:$ACK$35))-COLUMN(指数走势!$F$35)+1-760+267)=0,NA(),INDEX(指数走势!$F$35:$ACK$35,1,LOOKUP(2,1/(指数走势!$F$35:$ACK$35&lt;&gt;""),COLUMN(指数走势!$F$35:$ACK$35))-COLUMN(指数走势!$F$35)+1-760+267)))</f>
        <v>11.8271999359131</v>
      </c>
      <c r="JI99">
        <f>IF(ISERROR(INDEX(指数走势!$F$35:$ACK$35,1,LOOKUP(2,1/(指数走势!$F$35:$ACK$35&lt;&gt;""),COLUMN(指数走势!$F$35:$ACK$35))-COLUMN(指数走势!$F$35)+1-760+268)),NA(),IF(INDEX(指数走势!$F$35:$ACK$35,1,LOOKUP(2,1/(指数走势!$F$35:$ACK$35&lt;&gt;""),COLUMN(指数走势!$F$35:$ACK$35))-COLUMN(指数走势!$F$35)+1-760+268)=0,NA(),INDEX(指数走势!$F$35:$ACK$35,1,LOOKUP(2,1/(指数走势!$F$35:$ACK$35&lt;&gt;""),COLUMN(指数走势!$F$35:$ACK$35))-COLUMN(指数走势!$F$35)+1-760+268)))</f>
        <v>11.7917003631592</v>
      </c>
      <c r="JJ99">
        <f>IF(ISERROR(INDEX(指数走势!$F$35:$ACK$35,1,LOOKUP(2,1/(指数走势!$F$35:$ACK$35&lt;&gt;""),COLUMN(指数走势!$F$35:$ACK$35))-COLUMN(指数走势!$F$35)+1-760+269)),NA(),IF(INDEX(指数走势!$F$35:$ACK$35,1,LOOKUP(2,1/(指数走势!$F$35:$ACK$35&lt;&gt;""),COLUMN(指数走势!$F$35:$ACK$35))-COLUMN(指数走势!$F$35)+1-760+269)=0,NA(),INDEX(指数走势!$F$35:$ACK$35,1,LOOKUP(2,1/(指数走势!$F$35:$ACK$35&lt;&gt;""),COLUMN(指数走势!$F$35:$ACK$35))-COLUMN(指数走势!$F$35)+1-760+269)))</f>
        <v>11.7510004043579</v>
      </c>
      <c r="JK99">
        <f>IF(ISERROR(INDEX(指数走势!$F$35:$ACK$35,1,LOOKUP(2,1/(指数走势!$F$35:$ACK$35&lt;&gt;""),COLUMN(指数走势!$F$35:$ACK$35))-COLUMN(指数走势!$F$35)+1-760+270)),NA(),IF(INDEX(指数走势!$F$35:$ACK$35,1,LOOKUP(2,1/(指数走势!$F$35:$ACK$35&lt;&gt;""),COLUMN(指数走势!$F$35:$ACK$35))-COLUMN(指数走势!$F$35)+1-760+270)=0,NA(),INDEX(指数走势!$F$35:$ACK$35,1,LOOKUP(2,1/(指数走势!$F$35:$ACK$35&lt;&gt;""),COLUMN(指数走势!$F$35:$ACK$35))-COLUMN(指数走势!$F$35)+1-760+270)))</f>
        <v>11.793999671936</v>
      </c>
      <c r="JL99">
        <f>IF(ISERROR(INDEX(指数走势!$F$35:$ACK$35,1,LOOKUP(2,1/(指数走势!$F$35:$ACK$35&lt;&gt;""),COLUMN(指数走势!$F$35:$ACK$35))-COLUMN(指数走势!$F$35)+1-760+271)),NA(),IF(INDEX(指数走势!$F$35:$ACK$35,1,LOOKUP(2,1/(指数走势!$F$35:$ACK$35&lt;&gt;""),COLUMN(指数走势!$F$35:$ACK$35))-COLUMN(指数走势!$F$35)+1-760+271)=0,NA(),INDEX(指数走势!$F$35:$ACK$35,1,LOOKUP(2,1/(指数走势!$F$35:$ACK$35&lt;&gt;""),COLUMN(指数走势!$F$35:$ACK$35))-COLUMN(指数走势!$F$35)+1-760+271)))</f>
        <v>11.7582998275757</v>
      </c>
      <c r="JM99">
        <f>IF(ISERROR(INDEX(指数走势!$F$35:$ACK$35,1,LOOKUP(2,1/(指数走势!$F$35:$ACK$35&lt;&gt;""),COLUMN(指数走势!$F$35:$ACK$35))-COLUMN(指数走势!$F$35)+1-760+272)),NA(),IF(INDEX(指数走势!$F$35:$ACK$35,1,LOOKUP(2,1/(指数走势!$F$35:$ACK$35&lt;&gt;""),COLUMN(指数走势!$F$35:$ACK$35))-COLUMN(指数走势!$F$35)+1-760+272)=0,NA(),INDEX(指数走势!$F$35:$ACK$35,1,LOOKUP(2,1/(指数走势!$F$35:$ACK$35&lt;&gt;""),COLUMN(指数走势!$F$35:$ACK$35))-COLUMN(指数走势!$F$35)+1-760+272)))</f>
        <v>11.8431997299194</v>
      </c>
      <c r="JN99">
        <f>IF(ISERROR(INDEX(指数走势!$F$35:$ACK$35,1,LOOKUP(2,1/(指数走势!$F$35:$ACK$35&lt;&gt;""),COLUMN(指数走势!$F$35:$ACK$35))-COLUMN(指数走势!$F$35)+1-760+273)),NA(),IF(INDEX(指数走势!$F$35:$ACK$35,1,LOOKUP(2,1/(指数走势!$F$35:$ACK$35&lt;&gt;""),COLUMN(指数走势!$F$35:$ACK$35))-COLUMN(指数走势!$F$35)+1-760+273)=0,NA(),INDEX(指数走势!$F$35:$ACK$35,1,LOOKUP(2,1/(指数走势!$F$35:$ACK$35&lt;&gt;""),COLUMN(指数走势!$F$35:$ACK$35))-COLUMN(指数走势!$F$35)+1-760+273)))</f>
        <v>11.9387998580933</v>
      </c>
      <c r="JO99">
        <f>IF(ISERROR(INDEX(指数走势!$F$35:$ACK$35,1,LOOKUP(2,1/(指数走势!$F$35:$ACK$35&lt;&gt;""),COLUMN(指数走势!$F$35:$ACK$35))-COLUMN(指数走势!$F$35)+1-760+274)),NA(),IF(INDEX(指数走势!$F$35:$ACK$35,1,LOOKUP(2,1/(指数走势!$F$35:$ACK$35&lt;&gt;""),COLUMN(指数走势!$F$35:$ACK$35))-COLUMN(指数走势!$F$35)+1-760+274)=0,NA(),INDEX(指数走势!$F$35:$ACK$35,1,LOOKUP(2,1/(指数走势!$F$35:$ACK$35&lt;&gt;""),COLUMN(指数走势!$F$35:$ACK$35))-COLUMN(指数走势!$F$35)+1-760+274)))</f>
        <v>11.9876003265381</v>
      </c>
      <c r="JP99">
        <f>IF(ISERROR(INDEX(指数走势!$F$35:$ACK$35,1,LOOKUP(2,1/(指数走势!$F$35:$ACK$35&lt;&gt;""),COLUMN(指数走势!$F$35:$ACK$35))-COLUMN(指数走势!$F$35)+1-760+275)),NA(),IF(INDEX(指数走势!$F$35:$ACK$35,1,LOOKUP(2,1/(指数走势!$F$35:$ACK$35&lt;&gt;""),COLUMN(指数走势!$F$35:$ACK$35))-COLUMN(指数走势!$F$35)+1-760+275)=0,NA(),INDEX(指数走势!$F$35:$ACK$35,1,LOOKUP(2,1/(指数走势!$F$35:$ACK$35&lt;&gt;""),COLUMN(指数走势!$F$35:$ACK$35))-COLUMN(指数走势!$F$35)+1-760+275)))</f>
        <v>11.9453001022339</v>
      </c>
      <c r="JQ99">
        <f>IF(ISERROR(INDEX(指数走势!$F$35:$ACK$35,1,LOOKUP(2,1/(指数走势!$F$35:$ACK$35&lt;&gt;""),COLUMN(指数走势!$F$35:$ACK$35))-COLUMN(指数走势!$F$35)+1-760+276)),NA(),IF(INDEX(指数走势!$F$35:$ACK$35,1,LOOKUP(2,1/(指数走势!$F$35:$ACK$35&lt;&gt;""),COLUMN(指数走势!$F$35:$ACK$35))-COLUMN(指数走势!$F$35)+1-760+276)=0,NA(),INDEX(指数走势!$F$35:$ACK$35,1,LOOKUP(2,1/(指数走势!$F$35:$ACK$35&lt;&gt;""),COLUMN(指数走势!$F$35:$ACK$35))-COLUMN(指数走势!$F$35)+1-760+276)))</f>
        <v>11.9187002182007</v>
      </c>
      <c r="JR99">
        <f>IF(ISERROR(INDEX(指数走势!$F$35:$ACK$35,1,LOOKUP(2,1/(指数走势!$F$35:$ACK$35&lt;&gt;""),COLUMN(指数走势!$F$35:$ACK$35))-COLUMN(指数走势!$F$35)+1-760+277)),NA(),IF(INDEX(指数走势!$F$35:$ACK$35,1,LOOKUP(2,1/(指数走势!$F$35:$ACK$35&lt;&gt;""),COLUMN(指数走势!$F$35:$ACK$35))-COLUMN(指数走势!$F$35)+1-760+277)=0,NA(),INDEX(指数走势!$F$35:$ACK$35,1,LOOKUP(2,1/(指数走势!$F$35:$ACK$35&lt;&gt;""),COLUMN(指数走势!$F$35:$ACK$35))-COLUMN(指数走势!$F$35)+1-760+277)))</f>
        <v>11.8224000930786</v>
      </c>
      <c r="JS99">
        <f>IF(ISERROR(INDEX(指数走势!$F$35:$ACK$35,1,LOOKUP(2,1/(指数走势!$F$35:$ACK$35&lt;&gt;""),COLUMN(指数走势!$F$35:$ACK$35))-COLUMN(指数走势!$F$35)+1-760+278)),NA(),IF(INDEX(指数走势!$F$35:$ACK$35,1,LOOKUP(2,1/(指数走势!$F$35:$ACK$35&lt;&gt;""),COLUMN(指数走势!$F$35:$ACK$35))-COLUMN(指数走势!$F$35)+1-760+278)=0,NA(),INDEX(指数走势!$F$35:$ACK$35,1,LOOKUP(2,1/(指数走势!$F$35:$ACK$35&lt;&gt;""),COLUMN(指数走势!$F$35:$ACK$35))-COLUMN(指数走势!$F$35)+1-760+278)))</f>
        <v>11.786600112915</v>
      </c>
      <c r="JT99">
        <f>IF(ISERROR(INDEX(指数走势!$F$35:$ACK$35,1,LOOKUP(2,1/(指数走势!$F$35:$ACK$35&lt;&gt;""),COLUMN(指数走势!$F$35:$ACK$35))-COLUMN(指数走势!$F$35)+1-760+279)),NA(),IF(INDEX(指数走势!$F$35:$ACK$35,1,LOOKUP(2,1/(指数走势!$F$35:$ACK$35&lt;&gt;""),COLUMN(指数走势!$F$35:$ACK$35))-COLUMN(指数走势!$F$35)+1-760+279)=0,NA(),INDEX(指数走势!$F$35:$ACK$35,1,LOOKUP(2,1/(指数走势!$F$35:$ACK$35&lt;&gt;""),COLUMN(指数走势!$F$35:$ACK$35))-COLUMN(指数走势!$F$35)+1-760+279)))</f>
        <v>11.8950996398926</v>
      </c>
      <c r="JU99">
        <f>IF(ISERROR(INDEX(指数走势!$F$35:$ACK$35,1,LOOKUP(2,1/(指数走势!$F$35:$ACK$35&lt;&gt;""),COLUMN(指数走势!$F$35:$ACK$35))-COLUMN(指数走势!$F$35)+1-760+280)),NA(),IF(INDEX(指数走势!$F$35:$ACK$35,1,LOOKUP(2,1/(指数走势!$F$35:$ACK$35&lt;&gt;""),COLUMN(指数走势!$F$35:$ACK$35))-COLUMN(指数走势!$F$35)+1-760+280)=0,NA(),INDEX(指数走势!$F$35:$ACK$35,1,LOOKUP(2,1/(指数走势!$F$35:$ACK$35&lt;&gt;""),COLUMN(指数走势!$F$35:$ACK$35))-COLUMN(指数走势!$F$35)+1-760+280)))</f>
        <v>11.8332996368408</v>
      </c>
      <c r="JV99">
        <f>IF(ISERROR(INDEX(指数走势!$F$35:$ACK$35,1,LOOKUP(2,1/(指数走势!$F$35:$ACK$35&lt;&gt;""),COLUMN(指数走势!$F$35:$ACK$35))-COLUMN(指数走势!$F$35)+1-760+281)),NA(),IF(INDEX(指数走势!$F$35:$ACK$35,1,LOOKUP(2,1/(指数走势!$F$35:$ACK$35&lt;&gt;""),COLUMN(指数走势!$F$35:$ACK$35))-COLUMN(指数走势!$F$35)+1-760+281)=0,NA(),INDEX(指数走势!$F$35:$ACK$35,1,LOOKUP(2,1/(指数走势!$F$35:$ACK$35&lt;&gt;""),COLUMN(指数走势!$F$35:$ACK$35))-COLUMN(指数走势!$F$35)+1-760+281)))</f>
        <v>11.9041004180908</v>
      </c>
      <c r="JW99">
        <f>IF(ISERROR(INDEX(指数走势!$F$35:$ACK$35,1,LOOKUP(2,1/(指数走势!$F$35:$ACK$35&lt;&gt;""),COLUMN(指数走势!$F$35:$ACK$35))-COLUMN(指数走势!$F$35)+1-760+282)),NA(),IF(INDEX(指数走势!$F$35:$ACK$35,1,LOOKUP(2,1/(指数走势!$F$35:$ACK$35&lt;&gt;""),COLUMN(指数走势!$F$35:$ACK$35))-COLUMN(指数走势!$F$35)+1-760+282)=0,NA(),INDEX(指数走势!$F$35:$ACK$35,1,LOOKUP(2,1/(指数走势!$F$35:$ACK$35&lt;&gt;""),COLUMN(指数走势!$F$35:$ACK$35))-COLUMN(指数走势!$F$35)+1-760+282)))</f>
        <v>11.9195003509521</v>
      </c>
      <c r="JX99">
        <f>IF(ISERROR(INDEX(指数走势!$F$35:$ACK$35,1,LOOKUP(2,1/(指数走势!$F$35:$ACK$35&lt;&gt;""),COLUMN(指数走势!$F$35:$ACK$35))-COLUMN(指数走势!$F$35)+1-760+283)),NA(),IF(INDEX(指数走势!$F$35:$ACK$35,1,LOOKUP(2,1/(指数走势!$F$35:$ACK$35&lt;&gt;""),COLUMN(指数走势!$F$35:$ACK$35))-COLUMN(指数走势!$F$35)+1-760+283)=0,NA(),INDEX(指数走势!$F$35:$ACK$35,1,LOOKUP(2,1/(指数走势!$F$35:$ACK$35&lt;&gt;""),COLUMN(指数走势!$F$35:$ACK$35))-COLUMN(指数走势!$F$35)+1-760+283)))</f>
        <v>11.9968996047974</v>
      </c>
      <c r="JY99">
        <f>IF(ISERROR(INDEX(指数走势!$F$35:$ACK$35,1,LOOKUP(2,1/(指数走势!$F$35:$ACK$35&lt;&gt;""),COLUMN(指数走势!$F$35:$ACK$35))-COLUMN(指数走势!$F$35)+1-760+284)),NA(),IF(INDEX(指数走势!$F$35:$ACK$35,1,LOOKUP(2,1/(指数走势!$F$35:$ACK$35&lt;&gt;""),COLUMN(指数走势!$F$35:$ACK$35))-COLUMN(指数走势!$F$35)+1-760+284)=0,NA(),INDEX(指数走势!$F$35:$ACK$35,1,LOOKUP(2,1/(指数走势!$F$35:$ACK$35&lt;&gt;""),COLUMN(指数走势!$F$35:$ACK$35))-COLUMN(指数走势!$F$35)+1-760+284)))</f>
        <v>12.0276002883911</v>
      </c>
      <c r="JZ99">
        <f>IF(ISERROR(INDEX(指数走势!$F$35:$ACK$35,1,LOOKUP(2,1/(指数走势!$F$35:$ACK$35&lt;&gt;""),COLUMN(指数走势!$F$35:$ACK$35))-COLUMN(指数走势!$F$35)+1-760+285)),NA(),IF(INDEX(指数走势!$F$35:$ACK$35,1,LOOKUP(2,1/(指数走势!$F$35:$ACK$35&lt;&gt;""),COLUMN(指数走势!$F$35:$ACK$35))-COLUMN(指数走势!$F$35)+1-760+285)=0,NA(),INDEX(指数走势!$F$35:$ACK$35,1,LOOKUP(2,1/(指数走势!$F$35:$ACK$35&lt;&gt;""),COLUMN(指数走势!$F$35:$ACK$35))-COLUMN(指数走势!$F$35)+1-760+285)))</f>
        <v>11.9799995422363</v>
      </c>
      <c r="KA99">
        <f>IF(ISERROR(INDEX(指数走势!$F$35:$ACK$35,1,LOOKUP(2,1/(指数走势!$F$35:$ACK$35&lt;&gt;""),COLUMN(指数走势!$F$35:$ACK$35))-COLUMN(指数走势!$F$35)+1-760+286)),NA(),IF(INDEX(指数走势!$F$35:$ACK$35,1,LOOKUP(2,1/(指数走势!$F$35:$ACK$35&lt;&gt;""),COLUMN(指数走势!$F$35:$ACK$35))-COLUMN(指数走势!$F$35)+1-760+286)=0,NA(),INDEX(指数走势!$F$35:$ACK$35,1,LOOKUP(2,1/(指数走势!$F$35:$ACK$35&lt;&gt;""),COLUMN(指数走势!$F$35:$ACK$35))-COLUMN(指数走势!$F$35)+1-760+286)))</f>
        <v>12.0644998550415</v>
      </c>
      <c r="KB99">
        <f>IF(ISERROR(INDEX(指数走势!$F$35:$ACK$35,1,LOOKUP(2,1/(指数走势!$F$35:$ACK$35&lt;&gt;""),COLUMN(指数走势!$F$35:$ACK$35))-COLUMN(指数走势!$F$35)+1-760+287)),NA(),IF(INDEX(指数走势!$F$35:$ACK$35,1,LOOKUP(2,1/(指数走势!$F$35:$ACK$35&lt;&gt;""),COLUMN(指数走势!$F$35:$ACK$35))-COLUMN(指数走势!$F$35)+1-760+287)=0,NA(),INDEX(指数走势!$F$35:$ACK$35,1,LOOKUP(2,1/(指数走势!$F$35:$ACK$35&lt;&gt;""),COLUMN(指数走势!$F$35:$ACK$35))-COLUMN(指数走势!$F$35)+1-760+287)))</f>
        <v>12.0846004486084</v>
      </c>
      <c r="KC99">
        <f>IF(ISERROR(INDEX(指数走势!$F$35:$ACK$35,1,LOOKUP(2,1/(指数走势!$F$35:$ACK$35&lt;&gt;""),COLUMN(指数走势!$F$35:$ACK$35))-COLUMN(指数走势!$F$35)+1-760+288)),NA(),IF(INDEX(指数走势!$F$35:$ACK$35,1,LOOKUP(2,1/(指数走势!$F$35:$ACK$35&lt;&gt;""),COLUMN(指数走势!$F$35:$ACK$35))-COLUMN(指数走势!$F$35)+1-760+288)=0,NA(),INDEX(指数走势!$F$35:$ACK$35,1,LOOKUP(2,1/(指数走势!$F$35:$ACK$35&lt;&gt;""),COLUMN(指数走势!$F$35:$ACK$35))-COLUMN(指数走势!$F$35)+1-760+288)))</f>
        <v>11.9624004364014</v>
      </c>
      <c r="KD99">
        <f>IF(ISERROR(INDEX(指数走势!$F$35:$ACK$35,1,LOOKUP(2,1/(指数走势!$F$35:$ACK$35&lt;&gt;""),COLUMN(指数走势!$F$35:$ACK$35))-COLUMN(指数走势!$F$35)+1-760+289)),NA(),IF(INDEX(指数走势!$F$35:$ACK$35,1,LOOKUP(2,1/(指数走势!$F$35:$ACK$35&lt;&gt;""),COLUMN(指数走势!$F$35:$ACK$35))-COLUMN(指数走势!$F$35)+1-760+289)=0,NA(),INDEX(指数走势!$F$35:$ACK$35,1,LOOKUP(2,1/(指数走势!$F$35:$ACK$35&lt;&gt;""),COLUMN(指数走势!$F$35:$ACK$35))-COLUMN(指数走势!$F$35)+1-760+289)))</f>
        <v>11.805100440979</v>
      </c>
      <c r="KE99">
        <f>IF(ISERROR(INDEX(指数走势!$F$35:$ACK$35,1,LOOKUP(2,1/(指数走势!$F$35:$ACK$35&lt;&gt;""),COLUMN(指数走势!$F$35:$ACK$35))-COLUMN(指数走势!$F$35)+1-760+290)),NA(),IF(INDEX(指数走势!$F$35:$ACK$35,1,LOOKUP(2,1/(指数走势!$F$35:$ACK$35&lt;&gt;""),COLUMN(指数走势!$F$35:$ACK$35))-COLUMN(指数走势!$F$35)+1-760+290)=0,NA(),INDEX(指数走势!$F$35:$ACK$35,1,LOOKUP(2,1/(指数走势!$F$35:$ACK$35&lt;&gt;""),COLUMN(指数走势!$F$35:$ACK$35))-COLUMN(指数走势!$F$35)+1-760+290)))</f>
        <v>11.7786998748779</v>
      </c>
      <c r="KF99">
        <f>IF(ISERROR(INDEX(指数走势!$F$35:$ACK$35,1,LOOKUP(2,1/(指数走势!$F$35:$ACK$35&lt;&gt;""),COLUMN(指数走势!$F$35:$ACK$35))-COLUMN(指数走势!$F$35)+1-760+291)),NA(),IF(INDEX(指数走势!$F$35:$ACK$35,1,LOOKUP(2,1/(指数走势!$F$35:$ACK$35&lt;&gt;""),COLUMN(指数走势!$F$35:$ACK$35))-COLUMN(指数走势!$F$35)+1-760+291)=0,NA(),INDEX(指数走势!$F$35:$ACK$35,1,LOOKUP(2,1/(指数走势!$F$35:$ACK$35&lt;&gt;""),COLUMN(指数走势!$F$35:$ACK$35))-COLUMN(指数走势!$F$35)+1-760+291)))</f>
        <v>11.6868000030518</v>
      </c>
      <c r="KG99">
        <f>IF(ISERROR(INDEX(指数走势!$F$35:$ACK$35,1,LOOKUP(2,1/(指数走势!$F$35:$ACK$35&lt;&gt;""),COLUMN(指数走势!$F$35:$ACK$35))-COLUMN(指数走势!$F$35)+1-760+292)),NA(),IF(INDEX(指数走势!$F$35:$ACK$35,1,LOOKUP(2,1/(指数走势!$F$35:$ACK$35&lt;&gt;""),COLUMN(指数走势!$F$35:$ACK$35))-COLUMN(指数走势!$F$35)+1-760+292)=0,NA(),INDEX(指数走势!$F$35:$ACK$35,1,LOOKUP(2,1/(指数走势!$F$35:$ACK$35&lt;&gt;""),COLUMN(指数走势!$F$35:$ACK$35))-COLUMN(指数走势!$F$35)+1-760+292)))</f>
        <v>11.6398000717163</v>
      </c>
      <c r="KH99">
        <f>IF(ISERROR(INDEX(指数走势!$F$35:$ACK$35,1,LOOKUP(2,1/(指数走势!$F$35:$ACK$35&lt;&gt;""),COLUMN(指数走势!$F$35:$ACK$35))-COLUMN(指数走势!$F$35)+1-760+293)),NA(),IF(INDEX(指数走势!$F$35:$ACK$35,1,LOOKUP(2,1/(指数走势!$F$35:$ACK$35&lt;&gt;""),COLUMN(指数走势!$F$35:$ACK$35))-COLUMN(指数走势!$F$35)+1-760+293)=0,NA(),INDEX(指数走势!$F$35:$ACK$35,1,LOOKUP(2,1/(指数走势!$F$35:$ACK$35&lt;&gt;""),COLUMN(指数走势!$F$35:$ACK$35))-COLUMN(指数走势!$F$35)+1-760+293)))</f>
        <v>11.6373996734619</v>
      </c>
      <c r="KI99">
        <f>IF(ISERROR(INDEX(指数走势!$F$35:$ACK$35,1,LOOKUP(2,1/(指数走势!$F$35:$ACK$35&lt;&gt;""),COLUMN(指数走势!$F$35:$ACK$35))-COLUMN(指数走势!$F$35)+1-760+294)),NA(),IF(INDEX(指数走势!$F$35:$ACK$35,1,LOOKUP(2,1/(指数走势!$F$35:$ACK$35&lt;&gt;""),COLUMN(指数走势!$F$35:$ACK$35))-COLUMN(指数走势!$F$35)+1-760+294)=0,NA(),INDEX(指数走势!$F$35:$ACK$35,1,LOOKUP(2,1/(指数走势!$F$35:$ACK$35&lt;&gt;""),COLUMN(指数走势!$F$35:$ACK$35))-COLUMN(指数走势!$F$35)+1-760+294)))</f>
        <v>11.5490999221802</v>
      </c>
      <c r="KJ99">
        <f>IF(ISERROR(INDEX(指数走势!$F$35:$ACK$35,1,LOOKUP(2,1/(指数走势!$F$35:$ACK$35&lt;&gt;""),COLUMN(指数走势!$F$35:$ACK$35))-COLUMN(指数走势!$F$35)+1-760+295)),NA(),IF(INDEX(指数走势!$F$35:$ACK$35,1,LOOKUP(2,1/(指数走势!$F$35:$ACK$35&lt;&gt;""),COLUMN(指数走势!$F$35:$ACK$35))-COLUMN(指数走势!$F$35)+1-760+295)=0,NA(),INDEX(指数走势!$F$35:$ACK$35,1,LOOKUP(2,1/(指数走势!$F$35:$ACK$35&lt;&gt;""),COLUMN(指数走势!$F$35:$ACK$35))-COLUMN(指数走势!$F$35)+1-760+295)))</f>
        <v>11.7009000778198</v>
      </c>
      <c r="KK99">
        <f>IF(ISERROR(INDEX(指数走势!$F$35:$ACK$35,1,LOOKUP(2,1/(指数走势!$F$35:$ACK$35&lt;&gt;""),COLUMN(指数走势!$F$35:$ACK$35))-COLUMN(指数走势!$F$35)+1-760+296)),NA(),IF(INDEX(指数走势!$F$35:$ACK$35,1,LOOKUP(2,1/(指数走势!$F$35:$ACK$35&lt;&gt;""),COLUMN(指数走势!$F$35:$ACK$35))-COLUMN(指数走势!$F$35)+1-760+296)=0,NA(),INDEX(指数走势!$F$35:$ACK$35,1,LOOKUP(2,1/(指数走势!$F$35:$ACK$35&lt;&gt;""),COLUMN(指数走势!$F$35:$ACK$35))-COLUMN(指数走势!$F$35)+1-760+296)))</f>
        <v>11.6667995452881</v>
      </c>
      <c r="KL99">
        <f>IF(ISERROR(INDEX(指数走势!$F$35:$ACK$35,1,LOOKUP(2,1/(指数走势!$F$35:$ACK$35&lt;&gt;""),COLUMN(指数走势!$F$35:$ACK$35))-COLUMN(指数走势!$F$35)+1-760+297)),NA(),IF(INDEX(指数走势!$F$35:$ACK$35,1,LOOKUP(2,1/(指数走势!$F$35:$ACK$35&lt;&gt;""),COLUMN(指数走势!$F$35:$ACK$35))-COLUMN(指数走势!$F$35)+1-760+297)=0,NA(),INDEX(指数走势!$F$35:$ACK$35,1,LOOKUP(2,1/(指数走势!$F$35:$ACK$35&lt;&gt;""),COLUMN(指数走势!$F$35:$ACK$35))-COLUMN(指数走势!$F$35)+1-760+297)))</f>
        <v>11.5713996887207</v>
      </c>
      <c r="KM99">
        <f>IF(ISERROR(INDEX(指数走势!$F$35:$ACK$35,1,LOOKUP(2,1/(指数走势!$F$35:$ACK$35&lt;&gt;""),COLUMN(指数走势!$F$35:$ACK$35))-COLUMN(指数走势!$F$35)+1-760+298)),NA(),IF(INDEX(指数走势!$F$35:$ACK$35,1,LOOKUP(2,1/(指数走势!$F$35:$ACK$35&lt;&gt;""),COLUMN(指数走势!$F$35:$ACK$35))-COLUMN(指数走势!$F$35)+1-760+298)=0,NA(),INDEX(指数走势!$F$35:$ACK$35,1,LOOKUP(2,1/(指数走势!$F$35:$ACK$35&lt;&gt;""),COLUMN(指数走势!$F$35:$ACK$35))-COLUMN(指数走势!$F$35)+1-760+298)))</f>
        <v>11.4107999801636</v>
      </c>
      <c r="KN99">
        <f>IF(ISERROR(INDEX(指数走势!$F$35:$ACK$35,1,LOOKUP(2,1/(指数走势!$F$35:$ACK$35&lt;&gt;""),COLUMN(指数走势!$F$35:$ACK$35))-COLUMN(指数走势!$F$35)+1-760+299)),NA(),IF(INDEX(指数走势!$F$35:$ACK$35,1,LOOKUP(2,1/(指数走势!$F$35:$ACK$35&lt;&gt;""),COLUMN(指数走势!$F$35:$ACK$35))-COLUMN(指数走势!$F$35)+1-760+299)=0,NA(),INDEX(指数走势!$F$35:$ACK$35,1,LOOKUP(2,1/(指数走势!$F$35:$ACK$35&lt;&gt;""),COLUMN(指数走势!$F$35:$ACK$35))-COLUMN(指数走势!$F$35)+1-760+299)))</f>
        <v>11.3770999908447</v>
      </c>
      <c r="KO99">
        <f>IF(ISERROR(INDEX(指数走势!$F$35:$ACK$35,1,LOOKUP(2,1/(指数走势!$F$35:$ACK$35&lt;&gt;""),COLUMN(指数走势!$F$35:$ACK$35))-COLUMN(指数走势!$F$35)+1-760+300)),NA(),IF(INDEX(指数走势!$F$35:$ACK$35,1,LOOKUP(2,1/(指数走势!$F$35:$ACK$35&lt;&gt;""),COLUMN(指数走势!$F$35:$ACK$35))-COLUMN(指数走势!$F$35)+1-760+300)=0,NA(),INDEX(指数走势!$F$35:$ACK$35,1,LOOKUP(2,1/(指数走势!$F$35:$ACK$35&lt;&gt;""),COLUMN(指数走势!$F$35:$ACK$35))-COLUMN(指数走势!$F$35)+1-760+300)))</f>
        <v>11.3894996643066</v>
      </c>
      <c r="KP99">
        <f>IF(ISERROR(INDEX(指数走势!$F$35:$ACK$35,1,LOOKUP(2,1/(指数走势!$F$35:$ACK$35&lt;&gt;""),COLUMN(指数走势!$F$35:$ACK$35))-COLUMN(指数走势!$F$35)+1-760+301)),NA(),IF(INDEX(指数走势!$F$35:$ACK$35,1,LOOKUP(2,1/(指数走势!$F$35:$ACK$35&lt;&gt;""),COLUMN(指数走势!$F$35:$ACK$35))-COLUMN(指数走势!$F$35)+1-760+301)=0,NA(),INDEX(指数走势!$F$35:$ACK$35,1,LOOKUP(2,1/(指数走势!$F$35:$ACK$35&lt;&gt;""),COLUMN(指数走势!$F$35:$ACK$35))-COLUMN(指数走势!$F$35)+1-760+301)))</f>
        <v>11.3858995437622</v>
      </c>
      <c r="KQ99">
        <f>IF(ISERROR(INDEX(指数走势!$F$35:$ACK$35,1,LOOKUP(2,1/(指数走势!$F$35:$ACK$35&lt;&gt;""),COLUMN(指数走势!$F$35:$ACK$35))-COLUMN(指数走势!$F$35)+1-760+302)),NA(),IF(INDEX(指数走势!$F$35:$ACK$35,1,LOOKUP(2,1/(指数走势!$F$35:$ACK$35&lt;&gt;""),COLUMN(指数走势!$F$35:$ACK$35))-COLUMN(指数走势!$F$35)+1-760+302)=0,NA(),INDEX(指数走势!$F$35:$ACK$35,1,LOOKUP(2,1/(指数走势!$F$35:$ACK$35&lt;&gt;""),COLUMN(指数走势!$F$35:$ACK$35))-COLUMN(指数走势!$F$35)+1-760+302)))</f>
        <v>11.3642997741699</v>
      </c>
      <c r="KR99">
        <f>IF(ISERROR(INDEX(指数走势!$F$35:$ACK$35,1,LOOKUP(2,1/(指数走势!$F$35:$ACK$35&lt;&gt;""),COLUMN(指数走势!$F$35:$ACK$35))-COLUMN(指数走势!$F$35)+1-760+303)),NA(),IF(INDEX(指数走势!$F$35:$ACK$35,1,LOOKUP(2,1/(指数走势!$F$35:$ACK$35&lt;&gt;""),COLUMN(指数走势!$F$35:$ACK$35))-COLUMN(指数走势!$F$35)+1-760+303)=0,NA(),INDEX(指数走势!$F$35:$ACK$35,1,LOOKUP(2,1/(指数走势!$F$35:$ACK$35&lt;&gt;""),COLUMN(指数走势!$F$35:$ACK$35))-COLUMN(指数走势!$F$35)+1-760+303)))</f>
        <v>11.354100227356</v>
      </c>
      <c r="KS99">
        <f>IF(ISERROR(INDEX(指数走势!$F$35:$ACK$35,1,LOOKUP(2,1/(指数走势!$F$35:$ACK$35&lt;&gt;""),COLUMN(指数走势!$F$35:$ACK$35))-COLUMN(指数走势!$F$35)+1-760+304)),NA(),IF(INDEX(指数走势!$F$35:$ACK$35,1,LOOKUP(2,1/(指数走势!$F$35:$ACK$35&lt;&gt;""),COLUMN(指数走势!$F$35:$ACK$35))-COLUMN(指数走势!$F$35)+1-760+304)=0,NA(),INDEX(指数走势!$F$35:$ACK$35,1,LOOKUP(2,1/(指数走势!$F$35:$ACK$35&lt;&gt;""),COLUMN(指数走势!$F$35:$ACK$35))-COLUMN(指数走势!$F$35)+1-760+304)))</f>
        <v>11.3964996337891</v>
      </c>
      <c r="KT99">
        <f>IF(ISERROR(INDEX(指数走势!$F$35:$ACK$35,1,LOOKUP(2,1/(指数走势!$F$35:$ACK$35&lt;&gt;""),COLUMN(指数走势!$F$35:$ACK$35))-COLUMN(指数走势!$F$35)+1-760+305)),NA(),IF(INDEX(指数走势!$F$35:$ACK$35,1,LOOKUP(2,1/(指数走势!$F$35:$ACK$35&lt;&gt;""),COLUMN(指数走势!$F$35:$ACK$35))-COLUMN(指数走势!$F$35)+1-760+305)=0,NA(),INDEX(指数走势!$F$35:$ACK$35,1,LOOKUP(2,1/(指数走势!$F$35:$ACK$35&lt;&gt;""),COLUMN(指数走势!$F$35:$ACK$35))-COLUMN(指数走势!$F$35)+1-760+305)))</f>
        <v>11.3528003692627</v>
      </c>
      <c r="KU99">
        <f>IF(ISERROR(INDEX(指数走势!$F$35:$ACK$35,1,LOOKUP(2,1/(指数走势!$F$35:$ACK$35&lt;&gt;""),COLUMN(指数走势!$F$35:$ACK$35))-COLUMN(指数走势!$F$35)+1-760+306)),NA(),IF(INDEX(指数走势!$F$35:$ACK$35,1,LOOKUP(2,1/(指数走势!$F$35:$ACK$35&lt;&gt;""),COLUMN(指数走势!$F$35:$ACK$35))-COLUMN(指数走势!$F$35)+1-760+306)=0,NA(),INDEX(指数走势!$F$35:$ACK$35,1,LOOKUP(2,1/(指数走势!$F$35:$ACK$35&lt;&gt;""),COLUMN(指数走势!$F$35:$ACK$35))-COLUMN(指数走势!$F$35)+1-760+306)))</f>
        <v>11.4666996002197</v>
      </c>
      <c r="KV99">
        <f>IF(ISERROR(INDEX(指数走势!$F$35:$ACK$35,1,LOOKUP(2,1/(指数走势!$F$35:$ACK$35&lt;&gt;""),COLUMN(指数走势!$F$35:$ACK$35))-COLUMN(指数走势!$F$35)+1-760+307)),NA(),IF(INDEX(指数走势!$F$35:$ACK$35,1,LOOKUP(2,1/(指数走势!$F$35:$ACK$35&lt;&gt;""),COLUMN(指数走势!$F$35:$ACK$35))-COLUMN(指数走势!$F$35)+1-760+307)=0,NA(),INDEX(指数走势!$F$35:$ACK$35,1,LOOKUP(2,1/(指数走势!$F$35:$ACK$35&lt;&gt;""),COLUMN(指数走势!$F$35:$ACK$35))-COLUMN(指数走势!$F$35)+1-760+307)))</f>
        <v>11.5172004699707</v>
      </c>
      <c r="KW99">
        <f>IF(ISERROR(INDEX(指数走势!$F$35:$ACK$35,1,LOOKUP(2,1/(指数走势!$F$35:$ACK$35&lt;&gt;""),COLUMN(指数走势!$F$35:$ACK$35))-COLUMN(指数走势!$F$35)+1-760+308)),NA(),IF(INDEX(指数走势!$F$35:$ACK$35,1,LOOKUP(2,1/(指数走势!$F$35:$ACK$35&lt;&gt;""),COLUMN(指数走势!$F$35:$ACK$35))-COLUMN(指数走势!$F$35)+1-760+308)=0,NA(),INDEX(指数走势!$F$35:$ACK$35,1,LOOKUP(2,1/(指数走势!$F$35:$ACK$35&lt;&gt;""),COLUMN(指数走势!$F$35:$ACK$35))-COLUMN(指数走势!$F$35)+1-760+308)))</f>
        <v>11.5888996124268</v>
      </c>
      <c r="KX99">
        <f>IF(ISERROR(INDEX(指数走势!$F$35:$ACK$35,1,LOOKUP(2,1/(指数走势!$F$35:$ACK$35&lt;&gt;""),COLUMN(指数走势!$F$35:$ACK$35))-COLUMN(指数走势!$F$35)+1-760+309)),NA(),IF(INDEX(指数走势!$F$35:$ACK$35,1,LOOKUP(2,1/(指数走势!$F$35:$ACK$35&lt;&gt;""),COLUMN(指数走势!$F$35:$ACK$35))-COLUMN(指数走势!$F$35)+1-760+309)=0,NA(),INDEX(指数走势!$F$35:$ACK$35,1,LOOKUP(2,1/(指数走势!$F$35:$ACK$35&lt;&gt;""),COLUMN(指数走势!$F$35:$ACK$35))-COLUMN(指数走势!$F$35)+1-760+309)))</f>
        <v>11.5127000808716</v>
      </c>
      <c r="KY99">
        <f>IF(ISERROR(INDEX(指数走势!$F$35:$ACK$35,1,LOOKUP(2,1/(指数走势!$F$35:$ACK$35&lt;&gt;""),COLUMN(指数走势!$F$35:$ACK$35))-COLUMN(指数走势!$F$35)+1-760+310)),NA(),IF(INDEX(指数走势!$F$35:$ACK$35,1,LOOKUP(2,1/(指数走势!$F$35:$ACK$35&lt;&gt;""),COLUMN(指数走势!$F$35:$ACK$35))-COLUMN(指数走势!$F$35)+1-760+310)=0,NA(),INDEX(指数走势!$F$35:$ACK$35,1,LOOKUP(2,1/(指数走势!$F$35:$ACK$35&lt;&gt;""),COLUMN(指数走势!$F$35:$ACK$35))-COLUMN(指数走势!$F$35)+1-760+310)))</f>
        <v>11.4715003967285</v>
      </c>
      <c r="KZ99">
        <f>IF(ISERROR(INDEX(指数走势!$F$35:$ACK$35,1,LOOKUP(2,1/(指数走势!$F$35:$ACK$35&lt;&gt;""),COLUMN(指数走势!$F$35:$ACK$35))-COLUMN(指数走势!$F$35)+1-760+311)),NA(),IF(INDEX(指数走势!$F$35:$ACK$35,1,LOOKUP(2,1/(指数走势!$F$35:$ACK$35&lt;&gt;""),COLUMN(指数走势!$F$35:$ACK$35))-COLUMN(指数走势!$F$35)+1-760+311)=0,NA(),INDEX(指数走势!$F$35:$ACK$35,1,LOOKUP(2,1/(指数走势!$F$35:$ACK$35&lt;&gt;""),COLUMN(指数走势!$F$35:$ACK$35))-COLUMN(指数走势!$F$35)+1-760+311)))</f>
        <v>11.4826002120972</v>
      </c>
      <c r="LA99">
        <f>IF(ISERROR(INDEX(指数走势!$F$35:$ACK$35,1,LOOKUP(2,1/(指数走势!$F$35:$ACK$35&lt;&gt;""),COLUMN(指数走势!$F$35:$ACK$35))-COLUMN(指数走势!$F$35)+1-760+312)),NA(),IF(INDEX(指数走势!$F$35:$ACK$35,1,LOOKUP(2,1/(指数走势!$F$35:$ACK$35&lt;&gt;""),COLUMN(指数走势!$F$35:$ACK$35))-COLUMN(指数走势!$F$35)+1-760+312)=0,NA(),INDEX(指数走势!$F$35:$ACK$35,1,LOOKUP(2,1/(指数走势!$F$35:$ACK$35&lt;&gt;""),COLUMN(指数走势!$F$35:$ACK$35))-COLUMN(指数走势!$F$35)+1-760+312)))</f>
        <v>11.5068998336792</v>
      </c>
      <c r="LB99">
        <f>IF(ISERROR(INDEX(指数走势!$F$35:$ACK$35,1,LOOKUP(2,1/(指数走势!$F$35:$ACK$35&lt;&gt;""),COLUMN(指数走势!$F$35:$ACK$35))-COLUMN(指数走势!$F$35)+1-760+313)),NA(),IF(INDEX(指数走势!$F$35:$ACK$35,1,LOOKUP(2,1/(指数走势!$F$35:$ACK$35&lt;&gt;""),COLUMN(指数走势!$F$35:$ACK$35))-COLUMN(指数走势!$F$35)+1-760+313)=0,NA(),INDEX(指数走势!$F$35:$ACK$35,1,LOOKUP(2,1/(指数走势!$F$35:$ACK$35&lt;&gt;""),COLUMN(指数走势!$F$35:$ACK$35))-COLUMN(指数走势!$F$35)+1-760+313)))</f>
        <v>11.4903001785278</v>
      </c>
      <c r="LC99">
        <f>IF(ISERROR(INDEX(指数走势!$F$35:$ACK$35,1,LOOKUP(2,1/(指数走势!$F$35:$ACK$35&lt;&gt;""),COLUMN(指数走势!$F$35:$ACK$35))-COLUMN(指数走势!$F$35)+1-760+314)),NA(),IF(INDEX(指数走势!$F$35:$ACK$35,1,LOOKUP(2,1/(指数走势!$F$35:$ACK$35&lt;&gt;""),COLUMN(指数走势!$F$35:$ACK$35))-COLUMN(指数走势!$F$35)+1-760+314)=0,NA(),INDEX(指数走势!$F$35:$ACK$35,1,LOOKUP(2,1/(指数走势!$F$35:$ACK$35&lt;&gt;""),COLUMN(指数走势!$F$35:$ACK$35))-COLUMN(指数走势!$F$35)+1-760+314)))</f>
        <v>11.4968996047974</v>
      </c>
      <c r="LD99">
        <f>IF(ISERROR(INDEX(指数走势!$F$35:$ACK$35,1,LOOKUP(2,1/(指数走势!$F$35:$ACK$35&lt;&gt;""),COLUMN(指数走势!$F$35:$ACK$35))-COLUMN(指数走势!$F$35)+1-760+315)),NA(),IF(INDEX(指数走势!$F$35:$ACK$35,1,LOOKUP(2,1/(指数走势!$F$35:$ACK$35&lt;&gt;""),COLUMN(指数走势!$F$35:$ACK$35))-COLUMN(指数走势!$F$35)+1-760+315)=0,NA(),INDEX(指数走势!$F$35:$ACK$35,1,LOOKUP(2,1/(指数走势!$F$35:$ACK$35&lt;&gt;""),COLUMN(指数走势!$F$35:$ACK$35))-COLUMN(指数走势!$F$35)+1-760+315)))</f>
        <v>11.4296998977661</v>
      </c>
      <c r="LE99">
        <f>IF(ISERROR(INDEX(指数走势!$F$35:$ACK$35,1,LOOKUP(2,1/(指数走势!$F$35:$ACK$35&lt;&gt;""),COLUMN(指数走势!$F$35:$ACK$35))-COLUMN(指数走势!$F$35)+1-760+316)),NA(),IF(INDEX(指数走势!$F$35:$ACK$35,1,LOOKUP(2,1/(指数走势!$F$35:$ACK$35&lt;&gt;""),COLUMN(指数走势!$F$35:$ACK$35))-COLUMN(指数走势!$F$35)+1-760+316)=0,NA(),INDEX(指数走势!$F$35:$ACK$35,1,LOOKUP(2,1/(指数走势!$F$35:$ACK$35&lt;&gt;""),COLUMN(指数走势!$F$35:$ACK$35))-COLUMN(指数走势!$F$35)+1-760+316)))</f>
        <v>11.2721996307373</v>
      </c>
      <c r="LF99">
        <f>IF(ISERROR(INDEX(指数走势!$F$35:$ACK$35,1,LOOKUP(2,1/(指数走势!$F$35:$ACK$35&lt;&gt;""),COLUMN(指数走势!$F$35:$ACK$35))-COLUMN(指数走势!$F$35)+1-760+317)),NA(),IF(INDEX(指数走势!$F$35:$ACK$35,1,LOOKUP(2,1/(指数走势!$F$35:$ACK$35&lt;&gt;""),COLUMN(指数走势!$F$35:$ACK$35))-COLUMN(指数走势!$F$35)+1-760+317)=0,NA(),INDEX(指数走势!$F$35:$ACK$35,1,LOOKUP(2,1/(指数走势!$F$35:$ACK$35&lt;&gt;""),COLUMN(指数走势!$F$35:$ACK$35))-COLUMN(指数走势!$F$35)+1-760+317)))</f>
        <v>11.2639999389648</v>
      </c>
      <c r="LG99">
        <f>IF(ISERROR(INDEX(指数走势!$F$35:$ACK$35,1,LOOKUP(2,1/(指数走势!$F$35:$ACK$35&lt;&gt;""),COLUMN(指数走势!$F$35:$ACK$35))-COLUMN(指数走势!$F$35)+1-760+318)),NA(),IF(INDEX(指数走势!$F$35:$ACK$35,1,LOOKUP(2,1/(指数走势!$F$35:$ACK$35&lt;&gt;""),COLUMN(指数走势!$F$35:$ACK$35))-COLUMN(指数走势!$F$35)+1-760+318)=0,NA(),INDEX(指数走势!$F$35:$ACK$35,1,LOOKUP(2,1/(指数走势!$F$35:$ACK$35&lt;&gt;""),COLUMN(指数走势!$F$35:$ACK$35))-COLUMN(指数走势!$F$35)+1-760+318)))</f>
        <v>11.2590999603271</v>
      </c>
      <c r="LH99">
        <f>IF(ISERROR(INDEX(指数走势!$F$35:$ACK$35,1,LOOKUP(2,1/(指数走势!$F$35:$ACK$35&lt;&gt;""),COLUMN(指数走势!$F$35:$ACK$35))-COLUMN(指数走势!$F$35)+1-760+319)),NA(),IF(INDEX(指数走势!$F$35:$ACK$35,1,LOOKUP(2,1/(指数走势!$F$35:$ACK$35&lt;&gt;""),COLUMN(指数走势!$F$35:$ACK$35))-COLUMN(指数走势!$F$35)+1-760+319)=0,NA(),INDEX(指数走势!$F$35:$ACK$35,1,LOOKUP(2,1/(指数走势!$F$35:$ACK$35&lt;&gt;""),COLUMN(指数走势!$F$35:$ACK$35))-COLUMN(指数走势!$F$35)+1-760+319)))</f>
        <v>11.1986999511719</v>
      </c>
      <c r="LI99">
        <f>IF(ISERROR(INDEX(指数走势!$F$35:$ACK$35,1,LOOKUP(2,1/(指数走势!$F$35:$ACK$35&lt;&gt;""),COLUMN(指数走势!$F$35:$ACK$35))-COLUMN(指数走势!$F$35)+1-760+320)),NA(),IF(INDEX(指数走势!$F$35:$ACK$35,1,LOOKUP(2,1/(指数走势!$F$35:$ACK$35&lt;&gt;""),COLUMN(指数走势!$F$35:$ACK$35))-COLUMN(指数走势!$F$35)+1-760+320)=0,NA(),INDEX(指数走势!$F$35:$ACK$35,1,LOOKUP(2,1/(指数走势!$F$35:$ACK$35&lt;&gt;""),COLUMN(指数走势!$F$35:$ACK$35))-COLUMN(指数走势!$F$35)+1-760+320)))</f>
        <v>11.1001996994019</v>
      </c>
      <c r="LJ99">
        <f>IF(ISERROR(INDEX(指数走势!$F$35:$ACK$35,1,LOOKUP(2,1/(指数走势!$F$35:$ACK$35&lt;&gt;""),COLUMN(指数走势!$F$35:$ACK$35))-COLUMN(指数走势!$F$35)+1-760+321)),NA(),IF(INDEX(指数走势!$F$35:$ACK$35,1,LOOKUP(2,1/(指数走势!$F$35:$ACK$35&lt;&gt;""),COLUMN(指数走势!$F$35:$ACK$35))-COLUMN(指数走势!$F$35)+1-760+321)=0,NA(),INDEX(指数走势!$F$35:$ACK$35,1,LOOKUP(2,1/(指数走势!$F$35:$ACK$35&lt;&gt;""),COLUMN(指数走势!$F$35:$ACK$35))-COLUMN(指数走势!$F$35)+1-760+321)))</f>
        <v>11.0846004486084</v>
      </c>
      <c r="LK99">
        <f>IF(ISERROR(INDEX(指数走势!$F$35:$ACK$35,1,LOOKUP(2,1/(指数走势!$F$35:$ACK$35&lt;&gt;""),COLUMN(指数走势!$F$35:$ACK$35))-COLUMN(指数走势!$F$35)+1-760+322)),NA(),IF(INDEX(指数走势!$F$35:$ACK$35,1,LOOKUP(2,1/(指数走势!$F$35:$ACK$35&lt;&gt;""),COLUMN(指数走势!$F$35:$ACK$35))-COLUMN(指数走势!$F$35)+1-760+322)=0,NA(),INDEX(指数走势!$F$35:$ACK$35,1,LOOKUP(2,1/(指数走势!$F$35:$ACK$35&lt;&gt;""),COLUMN(指数走势!$F$35:$ACK$35))-COLUMN(指数走势!$F$35)+1-760+322)))</f>
        <v>11.0204000473022</v>
      </c>
      <c r="LL99">
        <f>IF(ISERROR(INDEX(指数走势!$F$35:$ACK$35,1,LOOKUP(2,1/(指数走势!$F$35:$ACK$35&lt;&gt;""),COLUMN(指数走势!$F$35:$ACK$35))-COLUMN(指数走势!$F$35)+1-760+323)),NA(),IF(INDEX(指数走势!$F$35:$ACK$35,1,LOOKUP(2,1/(指数走势!$F$35:$ACK$35&lt;&gt;""),COLUMN(指数走势!$F$35:$ACK$35))-COLUMN(指数走势!$F$35)+1-760+323)=0,NA(),INDEX(指数走势!$F$35:$ACK$35,1,LOOKUP(2,1/(指数走势!$F$35:$ACK$35&lt;&gt;""),COLUMN(指数走势!$F$35:$ACK$35))-COLUMN(指数走势!$F$35)+1-760+323)))</f>
        <v>10.8832998275757</v>
      </c>
      <c r="LM99">
        <f>IF(ISERROR(INDEX(指数走势!$F$35:$ACK$35,1,LOOKUP(2,1/(指数走势!$F$35:$ACK$35&lt;&gt;""),COLUMN(指数走势!$F$35:$ACK$35))-COLUMN(指数走势!$F$35)+1-760+324)),NA(),IF(INDEX(指数走势!$F$35:$ACK$35,1,LOOKUP(2,1/(指数走势!$F$35:$ACK$35&lt;&gt;""),COLUMN(指数走势!$F$35:$ACK$35))-COLUMN(指数走势!$F$35)+1-760+324)=0,NA(),INDEX(指数走势!$F$35:$ACK$35,1,LOOKUP(2,1/(指数走势!$F$35:$ACK$35&lt;&gt;""),COLUMN(指数走势!$F$35:$ACK$35))-COLUMN(指数走势!$F$35)+1-760+324)))</f>
        <v>10.9320001602173</v>
      </c>
      <c r="LN99">
        <f>IF(ISERROR(INDEX(指数走势!$F$35:$ACK$35,1,LOOKUP(2,1/(指数走势!$F$35:$ACK$35&lt;&gt;""),COLUMN(指数走势!$F$35:$ACK$35))-COLUMN(指数走势!$F$35)+1-760+325)),NA(),IF(INDEX(指数走势!$F$35:$ACK$35,1,LOOKUP(2,1/(指数走势!$F$35:$ACK$35&lt;&gt;""),COLUMN(指数走势!$F$35:$ACK$35))-COLUMN(指数走势!$F$35)+1-760+325)=0,NA(),INDEX(指数走势!$F$35:$ACK$35,1,LOOKUP(2,1/(指数走势!$F$35:$ACK$35&lt;&gt;""),COLUMN(指数走势!$F$35:$ACK$35))-COLUMN(指数走势!$F$35)+1-760+325)))</f>
        <v>10.8235998153687</v>
      </c>
      <c r="LO99">
        <f>IF(ISERROR(INDEX(指数走势!$F$35:$ACK$35,1,LOOKUP(2,1/(指数走势!$F$35:$ACK$35&lt;&gt;""),COLUMN(指数走势!$F$35:$ACK$35))-COLUMN(指数走势!$F$35)+1-760+326)),NA(),IF(INDEX(指数走势!$F$35:$ACK$35,1,LOOKUP(2,1/(指数走势!$F$35:$ACK$35&lt;&gt;""),COLUMN(指数走势!$F$35:$ACK$35))-COLUMN(指数走势!$F$35)+1-760+326)=0,NA(),INDEX(指数走势!$F$35:$ACK$35,1,LOOKUP(2,1/(指数走势!$F$35:$ACK$35&lt;&gt;""),COLUMN(指数走势!$F$35:$ACK$35))-COLUMN(指数走势!$F$35)+1-760+326)))</f>
        <v>10.7979001998901</v>
      </c>
      <c r="LP99">
        <f>IF(ISERROR(INDEX(指数走势!$F$35:$ACK$35,1,LOOKUP(2,1/(指数走势!$F$35:$ACK$35&lt;&gt;""),COLUMN(指数走势!$F$35:$ACK$35))-COLUMN(指数走势!$F$35)+1-760+327)),NA(),IF(INDEX(指数走势!$F$35:$ACK$35,1,LOOKUP(2,1/(指数走势!$F$35:$ACK$35&lt;&gt;""),COLUMN(指数走势!$F$35:$ACK$35))-COLUMN(指数走势!$F$35)+1-760+327)=0,NA(),INDEX(指数走势!$F$35:$ACK$35,1,LOOKUP(2,1/(指数走势!$F$35:$ACK$35&lt;&gt;""),COLUMN(指数走势!$F$35:$ACK$35))-COLUMN(指数走势!$F$35)+1-760+327)))</f>
        <v>10.7809000015259</v>
      </c>
      <c r="LQ99">
        <f>IF(ISERROR(INDEX(指数走势!$F$35:$ACK$35,1,LOOKUP(2,1/(指数走势!$F$35:$ACK$35&lt;&gt;""),COLUMN(指数走势!$F$35:$ACK$35))-COLUMN(指数走势!$F$35)+1-760+328)),NA(),IF(INDEX(指数走势!$F$35:$ACK$35,1,LOOKUP(2,1/(指数走势!$F$35:$ACK$35&lt;&gt;""),COLUMN(指数走势!$F$35:$ACK$35))-COLUMN(指数走势!$F$35)+1-760+328)=0,NA(),INDEX(指数走势!$F$35:$ACK$35,1,LOOKUP(2,1/(指数走势!$F$35:$ACK$35&lt;&gt;""),COLUMN(指数走势!$F$35:$ACK$35))-COLUMN(指数走势!$F$35)+1-760+328)))</f>
        <v>10.8654003143311</v>
      </c>
      <c r="LR99">
        <f>IF(ISERROR(INDEX(指数走势!$F$35:$ACK$35,1,LOOKUP(2,1/(指数走势!$F$35:$ACK$35&lt;&gt;""),COLUMN(指数走势!$F$35:$ACK$35))-COLUMN(指数走势!$F$35)+1-760+329)),NA(),IF(INDEX(指数走势!$F$35:$ACK$35,1,LOOKUP(2,1/(指数走势!$F$35:$ACK$35&lt;&gt;""),COLUMN(指数走势!$F$35:$ACK$35))-COLUMN(指数走势!$F$35)+1-760+329)=0,NA(),INDEX(指数走势!$F$35:$ACK$35,1,LOOKUP(2,1/(指数走势!$F$35:$ACK$35&lt;&gt;""),COLUMN(指数走势!$F$35:$ACK$35))-COLUMN(指数走势!$F$35)+1-760+329)))</f>
        <v>10.9041996002197</v>
      </c>
      <c r="LS99">
        <f>IF(ISERROR(INDEX(指数走势!$F$35:$ACK$35,1,LOOKUP(2,1/(指数走势!$F$35:$ACK$35&lt;&gt;""),COLUMN(指数走势!$F$35:$ACK$35))-COLUMN(指数走势!$F$35)+1-760+330)),NA(),IF(INDEX(指数走势!$F$35:$ACK$35,1,LOOKUP(2,1/(指数走势!$F$35:$ACK$35&lt;&gt;""),COLUMN(指数走势!$F$35:$ACK$35))-COLUMN(指数走势!$F$35)+1-760+330)=0,NA(),INDEX(指数走势!$F$35:$ACK$35,1,LOOKUP(2,1/(指数走势!$F$35:$ACK$35&lt;&gt;""),COLUMN(指数走势!$F$35:$ACK$35))-COLUMN(指数走势!$F$35)+1-760+330)))</f>
        <v>10.941499710083</v>
      </c>
      <c r="LT99">
        <f>IF(ISERROR(INDEX(指数走势!$F$35:$ACK$35,1,LOOKUP(2,1/(指数走势!$F$35:$ACK$35&lt;&gt;""),COLUMN(指数走势!$F$35:$ACK$35))-COLUMN(指数走势!$F$35)+1-760+331)),NA(),IF(INDEX(指数走势!$F$35:$ACK$35,1,LOOKUP(2,1/(指数走势!$F$35:$ACK$35&lt;&gt;""),COLUMN(指数走势!$F$35:$ACK$35))-COLUMN(指数走势!$F$35)+1-760+331)=0,NA(),INDEX(指数走势!$F$35:$ACK$35,1,LOOKUP(2,1/(指数走势!$F$35:$ACK$35&lt;&gt;""),COLUMN(指数走势!$F$35:$ACK$35))-COLUMN(指数走势!$F$35)+1-760+331)))</f>
        <v>11.0047998428345</v>
      </c>
      <c r="LU99">
        <f>IF(ISERROR(INDEX(指数走势!$F$35:$ACK$35,1,LOOKUP(2,1/(指数走势!$F$35:$ACK$35&lt;&gt;""),COLUMN(指数走势!$F$35:$ACK$35))-COLUMN(指数走势!$F$35)+1-760+332)),NA(),IF(INDEX(指数走势!$F$35:$ACK$35,1,LOOKUP(2,1/(指数走势!$F$35:$ACK$35&lt;&gt;""),COLUMN(指数走势!$F$35:$ACK$35))-COLUMN(指数走势!$F$35)+1-760+332)=0,NA(),INDEX(指数走势!$F$35:$ACK$35,1,LOOKUP(2,1/(指数走势!$F$35:$ACK$35&lt;&gt;""),COLUMN(指数走势!$F$35:$ACK$35))-COLUMN(指数走势!$F$35)+1-760+332)))</f>
        <v>11.4728002548218</v>
      </c>
      <c r="LV99">
        <f>IF(ISERROR(INDEX(指数走势!$F$35:$ACK$35,1,LOOKUP(2,1/(指数走势!$F$35:$ACK$35&lt;&gt;""),COLUMN(指数走势!$F$35:$ACK$35))-COLUMN(指数走势!$F$35)+1-760+333)),NA(),IF(INDEX(指数走势!$F$35:$ACK$35,1,LOOKUP(2,1/(指数走势!$F$35:$ACK$35&lt;&gt;""),COLUMN(指数走势!$F$35:$ACK$35))-COLUMN(指数走势!$F$35)+1-760+333)=0,NA(),INDEX(指数走势!$F$35:$ACK$35,1,LOOKUP(2,1/(指数走势!$F$35:$ACK$35&lt;&gt;""),COLUMN(指数走势!$F$35:$ACK$35))-COLUMN(指数走势!$F$35)+1-760+333)))</f>
        <v>11.6176996231079</v>
      </c>
      <c r="LW99">
        <f>IF(ISERROR(INDEX(指数走势!$F$35:$ACK$35,1,LOOKUP(2,1/(指数走势!$F$35:$ACK$35&lt;&gt;""),COLUMN(指数走势!$F$35:$ACK$35))-COLUMN(指数走势!$F$35)+1-760+334)),NA(),IF(INDEX(指数走势!$F$35:$ACK$35,1,LOOKUP(2,1/(指数走势!$F$35:$ACK$35&lt;&gt;""),COLUMN(指数走势!$F$35:$ACK$35))-COLUMN(指数走势!$F$35)+1-760+334)=0,NA(),INDEX(指数走势!$F$35:$ACK$35,1,LOOKUP(2,1/(指数走势!$F$35:$ACK$35&lt;&gt;""),COLUMN(指数走势!$F$35:$ACK$35))-COLUMN(指数走势!$F$35)+1-760+334)))</f>
        <v>12.0122003555298</v>
      </c>
      <c r="LX99">
        <f>IF(ISERROR(INDEX(指数走势!$F$35:$ACK$35,1,LOOKUP(2,1/(指数走势!$F$35:$ACK$35&lt;&gt;""),COLUMN(指数走势!$F$35:$ACK$35))-COLUMN(指数走势!$F$35)+1-760+335)),NA(),IF(INDEX(指数走势!$F$35:$ACK$35,1,LOOKUP(2,1/(指数走势!$F$35:$ACK$35&lt;&gt;""),COLUMN(指数走势!$F$35:$ACK$35))-COLUMN(指数走势!$F$35)+1-760+335)=0,NA(),INDEX(指数走势!$F$35:$ACK$35,1,LOOKUP(2,1/(指数走势!$F$35:$ACK$35&lt;&gt;""),COLUMN(指数走势!$F$35:$ACK$35))-COLUMN(指数走势!$F$35)+1-760+335)))</f>
        <v>12.3261995315552</v>
      </c>
      <c r="LY99">
        <f>IF(ISERROR(INDEX(指数走势!$F$35:$ACK$35,1,LOOKUP(2,1/(指数走势!$F$35:$ACK$35&lt;&gt;""),COLUMN(指数走势!$F$35:$ACK$35))-COLUMN(指数走势!$F$35)+1-760+336)),NA(),IF(INDEX(指数走势!$F$35:$ACK$35,1,LOOKUP(2,1/(指数走势!$F$35:$ACK$35&lt;&gt;""),COLUMN(指数走势!$F$35:$ACK$35))-COLUMN(指数走势!$F$35)+1-760+336)=0,NA(),INDEX(指数走势!$F$35:$ACK$35,1,LOOKUP(2,1/(指数走势!$F$35:$ACK$35&lt;&gt;""),COLUMN(指数走势!$F$35:$ACK$35))-COLUMN(指数走势!$F$35)+1-760+336)))</f>
        <v>13.2601003646851</v>
      </c>
      <c r="LZ99">
        <f>IF(ISERROR(INDEX(指数走势!$F$35:$ACK$35,1,LOOKUP(2,1/(指数走势!$F$35:$ACK$35&lt;&gt;""),COLUMN(指数走势!$F$35:$ACK$35))-COLUMN(指数走势!$F$35)+1-760+337)),NA(),IF(INDEX(指数走势!$F$35:$ACK$35,1,LOOKUP(2,1/(指数走势!$F$35:$ACK$35&lt;&gt;""),COLUMN(指数走势!$F$35:$ACK$35))-COLUMN(指数走势!$F$35)+1-760+337)=0,NA(),INDEX(指数走势!$F$35:$ACK$35,1,LOOKUP(2,1/(指数走势!$F$35:$ACK$35&lt;&gt;""),COLUMN(指数走势!$F$35:$ACK$35))-COLUMN(指数走势!$F$35)+1-760+337)))</f>
        <v>13.8699998855591</v>
      </c>
      <c r="MA99">
        <f>IF(ISERROR(INDEX(指数走势!$F$35:$ACK$35,1,LOOKUP(2,1/(指数走势!$F$35:$ACK$35&lt;&gt;""),COLUMN(指数走势!$F$35:$ACK$35))-COLUMN(指数走势!$F$35)+1-760+338)),NA(),IF(INDEX(指数走势!$F$35:$ACK$35,1,LOOKUP(2,1/(指数走势!$F$35:$ACK$35&lt;&gt;""),COLUMN(指数走势!$F$35:$ACK$35))-COLUMN(指数走势!$F$35)+1-760+338)=0,NA(),INDEX(指数走势!$F$35:$ACK$35,1,LOOKUP(2,1/(指数走势!$F$35:$ACK$35&lt;&gt;""),COLUMN(指数走势!$F$35:$ACK$35))-COLUMN(指数走势!$F$35)+1-760+338)))</f>
        <v>12.972900390625</v>
      </c>
      <c r="MB99">
        <f>IF(ISERROR(INDEX(指数走势!$F$35:$ACK$35,1,LOOKUP(2,1/(指数走势!$F$35:$ACK$35&lt;&gt;""),COLUMN(指数走势!$F$35:$ACK$35))-COLUMN(指数走势!$F$35)+1-760+339)),NA(),IF(INDEX(指数走势!$F$35:$ACK$35,1,LOOKUP(2,1/(指数走势!$F$35:$ACK$35&lt;&gt;""),COLUMN(指数走势!$F$35:$ACK$35))-COLUMN(指数走势!$F$35)+1-760+339)=0,NA(),INDEX(指数走势!$F$35:$ACK$35,1,LOOKUP(2,1/(指数走势!$F$35:$ACK$35&lt;&gt;""),COLUMN(指数走势!$F$35:$ACK$35))-COLUMN(指数走势!$F$35)+1-760+339)))</f>
        <v>13.2011995315552</v>
      </c>
      <c r="MC99">
        <f>IF(ISERROR(INDEX(指数走势!$F$35:$ACK$35,1,LOOKUP(2,1/(指数走势!$F$35:$ACK$35&lt;&gt;""),COLUMN(指数走势!$F$35:$ACK$35))-COLUMN(指数走势!$F$35)+1-760+340)),NA(),IF(INDEX(指数走势!$F$35:$ACK$35,1,LOOKUP(2,1/(指数走势!$F$35:$ACK$35&lt;&gt;""),COLUMN(指数走势!$F$35:$ACK$35))-COLUMN(指数走势!$F$35)+1-760+340)=0,NA(),INDEX(指数走势!$F$35:$ACK$35,1,LOOKUP(2,1/(指数走势!$F$35:$ACK$35&lt;&gt;""),COLUMN(指数走势!$F$35:$ACK$35))-COLUMN(指数走势!$F$35)+1-760+340)))</f>
        <v>12.9238004684448</v>
      </c>
      <c r="MD99">
        <f>IF(ISERROR(INDEX(指数走势!$F$35:$ACK$35,1,LOOKUP(2,1/(指数走势!$F$35:$ACK$35&lt;&gt;""),COLUMN(指数走势!$F$35:$ACK$35))-COLUMN(指数走势!$F$35)+1-760+341)),NA(),IF(INDEX(指数走势!$F$35:$ACK$35,1,LOOKUP(2,1/(指数走势!$F$35:$ACK$35&lt;&gt;""),COLUMN(指数走势!$F$35:$ACK$35))-COLUMN(指数走势!$F$35)+1-760+341)=0,NA(),INDEX(指数走势!$F$35:$ACK$35,1,LOOKUP(2,1/(指数走势!$F$35:$ACK$35&lt;&gt;""),COLUMN(指数走势!$F$35:$ACK$35))-COLUMN(指数走势!$F$35)+1-760+341)))</f>
        <v>13.1862001419067</v>
      </c>
      <c r="ME99">
        <f>IF(ISERROR(INDEX(指数走势!$F$35:$ACK$35,1,LOOKUP(2,1/(指数走势!$F$35:$ACK$35&lt;&gt;""),COLUMN(指数走势!$F$35:$ACK$35))-COLUMN(指数走势!$F$35)+1-760+342)),NA(),IF(INDEX(指数走势!$F$35:$ACK$35,1,LOOKUP(2,1/(指数走势!$F$35:$ACK$35&lt;&gt;""),COLUMN(指数走势!$F$35:$ACK$35))-COLUMN(指数走势!$F$35)+1-760+342)=0,NA(),INDEX(指数走势!$F$35:$ACK$35,1,LOOKUP(2,1/(指数走势!$F$35:$ACK$35&lt;&gt;""),COLUMN(指数走势!$F$35:$ACK$35))-COLUMN(指数走势!$F$35)+1-760+342)))</f>
        <v>12.8142004013062</v>
      </c>
      <c r="MF99">
        <f>IF(ISERROR(INDEX(指数走势!$F$35:$ACK$35,1,LOOKUP(2,1/(指数走势!$F$35:$ACK$35&lt;&gt;""),COLUMN(指数走势!$F$35:$ACK$35))-COLUMN(指数走势!$F$35)+1-760+343)),NA(),IF(INDEX(指数走势!$F$35:$ACK$35,1,LOOKUP(2,1/(指数走势!$F$35:$ACK$35&lt;&gt;""),COLUMN(指数走势!$F$35:$ACK$35))-COLUMN(指数走势!$F$35)+1-760+343)=0,NA(),INDEX(指数走势!$F$35:$ACK$35,1,LOOKUP(2,1/(指数走势!$F$35:$ACK$35&lt;&gt;""),COLUMN(指数走势!$F$35:$ACK$35))-COLUMN(指数走势!$F$35)+1-760+343)))</f>
        <v>12.7853002548218</v>
      </c>
      <c r="MG99">
        <f>IF(ISERROR(INDEX(指数走势!$F$35:$ACK$35,1,LOOKUP(2,1/(指数走势!$F$35:$ACK$35&lt;&gt;""),COLUMN(指数走势!$F$35:$ACK$35))-COLUMN(指数走势!$F$35)+1-760+344)),NA(),IF(INDEX(指数走势!$F$35:$ACK$35,1,LOOKUP(2,1/(指数走势!$F$35:$ACK$35&lt;&gt;""),COLUMN(指数走势!$F$35:$ACK$35))-COLUMN(指数走势!$F$35)+1-760+344)=0,NA(),INDEX(指数走势!$F$35:$ACK$35,1,LOOKUP(2,1/(指数走势!$F$35:$ACK$35&lt;&gt;""),COLUMN(指数走势!$F$35:$ACK$35))-COLUMN(指数走势!$F$35)+1-760+344)))</f>
        <v>12.6464996337891</v>
      </c>
      <c r="MH99">
        <f>IF(ISERROR(INDEX(指数走势!$F$35:$ACK$35,1,LOOKUP(2,1/(指数走势!$F$35:$ACK$35&lt;&gt;""),COLUMN(指数走势!$F$35:$ACK$35))-COLUMN(指数走势!$F$35)+1-760+345)),NA(),IF(INDEX(指数走势!$F$35:$ACK$35,1,LOOKUP(2,1/(指数走势!$F$35:$ACK$35&lt;&gt;""),COLUMN(指数走势!$F$35:$ACK$35))-COLUMN(指数走势!$F$35)+1-760+345)=0,NA(),INDEX(指数走势!$F$35:$ACK$35,1,LOOKUP(2,1/(指数走势!$F$35:$ACK$35&lt;&gt;""),COLUMN(指数走势!$F$35:$ACK$35))-COLUMN(指数走势!$F$35)+1-760+345)))</f>
        <v>12.9989995956421</v>
      </c>
      <c r="MI99">
        <f>IF(ISERROR(INDEX(指数走势!$F$35:$ACK$35,1,LOOKUP(2,1/(指数走势!$F$35:$ACK$35&lt;&gt;""),COLUMN(指数走势!$F$35:$ACK$35))-COLUMN(指数走势!$F$35)+1-760+346)),NA(),IF(INDEX(指数走势!$F$35:$ACK$35,1,LOOKUP(2,1/(指数走势!$F$35:$ACK$35&lt;&gt;""),COLUMN(指数走势!$F$35:$ACK$35))-COLUMN(指数走势!$F$35)+1-760+346)=0,NA(),INDEX(指数走势!$F$35:$ACK$35,1,LOOKUP(2,1/(指数走势!$F$35:$ACK$35&lt;&gt;""),COLUMN(指数走势!$F$35:$ACK$35))-COLUMN(指数走势!$F$35)+1-760+346)))</f>
        <v>12.9631004333496</v>
      </c>
      <c r="MJ99">
        <f>IF(ISERROR(INDEX(指数走势!$F$35:$ACK$35,1,LOOKUP(2,1/(指数走势!$F$35:$ACK$35&lt;&gt;""),COLUMN(指数走势!$F$35:$ACK$35))-COLUMN(指数走势!$F$35)+1-760+347)),NA(),IF(INDEX(指数走势!$F$35:$ACK$35,1,LOOKUP(2,1/(指数走势!$F$35:$ACK$35&lt;&gt;""),COLUMN(指数走势!$F$35:$ACK$35))-COLUMN(指数走势!$F$35)+1-760+347)=0,NA(),INDEX(指数走势!$F$35:$ACK$35,1,LOOKUP(2,1/(指数走势!$F$35:$ACK$35&lt;&gt;""),COLUMN(指数走势!$F$35:$ACK$35))-COLUMN(指数走势!$F$35)+1-760+347)))</f>
        <v>12.9225997924805</v>
      </c>
      <c r="MK99">
        <f>IF(ISERROR(INDEX(指数走势!$F$35:$ACK$35,1,LOOKUP(2,1/(指数走势!$F$35:$ACK$35&lt;&gt;""),COLUMN(指数走势!$F$35:$ACK$35))-COLUMN(指数走势!$F$35)+1-760+348)),NA(),IF(INDEX(指数走势!$F$35:$ACK$35,1,LOOKUP(2,1/(指数走势!$F$35:$ACK$35&lt;&gt;""),COLUMN(指数走势!$F$35:$ACK$35))-COLUMN(指数走势!$F$35)+1-760+348)=0,NA(),INDEX(指数走势!$F$35:$ACK$35,1,LOOKUP(2,1/(指数走势!$F$35:$ACK$35&lt;&gt;""),COLUMN(指数走势!$F$35:$ACK$35))-COLUMN(指数走势!$F$35)+1-760+348)))</f>
        <v>12.9478998184204</v>
      </c>
      <c r="ML99">
        <f>IF(ISERROR(INDEX(指数走势!$F$35:$ACK$35,1,LOOKUP(2,1/(指数走势!$F$35:$ACK$35&lt;&gt;""),COLUMN(指数走势!$F$35:$ACK$35))-COLUMN(指数走势!$F$35)+1-760+349)),NA(),IF(INDEX(指数走势!$F$35:$ACK$35,1,LOOKUP(2,1/(指数走势!$F$35:$ACK$35&lt;&gt;""),COLUMN(指数走势!$F$35:$ACK$35))-COLUMN(指数走势!$F$35)+1-760+349)=0,NA(),INDEX(指数走势!$F$35:$ACK$35,1,LOOKUP(2,1/(指数走势!$F$35:$ACK$35&lt;&gt;""),COLUMN(指数走势!$F$35:$ACK$35))-COLUMN(指数走势!$F$35)+1-760+349)))</f>
        <v>12.8261995315552</v>
      </c>
      <c r="MM99">
        <f>IF(ISERROR(INDEX(指数走势!$F$35:$ACK$35,1,LOOKUP(2,1/(指数走势!$F$35:$ACK$35&lt;&gt;""),COLUMN(指数走势!$F$35:$ACK$35))-COLUMN(指数走势!$F$35)+1-760+350)),NA(),IF(INDEX(指数走势!$F$35:$ACK$35,1,LOOKUP(2,1/(指数走势!$F$35:$ACK$35&lt;&gt;""),COLUMN(指数走势!$F$35:$ACK$35))-COLUMN(指数走势!$F$35)+1-760+350)=0,NA(),INDEX(指数走势!$F$35:$ACK$35,1,LOOKUP(2,1/(指数走势!$F$35:$ACK$35&lt;&gt;""),COLUMN(指数走势!$F$35:$ACK$35))-COLUMN(指数走势!$F$35)+1-760+350)))</f>
        <v>12.8648996353149</v>
      </c>
      <c r="MN99">
        <f>IF(ISERROR(INDEX(指数走势!$F$35:$ACK$35,1,LOOKUP(2,1/(指数走势!$F$35:$ACK$35&lt;&gt;""),COLUMN(指数走势!$F$35:$ACK$35))-COLUMN(指数走势!$F$35)+1-760+351)),NA(),IF(INDEX(指数走势!$F$35:$ACK$35,1,LOOKUP(2,1/(指数走势!$F$35:$ACK$35&lt;&gt;""),COLUMN(指数走势!$F$35:$ACK$35))-COLUMN(指数走势!$F$35)+1-760+351)=0,NA(),INDEX(指数走势!$F$35:$ACK$35,1,LOOKUP(2,1/(指数走势!$F$35:$ACK$35&lt;&gt;""),COLUMN(指数走势!$F$35:$ACK$35))-COLUMN(指数走势!$F$35)+1-760+351)))</f>
        <v>12.8784999847412</v>
      </c>
      <c r="MO99">
        <f>IF(ISERROR(INDEX(指数走势!$F$35:$ACK$35,1,LOOKUP(2,1/(指数走势!$F$35:$ACK$35&lt;&gt;""),COLUMN(指数走势!$F$35:$ACK$35))-COLUMN(指数走势!$F$35)+1-760+352)),NA(),IF(INDEX(指数走势!$F$35:$ACK$35,1,LOOKUP(2,1/(指数走势!$F$35:$ACK$35&lt;&gt;""),COLUMN(指数走势!$F$35:$ACK$35))-COLUMN(指数走势!$F$35)+1-760+352)=0,NA(),INDEX(指数走势!$F$35:$ACK$35,1,LOOKUP(2,1/(指数走势!$F$35:$ACK$35&lt;&gt;""),COLUMN(指数走势!$F$35:$ACK$35))-COLUMN(指数走势!$F$35)+1-760+352)))</f>
        <v>12.8073997497559</v>
      </c>
      <c r="MP99">
        <f>IF(ISERROR(INDEX(指数走势!$F$35:$ACK$35,1,LOOKUP(2,1/(指数走势!$F$35:$ACK$35&lt;&gt;""),COLUMN(指数走势!$F$35:$ACK$35))-COLUMN(指数走势!$F$35)+1-760+353)),NA(),IF(INDEX(指数走势!$F$35:$ACK$35,1,LOOKUP(2,1/(指数走势!$F$35:$ACK$35&lt;&gt;""),COLUMN(指数走势!$F$35:$ACK$35))-COLUMN(指数走势!$F$35)+1-760+353)=0,NA(),INDEX(指数走势!$F$35:$ACK$35,1,LOOKUP(2,1/(指数走势!$F$35:$ACK$35&lt;&gt;""),COLUMN(指数走势!$F$35:$ACK$35))-COLUMN(指数走势!$F$35)+1-760+353)))</f>
        <v>12.6338996887207</v>
      </c>
      <c r="MQ99">
        <f>IF(ISERROR(INDEX(指数走势!$F$35:$ACK$35,1,LOOKUP(2,1/(指数走势!$F$35:$ACK$35&lt;&gt;""),COLUMN(指数走势!$F$35:$ACK$35))-COLUMN(指数走势!$F$35)+1-760+354)),NA(),IF(INDEX(指数走势!$F$35:$ACK$35,1,LOOKUP(2,1/(指数走势!$F$35:$ACK$35&lt;&gt;""),COLUMN(指数走势!$F$35:$ACK$35))-COLUMN(指数走势!$F$35)+1-760+354)=0,NA(),INDEX(指数走势!$F$35:$ACK$35,1,LOOKUP(2,1/(指数走势!$F$35:$ACK$35&lt;&gt;""),COLUMN(指数走势!$F$35:$ACK$35))-COLUMN(指数走势!$F$35)+1-760+354)))</f>
        <v>12.3909997940063</v>
      </c>
      <c r="MR99">
        <f>IF(ISERROR(INDEX(指数走势!$F$35:$ACK$35,1,LOOKUP(2,1/(指数走势!$F$35:$ACK$35&lt;&gt;""),COLUMN(指数走势!$F$35:$ACK$35))-COLUMN(指数走势!$F$35)+1-760+355)),NA(),IF(INDEX(指数走势!$F$35:$ACK$35,1,LOOKUP(2,1/(指数走势!$F$35:$ACK$35&lt;&gt;""),COLUMN(指数走势!$F$35:$ACK$35))-COLUMN(指数走势!$F$35)+1-760+355)=0,NA(),INDEX(指数走势!$F$35:$ACK$35,1,LOOKUP(2,1/(指数走势!$F$35:$ACK$35&lt;&gt;""),COLUMN(指数走势!$F$35:$ACK$35))-COLUMN(指数走势!$F$35)+1-760+355)))</f>
        <v>12.4444999694824</v>
      </c>
      <c r="MS99">
        <f>IF(ISERROR(INDEX(指数走势!$F$35:$ACK$35,1,LOOKUP(2,1/(指数走势!$F$35:$ACK$35&lt;&gt;""),COLUMN(指数走势!$F$35:$ACK$35))-COLUMN(指数走势!$F$35)+1-760+356)),NA(),IF(INDEX(指数走势!$F$35:$ACK$35,1,LOOKUP(2,1/(指数走势!$F$35:$ACK$35&lt;&gt;""),COLUMN(指数走势!$F$35:$ACK$35))-COLUMN(指数走势!$F$35)+1-760+356)=0,NA(),INDEX(指数走势!$F$35:$ACK$35,1,LOOKUP(2,1/(指数走势!$F$35:$ACK$35&lt;&gt;""),COLUMN(指数走势!$F$35:$ACK$35))-COLUMN(指数走势!$F$35)+1-760+356)))</f>
        <v>12.5631999969482</v>
      </c>
      <c r="MT99">
        <f>IF(ISERROR(INDEX(指数走势!$F$35:$ACK$35,1,LOOKUP(2,1/(指数走势!$F$35:$ACK$35&lt;&gt;""),COLUMN(指数走势!$F$35:$ACK$35))-COLUMN(指数走势!$F$35)+1-760+357)),NA(),IF(INDEX(指数走势!$F$35:$ACK$35,1,LOOKUP(2,1/(指数走势!$F$35:$ACK$35&lt;&gt;""),COLUMN(指数走势!$F$35:$ACK$35))-COLUMN(指数走势!$F$35)+1-760+357)=0,NA(),INDEX(指数走势!$F$35:$ACK$35,1,LOOKUP(2,1/(指数走势!$F$35:$ACK$35&lt;&gt;""),COLUMN(指数走势!$F$35:$ACK$35))-COLUMN(指数走势!$F$35)+1-760+357)))</f>
        <v>12.8269996643066</v>
      </c>
      <c r="MU99">
        <f>IF(ISERROR(INDEX(指数走势!$F$35:$ACK$35,1,LOOKUP(2,1/(指数走势!$F$35:$ACK$35&lt;&gt;""),COLUMN(指数走势!$F$35:$ACK$35))-COLUMN(指数走势!$F$35)+1-760+358)),NA(),IF(INDEX(指数走势!$F$35:$ACK$35,1,LOOKUP(2,1/(指数走势!$F$35:$ACK$35&lt;&gt;""),COLUMN(指数走势!$F$35:$ACK$35))-COLUMN(指数走势!$F$35)+1-760+358)=0,NA(),INDEX(指数走势!$F$35:$ACK$35,1,LOOKUP(2,1/(指数走势!$F$35:$ACK$35&lt;&gt;""),COLUMN(指数走势!$F$35:$ACK$35))-COLUMN(指数走势!$F$35)+1-760+358)))</f>
        <v>12.7523002624512</v>
      </c>
      <c r="MV99">
        <f>IF(ISERROR(INDEX(指数走势!$F$35:$ACK$35,1,LOOKUP(2,1/(指数走势!$F$35:$ACK$35&lt;&gt;""),COLUMN(指数走势!$F$35:$ACK$35))-COLUMN(指数走势!$F$35)+1-760+359)),NA(),IF(INDEX(指数走势!$F$35:$ACK$35,1,LOOKUP(2,1/(指数走势!$F$35:$ACK$35&lt;&gt;""),COLUMN(指数走势!$F$35:$ACK$35))-COLUMN(指数走势!$F$35)+1-760+359)=0,NA(),INDEX(指数走势!$F$35:$ACK$35,1,LOOKUP(2,1/(指数走势!$F$35:$ACK$35&lt;&gt;""),COLUMN(指数走势!$F$35:$ACK$35))-COLUMN(指数走势!$F$35)+1-760+359)))</f>
        <v>13.1042003631592</v>
      </c>
      <c r="MW99">
        <f>IF(ISERROR(INDEX(指数走势!$F$35:$ACK$35,1,LOOKUP(2,1/(指数走势!$F$35:$ACK$35&lt;&gt;""),COLUMN(指数走势!$F$35:$ACK$35))-COLUMN(指数走势!$F$35)+1-760+360)),NA(),IF(INDEX(指数走势!$F$35:$ACK$35,1,LOOKUP(2,1/(指数走势!$F$35:$ACK$35&lt;&gt;""),COLUMN(指数走势!$F$35:$ACK$35))-COLUMN(指数走势!$F$35)+1-760+360)=0,NA(),INDEX(指数走势!$F$35:$ACK$35,1,LOOKUP(2,1/(指数走势!$F$35:$ACK$35&lt;&gt;""),COLUMN(指数走势!$F$35:$ACK$35))-COLUMN(指数走势!$F$35)+1-760+360)))</f>
        <v>12.975700378418</v>
      </c>
      <c r="MX99">
        <f>IF(ISERROR(INDEX(指数走势!$F$35:$ACK$35,1,LOOKUP(2,1/(指数走势!$F$35:$ACK$35&lt;&gt;""),COLUMN(指数走势!$F$35:$ACK$35))-COLUMN(指数走势!$F$35)+1-760+361)),NA(),IF(INDEX(指数走势!$F$35:$ACK$35,1,LOOKUP(2,1/(指数走势!$F$35:$ACK$35&lt;&gt;""),COLUMN(指数走势!$F$35:$ACK$35))-COLUMN(指数走势!$F$35)+1-760+361)=0,NA(),INDEX(指数走势!$F$35:$ACK$35,1,LOOKUP(2,1/(指数走势!$F$35:$ACK$35&lt;&gt;""),COLUMN(指数走势!$F$35:$ACK$35))-COLUMN(指数走势!$F$35)+1-760+361)))</f>
        <v>12.9792003631592</v>
      </c>
      <c r="MY99">
        <f>IF(ISERROR(INDEX(指数走势!$F$35:$ACK$35,1,LOOKUP(2,1/(指数走势!$F$35:$ACK$35&lt;&gt;""),COLUMN(指数走势!$F$35:$ACK$35))-COLUMN(指数走势!$F$35)+1-760+362)),NA(),IF(INDEX(指数走势!$F$35:$ACK$35,1,LOOKUP(2,1/(指数走势!$F$35:$ACK$35&lt;&gt;""),COLUMN(指数走势!$F$35:$ACK$35))-COLUMN(指数走势!$F$35)+1-760+362)=0,NA(),INDEX(指数走势!$F$35:$ACK$35,1,LOOKUP(2,1/(指数走势!$F$35:$ACK$35&lt;&gt;""),COLUMN(指数走势!$F$35:$ACK$35))-COLUMN(指数走势!$F$35)+1-760+362)))</f>
        <v>12.8268003463745</v>
      </c>
      <c r="MZ99">
        <f>IF(ISERROR(INDEX(指数走势!$F$35:$ACK$35,1,LOOKUP(2,1/(指数走势!$F$35:$ACK$35&lt;&gt;""),COLUMN(指数走势!$F$35:$ACK$35))-COLUMN(指数走势!$F$35)+1-760+363)),NA(),IF(INDEX(指数走势!$F$35:$ACK$35,1,LOOKUP(2,1/(指数走势!$F$35:$ACK$35&lt;&gt;""),COLUMN(指数走势!$F$35:$ACK$35))-COLUMN(指数走势!$F$35)+1-760+363)=0,NA(),INDEX(指数走势!$F$35:$ACK$35,1,LOOKUP(2,1/(指数走势!$F$35:$ACK$35&lt;&gt;""),COLUMN(指数走势!$F$35:$ACK$35))-COLUMN(指数走势!$F$35)+1-760+363)))</f>
        <v>12.9271001815796</v>
      </c>
      <c r="NA99">
        <f>IF(ISERROR(INDEX(指数走势!$F$35:$ACK$35,1,LOOKUP(2,1/(指数走势!$F$35:$ACK$35&lt;&gt;""),COLUMN(指数走势!$F$35:$ACK$35))-COLUMN(指数走势!$F$35)+1-760+364)),NA(),IF(INDEX(指数走势!$F$35:$ACK$35,1,LOOKUP(2,1/(指数走势!$F$35:$ACK$35&lt;&gt;""),COLUMN(指数走势!$F$35:$ACK$35))-COLUMN(指数走势!$F$35)+1-760+364)=0,NA(),INDEX(指数走势!$F$35:$ACK$35,1,LOOKUP(2,1/(指数走势!$F$35:$ACK$35&lt;&gt;""),COLUMN(指数走势!$F$35:$ACK$35))-COLUMN(指数走势!$F$35)+1-760+364)))</f>
        <v>12.7665996551514</v>
      </c>
      <c r="NB99">
        <f>IF(ISERROR(INDEX(指数走势!$F$35:$ACK$35,1,LOOKUP(2,1/(指数走势!$F$35:$ACK$35&lt;&gt;""),COLUMN(指数走势!$F$35:$ACK$35))-COLUMN(指数走势!$F$35)+1-760+365)),NA(),IF(INDEX(指数走势!$F$35:$ACK$35,1,LOOKUP(2,1/(指数走势!$F$35:$ACK$35&lt;&gt;""),COLUMN(指数走势!$F$35:$ACK$35))-COLUMN(指数走势!$F$35)+1-760+365)=0,NA(),INDEX(指数走势!$F$35:$ACK$35,1,LOOKUP(2,1/(指数走势!$F$35:$ACK$35&lt;&gt;""),COLUMN(指数走势!$F$35:$ACK$35))-COLUMN(指数走势!$F$35)+1-760+365)))</f>
        <v>12.6125001907349</v>
      </c>
      <c r="NC99">
        <f>IF(ISERROR(INDEX(指数走势!$F$35:$ACK$35,1,LOOKUP(2,1/(指数走势!$F$35:$ACK$35&lt;&gt;""),COLUMN(指数走势!$F$35:$ACK$35))-COLUMN(指数走势!$F$35)+1-760+366)),NA(),IF(INDEX(指数走势!$F$35:$ACK$35,1,LOOKUP(2,1/(指数走势!$F$35:$ACK$35&lt;&gt;""),COLUMN(指数走势!$F$35:$ACK$35))-COLUMN(指数走势!$F$35)+1-760+366)=0,NA(),INDEX(指数走势!$F$35:$ACK$35,1,LOOKUP(2,1/(指数走势!$F$35:$ACK$35&lt;&gt;""),COLUMN(指数走势!$F$35:$ACK$35))-COLUMN(指数走势!$F$35)+1-760+366)))</f>
        <v>12.6243000030518</v>
      </c>
      <c r="ND99">
        <f>IF(ISERROR(INDEX(指数走势!$F$35:$ACK$35,1,LOOKUP(2,1/(指数走势!$F$35:$ACK$35&lt;&gt;""),COLUMN(指数走势!$F$35:$ACK$35))-COLUMN(指数走势!$F$35)+1-760+367)),NA(),IF(INDEX(指数走势!$F$35:$ACK$35,1,LOOKUP(2,1/(指数走势!$F$35:$ACK$35&lt;&gt;""),COLUMN(指数走势!$F$35:$ACK$35))-COLUMN(指数走势!$F$35)+1-760+367)=0,NA(),INDEX(指数走势!$F$35:$ACK$35,1,LOOKUP(2,1/(指数走势!$F$35:$ACK$35&lt;&gt;""),COLUMN(指数走势!$F$35:$ACK$35))-COLUMN(指数走势!$F$35)+1-760+367)))</f>
        <v>12.654899597168</v>
      </c>
      <c r="NE99">
        <f>IF(ISERROR(INDEX(指数走势!$F$35:$ACK$35,1,LOOKUP(2,1/(指数走势!$F$35:$ACK$35&lt;&gt;""),COLUMN(指数走势!$F$35:$ACK$35))-COLUMN(指数走势!$F$35)+1-760+368)),NA(),IF(INDEX(指数走势!$F$35:$ACK$35,1,LOOKUP(2,1/(指数走势!$F$35:$ACK$35&lt;&gt;""),COLUMN(指数走势!$F$35:$ACK$35))-COLUMN(指数走势!$F$35)+1-760+368)=0,NA(),INDEX(指数走势!$F$35:$ACK$35,1,LOOKUP(2,1/(指数走势!$F$35:$ACK$35&lt;&gt;""),COLUMN(指数走势!$F$35:$ACK$35))-COLUMN(指数走势!$F$35)+1-760+368)))</f>
        <v>12.6759996414185</v>
      </c>
      <c r="NF99">
        <f>IF(ISERROR(INDEX(指数走势!$F$35:$ACK$35,1,LOOKUP(2,1/(指数走势!$F$35:$ACK$35&lt;&gt;""),COLUMN(指数走势!$F$35:$ACK$35))-COLUMN(指数走势!$F$35)+1-760+369)),NA(),IF(INDEX(指数走势!$F$35:$ACK$35,1,LOOKUP(2,1/(指数走势!$F$35:$ACK$35&lt;&gt;""),COLUMN(指数走势!$F$35:$ACK$35))-COLUMN(指数走势!$F$35)+1-760+369)=0,NA(),INDEX(指数走势!$F$35:$ACK$35,1,LOOKUP(2,1/(指数走势!$F$35:$ACK$35&lt;&gt;""),COLUMN(指数走势!$F$35:$ACK$35))-COLUMN(指数走势!$F$35)+1-760+369)))</f>
        <v>12.6787996292114</v>
      </c>
      <c r="NG99">
        <f>IF(ISERROR(INDEX(指数走势!$F$35:$ACK$35,1,LOOKUP(2,1/(指数走势!$F$35:$ACK$35&lt;&gt;""),COLUMN(指数走势!$F$35:$ACK$35))-COLUMN(指数走势!$F$35)+1-760+370)),NA(),IF(INDEX(指数走势!$F$35:$ACK$35,1,LOOKUP(2,1/(指数走势!$F$35:$ACK$35&lt;&gt;""),COLUMN(指数走势!$F$35:$ACK$35))-COLUMN(指数走势!$F$35)+1-760+370)=0,NA(),INDEX(指数走势!$F$35:$ACK$35,1,LOOKUP(2,1/(指数走势!$F$35:$ACK$35&lt;&gt;""),COLUMN(指数走势!$F$35:$ACK$35))-COLUMN(指数走势!$F$35)+1-760+370)))</f>
        <v>12.3371000289917</v>
      </c>
      <c r="NH99">
        <f>IF(ISERROR(INDEX(指数走势!$F$35:$ACK$35,1,LOOKUP(2,1/(指数走势!$F$35:$ACK$35&lt;&gt;""),COLUMN(指数走势!$F$35:$ACK$35))-COLUMN(指数走势!$F$35)+1-760+371)),NA(),IF(INDEX(指数走势!$F$35:$ACK$35,1,LOOKUP(2,1/(指数走势!$F$35:$ACK$35&lt;&gt;""),COLUMN(指数走势!$F$35:$ACK$35))-COLUMN(指数走势!$F$35)+1-760+371)=0,NA(),INDEX(指数走势!$F$35:$ACK$35,1,LOOKUP(2,1/(指数走势!$F$35:$ACK$35&lt;&gt;""),COLUMN(指数走势!$F$35:$ACK$35))-COLUMN(指数走势!$F$35)+1-760+371)))</f>
        <v>12.3029003143311</v>
      </c>
      <c r="NI99">
        <f>IF(ISERROR(INDEX(指数走势!$F$35:$ACK$35,1,LOOKUP(2,1/(指数走势!$F$35:$ACK$35&lt;&gt;""),COLUMN(指数走势!$F$35:$ACK$35))-COLUMN(指数走势!$F$35)+1-760+372)),NA(),IF(INDEX(指数走势!$F$35:$ACK$35,1,LOOKUP(2,1/(指数走势!$F$35:$ACK$35&lt;&gt;""),COLUMN(指数走势!$F$35:$ACK$35))-COLUMN(指数走势!$F$35)+1-760+372)=0,NA(),INDEX(指数走势!$F$35:$ACK$35,1,LOOKUP(2,1/(指数走势!$F$35:$ACK$35&lt;&gt;""),COLUMN(指数走势!$F$35:$ACK$35))-COLUMN(指数走势!$F$35)+1-760+372)))</f>
        <v>12.3156995773315</v>
      </c>
      <c r="NJ99">
        <f>IF(ISERROR(INDEX(指数走势!$F$35:$ACK$35,1,LOOKUP(2,1/(指数走势!$F$35:$ACK$35&lt;&gt;""),COLUMN(指数走势!$F$35:$ACK$35))-COLUMN(指数走势!$F$35)+1-760+373)),NA(),IF(INDEX(指数走势!$F$35:$ACK$35,1,LOOKUP(2,1/(指数走势!$F$35:$ACK$35&lt;&gt;""),COLUMN(指数走势!$F$35:$ACK$35))-COLUMN(指数走势!$F$35)+1-760+373)=0,NA(),INDEX(指数走势!$F$35:$ACK$35,1,LOOKUP(2,1/(指数走势!$F$35:$ACK$35&lt;&gt;""),COLUMN(指数走势!$F$35:$ACK$35))-COLUMN(指数走势!$F$35)+1-760+373)))</f>
        <v>12.4996004104614</v>
      </c>
      <c r="NK99">
        <f>IF(ISERROR(INDEX(指数走势!$F$35:$ACK$35,1,LOOKUP(2,1/(指数走势!$F$35:$ACK$35&lt;&gt;""),COLUMN(指数走势!$F$35:$ACK$35))-COLUMN(指数走势!$F$35)+1-760+374)),NA(),IF(INDEX(指数走势!$F$35:$ACK$35,1,LOOKUP(2,1/(指数走势!$F$35:$ACK$35&lt;&gt;""),COLUMN(指数走势!$F$35:$ACK$35))-COLUMN(指数走势!$F$35)+1-760+374)=0,NA(),INDEX(指数走势!$F$35:$ACK$35,1,LOOKUP(2,1/(指数走势!$F$35:$ACK$35&lt;&gt;""),COLUMN(指数走势!$F$35:$ACK$35))-COLUMN(指数走势!$F$35)+1-760+374)))</f>
        <v>12.4065999984741</v>
      </c>
      <c r="NL99">
        <f>IF(ISERROR(INDEX(指数走势!$F$35:$ACK$35,1,LOOKUP(2,1/(指数走势!$F$35:$ACK$35&lt;&gt;""),COLUMN(指数走势!$F$35:$ACK$35))-COLUMN(指数走势!$F$35)+1-760+375)),NA(),IF(INDEX(指数走势!$F$35:$ACK$35,1,LOOKUP(2,1/(指数走势!$F$35:$ACK$35&lt;&gt;""),COLUMN(指数走势!$F$35:$ACK$35))-COLUMN(指数走势!$F$35)+1-760+375)=0,NA(),INDEX(指数走势!$F$35:$ACK$35,1,LOOKUP(2,1/(指数走势!$F$35:$ACK$35&lt;&gt;""),COLUMN(指数走势!$F$35:$ACK$35))-COLUMN(指数走势!$F$35)+1-760+375)))</f>
        <v>12.4998998641968</v>
      </c>
      <c r="NM99">
        <f>IF(ISERROR(INDEX(指数走势!$F$35:$ACK$35,1,LOOKUP(2,1/(指数走势!$F$35:$ACK$35&lt;&gt;""),COLUMN(指数走势!$F$35:$ACK$35))-COLUMN(指数走势!$F$35)+1-760+376)),NA(),IF(INDEX(指数走势!$F$35:$ACK$35,1,LOOKUP(2,1/(指数走势!$F$35:$ACK$35&lt;&gt;""),COLUMN(指数走势!$F$35:$ACK$35))-COLUMN(指数走势!$F$35)+1-760+376)=0,NA(),INDEX(指数走势!$F$35:$ACK$35,1,LOOKUP(2,1/(指数走势!$F$35:$ACK$35&lt;&gt;""),COLUMN(指数走势!$F$35:$ACK$35))-COLUMN(指数走势!$F$35)+1-760+376)))</f>
        <v>12.5763998031616</v>
      </c>
      <c r="NN99">
        <f>IF(ISERROR(INDEX(指数走势!$F$35:$ACK$35,1,LOOKUP(2,1/(指数走势!$F$35:$ACK$35&lt;&gt;""),COLUMN(指数走势!$F$35:$ACK$35))-COLUMN(指数走势!$F$35)+1-760+377)),NA(),IF(INDEX(指数走势!$F$35:$ACK$35,1,LOOKUP(2,1/(指数走势!$F$35:$ACK$35&lt;&gt;""),COLUMN(指数走势!$F$35:$ACK$35))-COLUMN(指数走势!$F$35)+1-760+377)=0,NA(),INDEX(指数走势!$F$35:$ACK$35,1,LOOKUP(2,1/(指数走势!$F$35:$ACK$35&lt;&gt;""),COLUMN(指数走势!$F$35:$ACK$35))-COLUMN(指数走势!$F$35)+1-760+377)))</f>
        <v>12.6424999237061</v>
      </c>
      <c r="NO99">
        <f>IF(ISERROR(INDEX(指数走势!$F$35:$ACK$35,1,LOOKUP(2,1/(指数走势!$F$35:$ACK$35&lt;&gt;""),COLUMN(指数走势!$F$35:$ACK$35))-COLUMN(指数走势!$F$35)+1-760+378)),NA(),IF(INDEX(指数走势!$F$35:$ACK$35,1,LOOKUP(2,1/(指数走势!$F$35:$ACK$35&lt;&gt;""),COLUMN(指数走势!$F$35:$ACK$35))-COLUMN(指数走势!$F$35)+1-760+378)=0,NA(),INDEX(指数走势!$F$35:$ACK$35,1,LOOKUP(2,1/(指数走势!$F$35:$ACK$35&lt;&gt;""),COLUMN(指数走势!$F$35:$ACK$35))-COLUMN(指数走势!$F$35)+1-760+378)))</f>
        <v>12.6381998062134</v>
      </c>
      <c r="NP99">
        <f>IF(ISERROR(INDEX(指数走势!$F$35:$ACK$35,1,LOOKUP(2,1/(指数走势!$F$35:$ACK$35&lt;&gt;""),COLUMN(指数走势!$F$35:$ACK$35))-COLUMN(指数走势!$F$35)+1-760+379)),NA(),IF(INDEX(指数走势!$F$35:$ACK$35,1,LOOKUP(2,1/(指数走势!$F$35:$ACK$35&lt;&gt;""),COLUMN(指数走势!$F$35:$ACK$35))-COLUMN(指数走势!$F$35)+1-760+379)=0,NA(),INDEX(指数走势!$F$35:$ACK$35,1,LOOKUP(2,1/(指数走势!$F$35:$ACK$35&lt;&gt;""),COLUMN(指数走势!$F$35:$ACK$35))-COLUMN(指数走势!$F$35)+1-760+379)))</f>
        <v>12.5992002487183</v>
      </c>
      <c r="NQ99">
        <f>IF(ISERROR(INDEX(指数走势!$F$35:$ACK$35,1,LOOKUP(2,1/(指数走势!$F$35:$ACK$35&lt;&gt;""),COLUMN(指数走势!$F$35:$ACK$35))-COLUMN(指数走势!$F$35)+1-760+380)),NA(),IF(INDEX(指数走势!$F$35:$ACK$35,1,LOOKUP(2,1/(指数走势!$F$35:$ACK$35&lt;&gt;""),COLUMN(指数走势!$F$35:$ACK$35))-COLUMN(指数走势!$F$35)+1-760+380)=0,NA(),INDEX(指数走势!$F$35:$ACK$35,1,LOOKUP(2,1/(指数走势!$F$35:$ACK$35&lt;&gt;""),COLUMN(指数走势!$F$35:$ACK$35))-COLUMN(指数走势!$F$35)+1-760+380)))</f>
        <v>12.7389001846313</v>
      </c>
      <c r="NR99">
        <f>IF(ISERROR(INDEX(指数走势!$F$35:$ACK$35,1,LOOKUP(2,1/(指数走势!$F$35:$ACK$35&lt;&gt;""),COLUMN(指数走势!$F$35:$ACK$35))-COLUMN(指数走势!$F$35)+1-760+381)),NA(),IF(INDEX(指数走势!$F$35:$ACK$35,1,LOOKUP(2,1/(指数走势!$F$35:$ACK$35&lt;&gt;""),COLUMN(指数走势!$F$35:$ACK$35))-COLUMN(指数走势!$F$35)+1-760+381)=0,NA(),INDEX(指数走势!$F$35:$ACK$35,1,LOOKUP(2,1/(指数走势!$F$35:$ACK$35&lt;&gt;""),COLUMN(指数走势!$F$35:$ACK$35))-COLUMN(指数走势!$F$35)+1-760+381)))</f>
        <v>12.7440004348755</v>
      </c>
      <c r="NS99">
        <f>IF(ISERROR(INDEX(指数走势!$F$35:$ACK$35,1,LOOKUP(2,1/(指数走势!$F$35:$ACK$35&lt;&gt;""),COLUMN(指数走势!$F$35:$ACK$35))-COLUMN(指数走势!$F$35)+1-760+382)),NA(),IF(INDEX(指数走势!$F$35:$ACK$35,1,LOOKUP(2,1/(指数走势!$F$35:$ACK$35&lt;&gt;""),COLUMN(指数走势!$F$35:$ACK$35))-COLUMN(指数走势!$F$35)+1-760+382)=0,NA(),INDEX(指数走势!$F$35:$ACK$35,1,LOOKUP(2,1/(指数走势!$F$35:$ACK$35&lt;&gt;""),COLUMN(指数走势!$F$35:$ACK$35))-COLUMN(指数走势!$F$35)+1-760+382)))</f>
        <v>12.8241996765137</v>
      </c>
      <c r="NT99">
        <f>IF(ISERROR(INDEX(指数走势!$F$35:$ACK$35,1,LOOKUP(2,1/(指数走势!$F$35:$ACK$35&lt;&gt;""),COLUMN(指数走势!$F$35:$ACK$35))-COLUMN(指数走势!$F$35)+1-760+383)),NA(),IF(INDEX(指数走势!$F$35:$ACK$35,1,LOOKUP(2,1/(指数走势!$F$35:$ACK$35&lt;&gt;""),COLUMN(指数走势!$F$35:$ACK$35))-COLUMN(指数走势!$F$35)+1-760+383)=0,NA(),INDEX(指数走势!$F$35:$ACK$35,1,LOOKUP(2,1/(指数走势!$F$35:$ACK$35&lt;&gt;""),COLUMN(指数走势!$F$35:$ACK$35))-COLUMN(指数走势!$F$35)+1-760+383)))</f>
        <v>12.779899597168</v>
      </c>
      <c r="NU99">
        <f>IF(ISERROR(INDEX(指数走势!$F$35:$ACK$35,1,LOOKUP(2,1/(指数走势!$F$35:$ACK$35&lt;&gt;""),COLUMN(指数走势!$F$35:$ACK$35))-COLUMN(指数走势!$F$35)+1-760+384)),NA(),IF(INDEX(指数走势!$F$35:$ACK$35,1,LOOKUP(2,1/(指数走势!$F$35:$ACK$35&lt;&gt;""),COLUMN(指数走势!$F$35:$ACK$35))-COLUMN(指数走势!$F$35)+1-760+384)=0,NA(),INDEX(指数走势!$F$35:$ACK$35,1,LOOKUP(2,1/(指数走势!$F$35:$ACK$35&lt;&gt;""),COLUMN(指数走势!$F$35:$ACK$35))-COLUMN(指数走势!$F$35)+1-760+384)))</f>
        <v>12.9097995758057</v>
      </c>
      <c r="NV99">
        <f>IF(ISERROR(INDEX(指数走势!$F$35:$ACK$35,1,LOOKUP(2,1/(指数走势!$F$35:$ACK$35&lt;&gt;""),COLUMN(指数走势!$F$35:$ACK$35))-COLUMN(指数走势!$F$35)+1-760+385)),NA(),IF(INDEX(指数走势!$F$35:$ACK$35,1,LOOKUP(2,1/(指数走势!$F$35:$ACK$35&lt;&gt;""),COLUMN(指数走势!$F$35:$ACK$35))-COLUMN(指数走势!$F$35)+1-760+385)=0,NA(),INDEX(指数走势!$F$35:$ACK$35,1,LOOKUP(2,1/(指数走势!$F$35:$ACK$35&lt;&gt;""),COLUMN(指数走势!$F$35:$ACK$35))-COLUMN(指数走势!$F$35)+1-760+385)))</f>
        <v>12.6559000015259</v>
      </c>
      <c r="NW99">
        <f>IF(ISERROR(INDEX(指数走势!$F$35:$ACK$35,1,LOOKUP(2,1/(指数走势!$F$35:$ACK$35&lt;&gt;""),COLUMN(指数走势!$F$35:$ACK$35))-COLUMN(指数走势!$F$35)+1-760+386)),NA(),IF(INDEX(指数走势!$F$35:$ACK$35,1,LOOKUP(2,1/(指数走势!$F$35:$ACK$35&lt;&gt;""),COLUMN(指数走势!$F$35:$ACK$35))-COLUMN(指数走势!$F$35)+1-760+386)=0,NA(),INDEX(指数走势!$F$35:$ACK$35,1,LOOKUP(2,1/(指数走势!$F$35:$ACK$35&lt;&gt;""),COLUMN(指数走势!$F$35:$ACK$35))-COLUMN(指数走势!$F$35)+1-760+386)))</f>
        <v>12.7217998504639</v>
      </c>
      <c r="NX99">
        <f>IF(ISERROR(INDEX(指数走势!$F$35:$ACK$35,1,LOOKUP(2,1/(指数走势!$F$35:$ACK$35&lt;&gt;""),COLUMN(指数走势!$F$35:$ACK$35))-COLUMN(指数走势!$F$35)+1-760+387)),NA(),IF(INDEX(指数走势!$F$35:$ACK$35,1,LOOKUP(2,1/(指数走势!$F$35:$ACK$35&lt;&gt;""),COLUMN(指数走势!$F$35:$ACK$35))-COLUMN(指数走势!$F$35)+1-760+387)=0,NA(),INDEX(指数走势!$F$35:$ACK$35,1,LOOKUP(2,1/(指数走势!$F$35:$ACK$35&lt;&gt;""),COLUMN(指数走势!$F$35:$ACK$35))-COLUMN(指数走势!$F$35)+1-760+387)))</f>
        <v>12.7411003112793</v>
      </c>
      <c r="NY99">
        <f>IF(ISERROR(INDEX(指数走势!$F$35:$ACK$35,1,LOOKUP(2,1/(指数走势!$F$35:$ACK$35&lt;&gt;""),COLUMN(指数走势!$F$35:$ACK$35))-COLUMN(指数走势!$F$35)+1-760+388)),NA(),IF(INDEX(指数走势!$F$35:$ACK$35,1,LOOKUP(2,1/(指数走势!$F$35:$ACK$35&lt;&gt;""),COLUMN(指数走势!$F$35:$ACK$35))-COLUMN(指数走势!$F$35)+1-760+388)=0,NA(),INDEX(指数走势!$F$35:$ACK$35,1,LOOKUP(2,1/(指数走势!$F$35:$ACK$35&lt;&gt;""),COLUMN(指数走势!$F$35:$ACK$35))-COLUMN(指数走势!$F$35)+1-760+388)))</f>
        <v>12.8154001235962</v>
      </c>
      <c r="NZ99">
        <f>IF(ISERROR(INDEX(指数走势!$F$35:$ACK$35,1,LOOKUP(2,1/(指数走势!$F$35:$ACK$35&lt;&gt;""),COLUMN(指数走势!$F$35:$ACK$35))-COLUMN(指数走势!$F$35)+1-760+389)),NA(),IF(INDEX(指数走势!$F$35:$ACK$35,1,LOOKUP(2,1/(指数走势!$F$35:$ACK$35&lt;&gt;""),COLUMN(指数走势!$F$35:$ACK$35))-COLUMN(指数走势!$F$35)+1-760+389)=0,NA(),INDEX(指数走势!$F$35:$ACK$35,1,LOOKUP(2,1/(指数走势!$F$35:$ACK$35&lt;&gt;""),COLUMN(指数走势!$F$35:$ACK$35))-COLUMN(指数走势!$F$35)+1-760+389)))</f>
        <v>12.7882995605469</v>
      </c>
      <c r="OA99">
        <f>IF(ISERROR(INDEX(指数走势!$F$35:$ACK$35,1,LOOKUP(2,1/(指数走势!$F$35:$ACK$35&lt;&gt;""),COLUMN(指数走势!$F$35:$ACK$35))-COLUMN(指数走势!$F$35)+1-760+390)),NA(),IF(INDEX(指数走势!$F$35:$ACK$35,1,LOOKUP(2,1/(指数走势!$F$35:$ACK$35&lt;&gt;""),COLUMN(指数走势!$F$35:$ACK$35))-COLUMN(指数走势!$F$35)+1-760+390)=0,NA(),INDEX(指数走势!$F$35:$ACK$35,1,LOOKUP(2,1/(指数走势!$F$35:$ACK$35&lt;&gt;""),COLUMN(指数走势!$F$35:$ACK$35))-COLUMN(指数走势!$F$35)+1-760+390)))</f>
        <v>12.7307996749878</v>
      </c>
      <c r="OB99">
        <f>IF(ISERROR(INDEX(指数走势!$F$35:$ACK$35,1,LOOKUP(2,1/(指数走势!$F$35:$ACK$35&lt;&gt;""),COLUMN(指数走势!$F$35:$ACK$35))-COLUMN(指数走势!$F$35)+1-760+391)),NA(),IF(INDEX(指数走势!$F$35:$ACK$35,1,LOOKUP(2,1/(指数走势!$F$35:$ACK$35&lt;&gt;""),COLUMN(指数走势!$F$35:$ACK$35))-COLUMN(指数走势!$F$35)+1-760+391)=0,NA(),INDEX(指数走势!$F$35:$ACK$35,1,LOOKUP(2,1/(指数走势!$F$35:$ACK$35&lt;&gt;""),COLUMN(指数走势!$F$35:$ACK$35))-COLUMN(指数走势!$F$35)+1-760+391)))</f>
        <v>12.8228998184204</v>
      </c>
      <c r="OC99">
        <f>IF(ISERROR(INDEX(指数走势!$F$35:$ACK$35,1,LOOKUP(2,1/(指数走势!$F$35:$ACK$35&lt;&gt;""),COLUMN(指数走势!$F$35:$ACK$35))-COLUMN(指数走势!$F$35)+1-760+392)),NA(),IF(INDEX(指数走势!$F$35:$ACK$35,1,LOOKUP(2,1/(指数走势!$F$35:$ACK$35&lt;&gt;""),COLUMN(指数走势!$F$35:$ACK$35))-COLUMN(指数走势!$F$35)+1-760+392)=0,NA(),INDEX(指数走势!$F$35:$ACK$35,1,LOOKUP(2,1/(指数走势!$F$35:$ACK$35&lt;&gt;""),COLUMN(指数走势!$F$35:$ACK$35))-COLUMN(指数走势!$F$35)+1-760+392)))</f>
        <v>12.9919996261597</v>
      </c>
      <c r="OD99">
        <f>IF(ISERROR(INDEX(指数走势!$F$35:$ACK$35,1,LOOKUP(2,1/(指数走势!$F$35:$ACK$35&lt;&gt;""),COLUMN(指数走势!$F$35:$ACK$35))-COLUMN(指数走势!$F$35)+1-760+393)),NA(),IF(INDEX(指数走势!$F$35:$ACK$35,1,LOOKUP(2,1/(指数走势!$F$35:$ACK$35&lt;&gt;""),COLUMN(指数走势!$F$35:$ACK$35))-COLUMN(指数走势!$F$35)+1-760+393)=0,NA(),INDEX(指数走势!$F$35:$ACK$35,1,LOOKUP(2,1/(指数走势!$F$35:$ACK$35&lt;&gt;""),COLUMN(指数走势!$F$35:$ACK$35))-COLUMN(指数走势!$F$35)+1-760+393)))</f>
        <v>13.0492000579834</v>
      </c>
      <c r="OE99">
        <f>IF(ISERROR(INDEX(指数走势!$F$35:$ACK$35,1,LOOKUP(2,1/(指数走势!$F$35:$ACK$35&lt;&gt;""),COLUMN(指数走势!$F$35:$ACK$35))-COLUMN(指数走势!$F$35)+1-760+394)),NA(),IF(INDEX(指数走势!$F$35:$ACK$35,1,LOOKUP(2,1/(指数走势!$F$35:$ACK$35&lt;&gt;""),COLUMN(指数走势!$F$35:$ACK$35))-COLUMN(指数走势!$F$35)+1-760+394)=0,NA(),INDEX(指数走势!$F$35:$ACK$35,1,LOOKUP(2,1/(指数走势!$F$35:$ACK$35&lt;&gt;""),COLUMN(指数走势!$F$35:$ACK$35))-COLUMN(指数走势!$F$35)+1-760+394)))</f>
        <v>13.019700050354</v>
      </c>
      <c r="OF99">
        <f>IF(ISERROR(INDEX(指数走势!$F$35:$ACK$35,1,LOOKUP(2,1/(指数走势!$F$35:$ACK$35&lt;&gt;""),COLUMN(指数走势!$F$35:$ACK$35))-COLUMN(指数走势!$F$35)+1-760+395)),NA(),IF(INDEX(指数走势!$F$35:$ACK$35,1,LOOKUP(2,1/(指数走势!$F$35:$ACK$35&lt;&gt;""),COLUMN(指数走势!$F$35:$ACK$35))-COLUMN(指数走势!$F$35)+1-760+395)=0,NA(),INDEX(指数走势!$F$35:$ACK$35,1,LOOKUP(2,1/(指数走势!$F$35:$ACK$35&lt;&gt;""),COLUMN(指数走势!$F$35:$ACK$35))-COLUMN(指数走势!$F$35)+1-760+395)))</f>
        <v>13.0052995681763</v>
      </c>
      <c r="OG99">
        <f>IF(ISERROR(INDEX(指数走势!$F$35:$ACK$35,1,LOOKUP(2,1/(指数走势!$F$35:$ACK$35&lt;&gt;""),COLUMN(指数走势!$F$35:$ACK$35))-COLUMN(指数走势!$F$35)+1-760+396)),NA(),IF(INDEX(指数走势!$F$35:$ACK$35,1,LOOKUP(2,1/(指数走势!$F$35:$ACK$35&lt;&gt;""),COLUMN(指数走势!$F$35:$ACK$35))-COLUMN(指数走势!$F$35)+1-760+396)=0,NA(),INDEX(指数走势!$F$35:$ACK$35,1,LOOKUP(2,1/(指数走势!$F$35:$ACK$35&lt;&gt;""),COLUMN(指数走势!$F$35:$ACK$35))-COLUMN(指数走势!$F$35)+1-760+396)))</f>
        <v>13.0866003036499</v>
      </c>
      <c r="OH99">
        <f>IF(ISERROR(INDEX(指数走势!$F$35:$ACK$35,1,LOOKUP(2,1/(指数走势!$F$35:$ACK$35&lt;&gt;""),COLUMN(指数走势!$F$35:$ACK$35))-COLUMN(指数走势!$F$35)+1-760+397)),NA(),IF(INDEX(指数走势!$F$35:$ACK$35,1,LOOKUP(2,1/(指数走势!$F$35:$ACK$35&lt;&gt;""),COLUMN(指数走势!$F$35:$ACK$35))-COLUMN(指数走势!$F$35)+1-760+397)=0,NA(),INDEX(指数走势!$F$35:$ACK$35,1,LOOKUP(2,1/(指数走势!$F$35:$ACK$35&lt;&gt;""),COLUMN(指数走势!$F$35:$ACK$35))-COLUMN(指数走势!$F$35)+1-760+397)))</f>
        <v>12.9294004440308</v>
      </c>
      <c r="OI99">
        <f>IF(ISERROR(INDEX(指数走势!$F$35:$ACK$35,1,LOOKUP(2,1/(指数走势!$F$35:$ACK$35&lt;&gt;""),COLUMN(指数走势!$F$35:$ACK$35))-COLUMN(指数走势!$F$35)+1-760+398)),NA(),IF(INDEX(指数走势!$F$35:$ACK$35,1,LOOKUP(2,1/(指数走势!$F$35:$ACK$35&lt;&gt;""),COLUMN(指数走势!$F$35:$ACK$35))-COLUMN(指数走势!$F$35)+1-760+398)=0,NA(),INDEX(指数走势!$F$35:$ACK$35,1,LOOKUP(2,1/(指数走势!$F$35:$ACK$35&lt;&gt;""),COLUMN(指数走势!$F$35:$ACK$35))-COLUMN(指数走势!$F$35)+1-760+398)))</f>
        <v>12.5611000061035</v>
      </c>
      <c r="OJ99">
        <f>IF(ISERROR(INDEX(指数走势!$F$35:$ACK$35,1,LOOKUP(2,1/(指数走势!$F$35:$ACK$35&lt;&gt;""),COLUMN(指数走势!$F$35:$ACK$35))-COLUMN(指数走势!$F$35)+1-760+399)),NA(),IF(INDEX(指数走势!$F$35:$ACK$35,1,LOOKUP(2,1/(指数走势!$F$35:$ACK$35&lt;&gt;""),COLUMN(指数走势!$F$35:$ACK$35))-COLUMN(指数走势!$F$35)+1-760+399)=0,NA(),INDEX(指数走势!$F$35:$ACK$35,1,LOOKUP(2,1/(指数走势!$F$35:$ACK$35&lt;&gt;""),COLUMN(指数走势!$F$35:$ACK$35))-COLUMN(指数走势!$F$35)+1-760+399)))</f>
        <v>12.4348001480103</v>
      </c>
      <c r="OK99">
        <f>IF(ISERROR(INDEX(指数走势!$F$35:$ACK$35,1,LOOKUP(2,1/(指数走势!$F$35:$ACK$35&lt;&gt;""),COLUMN(指数走势!$F$35:$ACK$35))-COLUMN(指数走势!$F$35)+1-760+400)),NA(),IF(INDEX(指数走势!$F$35:$ACK$35,1,LOOKUP(2,1/(指数走势!$F$35:$ACK$35&lt;&gt;""),COLUMN(指数走势!$F$35:$ACK$35))-COLUMN(指数走势!$F$35)+1-760+400)=0,NA(),INDEX(指数走势!$F$35:$ACK$35,1,LOOKUP(2,1/(指数走势!$F$35:$ACK$35&lt;&gt;""),COLUMN(指数走势!$F$35:$ACK$35))-COLUMN(指数走势!$F$35)+1-760+400)))</f>
        <v>12.4074001312256</v>
      </c>
      <c r="OL99">
        <f>IF(ISERROR(INDEX(指数走势!$F$35:$ACK$35,1,LOOKUP(2,1/(指数走势!$F$35:$ACK$35&lt;&gt;""),COLUMN(指数走势!$F$35:$ACK$35))-COLUMN(指数走势!$F$35)+1-760+401)),NA(),IF(INDEX(指数走势!$F$35:$ACK$35,1,LOOKUP(2,1/(指数走势!$F$35:$ACK$35&lt;&gt;""),COLUMN(指数走势!$F$35:$ACK$35))-COLUMN(指数走势!$F$35)+1-760+401)=0,NA(),INDEX(指数走势!$F$35:$ACK$35,1,LOOKUP(2,1/(指数走势!$F$35:$ACK$35&lt;&gt;""),COLUMN(指数走势!$F$35:$ACK$35))-COLUMN(指数走势!$F$35)+1-760+401)))</f>
        <v>12.4753999710083</v>
      </c>
      <c r="OM99">
        <f>IF(ISERROR(INDEX(指数走势!$F$35:$ACK$35,1,LOOKUP(2,1/(指数走势!$F$35:$ACK$35&lt;&gt;""),COLUMN(指数走势!$F$35:$ACK$35))-COLUMN(指数走势!$F$35)+1-760+402)),NA(),IF(INDEX(指数走势!$F$35:$ACK$35,1,LOOKUP(2,1/(指数走势!$F$35:$ACK$35&lt;&gt;""),COLUMN(指数走势!$F$35:$ACK$35))-COLUMN(指数走势!$F$35)+1-760+402)=0,NA(),INDEX(指数走势!$F$35:$ACK$35,1,LOOKUP(2,1/(指数走势!$F$35:$ACK$35&lt;&gt;""),COLUMN(指数走势!$F$35:$ACK$35))-COLUMN(指数走势!$F$35)+1-760+402)))</f>
        <v>12.4877996444702</v>
      </c>
      <c r="ON99">
        <f>IF(ISERROR(INDEX(指数走势!$F$35:$ACK$35,1,LOOKUP(2,1/(指数走势!$F$35:$ACK$35&lt;&gt;""),COLUMN(指数走势!$F$35:$ACK$35))-COLUMN(指数走势!$F$35)+1-760+403)),NA(),IF(INDEX(指数走势!$F$35:$ACK$35,1,LOOKUP(2,1/(指数走势!$F$35:$ACK$35&lt;&gt;""),COLUMN(指数走势!$F$35:$ACK$35))-COLUMN(指数走势!$F$35)+1-760+403)=0,NA(),INDEX(指数走势!$F$35:$ACK$35,1,LOOKUP(2,1/(指数走势!$F$35:$ACK$35&lt;&gt;""),COLUMN(指数走势!$F$35:$ACK$35))-COLUMN(指数走势!$F$35)+1-760+403)))</f>
        <v>12.407600402832</v>
      </c>
      <c r="OO99">
        <f>IF(ISERROR(INDEX(指数走势!$F$35:$ACK$35,1,LOOKUP(2,1/(指数走势!$F$35:$ACK$35&lt;&gt;""),COLUMN(指数走势!$F$35:$ACK$35))-COLUMN(指数走势!$F$35)+1-760+404)),NA(),IF(INDEX(指数走势!$F$35:$ACK$35,1,LOOKUP(2,1/(指数走势!$F$35:$ACK$35&lt;&gt;""),COLUMN(指数走势!$F$35:$ACK$35))-COLUMN(指数走势!$F$35)+1-760+404)=0,NA(),INDEX(指数走势!$F$35:$ACK$35,1,LOOKUP(2,1/(指数走势!$F$35:$ACK$35&lt;&gt;""),COLUMN(指数走势!$F$35:$ACK$35))-COLUMN(指数走势!$F$35)+1-760+404)))</f>
        <v>12.2568998336792</v>
      </c>
      <c r="OP99">
        <f>IF(ISERROR(INDEX(指数走势!$F$35:$ACK$35,1,LOOKUP(2,1/(指数走势!$F$35:$ACK$35&lt;&gt;""),COLUMN(指数走势!$F$35:$ACK$35))-COLUMN(指数走势!$F$35)+1-760+405)),NA(),IF(INDEX(指数走势!$F$35:$ACK$35,1,LOOKUP(2,1/(指数走势!$F$35:$ACK$35&lt;&gt;""),COLUMN(指数走势!$F$35:$ACK$35))-COLUMN(指数走势!$F$35)+1-760+405)=0,NA(),INDEX(指数走势!$F$35:$ACK$35,1,LOOKUP(2,1/(指数走势!$F$35:$ACK$35&lt;&gt;""),COLUMN(指数走势!$F$35:$ACK$35))-COLUMN(指数走势!$F$35)+1-760+405)))</f>
        <v>12.2103004455566</v>
      </c>
      <c r="OQ99">
        <f>IF(ISERROR(INDEX(指数走势!$F$35:$ACK$35,1,LOOKUP(2,1/(指数走势!$F$35:$ACK$35&lt;&gt;""),COLUMN(指数走势!$F$35:$ACK$35))-COLUMN(指数走势!$F$35)+1-760+406)),NA(),IF(INDEX(指数走势!$F$35:$ACK$35,1,LOOKUP(2,1/(指数走势!$F$35:$ACK$35&lt;&gt;""),COLUMN(指数走势!$F$35:$ACK$35))-COLUMN(指数走势!$F$35)+1-760+406)=0,NA(),INDEX(指数走势!$F$35:$ACK$35,1,LOOKUP(2,1/(指数走势!$F$35:$ACK$35&lt;&gt;""),COLUMN(指数走势!$F$35:$ACK$35))-COLUMN(指数走势!$F$35)+1-760+406)))</f>
        <v>12.4651002883911</v>
      </c>
      <c r="OR99">
        <f>IF(ISERROR(INDEX(指数走势!$F$35:$ACK$35,1,LOOKUP(2,1/(指数走势!$F$35:$ACK$35&lt;&gt;""),COLUMN(指数走势!$F$35:$ACK$35))-COLUMN(指数走势!$F$35)+1-760+407)),NA(),IF(INDEX(指数走势!$F$35:$ACK$35,1,LOOKUP(2,1/(指数走势!$F$35:$ACK$35&lt;&gt;""),COLUMN(指数走势!$F$35:$ACK$35))-COLUMN(指数走势!$F$35)+1-760+407)=0,NA(),INDEX(指数走势!$F$35:$ACK$35,1,LOOKUP(2,1/(指数走势!$F$35:$ACK$35&lt;&gt;""),COLUMN(指数走势!$F$35:$ACK$35))-COLUMN(指数走势!$F$35)+1-760+407)))</f>
        <v>12.3985996246338</v>
      </c>
      <c r="OS99">
        <f>IF(ISERROR(INDEX(指数走势!$F$35:$ACK$35,1,LOOKUP(2,1/(指数走势!$F$35:$ACK$35&lt;&gt;""),COLUMN(指数走势!$F$35:$ACK$35))-COLUMN(指数走势!$F$35)+1-760+408)),NA(),IF(INDEX(指数走势!$F$35:$ACK$35,1,LOOKUP(2,1/(指数走势!$F$35:$ACK$35&lt;&gt;""),COLUMN(指数走势!$F$35:$ACK$35))-COLUMN(指数走势!$F$35)+1-760+408)=0,NA(),INDEX(指数走势!$F$35:$ACK$35,1,LOOKUP(2,1/(指数走势!$F$35:$ACK$35&lt;&gt;""),COLUMN(指数走势!$F$35:$ACK$35))-COLUMN(指数走势!$F$35)+1-760+408)))</f>
        <v>12.433500289917</v>
      </c>
      <c r="OT99">
        <f>IF(ISERROR(INDEX(指数走势!$F$35:$ACK$35,1,LOOKUP(2,1/(指数走势!$F$35:$ACK$35&lt;&gt;""),COLUMN(指数走势!$F$35:$ACK$35))-COLUMN(指数走势!$F$35)+1-760+409)),NA(),IF(INDEX(指数走势!$F$35:$ACK$35,1,LOOKUP(2,1/(指数走势!$F$35:$ACK$35&lt;&gt;""),COLUMN(指数走势!$F$35:$ACK$35))-COLUMN(指数走势!$F$35)+1-760+409)=0,NA(),INDEX(指数走势!$F$35:$ACK$35,1,LOOKUP(2,1/(指数走势!$F$35:$ACK$35&lt;&gt;""),COLUMN(指数走势!$F$35:$ACK$35))-COLUMN(指数走势!$F$35)+1-760+409)))</f>
        <v>12.4383001327515</v>
      </c>
      <c r="OU99">
        <f>IF(ISERROR(INDEX(指数走势!$F$35:$ACK$35,1,LOOKUP(2,1/(指数走势!$F$35:$ACK$35&lt;&gt;""),COLUMN(指数走势!$F$35:$ACK$35))-COLUMN(指数走势!$F$35)+1-760+410)),NA(),IF(INDEX(指数走势!$F$35:$ACK$35,1,LOOKUP(2,1/(指数走势!$F$35:$ACK$35&lt;&gt;""),COLUMN(指数走势!$F$35:$ACK$35))-COLUMN(指数走势!$F$35)+1-760+410)=0,NA(),INDEX(指数走势!$F$35:$ACK$35,1,LOOKUP(2,1/(指数走势!$F$35:$ACK$35&lt;&gt;""),COLUMN(指数走势!$F$35:$ACK$35))-COLUMN(指数走势!$F$35)+1-760+410)))</f>
        <v>12.434100151062</v>
      </c>
      <c r="OV99">
        <f>IF(ISERROR(INDEX(指数走势!$F$35:$ACK$35,1,LOOKUP(2,1/(指数走势!$F$35:$ACK$35&lt;&gt;""),COLUMN(指数走势!$F$35:$ACK$35))-COLUMN(指数走势!$F$35)+1-760+411)),NA(),IF(INDEX(指数走势!$F$35:$ACK$35,1,LOOKUP(2,1/(指数走势!$F$35:$ACK$35&lt;&gt;""),COLUMN(指数走势!$F$35:$ACK$35))-COLUMN(指数走势!$F$35)+1-760+411)=0,NA(),INDEX(指数走势!$F$35:$ACK$35,1,LOOKUP(2,1/(指数走势!$F$35:$ACK$35&lt;&gt;""),COLUMN(指数走势!$F$35:$ACK$35))-COLUMN(指数走势!$F$35)+1-760+411)))</f>
        <v>12.4137001037598</v>
      </c>
      <c r="OW99">
        <f>IF(ISERROR(INDEX(指数走势!$F$35:$ACK$35,1,LOOKUP(2,1/(指数走势!$F$35:$ACK$35&lt;&gt;""),COLUMN(指数走势!$F$35:$ACK$35))-COLUMN(指数走势!$F$35)+1-760+412)),NA(),IF(INDEX(指数走势!$F$35:$ACK$35,1,LOOKUP(2,1/(指数走势!$F$35:$ACK$35&lt;&gt;""),COLUMN(指数走势!$F$35:$ACK$35))-COLUMN(指数走势!$F$35)+1-760+412)=0,NA(),INDEX(指数走势!$F$35:$ACK$35,1,LOOKUP(2,1/(指数走势!$F$35:$ACK$35&lt;&gt;""),COLUMN(指数走势!$F$35:$ACK$35))-COLUMN(指数走势!$F$35)+1-760+412)))</f>
        <v>12.2966003417969</v>
      </c>
      <c r="OX99">
        <f>IF(ISERROR(INDEX(指数走势!$F$35:$ACK$35,1,LOOKUP(2,1/(指数走势!$F$35:$ACK$35&lt;&gt;""),COLUMN(指数走势!$F$35:$ACK$35))-COLUMN(指数走势!$F$35)+1-760+413)),NA(),IF(INDEX(指数走势!$F$35:$ACK$35,1,LOOKUP(2,1/(指数走势!$F$35:$ACK$35&lt;&gt;""),COLUMN(指数走势!$F$35:$ACK$35))-COLUMN(指数走势!$F$35)+1-760+413)=0,NA(),INDEX(指数走势!$F$35:$ACK$35,1,LOOKUP(2,1/(指数走势!$F$35:$ACK$35&lt;&gt;""),COLUMN(指数走势!$F$35:$ACK$35))-COLUMN(指数走势!$F$35)+1-760+413)))</f>
        <v>12.382399559021</v>
      </c>
      <c r="OY99">
        <f>IF(ISERROR(INDEX(指数走势!$F$35:$ACK$35,1,LOOKUP(2,1/(指数走势!$F$35:$ACK$35&lt;&gt;""),COLUMN(指数走势!$F$35:$ACK$35))-COLUMN(指数走势!$F$35)+1-760+414)),NA(),IF(INDEX(指数走势!$F$35:$ACK$35,1,LOOKUP(2,1/(指数走势!$F$35:$ACK$35&lt;&gt;""),COLUMN(指数走势!$F$35:$ACK$35))-COLUMN(指数走势!$F$35)+1-760+414)=0,NA(),INDEX(指数走势!$F$35:$ACK$35,1,LOOKUP(2,1/(指数走势!$F$35:$ACK$35&lt;&gt;""),COLUMN(指数走势!$F$35:$ACK$35))-COLUMN(指数走势!$F$35)+1-760+414)))</f>
        <v>12.4282999038696</v>
      </c>
      <c r="OZ99">
        <f>IF(ISERROR(INDEX(指数走势!$F$35:$ACK$35,1,LOOKUP(2,1/(指数走势!$F$35:$ACK$35&lt;&gt;""),COLUMN(指数走势!$F$35:$ACK$35))-COLUMN(指数走势!$F$35)+1-760+415)),NA(),IF(INDEX(指数走势!$F$35:$ACK$35,1,LOOKUP(2,1/(指数走势!$F$35:$ACK$35&lt;&gt;""),COLUMN(指数走势!$F$35:$ACK$35))-COLUMN(指数走势!$F$35)+1-760+415)=0,NA(),INDEX(指数走势!$F$35:$ACK$35,1,LOOKUP(2,1/(指数走势!$F$35:$ACK$35&lt;&gt;""),COLUMN(指数走势!$F$35:$ACK$35))-COLUMN(指数走势!$F$35)+1-760+415)))</f>
        <v>12.4423999786377</v>
      </c>
      <c r="PA99">
        <f>IF(ISERROR(INDEX(指数走势!$F$35:$ACK$35,1,LOOKUP(2,1/(指数走势!$F$35:$ACK$35&lt;&gt;""),COLUMN(指数走势!$F$35:$ACK$35))-COLUMN(指数走势!$F$35)+1-760+416)),NA(),IF(INDEX(指数走势!$F$35:$ACK$35,1,LOOKUP(2,1/(指数走势!$F$35:$ACK$35&lt;&gt;""),COLUMN(指数走势!$F$35:$ACK$35))-COLUMN(指数走势!$F$35)+1-760+416)=0,NA(),INDEX(指数走势!$F$35:$ACK$35,1,LOOKUP(2,1/(指数走势!$F$35:$ACK$35&lt;&gt;""),COLUMN(指数走势!$F$35:$ACK$35))-COLUMN(指数走势!$F$35)+1-760+416)))</f>
        <v>12.3184003829956</v>
      </c>
      <c r="PB99">
        <f>IF(ISERROR(INDEX(指数走势!$F$35:$ACK$35,1,LOOKUP(2,1/(指数走势!$F$35:$ACK$35&lt;&gt;""),COLUMN(指数走势!$F$35:$ACK$35))-COLUMN(指数走势!$F$35)+1-760+417)),NA(),IF(INDEX(指数走势!$F$35:$ACK$35,1,LOOKUP(2,1/(指数走势!$F$35:$ACK$35&lt;&gt;""),COLUMN(指数走势!$F$35:$ACK$35))-COLUMN(指数走势!$F$35)+1-760+417)=0,NA(),INDEX(指数走势!$F$35:$ACK$35,1,LOOKUP(2,1/(指数走势!$F$35:$ACK$35&lt;&gt;""),COLUMN(指数走势!$F$35:$ACK$35))-COLUMN(指数走势!$F$35)+1-760+417)))</f>
        <v>12.4359998703003</v>
      </c>
      <c r="PC99">
        <f>IF(ISERROR(INDEX(指数走势!$F$35:$ACK$35,1,LOOKUP(2,1/(指数走势!$F$35:$ACK$35&lt;&gt;""),COLUMN(指数走势!$F$35:$ACK$35))-COLUMN(指数走势!$F$35)+1-760+418)),NA(),IF(INDEX(指数走势!$F$35:$ACK$35,1,LOOKUP(2,1/(指数走势!$F$35:$ACK$35&lt;&gt;""),COLUMN(指数走势!$F$35:$ACK$35))-COLUMN(指数走势!$F$35)+1-760+418)=0,NA(),INDEX(指数走势!$F$35:$ACK$35,1,LOOKUP(2,1/(指数走势!$F$35:$ACK$35&lt;&gt;""),COLUMN(指数走势!$F$35:$ACK$35))-COLUMN(指数走势!$F$35)+1-760+418)))</f>
        <v>12.5502996444702</v>
      </c>
      <c r="PD99">
        <f>IF(ISERROR(INDEX(指数走势!$F$35:$ACK$35,1,LOOKUP(2,1/(指数走势!$F$35:$ACK$35&lt;&gt;""),COLUMN(指数走势!$F$35:$ACK$35))-COLUMN(指数走势!$F$35)+1-760+419)),NA(),IF(INDEX(指数走势!$F$35:$ACK$35,1,LOOKUP(2,1/(指数走势!$F$35:$ACK$35&lt;&gt;""),COLUMN(指数走势!$F$35:$ACK$35))-COLUMN(指数走势!$F$35)+1-760+419)=0,NA(),INDEX(指数走势!$F$35:$ACK$35,1,LOOKUP(2,1/(指数走势!$F$35:$ACK$35&lt;&gt;""),COLUMN(指数走势!$F$35:$ACK$35))-COLUMN(指数走势!$F$35)+1-760+419)))</f>
        <v>12.5819997787476</v>
      </c>
      <c r="PE99">
        <f>IF(ISERROR(INDEX(指数走势!$F$35:$ACK$35,1,LOOKUP(2,1/(指数走势!$F$35:$ACK$35&lt;&gt;""),COLUMN(指数走势!$F$35:$ACK$35))-COLUMN(指数走势!$F$35)+1-760+420)),NA(),IF(INDEX(指数走势!$F$35:$ACK$35,1,LOOKUP(2,1/(指数走势!$F$35:$ACK$35&lt;&gt;""),COLUMN(指数走势!$F$35:$ACK$35))-COLUMN(指数走势!$F$35)+1-760+420)=0,NA(),INDEX(指数走势!$F$35:$ACK$35,1,LOOKUP(2,1/(指数走势!$F$35:$ACK$35&lt;&gt;""),COLUMN(指数走势!$F$35:$ACK$35))-COLUMN(指数走势!$F$35)+1-760+420)))</f>
        <v>12.5817003250122</v>
      </c>
      <c r="PF99">
        <f>IF(ISERROR(INDEX(指数走势!$F$35:$ACK$35,1,LOOKUP(2,1/(指数走势!$F$35:$ACK$35&lt;&gt;""),COLUMN(指数走势!$F$35:$ACK$35))-COLUMN(指数走势!$F$35)+1-760+421)),NA(),IF(INDEX(指数走势!$F$35:$ACK$35,1,LOOKUP(2,1/(指数走势!$F$35:$ACK$35&lt;&gt;""),COLUMN(指数走势!$F$35:$ACK$35))-COLUMN(指数走势!$F$35)+1-760+421)=0,NA(),INDEX(指数走势!$F$35:$ACK$35,1,LOOKUP(2,1/(指数走势!$F$35:$ACK$35&lt;&gt;""),COLUMN(指数走势!$F$35:$ACK$35))-COLUMN(指数走势!$F$35)+1-760+421)))</f>
        <v>12.684100151062</v>
      </c>
      <c r="PG99">
        <f>IF(ISERROR(INDEX(指数走势!$F$35:$ACK$35,1,LOOKUP(2,1/(指数走势!$F$35:$ACK$35&lt;&gt;""),COLUMN(指数走势!$F$35:$ACK$35))-COLUMN(指数走势!$F$35)+1-760+422)),NA(),IF(INDEX(指数走势!$F$35:$ACK$35,1,LOOKUP(2,1/(指数走势!$F$35:$ACK$35&lt;&gt;""),COLUMN(指数走势!$F$35:$ACK$35))-COLUMN(指数走势!$F$35)+1-760+422)=0,NA(),INDEX(指数走势!$F$35:$ACK$35,1,LOOKUP(2,1/(指数走势!$F$35:$ACK$35&lt;&gt;""),COLUMN(指数走势!$F$35:$ACK$35))-COLUMN(指数走势!$F$35)+1-760+422)))</f>
        <v>12.6554002761841</v>
      </c>
      <c r="PH99">
        <f>IF(ISERROR(INDEX(指数走势!$F$35:$ACK$35,1,LOOKUP(2,1/(指数走势!$F$35:$ACK$35&lt;&gt;""),COLUMN(指数走势!$F$35:$ACK$35))-COLUMN(指数走势!$F$35)+1-760+423)),NA(),IF(INDEX(指数走势!$F$35:$ACK$35,1,LOOKUP(2,1/(指数走势!$F$35:$ACK$35&lt;&gt;""),COLUMN(指数走势!$F$35:$ACK$35))-COLUMN(指数走势!$F$35)+1-760+423)=0,NA(),INDEX(指数走势!$F$35:$ACK$35,1,LOOKUP(2,1/(指数走势!$F$35:$ACK$35&lt;&gt;""),COLUMN(指数走势!$F$35:$ACK$35))-COLUMN(指数走势!$F$35)+1-760+423)))</f>
        <v>12.7430000305176</v>
      </c>
      <c r="PI99">
        <f>IF(ISERROR(INDEX(指数走势!$F$35:$ACK$35,1,LOOKUP(2,1/(指数走势!$F$35:$ACK$35&lt;&gt;""),COLUMN(指数走势!$F$35:$ACK$35))-COLUMN(指数走势!$F$35)+1-760+424)),NA(),IF(INDEX(指数走势!$F$35:$ACK$35,1,LOOKUP(2,1/(指数走势!$F$35:$ACK$35&lt;&gt;""),COLUMN(指数走势!$F$35:$ACK$35))-COLUMN(指数走势!$F$35)+1-760+424)=0,NA(),INDEX(指数走势!$F$35:$ACK$35,1,LOOKUP(2,1/(指数走势!$F$35:$ACK$35&lt;&gt;""),COLUMN(指数走势!$F$35:$ACK$35))-COLUMN(指数走势!$F$35)+1-760+424)))</f>
        <v>12.7622003555298</v>
      </c>
      <c r="PJ99">
        <f>IF(ISERROR(INDEX(指数走势!$F$35:$ACK$35,1,LOOKUP(2,1/(指数走势!$F$35:$ACK$35&lt;&gt;""),COLUMN(指数走势!$F$35:$ACK$35))-COLUMN(指数走势!$F$35)+1-760+425)),NA(),IF(INDEX(指数走势!$F$35:$ACK$35,1,LOOKUP(2,1/(指数走势!$F$35:$ACK$35&lt;&gt;""),COLUMN(指数走势!$F$35:$ACK$35))-COLUMN(指数走势!$F$35)+1-760+425)=0,NA(),INDEX(指数走势!$F$35:$ACK$35,1,LOOKUP(2,1/(指数走势!$F$35:$ACK$35&lt;&gt;""),COLUMN(指数走势!$F$35:$ACK$35))-COLUMN(指数走势!$F$35)+1-760+425)))</f>
        <v>12.6999998092651</v>
      </c>
      <c r="PK99">
        <f>IF(ISERROR(INDEX(指数走势!$F$35:$ACK$35,1,LOOKUP(2,1/(指数走势!$F$35:$ACK$35&lt;&gt;""),COLUMN(指数走势!$F$35:$ACK$35))-COLUMN(指数走势!$F$35)+1-760+426)),NA(),IF(INDEX(指数走势!$F$35:$ACK$35,1,LOOKUP(2,1/(指数走势!$F$35:$ACK$35&lt;&gt;""),COLUMN(指数走势!$F$35:$ACK$35))-COLUMN(指数走势!$F$35)+1-760+426)=0,NA(),INDEX(指数走势!$F$35:$ACK$35,1,LOOKUP(2,1/(指数走势!$F$35:$ACK$35&lt;&gt;""),COLUMN(指数走势!$F$35:$ACK$35))-COLUMN(指数走势!$F$35)+1-760+426)))</f>
        <v>12.7416000366211</v>
      </c>
      <c r="PL99">
        <f>IF(ISERROR(INDEX(指数走势!$F$35:$ACK$35,1,LOOKUP(2,1/(指数走势!$F$35:$ACK$35&lt;&gt;""),COLUMN(指数走势!$F$35:$ACK$35))-COLUMN(指数走势!$F$35)+1-760+427)),NA(),IF(INDEX(指数走势!$F$35:$ACK$35,1,LOOKUP(2,1/(指数走势!$F$35:$ACK$35&lt;&gt;""),COLUMN(指数走势!$F$35:$ACK$35))-COLUMN(指数走势!$F$35)+1-760+427)=0,NA(),INDEX(指数走势!$F$35:$ACK$35,1,LOOKUP(2,1/(指数走势!$F$35:$ACK$35&lt;&gt;""),COLUMN(指数走势!$F$35:$ACK$35))-COLUMN(指数走势!$F$35)+1-760+427)))</f>
        <v>12.7030000686646</v>
      </c>
      <c r="PM99">
        <f>IF(ISERROR(INDEX(指数走势!$F$35:$ACK$35,1,LOOKUP(2,1/(指数走势!$F$35:$ACK$35&lt;&gt;""),COLUMN(指数走势!$F$35:$ACK$35))-COLUMN(指数走势!$F$35)+1-760+428)),NA(),IF(INDEX(指数走势!$F$35:$ACK$35,1,LOOKUP(2,1/(指数走势!$F$35:$ACK$35&lt;&gt;""),COLUMN(指数走势!$F$35:$ACK$35))-COLUMN(指数走势!$F$35)+1-760+428)=0,NA(),INDEX(指数走势!$F$35:$ACK$35,1,LOOKUP(2,1/(指数走势!$F$35:$ACK$35&lt;&gt;""),COLUMN(指数走势!$F$35:$ACK$35))-COLUMN(指数走势!$F$35)+1-760+428)))</f>
        <v>12.8030004501343</v>
      </c>
      <c r="PN99">
        <f>IF(ISERROR(INDEX(指数走势!$F$35:$ACK$35,1,LOOKUP(2,1/(指数走势!$F$35:$ACK$35&lt;&gt;""),COLUMN(指数走势!$F$35:$ACK$35))-COLUMN(指数走势!$F$35)+1-760+429)),NA(),IF(INDEX(指数走势!$F$35:$ACK$35,1,LOOKUP(2,1/(指数走势!$F$35:$ACK$35&lt;&gt;""),COLUMN(指数走势!$F$35:$ACK$35))-COLUMN(指数走势!$F$35)+1-760+429)=0,NA(),INDEX(指数走势!$F$35:$ACK$35,1,LOOKUP(2,1/(指数走势!$F$35:$ACK$35&lt;&gt;""),COLUMN(指数走势!$F$35:$ACK$35))-COLUMN(指数走势!$F$35)+1-760+429)))</f>
        <v>12.7566003799438</v>
      </c>
      <c r="PO99">
        <f>IF(ISERROR(INDEX(指数走势!$F$35:$ACK$35,1,LOOKUP(2,1/(指数走势!$F$35:$ACK$35&lt;&gt;""),COLUMN(指数走势!$F$35:$ACK$35))-COLUMN(指数走势!$F$35)+1-760+430)),NA(),IF(INDEX(指数走势!$F$35:$ACK$35,1,LOOKUP(2,1/(指数走势!$F$35:$ACK$35&lt;&gt;""),COLUMN(指数走势!$F$35:$ACK$35))-COLUMN(指数走势!$F$35)+1-760+430)=0,NA(),INDEX(指数走势!$F$35:$ACK$35,1,LOOKUP(2,1/(指数走势!$F$35:$ACK$35&lt;&gt;""),COLUMN(指数走势!$F$35:$ACK$35))-COLUMN(指数走势!$F$35)+1-760+430)))</f>
        <v>12.611499786377</v>
      </c>
      <c r="PP99">
        <f>IF(ISERROR(INDEX(指数走势!$F$35:$ACK$35,1,LOOKUP(2,1/(指数走势!$F$35:$ACK$35&lt;&gt;""),COLUMN(指数走势!$F$35:$ACK$35))-COLUMN(指数走势!$F$35)+1-760+431)),NA(),IF(INDEX(指数走势!$F$35:$ACK$35,1,LOOKUP(2,1/(指数走势!$F$35:$ACK$35&lt;&gt;""),COLUMN(指数走势!$F$35:$ACK$35))-COLUMN(指数走势!$F$35)+1-760+431)=0,NA(),INDEX(指数走势!$F$35:$ACK$35,1,LOOKUP(2,1/(指数走势!$F$35:$ACK$35&lt;&gt;""),COLUMN(指数走势!$F$35:$ACK$35))-COLUMN(指数走势!$F$35)+1-760+431)))</f>
        <v>12.6946001052856</v>
      </c>
      <c r="PQ99">
        <f>IF(ISERROR(INDEX(指数走势!$F$35:$ACK$35,1,LOOKUP(2,1/(指数走势!$F$35:$ACK$35&lt;&gt;""),COLUMN(指数走势!$F$35:$ACK$35))-COLUMN(指数走势!$F$35)+1-760+432)),NA(),IF(INDEX(指数走势!$F$35:$ACK$35,1,LOOKUP(2,1/(指数走势!$F$35:$ACK$35&lt;&gt;""),COLUMN(指数走势!$F$35:$ACK$35))-COLUMN(指数走势!$F$35)+1-760+432)=0,NA(),INDEX(指数走势!$F$35:$ACK$35,1,LOOKUP(2,1/(指数走势!$F$35:$ACK$35&lt;&gt;""),COLUMN(指数走势!$F$35:$ACK$35))-COLUMN(指数走势!$F$35)+1-760+432)))</f>
        <v>12.7363004684448</v>
      </c>
      <c r="PR99">
        <f>IF(ISERROR(INDEX(指数走势!$F$35:$ACK$35,1,LOOKUP(2,1/(指数走势!$F$35:$ACK$35&lt;&gt;""),COLUMN(指数走势!$F$35:$ACK$35))-COLUMN(指数走势!$F$35)+1-760+433)),NA(),IF(INDEX(指数走势!$F$35:$ACK$35,1,LOOKUP(2,1/(指数走势!$F$35:$ACK$35&lt;&gt;""),COLUMN(指数走势!$F$35:$ACK$35))-COLUMN(指数走势!$F$35)+1-760+433)=0,NA(),INDEX(指数走势!$F$35:$ACK$35,1,LOOKUP(2,1/(指数走势!$F$35:$ACK$35&lt;&gt;""),COLUMN(指数走势!$F$35:$ACK$35))-COLUMN(指数走势!$F$35)+1-760+433)))</f>
        <v>12.5543003082275</v>
      </c>
      <c r="PS99">
        <f>IF(ISERROR(INDEX(指数走势!$F$35:$ACK$35,1,LOOKUP(2,1/(指数走势!$F$35:$ACK$35&lt;&gt;""),COLUMN(指数走势!$F$35:$ACK$35))-COLUMN(指数走势!$F$35)+1-760+434)),NA(),IF(INDEX(指数走势!$F$35:$ACK$35,1,LOOKUP(2,1/(指数走势!$F$35:$ACK$35&lt;&gt;""),COLUMN(指数走势!$F$35:$ACK$35))-COLUMN(指数走势!$F$35)+1-760+434)=0,NA(),INDEX(指数走势!$F$35:$ACK$35,1,LOOKUP(2,1/(指数走势!$F$35:$ACK$35&lt;&gt;""),COLUMN(指数走势!$F$35:$ACK$35))-COLUMN(指数走势!$F$35)+1-760+434)))</f>
        <v>12.5359001159668</v>
      </c>
      <c r="PT99">
        <f>IF(ISERROR(INDEX(指数走势!$F$35:$ACK$35,1,LOOKUP(2,1/(指数走势!$F$35:$ACK$35&lt;&gt;""),COLUMN(指数走势!$F$35:$ACK$35))-COLUMN(指数走势!$F$35)+1-760+435)),NA(),IF(INDEX(指数走势!$F$35:$ACK$35,1,LOOKUP(2,1/(指数走势!$F$35:$ACK$35&lt;&gt;""),COLUMN(指数走势!$F$35:$ACK$35))-COLUMN(指数走势!$F$35)+1-760+435)=0,NA(),INDEX(指数走势!$F$35:$ACK$35,1,LOOKUP(2,1/(指数走势!$F$35:$ACK$35&lt;&gt;""),COLUMN(指数走势!$F$35:$ACK$35))-COLUMN(指数走势!$F$35)+1-760+435)))</f>
        <v>12.4462003707886</v>
      </c>
      <c r="PU99">
        <f>IF(ISERROR(INDEX(指数走势!$F$35:$ACK$35,1,LOOKUP(2,1/(指数走势!$F$35:$ACK$35&lt;&gt;""),COLUMN(指数走势!$F$35:$ACK$35))-COLUMN(指数走势!$F$35)+1-760+436)),NA(),IF(INDEX(指数走势!$F$35:$ACK$35,1,LOOKUP(2,1/(指数走势!$F$35:$ACK$35&lt;&gt;""),COLUMN(指数走势!$F$35:$ACK$35))-COLUMN(指数走势!$F$35)+1-760+436)=0,NA(),INDEX(指数走势!$F$35:$ACK$35,1,LOOKUP(2,1/(指数走势!$F$35:$ACK$35&lt;&gt;""),COLUMN(指数走势!$F$35:$ACK$35))-COLUMN(指数走势!$F$35)+1-760+436)))</f>
        <v>12.5357999801636</v>
      </c>
      <c r="PV99">
        <f>IF(ISERROR(INDEX(指数走势!$F$35:$ACK$35,1,LOOKUP(2,1/(指数走势!$F$35:$ACK$35&lt;&gt;""),COLUMN(指数走势!$F$35:$ACK$35))-COLUMN(指数走势!$F$35)+1-760+437)),NA(),IF(INDEX(指数走势!$F$35:$ACK$35,1,LOOKUP(2,1/(指数走势!$F$35:$ACK$35&lt;&gt;""),COLUMN(指数走势!$F$35:$ACK$35))-COLUMN(指数走势!$F$35)+1-760+437)=0,NA(),INDEX(指数走势!$F$35:$ACK$35,1,LOOKUP(2,1/(指数走势!$F$35:$ACK$35&lt;&gt;""),COLUMN(指数走势!$F$35:$ACK$35))-COLUMN(指数走势!$F$35)+1-760+437)))</f>
        <v>12.6515998840332</v>
      </c>
      <c r="PW99">
        <f>IF(ISERROR(INDEX(指数走势!$F$35:$ACK$35,1,LOOKUP(2,1/(指数走势!$F$35:$ACK$35&lt;&gt;""),COLUMN(指数走势!$F$35:$ACK$35))-COLUMN(指数走势!$F$35)+1-760+438)),NA(),IF(INDEX(指数走势!$F$35:$ACK$35,1,LOOKUP(2,1/(指数走势!$F$35:$ACK$35&lt;&gt;""),COLUMN(指数走势!$F$35:$ACK$35))-COLUMN(指数走势!$F$35)+1-760+438)=0,NA(),INDEX(指数走势!$F$35:$ACK$35,1,LOOKUP(2,1/(指数走势!$F$35:$ACK$35&lt;&gt;""),COLUMN(指数走势!$F$35:$ACK$35))-COLUMN(指数走势!$F$35)+1-760+438)))</f>
        <v>12.6217002868652</v>
      </c>
      <c r="PX99">
        <f>IF(ISERROR(INDEX(指数走势!$F$35:$ACK$35,1,LOOKUP(2,1/(指数走势!$F$35:$ACK$35&lt;&gt;""),COLUMN(指数走势!$F$35:$ACK$35))-COLUMN(指数走势!$F$35)+1-760+439)),NA(),IF(INDEX(指数走势!$F$35:$ACK$35,1,LOOKUP(2,1/(指数走势!$F$35:$ACK$35&lt;&gt;""),COLUMN(指数走势!$F$35:$ACK$35))-COLUMN(指数走势!$F$35)+1-760+439)=0,NA(),INDEX(指数走势!$F$35:$ACK$35,1,LOOKUP(2,1/(指数走势!$F$35:$ACK$35&lt;&gt;""),COLUMN(指数走势!$F$35:$ACK$35))-COLUMN(指数走势!$F$35)+1-760+439)))</f>
        <v>12.5548000335693</v>
      </c>
      <c r="PY99">
        <f>IF(ISERROR(INDEX(指数走势!$F$35:$ACK$35,1,LOOKUP(2,1/(指数走势!$F$35:$ACK$35&lt;&gt;""),COLUMN(指数走势!$F$35:$ACK$35))-COLUMN(指数走势!$F$35)+1-760+440)),NA(),IF(INDEX(指数走势!$F$35:$ACK$35,1,LOOKUP(2,1/(指数走势!$F$35:$ACK$35&lt;&gt;""),COLUMN(指数走势!$F$35:$ACK$35))-COLUMN(指数走势!$F$35)+1-760+440)=0,NA(),INDEX(指数走势!$F$35:$ACK$35,1,LOOKUP(2,1/(指数走势!$F$35:$ACK$35&lt;&gt;""),COLUMN(指数走势!$F$35:$ACK$35))-COLUMN(指数走势!$F$35)+1-760+440)))</f>
        <v>12.6012001037598</v>
      </c>
      <c r="PZ99">
        <f>IF(ISERROR(INDEX(指数走势!$F$35:$ACK$35,1,LOOKUP(2,1/(指数走势!$F$35:$ACK$35&lt;&gt;""),COLUMN(指数走势!$F$35:$ACK$35))-COLUMN(指数走势!$F$35)+1-760+441)),NA(),IF(INDEX(指数走势!$F$35:$ACK$35,1,LOOKUP(2,1/(指数走势!$F$35:$ACK$35&lt;&gt;""),COLUMN(指数走势!$F$35:$ACK$35))-COLUMN(指数走势!$F$35)+1-760+441)=0,NA(),INDEX(指数走势!$F$35:$ACK$35,1,LOOKUP(2,1/(指数走势!$F$35:$ACK$35&lt;&gt;""),COLUMN(指数走势!$F$35:$ACK$35))-COLUMN(指数走势!$F$35)+1-760+441)))</f>
        <v>12.5570001602173</v>
      </c>
      <c r="QA99">
        <f>IF(ISERROR(INDEX(指数走势!$F$35:$ACK$35,1,LOOKUP(2,1/(指数走势!$F$35:$ACK$35&lt;&gt;""),COLUMN(指数走势!$F$35:$ACK$35))-COLUMN(指数走势!$F$35)+1-760+442)),NA(),IF(INDEX(指数走势!$F$35:$ACK$35,1,LOOKUP(2,1/(指数走势!$F$35:$ACK$35&lt;&gt;""),COLUMN(指数走势!$F$35:$ACK$35))-COLUMN(指数走势!$F$35)+1-760+442)=0,NA(),INDEX(指数走势!$F$35:$ACK$35,1,LOOKUP(2,1/(指数走势!$F$35:$ACK$35&lt;&gt;""),COLUMN(指数走势!$F$35:$ACK$35))-COLUMN(指数走势!$F$35)+1-760+442)))</f>
        <v>12.5424003601074</v>
      </c>
      <c r="QB99">
        <f>IF(ISERROR(INDEX(指数走势!$F$35:$ACK$35,1,LOOKUP(2,1/(指数走势!$F$35:$ACK$35&lt;&gt;""),COLUMN(指数走势!$F$35:$ACK$35))-COLUMN(指数走势!$F$35)+1-760+443)),NA(),IF(INDEX(指数走势!$F$35:$ACK$35,1,LOOKUP(2,1/(指数走势!$F$35:$ACK$35&lt;&gt;""),COLUMN(指数走势!$F$35:$ACK$35))-COLUMN(指数走势!$F$35)+1-760+443)=0,NA(),INDEX(指数走势!$F$35:$ACK$35,1,LOOKUP(2,1/(指数走势!$F$35:$ACK$35&lt;&gt;""),COLUMN(指数走势!$F$35:$ACK$35))-COLUMN(指数走势!$F$35)+1-760+443)))</f>
        <v>12.8185997009277</v>
      </c>
      <c r="QC99">
        <f>IF(ISERROR(INDEX(指数走势!$F$35:$ACK$35,1,LOOKUP(2,1/(指数走势!$F$35:$ACK$35&lt;&gt;""),COLUMN(指数走势!$F$35:$ACK$35))-COLUMN(指数走势!$F$35)+1-760+444)),NA(),IF(INDEX(指数走势!$F$35:$ACK$35,1,LOOKUP(2,1/(指数走势!$F$35:$ACK$35&lt;&gt;""),COLUMN(指数走势!$F$35:$ACK$35))-COLUMN(指数走势!$F$35)+1-760+444)=0,NA(),INDEX(指数走势!$F$35:$ACK$35,1,LOOKUP(2,1/(指数走势!$F$35:$ACK$35&lt;&gt;""),COLUMN(指数走势!$F$35:$ACK$35))-COLUMN(指数走势!$F$35)+1-760+444)))</f>
        <v>12.8162002563477</v>
      </c>
      <c r="QD99">
        <f>IF(ISERROR(INDEX(指数走势!$F$35:$ACK$35,1,LOOKUP(2,1/(指数走势!$F$35:$ACK$35&lt;&gt;""),COLUMN(指数走势!$F$35:$ACK$35))-COLUMN(指数走势!$F$35)+1-760+445)),NA(),IF(INDEX(指数走势!$F$35:$ACK$35,1,LOOKUP(2,1/(指数走势!$F$35:$ACK$35&lt;&gt;""),COLUMN(指数走势!$F$35:$ACK$35))-COLUMN(指数走势!$F$35)+1-760+445)=0,NA(),INDEX(指数走势!$F$35:$ACK$35,1,LOOKUP(2,1/(指数走势!$F$35:$ACK$35&lt;&gt;""),COLUMN(指数走势!$F$35:$ACK$35))-COLUMN(指数走势!$F$35)+1-760+445)))</f>
        <v>12.8269996643066</v>
      </c>
      <c r="QE99">
        <f>IF(ISERROR(INDEX(指数走势!$F$35:$ACK$35,1,LOOKUP(2,1/(指数走势!$F$35:$ACK$35&lt;&gt;""),COLUMN(指数走势!$F$35:$ACK$35))-COLUMN(指数走势!$F$35)+1-760+446)),NA(),IF(INDEX(指数走势!$F$35:$ACK$35,1,LOOKUP(2,1/(指数走势!$F$35:$ACK$35&lt;&gt;""),COLUMN(指数走势!$F$35:$ACK$35))-COLUMN(指数走势!$F$35)+1-760+446)=0,NA(),INDEX(指数走势!$F$35:$ACK$35,1,LOOKUP(2,1/(指数走势!$F$35:$ACK$35&lt;&gt;""),COLUMN(指数走势!$F$35:$ACK$35))-COLUMN(指数走势!$F$35)+1-760+446)))</f>
        <v>12.8486003875732</v>
      </c>
      <c r="QF99">
        <f>IF(ISERROR(INDEX(指数走势!$F$35:$ACK$35,1,LOOKUP(2,1/(指数走势!$F$35:$ACK$35&lt;&gt;""),COLUMN(指数走势!$F$35:$ACK$35))-COLUMN(指数走势!$F$35)+1-760+447)),NA(),IF(INDEX(指数走势!$F$35:$ACK$35,1,LOOKUP(2,1/(指数走势!$F$35:$ACK$35&lt;&gt;""),COLUMN(指数走势!$F$35:$ACK$35))-COLUMN(指数走势!$F$35)+1-760+447)=0,NA(),INDEX(指数走势!$F$35:$ACK$35,1,LOOKUP(2,1/(指数走势!$F$35:$ACK$35&lt;&gt;""),COLUMN(指数走势!$F$35:$ACK$35))-COLUMN(指数走势!$F$35)+1-760+447)))</f>
        <v>12.7013998031616</v>
      </c>
      <c r="QG99">
        <f>IF(ISERROR(INDEX(指数走势!$F$35:$ACK$35,1,LOOKUP(2,1/(指数走势!$F$35:$ACK$35&lt;&gt;""),COLUMN(指数走势!$F$35:$ACK$35))-COLUMN(指数走势!$F$35)+1-760+448)),NA(),IF(INDEX(指数走势!$F$35:$ACK$35,1,LOOKUP(2,1/(指数走势!$F$35:$ACK$35&lt;&gt;""),COLUMN(指数走势!$F$35:$ACK$35))-COLUMN(指数走势!$F$35)+1-760+448)=0,NA(),INDEX(指数走势!$F$35:$ACK$35,1,LOOKUP(2,1/(指数走势!$F$35:$ACK$35&lt;&gt;""),COLUMN(指数走势!$F$35:$ACK$35))-COLUMN(指数走势!$F$35)+1-760+448)))</f>
        <v>12.5448999404907</v>
      </c>
      <c r="QH99">
        <f>IF(ISERROR(INDEX(指数走势!$F$35:$ACK$35,1,LOOKUP(2,1/(指数走势!$F$35:$ACK$35&lt;&gt;""),COLUMN(指数走势!$F$35:$ACK$35))-COLUMN(指数走势!$F$35)+1-760+449)),NA(),IF(INDEX(指数走势!$F$35:$ACK$35,1,LOOKUP(2,1/(指数走势!$F$35:$ACK$35&lt;&gt;""),COLUMN(指数走势!$F$35:$ACK$35))-COLUMN(指数走势!$F$35)+1-760+449)=0,NA(),INDEX(指数走势!$F$35:$ACK$35,1,LOOKUP(2,1/(指数走势!$F$35:$ACK$35&lt;&gt;""),COLUMN(指数走势!$F$35:$ACK$35))-COLUMN(指数走势!$F$35)+1-760+449)))</f>
        <v>12.5521001815796</v>
      </c>
      <c r="QI99">
        <f>IF(ISERROR(INDEX(指数走势!$F$35:$ACK$35,1,LOOKUP(2,1/(指数走势!$F$35:$ACK$35&lt;&gt;""),COLUMN(指数走势!$F$35:$ACK$35))-COLUMN(指数走势!$F$35)+1-760+450)),NA(),IF(INDEX(指数走势!$F$35:$ACK$35,1,LOOKUP(2,1/(指数走势!$F$35:$ACK$35&lt;&gt;""),COLUMN(指数走势!$F$35:$ACK$35))-COLUMN(指数走势!$F$35)+1-760+450)=0,NA(),INDEX(指数走势!$F$35:$ACK$35,1,LOOKUP(2,1/(指数走势!$F$35:$ACK$35&lt;&gt;""),COLUMN(指数走势!$F$35:$ACK$35))-COLUMN(指数走势!$F$35)+1-760+450)))</f>
        <v>12.546199798584</v>
      </c>
      <c r="QJ99">
        <f>IF(ISERROR(INDEX(指数走势!$F$35:$ACK$35,1,LOOKUP(2,1/(指数走势!$F$35:$ACK$35&lt;&gt;""),COLUMN(指数走势!$F$35:$ACK$35))-COLUMN(指数走势!$F$35)+1-760+451)),NA(),IF(INDEX(指数走势!$F$35:$ACK$35,1,LOOKUP(2,1/(指数走势!$F$35:$ACK$35&lt;&gt;""),COLUMN(指数走势!$F$35:$ACK$35))-COLUMN(指数走势!$F$35)+1-760+451)=0,NA(),INDEX(指数走势!$F$35:$ACK$35,1,LOOKUP(2,1/(指数走势!$F$35:$ACK$35&lt;&gt;""),COLUMN(指数走势!$F$35:$ACK$35))-COLUMN(指数走势!$F$35)+1-760+451)))</f>
        <v>12.5018997192383</v>
      </c>
      <c r="QK99">
        <f>IF(ISERROR(INDEX(指数走势!$F$35:$ACK$35,1,LOOKUP(2,1/(指数走势!$F$35:$ACK$35&lt;&gt;""),COLUMN(指数走势!$F$35:$ACK$35))-COLUMN(指数走势!$F$35)+1-760+452)),NA(),IF(INDEX(指数走势!$F$35:$ACK$35,1,LOOKUP(2,1/(指数走势!$F$35:$ACK$35&lt;&gt;""),COLUMN(指数走势!$F$35:$ACK$35))-COLUMN(指数走势!$F$35)+1-760+452)=0,NA(),INDEX(指数走势!$F$35:$ACK$35,1,LOOKUP(2,1/(指数走势!$F$35:$ACK$35&lt;&gt;""),COLUMN(指数走势!$F$35:$ACK$35))-COLUMN(指数走势!$F$35)+1-760+452)))</f>
        <v>12.5327997207642</v>
      </c>
      <c r="QL99">
        <f>IF(ISERROR(INDEX(指数走势!$F$35:$ACK$35,1,LOOKUP(2,1/(指数走势!$F$35:$ACK$35&lt;&gt;""),COLUMN(指数走势!$F$35:$ACK$35))-COLUMN(指数走势!$F$35)+1-760+453)),NA(),IF(INDEX(指数走势!$F$35:$ACK$35,1,LOOKUP(2,1/(指数走势!$F$35:$ACK$35&lt;&gt;""),COLUMN(指数走势!$F$35:$ACK$35))-COLUMN(指数走势!$F$35)+1-760+453)=0,NA(),INDEX(指数走势!$F$35:$ACK$35,1,LOOKUP(2,1/(指数走势!$F$35:$ACK$35&lt;&gt;""),COLUMN(指数走势!$F$35:$ACK$35))-COLUMN(指数走势!$F$35)+1-760+453)))</f>
        <v>12.434700012207</v>
      </c>
      <c r="QM99">
        <f>IF(ISERROR(INDEX(指数走势!$F$35:$ACK$35,1,LOOKUP(2,1/(指数走势!$F$35:$ACK$35&lt;&gt;""),COLUMN(指数走势!$F$35:$ACK$35))-COLUMN(指数走势!$F$35)+1-760+454)),NA(),IF(INDEX(指数走势!$F$35:$ACK$35,1,LOOKUP(2,1/(指数走势!$F$35:$ACK$35&lt;&gt;""),COLUMN(指数走势!$F$35:$ACK$35))-COLUMN(指数走势!$F$35)+1-760+454)=0,NA(),INDEX(指数走势!$F$35:$ACK$35,1,LOOKUP(2,1/(指数走势!$F$35:$ACK$35&lt;&gt;""),COLUMN(指数走势!$F$35:$ACK$35))-COLUMN(指数走势!$F$35)+1-760+454)))</f>
        <v>12.37619972229</v>
      </c>
      <c r="QN99">
        <f>IF(ISERROR(INDEX(指数走势!$F$35:$ACK$35,1,LOOKUP(2,1/(指数走势!$F$35:$ACK$35&lt;&gt;""),COLUMN(指数走势!$F$35:$ACK$35))-COLUMN(指数走势!$F$35)+1-760+455)),NA(),IF(INDEX(指数走势!$F$35:$ACK$35,1,LOOKUP(2,1/(指数走势!$F$35:$ACK$35&lt;&gt;""),COLUMN(指数走势!$F$35:$ACK$35))-COLUMN(指数走势!$F$35)+1-760+455)=0,NA(),INDEX(指数走势!$F$35:$ACK$35,1,LOOKUP(2,1/(指数走势!$F$35:$ACK$35&lt;&gt;""),COLUMN(指数走势!$F$35:$ACK$35))-COLUMN(指数走势!$F$35)+1-760+455)))</f>
        <v>12.4336996078491</v>
      </c>
      <c r="QO99">
        <f>IF(ISERROR(INDEX(指数走势!$F$35:$ACK$35,1,LOOKUP(2,1/(指数走势!$F$35:$ACK$35&lt;&gt;""),COLUMN(指数走势!$F$35:$ACK$35))-COLUMN(指数走势!$F$35)+1-760+456)),NA(),IF(INDEX(指数走势!$F$35:$ACK$35,1,LOOKUP(2,1/(指数走势!$F$35:$ACK$35&lt;&gt;""),COLUMN(指数走势!$F$35:$ACK$35))-COLUMN(指数走势!$F$35)+1-760+456)=0,NA(),INDEX(指数走势!$F$35:$ACK$35,1,LOOKUP(2,1/(指数走势!$F$35:$ACK$35&lt;&gt;""),COLUMN(指数走势!$F$35:$ACK$35))-COLUMN(指数走势!$F$35)+1-760+456)))</f>
        <v>12.4376001358032</v>
      </c>
      <c r="QP99">
        <f>IF(ISERROR(INDEX(指数走势!$F$35:$ACK$35,1,LOOKUP(2,1/(指数走势!$F$35:$ACK$35&lt;&gt;""),COLUMN(指数走势!$F$35:$ACK$35))-COLUMN(指数走势!$F$35)+1-760+457)),NA(),IF(INDEX(指数走势!$F$35:$ACK$35,1,LOOKUP(2,1/(指数走势!$F$35:$ACK$35&lt;&gt;""),COLUMN(指数走势!$F$35:$ACK$35))-COLUMN(指数走势!$F$35)+1-760+457)=0,NA(),INDEX(指数走势!$F$35:$ACK$35,1,LOOKUP(2,1/(指数走势!$F$35:$ACK$35&lt;&gt;""),COLUMN(指数走势!$F$35:$ACK$35))-COLUMN(指数走势!$F$35)+1-760+457)))</f>
        <v>12.4221000671387</v>
      </c>
      <c r="QQ99">
        <f>IF(ISERROR(INDEX(指数走势!$F$35:$ACK$35,1,LOOKUP(2,1/(指数走势!$F$35:$ACK$35&lt;&gt;""),COLUMN(指数走势!$F$35:$ACK$35))-COLUMN(指数走势!$F$35)+1-760+458)),NA(),IF(INDEX(指数走势!$F$35:$ACK$35,1,LOOKUP(2,1/(指数走势!$F$35:$ACK$35&lt;&gt;""),COLUMN(指数走势!$F$35:$ACK$35))-COLUMN(指数走势!$F$35)+1-760+458)=0,NA(),INDEX(指数走势!$F$35:$ACK$35,1,LOOKUP(2,1/(指数走势!$F$35:$ACK$35&lt;&gt;""),COLUMN(指数走势!$F$35:$ACK$35))-COLUMN(指数走势!$F$35)+1-760+458)))</f>
        <v>11.6708002090454</v>
      </c>
      <c r="QR99">
        <f>IF(ISERROR(INDEX(指数走势!$F$35:$ACK$35,1,LOOKUP(2,1/(指数走势!$F$35:$ACK$35&lt;&gt;""),COLUMN(指数走势!$F$35:$ACK$35))-COLUMN(指数走势!$F$35)+1-760+459)),NA(),IF(INDEX(指数走势!$F$35:$ACK$35,1,LOOKUP(2,1/(指数走势!$F$35:$ACK$35&lt;&gt;""),COLUMN(指数走势!$F$35:$ACK$35))-COLUMN(指数走势!$F$35)+1-760+459)=0,NA(),INDEX(指数走势!$F$35:$ACK$35,1,LOOKUP(2,1/(指数走势!$F$35:$ACK$35&lt;&gt;""),COLUMN(指数走势!$F$35:$ACK$35))-COLUMN(指数走势!$F$35)+1-760+459)))</f>
        <v>11.9029998779297</v>
      </c>
      <c r="QS99">
        <f>IF(ISERROR(INDEX(指数走势!$F$35:$ACK$35,1,LOOKUP(2,1/(指数走势!$F$35:$ACK$35&lt;&gt;""),COLUMN(指数走势!$F$35:$ACK$35))-COLUMN(指数走势!$F$35)+1-760+460)),NA(),IF(INDEX(指数走势!$F$35:$ACK$35,1,LOOKUP(2,1/(指数走势!$F$35:$ACK$35&lt;&gt;""),COLUMN(指数走势!$F$35:$ACK$35))-COLUMN(指数走势!$F$35)+1-760+460)=0,NA(),INDEX(指数走势!$F$35:$ACK$35,1,LOOKUP(2,1/(指数走势!$F$35:$ACK$35&lt;&gt;""),COLUMN(指数走势!$F$35:$ACK$35))-COLUMN(指数走势!$F$35)+1-760+460)))</f>
        <v>11.9692001342773</v>
      </c>
      <c r="QT99">
        <f>IF(ISERROR(INDEX(指数走势!$F$35:$ACK$35,1,LOOKUP(2,1/(指数走势!$F$35:$ACK$35&lt;&gt;""),COLUMN(指数走势!$F$35:$ACK$35))-COLUMN(指数走势!$F$35)+1-760+461)),NA(),IF(INDEX(指数走势!$F$35:$ACK$35,1,LOOKUP(2,1/(指数走势!$F$35:$ACK$35&lt;&gt;""),COLUMN(指数走势!$F$35:$ACK$35))-COLUMN(指数走势!$F$35)+1-760+461)=0,NA(),INDEX(指数走势!$F$35:$ACK$35,1,LOOKUP(2,1/(指数走势!$F$35:$ACK$35&lt;&gt;""),COLUMN(指数走势!$F$35:$ACK$35))-COLUMN(指数走势!$F$35)+1-760+461)))</f>
        <v>12.0675001144409</v>
      </c>
      <c r="QU99">
        <f>IF(ISERROR(INDEX(指数走势!$F$35:$ACK$35,1,LOOKUP(2,1/(指数走势!$F$35:$ACK$35&lt;&gt;""),COLUMN(指数走势!$F$35:$ACK$35))-COLUMN(指数走势!$F$35)+1-760+462)),NA(),IF(INDEX(指数走势!$F$35:$ACK$35,1,LOOKUP(2,1/(指数走势!$F$35:$ACK$35&lt;&gt;""),COLUMN(指数走势!$F$35:$ACK$35))-COLUMN(指数走势!$F$35)+1-760+462)=0,NA(),INDEX(指数走势!$F$35:$ACK$35,1,LOOKUP(2,1/(指数走势!$F$35:$ACK$35&lt;&gt;""),COLUMN(指数走势!$F$35:$ACK$35))-COLUMN(指数走势!$F$35)+1-760+462)))</f>
        <v>12.0907001495361</v>
      </c>
      <c r="QV99">
        <f>IF(ISERROR(INDEX(指数走势!$F$35:$ACK$35,1,LOOKUP(2,1/(指数走势!$F$35:$ACK$35&lt;&gt;""),COLUMN(指数走势!$F$35:$ACK$35))-COLUMN(指数走势!$F$35)+1-760+463)),NA(),IF(INDEX(指数走势!$F$35:$ACK$35,1,LOOKUP(2,1/(指数走势!$F$35:$ACK$35&lt;&gt;""),COLUMN(指数走势!$F$35:$ACK$35))-COLUMN(指数走势!$F$35)+1-760+463)=0,NA(),INDEX(指数走势!$F$35:$ACK$35,1,LOOKUP(2,1/(指数走势!$F$35:$ACK$35&lt;&gt;""),COLUMN(指数走势!$F$35:$ACK$35))-COLUMN(指数走势!$F$35)+1-760+463)))</f>
        <v>12.1405000686646</v>
      </c>
      <c r="QW99">
        <f>IF(ISERROR(INDEX(指数走势!$F$35:$ACK$35,1,LOOKUP(2,1/(指数走势!$F$35:$ACK$35&lt;&gt;""),COLUMN(指数走势!$F$35:$ACK$35))-COLUMN(指数走势!$F$35)+1-760+464)),NA(),IF(INDEX(指数走势!$F$35:$ACK$35,1,LOOKUP(2,1/(指数走势!$F$35:$ACK$35&lt;&gt;""),COLUMN(指数走势!$F$35:$ACK$35))-COLUMN(指数走势!$F$35)+1-760+464)=0,NA(),INDEX(指数走势!$F$35:$ACK$35,1,LOOKUP(2,1/(指数走势!$F$35:$ACK$35&lt;&gt;""),COLUMN(指数走势!$F$35:$ACK$35))-COLUMN(指数走势!$F$35)+1-760+464)))</f>
        <v>12.171799659729</v>
      </c>
      <c r="QX99">
        <f>IF(ISERROR(INDEX(指数走势!$F$35:$ACK$35,1,LOOKUP(2,1/(指数走势!$F$35:$ACK$35&lt;&gt;""),COLUMN(指数走势!$F$35:$ACK$35))-COLUMN(指数走势!$F$35)+1-760+465)),NA(),IF(INDEX(指数走势!$F$35:$ACK$35,1,LOOKUP(2,1/(指数走势!$F$35:$ACK$35&lt;&gt;""),COLUMN(指数走势!$F$35:$ACK$35))-COLUMN(指数走势!$F$35)+1-760+465)=0,NA(),INDEX(指数走势!$F$35:$ACK$35,1,LOOKUP(2,1/(指数走势!$F$35:$ACK$35&lt;&gt;""),COLUMN(指数走势!$F$35:$ACK$35))-COLUMN(指数走势!$F$35)+1-760+465)))</f>
        <v>12.2559995651245</v>
      </c>
      <c r="QY99">
        <f>IF(ISERROR(INDEX(指数走势!$F$35:$ACK$35,1,LOOKUP(2,1/(指数走势!$F$35:$ACK$35&lt;&gt;""),COLUMN(指数走势!$F$35:$ACK$35))-COLUMN(指数走势!$F$35)+1-760+466)),NA(),IF(INDEX(指数走势!$F$35:$ACK$35,1,LOOKUP(2,1/(指数走势!$F$35:$ACK$35&lt;&gt;""),COLUMN(指数走势!$F$35:$ACK$35))-COLUMN(指数走势!$F$35)+1-760+466)=0,NA(),INDEX(指数走势!$F$35:$ACK$35,1,LOOKUP(2,1/(指数走势!$F$35:$ACK$35&lt;&gt;""),COLUMN(指数走势!$F$35:$ACK$35))-COLUMN(指数走势!$F$35)+1-760+466)))</f>
        <v>12.2538995742798</v>
      </c>
      <c r="QZ99">
        <f>IF(ISERROR(INDEX(指数走势!$F$35:$ACK$35,1,LOOKUP(2,1/(指数走势!$F$35:$ACK$35&lt;&gt;""),COLUMN(指数走势!$F$35:$ACK$35))-COLUMN(指数走势!$F$35)+1-760+467)),NA(),IF(INDEX(指数走势!$F$35:$ACK$35,1,LOOKUP(2,1/(指数走势!$F$35:$ACK$35&lt;&gt;""),COLUMN(指数走势!$F$35:$ACK$35))-COLUMN(指数走势!$F$35)+1-760+467)=0,NA(),INDEX(指数走势!$F$35:$ACK$35,1,LOOKUP(2,1/(指数走势!$F$35:$ACK$35&lt;&gt;""),COLUMN(指数走势!$F$35:$ACK$35))-COLUMN(指数走势!$F$35)+1-760+467)))</f>
        <v>12.2632999420166</v>
      </c>
      <c r="RA99">
        <f>IF(ISERROR(INDEX(指数走势!$F$35:$ACK$35,1,LOOKUP(2,1/(指数走势!$F$35:$ACK$35&lt;&gt;""),COLUMN(指数走势!$F$35:$ACK$35))-COLUMN(指数走势!$F$35)+1-760+468)),NA(),IF(INDEX(指数走势!$F$35:$ACK$35,1,LOOKUP(2,1/(指数走势!$F$35:$ACK$35&lt;&gt;""),COLUMN(指数走势!$F$35:$ACK$35))-COLUMN(指数走势!$F$35)+1-760+468)=0,NA(),INDEX(指数走势!$F$35:$ACK$35,1,LOOKUP(2,1/(指数走势!$F$35:$ACK$35&lt;&gt;""),COLUMN(指数走势!$F$35:$ACK$35))-COLUMN(指数走势!$F$35)+1-760+468)))</f>
        <v>12.2489004135132</v>
      </c>
      <c r="RB99">
        <f>IF(ISERROR(INDEX(指数走势!$F$35:$ACK$35,1,LOOKUP(2,1/(指数走势!$F$35:$ACK$35&lt;&gt;""),COLUMN(指数走势!$F$35:$ACK$35))-COLUMN(指数走势!$F$35)+1-760+469)),NA(),IF(INDEX(指数走势!$F$35:$ACK$35,1,LOOKUP(2,1/(指数走势!$F$35:$ACK$35&lt;&gt;""),COLUMN(指数走势!$F$35:$ACK$35))-COLUMN(指数走势!$F$35)+1-760+469)=0,NA(),INDEX(指数走势!$F$35:$ACK$35,1,LOOKUP(2,1/(指数走势!$F$35:$ACK$35&lt;&gt;""),COLUMN(指数走势!$F$35:$ACK$35))-COLUMN(指数走势!$F$35)+1-760+469)))</f>
        <v>12.2931003570557</v>
      </c>
      <c r="RC99">
        <f>IF(ISERROR(INDEX(指数走势!$F$35:$ACK$35,1,LOOKUP(2,1/(指数走势!$F$35:$ACK$35&lt;&gt;""),COLUMN(指数走势!$F$35:$ACK$35))-COLUMN(指数走势!$F$35)+1-760+470)),NA(),IF(INDEX(指数走势!$F$35:$ACK$35,1,LOOKUP(2,1/(指数走势!$F$35:$ACK$35&lt;&gt;""),COLUMN(指数走势!$F$35:$ACK$35))-COLUMN(指数走势!$F$35)+1-760+470)=0,NA(),INDEX(指数走势!$F$35:$ACK$35,1,LOOKUP(2,1/(指数走势!$F$35:$ACK$35&lt;&gt;""),COLUMN(指数走势!$F$35:$ACK$35))-COLUMN(指数走势!$F$35)+1-760+470)))</f>
        <v>12.2686996459961</v>
      </c>
      <c r="RD99">
        <f>IF(ISERROR(INDEX(指数走势!$F$35:$ACK$35,1,LOOKUP(2,1/(指数走势!$F$35:$ACK$35&lt;&gt;""),COLUMN(指数走势!$F$35:$ACK$35))-COLUMN(指数走势!$F$35)+1-760+471)),NA(),IF(INDEX(指数走势!$F$35:$ACK$35,1,LOOKUP(2,1/(指数走势!$F$35:$ACK$35&lt;&gt;""),COLUMN(指数走势!$F$35:$ACK$35))-COLUMN(指数走势!$F$35)+1-760+471)=0,NA(),INDEX(指数走势!$F$35:$ACK$35,1,LOOKUP(2,1/(指数走势!$F$35:$ACK$35&lt;&gt;""),COLUMN(指数走势!$F$35:$ACK$35))-COLUMN(指数走势!$F$35)+1-760+471)))</f>
        <v>12.290599822998</v>
      </c>
      <c r="RE99">
        <f>IF(ISERROR(INDEX(指数走势!$F$35:$ACK$35,1,LOOKUP(2,1/(指数走势!$F$35:$ACK$35&lt;&gt;""),COLUMN(指数走势!$F$35:$ACK$35))-COLUMN(指数走势!$F$35)+1-760+472)),NA(),IF(INDEX(指数走势!$F$35:$ACK$35,1,LOOKUP(2,1/(指数走势!$F$35:$ACK$35&lt;&gt;""),COLUMN(指数走势!$F$35:$ACK$35))-COLUMN(指数走势!$F$35)+1-760+472)=0,NA(),INDEX(指数走势!$F$35:$ACK$35,1,LOOKUP(2,1/(指数走势!$F$35:$ACK$35&lt;&gt;""),COLUMN(指数走势!$F$35:$ACK$35))-COLUMN(指数走势!$F$35)+1-760+472)))</f>
        <v>12.2608995437622</v>
      </c>
      <c r="RF99">
        <f>IF(ISERROR(INDEX(指数走势!$F$35:$ACK$35,1,LOOKUP(2,1/(指数走势!$F$35:$ACK$35&lt;&gt;""),COLUMN(指数走势!$F$35:$ACK$35))-COLUMN(指数走势!$F$35)+1-760+473)),NA(),IF(INDEX(指数走势!$F$35:$ACK$35,1,LOOKUP(2,1/(指数走势!$F$35:$ACK$35&lt;&gt;""),COLUMN(指数走势!$F$35:$ACK$35))-COLUMN(指数走势!$F$35)+1-760+473)=0,NA(),INDEX(指数走势!$F$35:$ACK$35,1,LOOKUP(2,1/(指数走势!$F$35:$ACK$35&lt;&gt;""),COLUMN(指数走势!$F$35:$ACK$35))-COLUMN(指数走势!$F$35)+1-760+473)))</f>
        <v>12.3204002380371</v>
      </c>
      <c r="RG99">
        <f>IF(ISERROR(INDEX(指数走势!$F$35:$ACK$35,1,LOOKUP(2,1/(指数走势!$F$35:$ACK$35&lt;&gt;""),COLUMN(指数走势!$F$35:$ACK$35))-COLUMN(指数走势!$F$35)+1-760+474)),NA(),IF(INDEX(指数走势!$F$35:$ACK$35,1,LOOKUP(2,1/(指数走势!$F$35:$ACK$35&lt;&gt;""),COLUMN(指数走势!$F$35:$ACK$35))-COLUMN(指数走势!$F$35)+1-760+474)=0,NA(),INDEX(指数走势!$F$35:$ACK$35,1,LOOKUP(2,1/(指数走势!$F$35:$ACK$35&lt;&gt;""),COLUMN(指数走势!$F$35:$ACK$35))-COLUMN(指数走势!$F$35)+1-760+474)))</f>
        <v>12.3046998977661</v>
      </c>
      <c r="RH99">
        <f>IF(ISERROR(INDEX(指数走势!$F$35:$ACK$35,1,LOOKUP(2,1/(指数走势!$F$35:$ACK$35&lt;&gt;""),COLUMN(指数走势!$F$35:$ACK$35))-COLUMN(指数走势!$F$35)+1-760+475)),NA(),IF(INDEX(指数走势!$F$35:$ACK$35,1,LOOKUP(2,1/(指数走势!$F$35:$ACK$35&lt;&gt;""),COLUMN(指数走势!$F$35:$ACK$35))-COLUMN(指数走势!$F$35)+1-760+475)=0,NA(),INDEX(指数走势!$F$35:$ACK$35,1,LOOKUP(2,1/(指数走势!$F$35:$ACK$35&lt;&gt;""),COLUMN(指数走势!$F$35:$ACK$35))-COLUMN(指数走势!$F$35)+1-760+475)))</f>
        <v>12.2087001800537</v>
      </c>
      <c r="RI99">
        <f>IF(ISERROR(INDEX(指数走势!$F$35:$ACK$35,1,LOOKUP(2,1/(指数走势!$F$35:$ACK$35&lt;&gt;""),COLUMN(指数走势!$F$35:$ACK$35))-COLUMN(指数走势!$F$35)+1-760+476)),NA(),IF(INDEX(指数走势!$F$35:$ACK$35,1,LOOKUP(2,1/(指数走势!$F$35:$ACK$35&lt;&gt;""),COLUMN(指数走势!$F$35:$ACK$35))-COLUMN(指数走势!$F$35)+1-760+476)=0,NA(),INDEX(指数走势!$F$35:$ACK$35,1,LOOKUP(2,1/(指数走势!$F$35:$ACK$35&lt;&gt;""),COLUMN(指数走势!$F$35:$ACK$35))-COLUMN(指数走势!$F$35)+1-760+476)))</f>
        <v>12.2957000732422</v>
      </c>
      <c r="RJ99">
        <f>IF(ISERROR(INDEX(指数走势!$F$35:$ACK$35,1,LOOKUP(2,1/(指数走势!$F$35:$ACK$35&lt;&gt;""),COLUMN(指数走势!$F$35:$ACK$35))-COLUMN(指数走势!$F$35)+1-760+477)),NA(),IF(INDEX(指数走势!$F$35:$ACK$35,1,LOOKUP(2,1/(指数走势!$F$35:$ACK$35&lt;&gt;""),COLUMN(指数走势!$F$35:$ACK$35))-COLUMN(指数走势!$F$35)+1-760+477)=0,NA(),INDEX(指数走势!$F$35:$ACK$35,1,LOOKUP(2,1/(指数走势!$F$35:$ACK$35&lt;&gt;""),COLUMN(指数走势!$F$35:$ACK$35))-COLUMN(指数走势!$F$35)+1-760+477)))</f>
        <v>12.4081001281738</v>
      </c>
      <c r="RK99">
        <f>IF(ISERROR(INDEX(指数走势!$F$35:$ACK$35,1,LOOKUP(2,1/(指数走势!$F$35:$ACK$35&lt;&gt;""),COLUMN(指数走势!$F$35:$ACK$35))-COLUMN(指数走势!$F$35)+1-760+478)),NA(),IF(INDEX(指数走势!$F$35:$ACK$35,1,LOOKUP(2,1/(指数走势!$F$35:$ACK$35&lt;&gt;""),COLUMN(指数走势!$F$35:$ACK$35))-COLUMN(指数走势!$F$35)+1-760+478)=0,NA(),INDEX(指数走势!$F$35:$ACK$35,1,LOOKUP(2,1/(指数走势!$F$35:$ACK$35&lt;&gt;""),COLUMN(指数走势!$F$35:$ACK$35))-COLUMN(指数走势!$F$35)+1-760+478)))</f>
        <v>12.4450998306274</v>
      </c>
      <c r="RL99">
        <f>IF(ISERROR(INDEX(指数走势!$F$35:$ACK$35,1,LOOKUP(2,1/(指数走势!$F$35:$ACK$35&lt;&gt;""),COLUMN(指数走势!$F$35:$ACK$35))-COLUMN(指数走势!$F$35)+1-760+479)),NA(),IF(INDEX(指数走势!$F$35:$ACK$35,1,LOOKUP(2,1/(指数走势!$F$35:$ACK$35&lt;&gt;""),COLUMN(指数走势!$F$35:$ACK$35))-COLUMN(指数走势!$F$35)+1-760+479)=0,NA(),INDEX(指数走势!$F$35:$ACK$35,1,LOOKUP(2,1/(指数走势!$F$35:$ACK$35&lt;&gt;""),COLUMN(指数走势!$F$35:$ACK$35))-COLUMN(指数走势!$F$35)+1-760+479)))</f>
        <v>12.4390001296997</v>
      </c>
      <c r="RM99">
        <f>IF(ISERROR(INDEX(指数走势!$F$35:$ACK$35,1,LOOKUP(2,1/(指数走势!$F$35:$ACK$35&lt;&gt;""),COLUMN(指数走势!$F$35:$ACK$35))-COLUMN(指数走势!$F$35)+1-760+480)),NA(),IF(INDEX(指数走势!$F$35:$ACK$35,1,LOOKUP(2,1/(指数走势!$F$35:$ACK$35&lt;&gt;""),COLUMN(指数走势!$F$35:$ACK$35))-COLUMN(指数走势!$F$35)+1-760+480)=0,NA(),INDEX(指数走势!$F$35:$ACK$35,1,LOOKUP(2,1/(指数走势!$F$35:$ACK$35&lt;&gt;""),COLUMN(指数走势!$F$35:$ACK$35))-COLUMN(指数走势!$F$35)+1-760+480)))</f>
        <v>12.5362997055054</v>
      </c>
      <c r="RN99">
        <f>IF(ISERROR(INDEX(指数走势!$F$35:$ACK$35,1,LOOKUP(2,1/(指数走势!$F$35:$ACK$35&lt;&gt;""),COLUMN(指数走势!$F$35:$ACK$35))-COLUMN(指数走势!$F$35)+1-760+481)),NA(),IF(INDEX(指数走势!$F$35:$ACK$35,1,LOOKUP(2,1/(指数走势!$F$35:$ACK$35&lt;&gt;""),COLUMN(指数走势!$F$35:$ACK$35))-COLUMN(指数走势!$F$35)+1-760+481)=0,NA(),INDEX(指数走势!$F$35:$ACK$35,1,LOOKUP(2,1/(指数走势!$F$35:$ACK$35&lt;&gt;""),COLUMN(指数走势!$F$35:$ACK$35))-COLUMN(指数走势!$F$35)+1-760+481)))</f>
        <v>12.5712995529175</v>
      </c>
      <c r="RO99">
        <f>IF(ISERROR(INDEX(指数走势!$F$35:$ACK$35,1,LOOKUP(2,1/(指数走势!$F$35:$ACK$35&lt;&gt;""),COLUMN(指数走势!$F$35:$ACK$35))-COLUMN(指数走势!$F$35)+1-760+482)),NA(),IF(INDEX(指数走势!$F$35:$ACK$35,1,LOOKUP(2,1/(指数走势!$F$35:$ACK$35&lt;&gt;""),COLUMN(指数走势!$F$35:$ACK$35))-COLUMN(指数走势!$F$35)+1-760+482)=0,NA(),INDEX(指数走势!$F$35:$ACK$35,1,LOOKUP(2,1/(指数走势!$F$35:$ACK$35&lt;&gt;""),COLUMN(指数走势!$F$35:$ACK$35))-COLUMN(指数走势!$F$35)+1-760+482)))</f>
        <v>12.7193002700806</v>
      </c>
      <c r="RP99">
        <f>IF(ISERROR(INDEX(指数走势!$F$35:$ACK$35,1,LOOKUP(2,1/(指数走势!$F$35:$ACK$35&lt;&gt;""),COLUMN(指数走势!$F$35:$ACK$35))-COLUMN(指数走势!$F$35)+1-760+483)),NA(),IF(INDEX(指数走势!$F$35:$ACK$35,1,LOOKUP(2,1/(指数走势!$F$35:$ACK$35&lt;&gt;""),COLUMN(指数走势!$F$35:$ACK$35))-COLUMN(指数走势!$F$35)+1-760+483)=0,NA(),INDEX(指数走势!$F$35:$ACK$35,1,LOOKUP(2,1/(指数走势!$F$35:$ACK$35&lt;&gt;""),COLUMN(指数走势!$F$35:$ACK$35))-COLUMN(指数走势!$F$35)+1-760+483)))</f>
        <v>12.6352996826172</v>
      </c>
      <c r="RQ99">
        <f>IF(ISERROR(INDEX(指数走势!$F$35:$ACK$35,1,LOOKUP(2,1/(指数走势!$F$35:$ACK$35&lt;&gt;""),COLUMN(指数走势!$F$35:$ACK$35))-COLUMN(指数走势!$F$35)+1-760+484)),NA(),IF(INDEX(指数走势!$F$35:$ACK$35,1,LOOKUP(2,1/(指数走势!$F$35:$ACK$35&lt;&gt;""),COLUMN(指数走势!$F$35:$ACK$35))-COLUMN(指数走势!$F$35)+1-760+484)=0,NA(),INDEX(指数走势!$F$35:$ACK$35,1,LOOKUP(2,1/(指数走势!$F$35:$ACK$35&lt;&gt;""),COLUMN(指数走势!$F$35:$ACK$35))-COLUMN(指数走势!$F$35)+1-760+484)))</f>
        <v>12.5611000061035</v>
      </c>
      <c r="RR99">
        <f>IF(ISERROR(INDEX(指数走势!$F$35:$ACK$35,1,LOOKUP(2,1/(指数走势!$F$35:$ACK$35&lt;&gt;""),COLUMN(指数走势!$F$35:$ACK$35))-COLUMN(指数走势!$F$35)+1-760+485)),NA(),IF(INDEX(指数走势!$F$35:$ACK$35,1,LOOKUP(2,1/(指数走势!$F$35:$ACK$35&lt;&gt;""),COLUMN(指数走势!$F$35:$ACK$35))-COLUMN(指数走势!$F$35)+1-760+485)=0,NA(),INDEX(指数走势!$F$35:$ACK$35,1,LOOKUP(2,1/(指数走势!$F$35:$ACK$35&lt;&gt;""),COLUMN(指数走势!$F$35:$ACK$35))-COLUMN(指数走势!$F$35)+1-760+485)))</f>
        <v>12.5256996154785</v>
      </c>
      <c r="RS99">
        <f>IF(ISERROR(INDEX(指数走势!$F$35:$ACK$35,1,LOOKUP(2,1/(指数走势!$F$35:$ACK$35&lt;&gt;""),COLUMN(指数走势!$F$35:$ACK$35))-COLUMN(指数走势!$F$35)+1-760+486)),NA(),IF(INDEX(指数走势!$F$35:$ACK$35,1,LOOKUP(2,1/(指数走势!$F$35:$ACK$35&lt;&gt;""),COLUMN(指数走势!$F$35:$ACK$35))-COLUMN(指数走势!$F$35)+1-760+486)=0,NA(),INDEX(指数走势!$F$35:$ACK$35,1,LOOKUP(2,1/(指数走势!$F$35:$ACK$35&lt;&gt;""),COLUMN(指数走势!$F$35:$ACK$35))-COLUMN(指数走势!$F$35)+1-760+486)))</f>
        <v>12.5909004211426</v>
      </c>
      <c r="RT99">
        <f>IF(ISERROR(INDEX(指数走势!$F$35:$ACK$35,1,LOOKUP(2,1/(指数走势!$F$35:$ACK$35&lt;&gt;""),COLUMN(指数走势!$F$35:$ACK$35))-COLUMN(指数走势!$F$35)+1-760+487)),NA(),IF(INDEX(指数走势!$F$35:$ACK$35,1,LOOKUP(2,1/(指数走势!$F$35:$ACK$35&lt;&gt;""),COLUMN(指数走势!$F$35:$ACK$35))-COLUMN(指数走势!$F$35)+1-760+487)=0,NA(),INDEX(指数走势!$F$35:$ACK$35,1,LOOKUP(2,1/(指数走势!$F$35:$ACK$35&lt;&gt;""),COLUMN(指数走势!$F$35:$ACK$35))-COLUMN(指数走势!$F$35)+1-760+487)))</f>
        <v>12.6491003036499</v>
      </c>
      <c r="RU99">
        <f>IF(ISERROR(INDEX(指数走势!$F$35:$ACK$35,1,LOOKUP(2,1/(指数走势!$F$35:$ACK$35&lt;&gt;""),COLUMN(指数走势!$F$35:$ACK$35))-COLUMN(指数走势!$F$35)+1-760+488)),NA(),IF(INDEX(指数走势!$F$35:$ACK$35,1,LOOKUP(2,1/(指数走势!$F$35:$ACK$35&lt;&gt;""),COLUMN(指数走势!$F$35:$ACK$35))-COLUMN(指数走势!$F$35)+1-760+488)=0,NA(),INDEX(指数走势!$F$35:$ACK$35,1,LOOKUP(2,1/(指数走势!$F$35:$ACK$35&lt;&gt;""),COLUMN(指数走势!$F$35:$ACK$35))-COLUMN(指数走势!$F$35)+1-760+488)))</f>
        <v>12.6485996246338</v>
      </c>
      <c r="RV99">
        <f>IF(ISERROR(INDEX(指数走势!$F$35:$ACK$35,1,LOOKUP(2,1/(指数走势!$F$35:$ACK$35&lt;&gt;""),COLUMN(指数走势!$F$35:$ACK$35))-COLUMN(指数走势!$F$35)+1-760+489)),NA(),IF(INDEX(指数走势!$F$35:$ACK$35,1,LOOKUP(2,1/(指数走势!$F$35:$ACK$35&lt;&gt;""),COLUMN(指数走势!$F$35:$ACK$35))-COLUMN(指数走势!$F$35)+1-760+489)=0,NA(),INDEX(指数走势!$F$35:$ACK$35,1,LOOKUP(2,1/(指数走势!$F$35:$ACK$35&lt;&gt;""),COLUMN(指数走势!$F$35:$ACK$35))-COLUMN(指数走势!$F$35)+1-760+489)))</f>
        <v>12.546799659729</v>
      </c>
      <c r="RW99">
        <f>IF(ISERROR(INDEX(指数走势!$F$35:$ACK$35,1,LOOKUP(2,1/(指数走势!$F$35:$ACK$35&lt;&gt;""),COLUMN(指数走势!$F$35:$ACK$35))-COLUMN(指数走势!$F$35)+1-760+490)),NA(),IF(INDEX(指数走势!$F$35:$ACK$35,1,LOOKUP(2,1/(指数走势!$F$35:$ACK$35&lt;&gt;""),COLUMN(指数走势!$F$35:$ACK$35))-COLUMN(指数走势!$F$35)+1-760+490)=0,NA(),INDEX(指数走势!$F$35:$ACK$35,1,LOOKUP(2,1/(指数走势!$F$35:$ACK$35&lt;&gt;""),COLUMN(指数走势!$F$35:$ACK$35))-COLUMN(指数走势!$F$35)+1-760+490)))</f>
        <v>12.4877004623413</v>
      </c>
      <c r="RX99">
        <f>IF(ISERROR(INDEX(指数走势!$F$35:$ACK$35,1,LOOKUP(2,1/(指数走势!$F$35:$ACK$35&lt;&gt;""),COLUMN(指数走势!$F$35:$ACK$35))-COLUMN(指数走势!$F$35)+1-760+491)),NA(),IF(INDEX(指数走势!$F$35:$ACK$35,1,LOOKUP(2,1/(指数走势!$F$35:$ACK$35&lt;&gt;""),COLUMN(指数走势!$F$35:$ACK$35))-COLUMN(指数走势!$F$35)+1-760+491)=0,NA(),INDEX(指数走势!$F$35:$ACK$35,1,LOOKUP(2,1/(指数走势!$F$35:$ACK$35&lt;&gt;""),COLUMN(指数走势!$F$35:$ACK$35))-COLUMN(指数走势!$F$35)+1-760+491)))</f>
        <v>12.4516000747681</v>
      </c>
      <c r="RY99">
        <f>IF(ISERROR(INDEX(指数走势!$F$35:$ACK$35,1,LOOKUP(2,1/(指数走势!$F$35:$ACK$35&lt;&gt;""),COLUMN(指数走势!$F$35:$ACK$35))-COLUMN(指数走势!$F$35)+1-760+492)),NA(),IF(INDEX(指数走势!$F$35:$ACK$35,1,LOOKUP(2,1/(指数走势!$F$35:$ACK$35&lt;&gt;""),COLUMN(指数走势!$F$35:$ACK$35))-COLUMN(指数走势!$F$35)+1-760+492)=0,NA(),INDEX(指数走势!$F$35:$ACK$35,1,LOOKUP(2,1/(指数走势!$F$35:$ACK$35&lt;&gt;""),COLUMN(指数走势!$F$35:$ACK$35))-COLUMN(指数走势!$F$35)+1-760+492)))</f>
        <v>12.4428997039795</v>
      </c>
      <c r="RZ99">
        <f>IF(ISERROR(INDEX(指数走势!$F$35:$ACK$35,1,LOOKUP(2,1/(指数走势!$F$35:$ACK$35&lt;&gt;""),COLUMN(指数走势!$F$35:$ACK$35))-COLUMN(指数走势!$F$35)+1-760+493)),NA(),IF(INDEX(指数走势!$F$35:$ACK$35,1,LOOKUP(2,1/(指数走势!$F$35:$ACK$35&lt;&gt;""),COLUMN(指数走势!$F$35:$ACK$35))-COLUMN(指数走势!$F$35)+1-760+493)=0,NA(),INDEX(指数走势!$F$35:$ACK$35,1,LOOKUP(2,1/(指数走势!$F$35:$ACK$35&lt;&gt;""),COLUMN(指数走势!$F$35:$ACK$35))-COLUMN(指数走势!$F$35)+1-760+493)))</f>
        <v>12.4884996414185</v>
      </c>
      <c r="SA99">
        <f>IF(ISERROR(INDEX(指数走势!$F$35:$ACK$35,1,LOOKUP(2,1/(指数走势!$F$35:$ACK$35&lt;&gt;""),COLUMN(指数走势!$F$35:$ACK$35))-COLUMN(指数走势!$F$35)+1-760+494)),NA(),IF(INDEX(指数走势!$F$35:$ACK$35,1,LOOKUP(2,1/(指数走势!$F$35:$ACK$35&lt;&gt;""),COLUMN(指数走势!$F$35:$ACK$35))-COLUMN(指数走势!$F$35)+1-760+494)=0,NA(),INDEX(指数走势!$F$35:$ACK$35,1,LOOKUP(2,1/(指数走势!$F$35:$ACK$35&lt;&gt;""),COLUMN(指数走势!$F$35:$ACK$35))-COLUMN(指数走势!$F$35)+1-760+494)))</f>
        <v>12.4616003036499</v>
      </c>
      <c r="SB99">
        <f>IF(ISERROR(INDEX(指数走势!$F$35:$ACK$35,1,LOOKUP(2,1/(指数走势!$F$35:$ACK$35&lt;&gt;""),COLUMN(指数走势!$F$35:$ACK$35))-COLUMN(指数走势!$F$35)+1-760+495)),NA(),IF(INDEX(指数走势!$F$35:$ACK$35,1,LOOKUP(2,1/(指数走势!$F$35:$ACK$35&lt;&gt;""),COLUMN(指数走势!$F$35:$ACK$35))-COLUMN(指数走势!$F$35)+1-760+495)=0,NA(),INDEX(指数走势!$F$35:$ACK$35,1,LOOKUP(2,1/(指数走势!$F$35:$ACK$35&lt;&gt;""),COLUMN(指数走势!$F$35:$ACK$35))-COLUMN(指数走势!$F$35)+1-760+495)))</f>
        <v>12.5010995864868</v>
      </c>
      <c r="SC99">
        <f>IF(ISERROR(INDEX(指数走势!$F$35:$ACK$35,1,LOOKUP(2,1/(指数走势!$F$35:$ACK$35&lt;&gt;""),COLUMN(指数走势!$F$35:$ACK$35))-COLUMN(指数走势!$F$35)+1-760+496)),NA(),IF(INDEX(指数走势!$F$35:$ACK$35,1,LOOKUP(2,1/(指数走势!$F$35:$ACK$35&lt;&gt;""),COLUMN(指数走势!$F$35:$ACK$35))-COLUMN(指数走势!$F$35)+1-760+496)=0,NA(),INDEX(指数走势!$F$35:$ACK$35,1,LOOKUP(2,1/(指数走势!$F$35:$ACK$35&lt;&gt;""),COLUMN(指数走势!$F$35:$ACK$35))-COLUMN(指数走势!$F$35)+1-760+496)))</f>
        <v>12.5353002548218</v>
      </c>
      <c r="SD99">
        <f>IF(ISERROR(INDEX(指数走势!$F$35:$ACK$35,1,LOOKUP(2,1/(指数走势!$F$35:$ACK$35&lt;&gt;""),COLUMN(指数走势!$F$35:$ACK$35))-COLUMN(指数走势!$F$35)+1-760+497)),NA(),IF(INDEX(指数走势!$F$35:$ACK$35,1,LOOKUP(2,1/(指数走势!$F$35:$ACK$35&lt;&gt;""),COLUMN(指数走势!$F$35:$ACK$35))-COLUMN(指数走势!$F$35)+1-760+497)=0,NA(),INDEX(指数走势!$F$35:$ACK$35,1,LOOKUP(2,1/(指数走势!$F$35:$ACK$35&lt;&gt;""),COLUMN(指数走势!$F$35:$ACK$35))-COLUMN(指数走势!$F$35)+1-760+497)))</f>
        <v>12.5643997192383</v>
      </c>
      <c r="SE99">
        <f>IF(ISERROR(INDEX(指数走势!$F$35:$ACK$35,1,LOOKUP(2,1/(指数走势!$F$35:$ACK$35&lt;&gt;""),COLUMN(指数走势!$F$35:$ACK$35))-COLUMN(指数走势!$F$35)+1-760+498)),NA(),IF(INDEX(指数走势!$F$35:$ACK$35,1,LOOKUP(2,1/(指数走势!$F$35:$ACK$35&lt;&gt;""),COLUMN(指数走势!$F$35:$ACK$35))-COLUMN(指数走势!$F$35)+1-760+498)=0,NA(),INDEX(指数走势!$F$35:$ACK$35,1,LOOKUP(2,1/(指数走势!$F$35:$ACK$35&lt;&gt;""),COLUMN(指数走势!$F$35:$ACK$35))-COLUMN(指数走势!$F$35)+1-760+498)))</f>
        <v>12.5614004135132</v>
      </c>
      <c r="SF99">
        <f>IF(ISERROR(INDEX(指数走势!$F$35:$ACK$35,1,LOOKUP(2,1/(指数走势!$F$35:$ACK$35&lt;&gt;""),COLUMN(指数走势!$F$35:$ACK$35))-COLUMN(指数走势!$F$35)+1-760+499)),NA(),IF(INDEX(指数走势!$F$35:$ACK$35,1,LOOKUP(2,1/(指数走势!$F$35:$ACK$35&lt;&gt;""),COLUMN(指数走势!$F$35:$ACK$35))-COLUMN(指数走势!$F$35)+1-760+499)=0,NA(),INDEX(指数走势!$F$35:$ACK$35,1,LOOKUP(2,1/(指数走势!$F$35:$ACK$35&lt;&gt;""),COLUMN(指数走势!$F$35:$ACK$35))-COLUMN(指数走势!$F$35)+1-760+499)))</f>
        <v>12.5712003707886</v>
      </c>
      <c r="SG99">
        <f>IF(ISERROR(INDEX(指数走势!$F$35:$ACK$35,1,LOOKUP(2,1/(指数走势!$F$35:$ACK$35&lt;&gt;""),COLUMN(指数走势!$F$35:$ACK$35))-COLUMN(指数走势!$F$35)+1-760+500)),NA(),IF(INDEX(指数走势!$F$35:$ACK$35,1,LOOKUP(2,1/(指数走势!$F$35:$ACK$35&lt;&gt;""),COLUMN(指数走势!$F$35:$ACK$35))-COLUMN(指数走势!$F$35)+1-760+500)=0,NA(),INDEX(指数走势!$F$35:$ACK$35,1,LOOKUP(2,1/(指数走势!$F$35:$ACK$35&lt;&gt;""),COLUMN(指数走势!$F$35:$ACK$35))-COLUMN(指数走势!$F$35)+1-760+500)))</f>
        <v>12.5275001525879</v>
      </c>
      <c r="SH99">
        <f>IF(ISERROR(INDEX(指数走势!$F$35:$ACK$35,1,LOOKUP(2,1/(指数走势!$F$35:$ACK$35&lt;&gt;""),COLUMN(指数走势!$F$35:$ACK$35))-COLUMN(指数走势!$F$35)+1-760+501)),NA(),IF(INDEX(指数走势!$F$35:$ACK$35,1,LOOKUP(2,1/(指数走势!$F$35:$ACK$35&lt;&gt;""),COLUMN(指数走势!$F$35:$ACK$35))-COLUMN(指数走势!$F$35)+1-760+501)=0,NA(),INDEX(指数走势!$F$35:$ACK$35,1,LOOKUP(2,1/(指数走势!$F$35:$ACK$35&lt;&gt;""),COLUMN(指数走势!$F$35:$ACK$35))-COLUMN(指数走势!$F$35)+1-760+501)))</f>
        <v>12.8037996292114</v>
      </c>
      <c r="SI99">
        <f>IF(ISERROR(INDEX(指数走势!$F$35:$ACK$35,1,LOOKUP(2,1/(指数走势!$F$35:$ACK$35&lt;&gt;""),COLUMN(指数走势!$F$35:$ACK$35))-COLUMN(指数走势!$F$35)+1-760+502)),NA(),IF(INDEX(指数走势!$F$35:$ACK$35,1,LOOKUP(2,1/(指数走势!$F$35:$ACK$35&lt;&gt;""),COLUMN(指数走势!$F$35:$ACK$35))-COLUMN(指数走势!$F$35)+1-760+502)=0,NA(),INDEX(指数走势!$F$35:$ACK$35,1,LOOKUP(2,1/(指数走势!$F$35:$ACK$35&lt;&gt;""),COLUMN(指数走势!$F$35:$ACK$35))-COLUMN(指数走势!$F$35)+1-760+502)))</f>
        <v>12.7797002792358</v>
      </c>
      <c r="SJ99">
        <f>IF(ISERROR(INDEX(指数走势!$F$35:$ACK$35,1,LOOKUP(2,1/(指数走势!$F$35:$ACK$35&lt;&gt;""),COLUMN(指数走势!$F$35:$ACK$35))-COLUMN(指数走势!$F$35)+1-760+503)),NA(),IF(INDEX(指数走势!$F$35:$ACK$35,1,LOOKUP(2,1/(指数走势!$F$35:$ACK$35&lt;&gt;""),COLUMN(指数走势!$F$35:$ACK$35))-COLUMN(指数走势!$F$35)+1-760+503)=0,NA(),INDEX(指数走势!$F$35:$ACK$35,1,LOOKUP(2,1/(指数走势!$F$35:$ACK$35&lt;&gt;""),COLUMN(指数走势!$F$35:$ACK$35))-COLUMN(指数走势!$F$35)+1-760+503)))</f>
        <v>12.7194995880127</v>
      </c>
      <c r="SK99">
        <f>IF(ISERROR(INDEX(指数走势!$F$35:$ACK$35,1,LOOKUP(2,1/(指数走势!$F$35:$ACK$35&lt;&gt;""),COLUMN(指数走势!$F$35:$ACK$35))-COLUMN(指数走势!$F$35)+1-760+504)),NA(),IF(INDEX(指数走势!$F$35:$ACK$35,1,LOOKUP(2,1/(指数走势!$F$35:$ACK$35&lt;&gt;""),COLUMN(指数走势!$F$35:$ACK$35))-COLUMN(指数走势!$F$35)+1-760+504)=0,NA(),INDEX(指数走势!$F$35:$ACK$35,1,LOOKUP(2,1/(指数走势!$F$35:$ACK$35&lt;&gt;""),COLUMN(指数走势!$F$35:$ACK$35))-COLUMN(指数走势!$F$35)+1-760+504)))</f>
        <v>12.7786998748779</v>
      </c>
      <c r="SL99">
        <f>IF(ISERROR(INDEX(指数走势!$F$35:$ACK$35,1,LOOKUP(2,1/(指数走势!$F$35:$ACK$35&lt;&gt;""),COLUMN(指数走势!$F$35:$ACK$35))-COLUMN(指数走势!$F$35)+1-760+505)),NA(),IF(INDEX(指数走势!$F$35:$ACK$35,1,LOOKUP(2,1/(指数走势!$F$35:$ACK$35&lt;&gt;""),COLUMN(指数走势!$F$35:$ACK$35))-COLUMN(指数走势!$F$35)+1-760+505)=0,NA(),INDEX(指数走势!$F$35:$ACK$35,1,LOOKUP(2,1/(指数走势!$F$35:$ACK$35&lt;&gt;""),COLUMN(指数走势!$F$35:$ACK$35))-COLUMN(指数走势!$F$35)+1-760+505)))</f>
        <v>12.7818002700806</v>
      </c>
      <c r="SM99">
        <f>IF(ISERROR(INDEX(指数走势!$F$35:$ACK$35,1,LOOKUP(2,1/(指数走势!$F$35:$ACK$35&lt;&gt;""),COLUMN(指数走势!$F$35:$ACK$35))-COLUMN(指数走势!$F$35)+1-760+506)),NA(),IF(INDEX(指数走势!$F$35:$ACK$35,1,LOOKUP(2,1/(指数走势!$F$35:$ACK$35&lt;&gt;""),COLUMN(指数走势!$F$35:$ACK$35))-COLUMN(指数走势!$F$35)+1-760+506)=0,NA(),INDEX(指数走势!$F$35:$ACK$35,1,LOOKUP(2,1/(指数走势!$F$35:$ACK$35&lt;&gt;""),COLUMN(指数走势!$F$35:$ACK$35))-COLUMN(指数走势!$F$35)+1-760+506)))</f>
        <v>12.8156003952026</v>
      </c>
      <c r="SN99">
        <f>IF(ISERROR(INDEX(指数走势!$F$35:$ACK$35,1,LOOKUP(2,1/(指数走势!$F$35:$ACK$35&lt;&gt;""),COLUMN(指数走势!$F$35:$ACK$35))-COLUMN(指数走势!$F$35)+1-760+507)),NA(),IF(INDEX(指数走势!$F$35:$ACK$35,1,LOOKUP(2,1/(指数走势!$F$35:$ACK$35&lt;&gt;""),COLUMN(指数走势!$F$35:$ACK$35))-COLUMN(指数走势!$F$35)+1-760+507)=0,NA(),INDEX(指数走势!$F$35:$ACK$35,1,LOOKUP(2,1/(指数走势!$F$35:$ACK$35&lt;&gt;""),COLUMN(指数走势!$F$35:$ACK$35))-COLUMN(指数走势!$F$35)+1-760+507)))</f>
        <v>12.7975997924805</v>
      </c>
      <c r="SO99">
        <f>IF(ISERROR(INDEX(指数走势!$F$35:$ACK$35,1,LOOKUP(2,1/(指数走势!$F$35:$ACK$35&lt;&gt;""),COLUMN(指数走势!$F$35:$ACK$35))-COLUMN(指数走势!$F$35)+1-760+508)),NA(),IF(INDEX(指数走势!$F$35:$ACK$35,1,LOOKUP(2,1/(指数走势!$F$35:$ACK$35&lt;&gt;""),COLUMN(指数走势!$F$35:$ACK$35))-COLUMN(指数走势!$F$35)+1-760+508)=0,NA(),INDEX(指数走势!$F$35:$ACK$35,1,LOOKUP(2,1/(指数走势!$F$35:$ACK$35&lt;&gt;""),COLUMN(指数走势!$F$35:$ACK$35))-COLUMN(指数走势!$F$35)+1-760+508)))</f>
        <v>12.8261995315552</v>
      </c>
      <c r="SP99">
        <f>IF(ISERROR(INDEX(指数走势!$F$35:$ACK$35,1,LOOKUP(2,1/(指数走势!$F$35:$ACK$35&lt;&gt;""),COLUMN(指数走势!$F$35:$ACK$35))-COLUMN(指数走势!$F$35)+1-760+509)),NA(),IF(INDEX(指数走势!$F$35:$ACK$35,1,LOOKUP(2,1/(指数走势!$F$35:$ACK$35&lt;&gt;""),COLUMN(指数走势!$F$35:$ACK$35))-COLUMN(指数走势!$F$35)+1-760+509)=0,NA(),INDEX(指数走势!$F$35:$ACK$35,1,LOOKUP(2,1/(指数走势!$F$35:$ACK$35&lt;&gt;""),COLUMN(指数走势!$F$35:$ACK$35))-COLUMN(指数走势!$F$35)+1-760+509)))</f>
        <v>12.90149974823</v>
      </c>
      <c r="SQ99">
        <f>IF(ISERROR(INDEX(指数走势!$F$35:$ACK$35,1,LOOKUP(2,1/(指数走势!$F$35:$ACK$35&lt;&gt;""),COLUMN(指数走势!$F$35:$ACK$35))-COLUMN(指数走势!$F$35)+1-760+510)),NA(),IF(INDEX(指数走势!$F$35:$ACK$35,1,LOOKUP(2,1/(指数走势!$F$35:$ACK$35&lt;&gt;""),COLUMN(指数走势!$F$35:$ACK$35))-COLUMN(指数走势!$F$35)+1-760+510)=0,NA(),INDEX(指数走势!$F$35:$ACK$35,1,LOOKUP(2,1/(指数走势!$F$35:$ACK$35&lt;&gt;""),COLUMN(指数走势!$F$35:$ACK$35))-COLUMN(指数走势!$F$35)+1-760+510)))</f>
        <v>13.0250997543335</v>
      </c>
      <c r="SR99">
        <f>IF(ISERROR(INDEX(指数走势!$F$35:$ACK$35,1,LOOKUP(2,1/(指数走势!$F$35:$ACK$35&lt;&gt;""),COLUMN(指数走势!$F$35:$ACK$35))-COLUMN(指数走势!$F$35)+1-760+511)),NA(),IF(INDEX(指数走势!$F$35:$ACK$35,1,LOOKUP(2,1/(指数走势!$F$35:$ACK$35&lt;&gt;""),COLUMN(指数走势!$F$35:$ACK$35))-COLUMN(指数走势!$F$35)+1-760+511)=0,NA(),INDEX(指数走势!$F$35:$ACK$35,1,LOOKUP(2,1/(指数走势!$F$35:$ACK$35&lt;&gt;""),COLUMN(指数走势!$F$35:$ACK$35))-COLUMN(指数走势!$F$35)+1-760+511)))</f>
        <v>13.1709003448486</v>
      </c>
      <c r="SS99">
        <f>IF(ISERROR(INDEX(指数走势!$F$35:$ACK$35,1,LOOKUP(2,1/(指数走势!$F$35:$ACK$35&lt;&gt;""),COLUMN(指数走势!$F$35:$ACK$35))-COLUMN(指数走势!$F$35)+1-760+512)),NA(),IF(INDEX(指数走势!$F$35:$ACK$35,1,LOOKUP(2,1/(指数走势!$F$35:$ACK$35&lt;&gt;""),COLUMN(指数走势!$F$35:$ACK$35))-COLUMN(指数走势!$F$35)+1-760+512)=0,NA(),INDEX(指数走势!$F$35:$ACK$35,1,LOOKUP(2,1/(指数走势!$F$35:$ACK$35&lt;&gt;""),COLUMN(指数走势!$F$35:$ACK$35))-COLUMN(指数走势!$F$35)+1-760+512)))</f>
        <v>13.1642999649048</v>
      </c>
      <c r="ST99">
        <f>IF(ISERROR(INDEX(指数走势!$F$35:$ACK$35,1,LOOKUP(2,1/(指数走势!$F$35:$ACK$35&lt;&gt;""),COLUMN(指数走势!$F$35:$ACK$35))-COLUMN(指数走势!$F$35)+1-760+513)),NA(),IF(INDEX(指数走势!$F$35:$ACK$35,1,LOOKUP(2,1/(指数走势!$F$35:$ACK$35&lt;&gt;""),COLUMN(指数走势!$F$35:$ACK$35))-COLUMN(指数走势!$F$35)+1-760+513)=0,NA(),INDEX(指数走势!$F$35:$ACK$35,1,LOOKUP(2,1/(指数走势!$F$35:$ACK$35&lt;&gt;""),COLUMN(指数走势!$F$35:$ACK$35))-COLUMN(指数走势!$F$35)+1-760+513)))</f>
        <v>13.0223999023437</v>
      </c>
      <c r="SU99">
        <f>IF(ISERROR(INDEX(指数走势!$F$35:$ACK$35,1,LOOKUP(2,1/(指数走势!$F$35:$ACK$35&lt;&gt;""),COLUMN(指数走势!$F$35:$ACK$35))-COLUMN(指数走势!$F$35)+1-760+514)),NA(),IF(INDEX(指数走势!$F$35:$ACK$35,1,LOOKUP(2,1/(指数走势!$F$35:$ACK$35&lt;&gt;""),COLUMN(指数走势!$F$35:$ACK$35))-COLUMN(指数走势!$F$35)+1-760+514)=0,NA(),INDEX(指数走势!$F$35:$ACK$35,1,LOOKUP(2,1/(指数走势!$F$35:$ACK$35&lt;&gt;""),COLUMN(指数走势!$F$35:$ACK$35))-COLUMN(指数走势!$F$35)+1-760+514)))</f>
        <v>13.065899848938</v>
      </c>
      <c r="SV99">
        <f>IF(ISERROR(INDEX(指数走势!$F$35:$ACK$35,1,LOOKUP(2,1/(指数走势!$F$35:$ACK$35&lt;&gt;""),COLUMN(指数走势!$F$35:$ACK$35))-COLUMN(指数走势!$F$35)+1-760+515)),NA(),IF(INDEX(指数走势!$F$35:$ACK$35,1,LOOKUP(2,1/(指数走势!$F$35:$ACK$35&lt;&gt;""),COLUMN(指数走势!$F$35:$ACK$35))-COLUMN(指数走势!$F$35)+1-760+515)=0,NA(),INDEX(指数走势!$F$35:$ACK$35,1,LOOKUP(2,1/(指数走势!$F$35:$ACK$35&lt;&gt;""),COLUMN(指数走势!$F$35:$ACK$35))-COLUMN(指数走势!$F$35)+1-760+515)))</f>
        <v>13.1154003143311</v>
      </c>
      <c r="SW99">
        <f>IF(ISERROR(INDEX(指数走势!$F$35:$ACK$35,1,LOOKUP(2,1/(指数走势!$F$35:$ACK$35&lt;&gt;""),COLUMN(指数走势!$F$35:$ACK$35))-COLUMN(指数走势!$F$35)+1-760+516)),NA(),IF(INDEX(指数走势!$F$35:$ACK$35,1,LOOKUP(2,1/(指数走势!$F$35:$ACK$35&lt;&gt;""),COLUMN(指数走势!$F$35:$ACK$35))-COLUMN(指数走势!$F$35)+1-760+516)=0,NA(),INDEX(指数走势!$F$35:$ACK$35,1,LOOKUP(2,1/(指数走势!$F$35:$ACK$35&lt;&gt;""),COLUMN(指数走势!$F$35:$ACK$35))-COLUMN(指数走势!$F$35)+1-760+516)))</f>
        <v>13.1225004196167</v>
      </c>
      <c r="SX99">
        <f>IF(ISERROR(INDEX(指数走势!$F$35:$ACK$35,1,LOOKUP(2,1/(指数走势!$F$35:$ACK$35&lt;&gt;""),COLUMN(指数走势!$F$35:$ACK$35))-COLUMN(指数走势!$F$35)+1-760+517)),NA(),IF(INDEX(指数走势!$F$35:$ACK$35,1,LOOKUP(2,1/(指数走势!$F$35:$ACK$35&lt;&gt;""),COLUMN(指数走势!$F$35:$ACK$35))-COLUMN(指数走势!$F$35)+1-760+517)=0,NA(),INDEX(指数走势!$F$35:$ACK$35,1,LOOKUP(2,1/(指数走势!$F$35:$ACK$35&lt;&gt;""),COLUMN(指数走势!$F$35:$ACK$35))-COLUMN(指数走势!$F$35)+1-760+517)))</f>
        <v>13.1583003997803</v>
      </c>
      <c r="SY99">
        <f>IF(ISERROR(INDEX(指数走势!$F$35:$ACK$35,1,LOOKUP(2,1/(指数走势!$F$35:$ACK$35&lt;&gt;""),COLUMN(指数走势!$F$35:$ACK$35))-COLUMN(指数走势!$F$35)+1-760+518)),NA(),IF(INDEX(指数走势!$F$35:$ACK$35,1,LOOKUP(2,1/(指数走势!$F$35:$ACK$35&lt;&gt;""),COLUMN(指数走势!$F$35:$ACK$35))-COLUMN(指数走势!$F$35)+1-760+518)=0,NA(),INDEX(指数走势!$F$35:$ACK$35,1,LOOKUP(2,1/(指数走势!$F$35:$ACK$35&lt;&gt;""),COLUMN(指数走势!$F$35:$ACK$35))-COLUMN(指数走势!$F$35)+1-760+518)))</f>
        <v>13.2299995422363</v>
      </c>
      <c r="SZ99">
        <f>IF(ISERROR(INDEX(指数走势!$F$35:$ACK$35,1,LOOKUP(2,1/(指数走势!$F$35:$ACK$35&lt;&gt;""),COLUMN(指数走势!$F$35:$ACK$35))-COLUMN(指数走势!$F$35)+1-760+519)),NA(),IF(INDEX(指数走势!$F$35:$ACK$35,1,LOOKUP(2,1/(指数走势!$F$35:$ACK$35&lt;&gt;""),COLUMN(指数走势!$F$35:$ACK$35))-COLUMN(指数走势!$F$35)+1-760+519)=0,NA(),INDEX(指数走势!$F$35:$ACK$35,1,LOOKUP(2,1/(指数走势!$F$35:$ACK$35&lt;&gt;""),COLUMN(指数走势!$F$35:$ACK$35))-COLUMN(指数走势!$F$35)+1-760+519)))</f>
        <v>13.1865997314453</v>
      </c>
      <c r="TA99">
        <f>IF(ISERROR(INDEX(指数走势!$F$35:$ACK$35,1,LOOKUP(2,1/(指数走势!$F$35:$ACK$35&lt;&gt;""),COLUMN(指数走势!$F$35:$ACK$35))-COLUMN(指数走势!$F$35)+1-760+520)),NA(),IF(INDEX(指数走势!$F$35:$ACK$35,1,LOOKUP(2,1/(指数走势!$F$35:$ACK$35&lt;&gt;""),COLUMN(指数走势!$F$35:$ACK$35))-COLUMN(指数走势!$F$35)+1-760+520)=0,NA(),INDEX(指数走势!$F$35:$ACK$35,1,LOOKUP(2,1/(指数走势!$F$35:$ACK$35&lt;&gt;""),COLUMN(指数走势!$F$35:$ACK$35))-COLUMN(指数走势!$F$35)+1-760+520)))</f>
        <v>13.262900352478</v>
      </c>
      <c r="TB99">
        <f>IF(ISERROR(INDEX(指数走势!$F$35:$ACK$35,1,LOOKUP(2,1/(指数走势!$F$35:$ACK$35&lt;&gt;""),COLUMN(指数走势!$F$35:$ACK$35))-COLUMN(指数走势!$F$35)+1-760+521)),NA(),IF(INDEX(指数走势!$F$35:$ACK$35,1,LOOKUP(2,1/(指数走势!$F$35:$ACK$35&lt;&gt;""),COLUMN(指数走势!$F$35:$ACK$35))-COLUMN(指数走势!$F$35)+1-760+521)=0,NA(),INDEX(指数走势!$F$35:$ACK$35,1,LOOKUP(2,1/(指数走势!$F$35:$ACK$35&lt;&gt;""),COLUMN(指数走势!$F$35:$ACK$35))-COLUMN(指数走势!$F$35)+1-760+521)))</f>
        <v>13.2666997909546</v>
      </c>
      <c r="TC99">
        <f>IF(ISERROR(INDEX(指数走势!$F$35:$ACK$35,1,LOOKUP(2,1/(指数走势!$F$35:$ACK$35&lt;&gt;""),COLUMN(指数走势!$F$35:$ACK$35))-COLUMN(指数走势!$F$35)+1-760+522)),NA(),IF(INDEX(指数走势!$F$35:$ACK$35,1,LOOKUP(2,1/(指数走势!$F$35:$ACK$35&lt;&gt;""),COLUMN(指数走势!$F$35:$ACK$35))-COLUMN(指数走势!$F$35)+1-760+522)=0,NA(),INDEX(指数走势!$F$35:$ACK$35,1,LOOKUP(2,1/(指数走势!$F$35:$ACK$35&lt;&gt;""),COLUMN(指数走势!$F$35:$ACK$35))-COLUMN(指数走势!$F$35)+1-760+522)))</f>
        <v>13.3386001586914</v>
      </c>
      <c r="TD99">
        <f>IF(ISERROR(INDEX(指数走势!$F$35:$ACK$35,1,LOOKUP(2,1/(指数走势!$F$35:$ACK$35&lt;&gt;""),COLUMN(指数走势!$F$35:$ACK$35))-COLUMN(指数走势!$F$35)+1-760+523)),NA(),IF(INDEX(指数走势!$F$35:$ACK$35,1,LOOKUP(2,1/(指数走势!$F$35:$ACK$35&lt;&gt;""),COLUMN(指数走势!$F$35:$ACK$35))-COLUMN(指数走势!$F$35)+1-760+523)=0,NA(),INDEX(指数走势!$F$35:$ACK$35,1,LOOKUP(2,1/(指数走势!$F$35:$ACK$35&lt;&gt;""),COLUMN(指数走势!$F$35:$ACK$35))-COLUMN(指数走势!$F$35)+1-760+523)))</f>
        <v>13.3088998794556</v>
      </c>
      <c r="TE99">
        <f>IF(ISERROR(INDEX(指数走势!$F$35:$ACK$35,1,LOOKUP(2,1/(指数走势!$F$35:$ACK$35&lt;&gt;""),COLUMN(指数走势!$F$35:$ACK$35))-COLUMN(指数走势!$F$35)+1-760+524)),NA(),IF(INDEX(指数走势!$F$35:$ACK$35,1,LOOKUP(2,1/(指数走势!$F$35:$ACK$35&lt;&gt;""),COLUMN(指数走势!$F$35:$ACK$35))-COLUMN(指数走势!$F$35)+1-760+524)=0,NA(),INDEX(指数走势!$F$35:$ACK$35,1,LOOKUP(2,1/(指数走势!$F$35:$ACK$35&lt;&gt;""),COLUMN(指数走势!$F$35:$ACK$35))-COLUMN(指数走势!$F$35)+1-760+524)))</f>
        <v>13.3252000808716</v>
      </c>
      <c r="TF99">
        <f>IF(ISERROR(INDEX(指数走势!$F$35:$ACK$35,1,LOOKUP(2,1/(指数走势!$F$35:$ACK$35&lt;&gt;""),COLUMN(指数走势!$F$35:$ACK$35))-COLUMN(指数走势!$F$35)+1-760+525)),NA(),IF(INDEX(指数走势!$F$35:$ACK$35,1,LOOKUP(2,1/(指数走势!$F$35:$ACK$35&lt;&gt;""),COLUMN(指数走势!$F$35:$ACK$35))-COLUMN(指数走势!$F$35)+1-760+525)=0,NA(),INDEX(指数走势!$F$35:$ACK$35,1,LOOKUP(2,1/(指数走势!$F$35:$ACK$35&lt;&gt;""),COLUMN(指数走势!$F$35:$ACK$35))-COLUMN(指数走势!$F$35)+1-760+525)))</f>
        <v>13.3163003921509</v>
      </c>
      <c r="TG99">
        <f>IF(ISERROR(INDEX(指数走势!$F$35:$ACK$35,1,LOOKUP(2,1/(指数走势!$F$35:$ACK$35&lt;&gt;""),COLUMN(指数走势!$F$35:$ACK$35))-COLUMN(指数走势!$F$35)+1-760+526)),NA(),IF(INDEX(指数走势!$F$35:$ACK$35,1,LOOKUP(2,1/(指数走势!$F$35:$ACK$35&lt;&gt;""),COLUMN(指数走势!$F$35:$ACK$35))-COLUMN(指数走势!$F$35)+1-760+526)=0,NA(),INDEX(指数走势!$F$35:$ACK$35,1,LOOKUP(2,1/(指数走势!$F$35:$ACK$35&lt;&gt;""),COLUMN(指数走势!$F$35:$ACK$35))-COLUMN(指数走势!$F$35)+1-760+526)))</f>
        <v>13.2861995697021</v>
      </c>
      <c r="TH99">
        <f>IF(ISERROR(INDEX(指数走势!$F$35:$ACK$35,1,LOOKUP(2,1/(指数走势!$F$35:$ACK$35&lt;&gt;""),COLUMN(指数走势!$F$35:$ACK$35))-COLUMN(指数走势!$F$35)+1-760+527)),NA(),IF(INDEX(指数走势!$F$35:$ACK$35,1,LOOKUP(2,1/(指数走势!$F$35:$ACK$35&lt;&gt;""),COLUMN(指数走势!$F$35:$ACK$35))-COLUMN(指数走势!$F$35)+1-760+527)=0,NA(),INDEX(指数走势!$F$35:$ACK$35,1,LOOKUP(2,1/(指数走势!$F$35:$ACK$35&lt;&gt;""),COLUMN(指数走势!$F$35:$ACK$35))-COLUMN(指数走势!$F$35)+1-760+527)))</f>
        <v>13.3168001174927</v>
      </c>
      <c r="TI99">
        <f>IF(ISERROR(INDEX(指数走势!$F$35:$ACK$35,1,LOOKUP(2,1/(指数走势!$F$35:$ACK$35&lt;&gt;""),COLUMN(指数走势!$F$35:$ACK$35))-COLUMN(指数走势!$F$35)+1-760+528)),NA(),IF(INDEX(指数走势!$F$35:$ACK$35,1,LOOKUP(2,1/(指数走势!$F$35:$ACK$35&lt;&gt;""),COLUMN(指数走势!$F$35:$ACK$35))-COLUMN(指数走势!$F$35)+1-760+528)=0,NA(),INDEX(指数走势!$F$35:$ACK$35,1,LOOKUP(2,1/(指数走势!$F$35:$ACK$35&lt;&gt;""),COLUMN(指数走势!$F$35:$ACK$35))-COLUMN(指数走势!$F$35)+1-760+528)))</f>
        <v>13.3872003555298</v>
      </c>
      <c r="TJ99">
        <f>IF(ISERROR(INDEX(指数走势!$F$35:$ACK$35,1,LOOKUP(2,1/(指数走势!$F$35:$ACK$35&lt;&gt;""),COLUMN(指数走势!$F$35:$ACK$35))-COLUMN(指数走势!$F$35)+1-760+529)),NA(),IF(INDEX(指数走势!$F$35:$ACK$35,1,LOOKUP(2,1/(指数走势!$F$35:$ACK$35&lt;&gt;""),COLUMN(指数走势!$F$35:$ACK$35))-COLUMN(指数走势!$F$35)+1-760+529)=0,NA(),INDEX(指数走势!$F$35:$ACK$35,1,LOOKUP(2,1/(指数走势!$F$35:$ACK$35&lt;&gt;""),COLUMN(指数走势!$F$35:$ACK$35))-COLUMN(指数走势!$F$35)+1-760+529)))</f>
        <v>13.4485998153687</v>
      </c>
      <c r="TK99">
        <f>IF(ISERROR(INDEX(指数走势!$F$35:$ACK$35,1,LOOKUP(2,1/(指数走势!$F$35:$ACK$35&lt;&gt;""),COLUMN(指数走势!$F$35:$ACK$35))-COLUMN(指数走势!$F$35)+1-760+530)),NA(),IF(INDEX(指数走势!$F$35:$ACK$35,1,LOOKUP(2,1/(指数走势!$F$35:$ACK$35&lt;&gt;""),COLUMN(指数走势!$F$35:$ACK$35))-COLUMN(指数走势!$F$35)+1-760+530)=0,NA(),INDEX(指数走势!$F$35:$ACK$35,1,LOOKUP(2,1/(指数走势!$F$35:$ACK$35&lt;&gt;""),COLUMN(指数走势!$F$35:$ACK$35))-COLUMN(指数走势!$F$35)+1-760+530)))</f>
        <v>13.5284004211426</v>
      </c>
      <c r="TL99">
        <f>IF(ISERROR(INDEX(指数走势!$F$35:$ACK$35,1,LOOKUP(2,1/(指数走势!$F$35:$ACK$35&lt;&gt;""),COLUMN(指数走势!$F$35:$ACK$35))-COLUMN(指数走势!$F$35)+1-760+531)),NA(),IF(INDEX(指数走势!$F$35:$ACK$35,1,LOOKUP(2,1/(指数走势!$F$35:$ACK$35&lt;&gt;""),COLUMN(指数走势!$F$35:$ACK$35))-COLUMN(指数走势!$F$35)+1-760+531)=0,NA(),INDEX(指数走势!$F$35:$ACK$35,1,LOOKUP(2,1/(指数走势!$F$35:$ACK$35&lt;&gt;""),COLUMN(指数走势!$F$35:$ACK$35))-COLUMN(指数走势!$F$35)+1-760+531)))</f>
        <v>13.5424995422363</v>
      </c>
      <c r="TM99">
        <f>IF(ISERROR(INDEX(指数走势!$F$35:$ACK$35,1,LOOKUP(2,1/(指数走势!$F$35:$ACK$35&lt;&gt;""),COLUMN(指数走势!$F$35:$ACK$35))-COLUMN(指数走势!$F$35)+1-760+532)),NA(),IF(INDEX(指数走势!$F$35:$ACK$35,1,LOOKUP(2,1/(指数走势!$F$35:$ACK$35&lt;&gt;""),COLUMN(指数走势!$F$35:$ACK$35))-COLUMN(指数走势!$F$35)+1-760+532)=0,NA(),INDEX(指数走势!$F$35:$ACK$35,1,LOOKUP(2,1/(指数走势!$F$35:$ACK$35&lt;&gt;""),COLUMN(指数走势!$F$35:$ACK$35))-COLUMN(指数走势!$F$35)+1-760+532)))</f>
        <v>13.5888004302979</v>
      </c>
      <c r="TN99">
        <f>IF(ISERROR(INDEX(指数走势!$F$35:$ACK$35,1,LOOKUP(2,1/(指数走势!$F$35:$ACK$35&lt;&gt;""),COLUMN(指数走势!$F$35:$ACK$35))-COLUMN(指数走势!$F$35)+1-760+533)),NA(),IF(INDEX(指数走势!$F$35:$ACK$35,1,LOOKUP(2,1/(指数走势!$F$35:$ACK$35&lt;&gt;""),COLUMN(指数走势!$F$35:$ACK$35))-COLUMN(指数走势!$F$35)+1-760+533)=0,NA(),INDEX(指数走势!$F$35:$ACK$35,1,LOOKUP(2,1/(指数走势!$F$35:$ACK$35&lt;&gt;""),COLUMN(指数走势!$F$35:$ACK$35))-COLUMN(指数走势!$F$35)+1-760+533)))</f>
        <v>13.5068998336792</v>
      </c>
      <c r="TO99">
        <f>IF(ISERROR(INDEX(指数走势!$F$35:$ACK$35,1,LOOKUP(2,1/(指数走势!$F$35:$ACK$35&lt;&gt;""),COLUMN(指数走势!$F$35:$ACK$35))-COLUMN(指数走势!$F$35)+1-760+534)),NA(),IF(INDEX(指数走势!$F$35:$ACK$35,1,LOOKUP(2,1/(指数走势!$F$35:$ACK$35&lt;&gt;""),COLUMN(指数走势!$F$35:$ACK$35))-COLUMN(指数走势!$F$35)+1-760+534)=0,NA(),INDEX(指数走势!$F$35:$ACK$35,1,LOOKUP(2,1/(指数走势!$F$35:$ACK$35&lt;&gt;""),COLUMN(指数走势!$F$35:$ACK$35))-COLUMN(指数走势!$F$35)+1-760+534)))</f>
        <v>13.5171003341675</v>
      </c>
      <c r="TP99">
        <f>IF(ISERROR(INDEX(指数走势!$F$35:$ACK$35,1,LOOKUP(2,1/(指数走势!$F$35:$ACK$35&lt;&gt;""),COLUMN(指数走势!$F$35:$ACK$35))-COLUMN(指数走势!$F$35)+1-760+535)),NA(),IF(INDEX(指数走势!$F$35:$ACK$35,1,LOOKUP(2,1/(指数走势!$F$35:$ACK$35&lt;&gt;""),COLUMN(指数走势!$F$35:$ACK$35))-COLUMN(指数走势!$F$35)+1-760+535)=0,NA(),INDEX(指数走势!$F$35:$ACK$35,1,LOOKUP(2,1/(指数走势!$F$35:$ACK$35&lt;&gt;""),COLUMN(指数走势!$F$35:$ACK$35))-COLUMN(指数走势!$F$35)+1-760+535)))</f>
        <v>13.3535995483398</v>
      </c>
      <c r="TQ99">
        <f>IF(ISERROR(INDEX(指数走势!$F$35:$ACK$35,1,LOOKUP(2,1/(指数走势!$F$35:$ACK$35&lt;&gt;""),COLUMN(指数走势!$F$35:$ACK$35))-COLUMN(指数走势!$F$35)+1-760+536)),NA(),IF(INDEX(指数走势!$F$35:$ACK$35,1,LOOKUP(2,1/(指数走势!$F$35:$ACK$35&lt;&gt;""),COLUMN(指数走势!$F$35:$ACK$35))-COLUMN(指数走势!$F$35)+1-760+536)=0,NA(),INDEX(指数走势!$F$35:$ACK$35,1,LOOKUP(2,1/(指数走势!$F$35:$ACK$35&lt;&gt;""),COLUMN(指数走势!$F$35:$ACK$35))-COLUMN(指数走势!$F$35)+1-760+536)))</f>
        <v>13.3929996490479</v>
      </c>
      <c r="TR99">
        <f>IF(ISERROR(INDEX(指数走势!$F$35:$ACK$35,1,LOOKUP(2,1/(指数走势!$F$35:$ACK$35&lt;&gt;""),COLUMN(指数走势!$F$35:$ACK$35))-COLUMN(指数走势!$F$35)+1-760+537)),NA(),IF(INDEX(指数走势!$F$35:$ACK$35,1,LOOKUP(2,1/(指数走势!$F$35:$ACK$35&lt;&gt;""),COLUMN(指数走势!$F$35:$ACK$35))-COLUMN(指数走势!$F$35)+1-760+537)=0,NA(),INDEX(指数走势!$F$35:$ACK$35,1,LOOKUP(2,1/(指数走势!$F$35:$ACK$35&lt;&gt;""),COLUMN(指数走势!$F$35:$ACK$35))-COLUMN(指数走势!$F$35)+1-760+537)))</f>
        <v>13.1864995956421</v>
      </c>
      <c r="TS99">
        <f>IF(ISERROR(INDEX(指数走势!$F$35:$ACK$35,1,LOOKUP(2,1/(指数走势!$F$35:$ACK$35&lt;&gt;""),COLUMN(指数走势!$F$35:$ACK$35))-COLUMN(指数走势!$F$35)+1-760+538)),NA(),IF(INDEX(指数走势!$F$35:$ACK$35,1,LOOKUP(2,1/(指数走势!$F$35:$ACK$35&lt;&gt;""),COLUMN(指数走势!$F$35:$ACK$35))-COLUMN(指数走势!$F$35)+1-760+538)=0,NA(),INDEX(指数走势!$F$35:$ACK$35,1,LOOKUP(2,1/(指数走势!$F$35:$ACK$35&lt;&gt;""),COLUMN(指数走势!$F$35:$ACK$35))-COLUMN(指数走势!$F$35)+1-760+538)))</f>
        <v>13.1154003143311</v>
      </c>
      <c r="TT99">
        <f>IF(ISERROR(INDEX(指数走势!$F$35:$ACK$35,1,LOOKUP(2,1/(指数走势!$F$35:$ACK$35&lt;&gt;""),COLUMN(指数走势!$F$35:$ACK$35))-COLUMN(指数走势!$F$35)+1-760+539)),NA(),IF(INDEX(指数走势!$F$35:$ACK$35,1,LOOKUP(2,1/(指数走势!$F$35:$ACK$35&lt;&gt;""),COLUMN(指数走势!$F$35:$ACK$35))-COLUMN(指数走势!$F$35)+1-760+539)=0,NA(),INDEX(指数走势!$F$35:$ACK$35,1,LOOKUP(2,1/(指数走势!$F$35:$ACK$35&lt;&gt;""),COLUMN(指数走势!$F$35:$ACK$35))-COLUMN(指数走势!$F$35)+1-760+539)))</f>
        <v>13.1662998199463</v>
      </c>
      <c r="TU99">
        <f>IF(ISERROR(INDEX(指数走势!$F$35:$ACK$35,1,LOOKUP(2,1/(指数走势!$F$35:$ACK$35&lt;&gt;""),COLUMN(指数走势!$F$35:$ACK$35))-COLUMN(指数走势!$F$35)+1-760+540)),NA(),IF(INDEX(指数走势!$F$35:$ACK$35,1,LOOKUP(2,1/(指数走势!$F$35:$ACK$35&lt;&gt;""),COLUMN(指数走势!$F$35:$ACK$35))-COLUMN(指数走势!$F$35)+1-760+540)=0,NA(),INDEX(指数走势!$F$35:$ACK$35,1,LOOKUP(2,1/(指数走势!$F$35:$ACK$35&lt;&gt;""),COLUMN(指数走势!$F$35:$ACK$35))-COLUMN(指数走势!$F$35)+1-760+540)))</f>
        <v>13.293399810791</v>
      </c>
      <c r="TV99">
        <f>IF(ISERROR(INDEX(指数走势!$F$35:$ACK$35,1,LOOKUP(2,1/(指数走势!$F$35:$ACK$35&lt;&gt;""),COLUMN(指数走势!$F$35:$ACK$35))-COLUMN(指数走势!$F$35)+1-760+541)),NA(),IF(INDEX(指数走势!$F$35:$ACK$35,1,LOOKUP(2,1/(指数走势!$F$35:$ACK$35&lt;&gt;""),COLUMN(指数走势!$F$35:$ACK$35))-COLUMN(指数走势!$F$35)+1-760+541)=0,NA(),INDEX(指数走势!$F$35:$ACK$35,1,LOOKUP(2,1/(指数走势!$F$35:$ACK$35&lt;&gt;""),COLUMN(指数走势!$F$35:$ACK$35))-COLUMN(指数走势!$F$35)+1-760+541)))</f>
        <v>13.3172998428345</v>
      </c>
      <c r="TW99">
        <f>IF(ISERROR(INDEX(指数走势!$F$35:$ACK$35,1,LOOKUP(2,1/(指数走势!$F$35:$ACK$35&lt;&gt;""),COLUMN(指数走势!$F$35:$ACK$35))-COLUMN(指数走势!$F$35)+1-760+542)),NA(),IF(INDEX(指数走势!$F$35:$ACK$35,1,LOOKUP(2,1/(指数走势!$F$35:$ACK$35&lt;&gt;""),COLUMN(指数走势!$F$35:$ACK$35))-COLUMN(指数走势!$F$35)+1-760+542)=0,NA(),INDEX(指数走势!$F$35:$ACK$35,1,LOOKUP(2,1/(指数走势!$F$35:$ACK$35&lt;&gt;""),COLUMN(指数走势!$F$35:$ACK$35))-COLUMN(指数走势!$F$35)+1-760+542)))</f>
        <v>13.3337001800537</v>
      </c>
      <c r="TX99">
        <f>IF(ISERROR(INDEX(指数走势!$F$35:$ACK$35,1,LOOKUP(2,1/(指数走势!$F$35:$ACK$35&lt;&gt;""),COLUMN(指数走势!$F$35:$ACK$35))-COLUMN(指数走势!$F$35)+1-760+543)),NA(),IF(INDEX(指数走势!$F$35:$ACK$35,1,LOOKUP(2,1/(指数走势!$F$35:$ACK$35&lt;&gt;""),COLUMN(指数走势!$F$35:$ACK$35))-COLUMN(指数走势!$F$35)+1-760+543)=0,NA(),INDEX(指数走势!$F$35:$ACK$35,1,LOOKUP(2,1/(指数走势!$F$35:$ACK$35&lt;&gt;""),COLUMN(指数走势!$F$35:$ACK$35))-COLUMN(指数走势!$F$35)+1-760+543)))</f>
        <v>13.3051996231079</v>
      </c>
      <c r="TY99">
        <f>IF(ISERROR(INDEX(指数走势!$F$35:$ACK$35,1,LOOKUP(2,1/(指数走势!$F$35:$ACK$35&lt;&gt;""),COLUMN(指数走势!$F$35:$ACK$35))-COLUMN(指数走势!$F$35)+1-760+544)),NA(),IF(INDEX(指数走势!$F$35:$ACK$35,1,LOOKUP(2,1/(指数走势!$F$35:$ACK$35&lt;&gt;""),COLUMN(指数走势!$F$35:$ACK$35))-COLUMN(指数走势!$F$35)+1-760+544)=0,NA(),INDEX(指数走势!$F$35:$ACK$35,1,LOOKUP(2,1/(指数走势!$F$35:$ACK$35&lt;&gt;""),COLUMN(指数走势!$F$35:$ACK$35))-COLUMN(指数走势!$F$35)+1-760+544)))</f>
        <v>13.2980003356934</v>
      </c>
      <c r="TZ99">
        <f>IF(ISERROR(INDEX(指数走势!$F$35:$ACK$35,1,LOOKUP(2,1/(指数走势!$F$35:$ACK$35&lt;&gt;""),COLUMN(指数走势!$F$35:$ACK$35))-COLUMN(指数走势!$F$35)+1-760+545)),NA(),IF(INDEX(指数走势!$F$35:$ACK$35,1,LOOKUP(2,1/(指数走势!$F$35:$ACK$35&lt;&gt;""),COLUMN(指数走势!$F$35:$ACK$35))-COLUMN(指数走势!$F$35)+1-760+545)=0,NA(),INDEX(指数走势!$F$35:$ACK$35,1,LOOKUP(2,1/(指数走势!$F$35:$ACK$35&lt;&gt;""),COLUMN(指数走势!$F$35:$ACK$35))-COLUMN(指数走势!$F$35)+1-760+545)))</f>
        <v>13.3866996765137</v>
      </c>
      <c r="UA99">
        <f>IF(ISERROR(INDEX(指数走势!$F$35:$ACK$35,1,LOOKUP(2,1/(指数走势!$F$35:$ACK$35&lt;&gt;""),COLUMN(指数走势!$F$35:$ACK$35))-COLUMN(指数走势!$F$35)+1-760+546)),NA(),IF(INDEX(指数走势!$F$35:$ACK$35,1,LOOKUP(2,1/(指数走势!$F$35:$ACK$35&lt;&gt;""),COLUMN(指数走势!$F$35:$ACK$35))-COLUMN(指数走势!$F$35)+1-760+546)=0,NA(),INDEX(指数走势!$F$35:$ACK$35,1,LOOKUP(2,1/(指数走势!$F$35:$ACK$35&lt;&gt;""),COLUMN(指数走势!$F$35:$ACK$35))-COLUMN(指数走势!$F$35)+1-760+546)))</f>
        <v>13.4224004745483</v>
      </c>
      <c r="UB99">
        <f>IF(ISERROR(INDEX(指数走势!$F$35:$ACK$35,1,LOOKUP(2,1/(指数走势!$F$35:$ACK$35&lt;&gt;""),COLUMN(指数走势!$F$35:$ACK$35))-COLUMN(指数走势!$F$35)+1-760+547)),NA(),IF(INDEX(指数走势!$F$35:$ACK$35,1,LOOKUP(2,1/(指数走势!$F$35:$ACK$35&lt;&gt;""),COLUMN(指数走势!$F$35:$ACK$35))-COLUMN(指数走势!$F$35)+1-760+547)=0,NA(),INDEX(指数走势!$F$35:$ACK$35,1,LOOKUP(2,1/(指数走势!$F$35:$ACK$35&lt;&gt;""),COLUMN(指数走势!$F$35:$ACK$35))-COLUMN(指数走势!$F$35)+1-760+547)))</f>
        <v>13.4224996566772</v>
      </c>
      <c r="UC99">
        <f>IF(ISERROR(INDEX(指数走势!$F$35:$ACK$35,1,LOOKUP(2,1/(指数走势!$F$35:$ACK$35&lt;&gt;""),COLUMN(指数走势!$F$35:$ACK$35))-COLUMN(指数走势!$F$35)+1-760+548)),NA(),IF(INDEX(指数走势!$F$35:$ACK$35,1,LOOKUP(2,1/(指数走势!$F$35:$ACK$35&lt;&gt;""),COLUMN(指数走势!$F$35:$ACK$35))-COLUMN(指数走势!$F$35)+1-760+548)=0,NA(),INDEX(指数走势!$F$35:$ACK$35,1,LOOKUP(2,1/(指数走势!$F$35:$ACK$35&lt;&gt;""),COLUMN(指数走势!$F$35:$ACK$35))-COLUMN(指数走势!$F$35)+1-760+548)))</f>
        <v>13.4561996459961</v>
      </c>
      <c r="UD99">
        <f>IF(ISERROR(INDEX(指数走势!$F$35:$ACK$35,1,LOOKUP(2,1/(指数走势!$F$35:$ACK$35&lt;&gt;""),COLUMN(指数走势!$F$35:$ACK$35))-COLUMN(指数走势!$F$35)+1-760+549)),NA(),IF(INDEX(指数走势!$F$35:$ACK$35,1,LOOKUP(2,1/(指数走势!$F$35:$ACK$35&lt;&gt;""),COLUMN(指数走势!$F$35:$ACK$35))-COLUMN(指数走势!$F$35)+1-760+549)=0,NA(),INDEX(指数走势!$F$35:$ACK$35,1,LOOKUP(2,1/(指数走势!$F$35:$ACK$35&lt;&gt;""),COLUMN(指数走势!$F$35:$ACK$35))-COLUMN(指数走势!$F$35)+1-760+549)))</f>
        <v>13.539999961853</v>
      </c>
      <c r="UE99">
        <f>IF(ISERROR(INDEX(指数走势!$F$35:$ACK$35,1,LOOKUP(2,1/(指数走势!$F$35:$ACK$35&lt;&gt;""),COLUMN(指数走势!$F$35:$ACK$35))-COLUMN(指数走势!$F$35)+1-760+550)),NA(),IF(INDEX(指数走势!$F$35:$ACK$35,1,LOOKUP(2,1/(指数走势!$F$35:$ACK$35&lt;&gt;""),COLUMN(指数走势!$F$35:$ACK$35))-COLUMN(指数走势!$F$35)+1-760+550)=0,NA(),INDEX(指数走势!$F$35:$ACK$35,1,LOOKUP(2,1/(指数走势!$F$35:$ACK$35&lt;&gt;""),COLUMN(指数走势!$F$35:$ACK$35))-COLUMN(指数走势!$F$35)+1-760+550)))</f>
        <v>13.5347003936768</v>
      </c>
      <c r="UF99">
        <f>IF(ISERROR(INDEX(指数走势!$F$35:$ACK$35,1,LOOKUP(2,1/(指数走势!$F$35:$ACK$35&lt;&gt;""),COLUMN(指数走势!$F$35:$ACK$35))-COLUMN(指数走势!$F$35)+1-760+551)),NA(),IF(INDEX(指数走势!$F$35:$ACK$35,1,LOOKUP(2,1/(指数走势!$F$35:$ACK$35&lt;&gt;""),COLUMN(指数走势!$F$35:$ACK$35))-COLUMN(指数走势!$F$35)+1-760+551)=0,NA(),INDEX(指数走势!$F$35:$ACK$35,1,LOOKUP(2,1/(指数走势!$F$35:$ACK$35&lt;&gt;""),COLUMN(指数走势!$F$35:$ACK$35))-COLUMN(指数走势!$F$35)+1-760+551)))</f>
        <v>13.6688995361328</v>
      </c>
      <c r="UG99">
        <f>IF(ISERROR(INDEX(指数走势!$F$35:$ACK$35,1,LOOKUP(2,1/(指数走势!$F$35:$ACK$35&lt;&gt;""),COLUMN(指数走势!$F$35:$ACK$35))-COLUMN(指数走势!$F$35)+1-760+552)),NA(),IF(INDEX(指数走势!$F$35:$ACK$35,1,LOOKUP(2,1/(指数走势!$F$35:$ACK$35&lt;&gt;""),COLUMN(指数走势!$F$35:$ACK$35))-COLUMN(指数走势!$F$35)+1-760+552)=0,NA(),INDEX(指数走势!$F$35:$ACK$35,1,LOOKUP(2,1/(指数走势!$F$35:$ACK$35&lt;&gt;""),COLUMN(指数走势!$F$35:$ACK$35))-COLUMN(指数走势!$F$35)+1-760+552)))</f>
        <v>13.7271995544434</v>
      </c>
      <c r="UH99">
        <f>IF(ISERROR(INDEX(指数走势!$F$35:$ACK$35,1,LOOKUP(2,1/(指数走势!$F$35:$ACK$35&lt;&gt;""),COLUMN(指数走势!$F$35:$ACK$35))-COLUMN(指数走势!$F$35)+1-760+553)),NA(),IF(INDEX(指数走势!$F$35:$ACK$35,1,LOOKUP(2,1/(指数走势!$F$35:$ACK$35&lt;&gt;""),COLUMN(指数走势!$F$35:$ACK$35))-COLUMN(指数走势!$F$35)+1-760+553)=0,NA(),INDEX(指数走势!$F$35:$ACK$35,1,LOOKUP(2,1/(指数走势!$F$35:$ACK$35&lt;&gt;""),COLUMN(指数走势!$F$35:$ACK$35))-COLUMN(指数走势!$F$35)+1-760+553)))</f>
        <v>13.9697999954224</v>
      </c>
      <c r="UI99">
        <f>IF(ISERROR(INDEX(指数走势!$F$35:$ACK$35,1,LOOKUP(2,1/(指数走势!$F$35:$ACK$35&lt;&gt;""),COLUMN(指数走势!$F$35:$ACK$35))-COLUMN(指数走势!$F$35)+1-760+554)),NA(),IF(INDEX(指数走势!$F$35:$ACK$35,1,LOOKUP(2,1/(指数走势!$F$35:$ACK$35&lt;&gt;""),COLUMN(指数走势!$F$35:$ACK$35))-COLUMN(指数走势!$F$35)+1-760+554)=0,NA(),INDEX(指数走势!$F$35:$ACK$35,1,LOOKUP(2,1/(指数走势!$F$35:$ACK$35&lt;&gt;""),COLUMN(指数走势!$F$35:$ACK$35))-COLUMN(指数走势!$F$35)+1-760+554)))</f>
        <v>14.181300163269</v>
      </c>
      <c r="UJ99">
        <f>IF(ISERROR(INDEX(指数走势!$F$35:$ACK$35,1,LOOKUP(2,1/(指数走势!$F$35:$ACK$35&lt;&gt;""),COLUMN(指数走势!$F$35:$ACK$35))-COLUMN(指数走势!$F$35)+1-760+555)),NA(),IF(INDEX(指数走势!$F$35:$ACK$35,1,LOOKUP(2,1/(指数走势!$F$35:$ACK$35&lt;&gt;""),COLUMN(指数走势!$F$35:$ACK$35))-COLUMN(指数走势!$F$35)+1-760+555)=0,NA(),INDEX(指数走势!$F$35:$ACK$35,1,LOOKUP(2,1/(指数走势!$F$35:$ACK$35&lt;&gt;""),COLUMN(指数走势!$F$35:$ACK$35))-COLUMN(指数走势!$F$35)+1-760+555)))</f>
        <v>14.1136999130249</v>
      </c>
      <c r="UK99">
        <f>IF(ISERROR(INDEX(指数走势!$F$35:$ACK$35,1,LOOKUP(2,1/(指数走势!$F$35:$ACK$35&lt;&gt;""),COLUMN(指数走势!$F$35:$ACK$35))-COLUMN(指数走势!$F$35)+1-760+556)),NA(),IF(INDEX(指数走势!$F$35:$ACK$35,1,LOOKUP(2,1/(指数走势!$F$35:$ACK$35&lt;&gt;""),COLUMN(指数走势!$F$35:$ACK$35))-COLUMN(指数走势!$F$35)+1-760+556)=0,NA(),INDEX(指数走势!$F$35:$ACK$35,1,LOOKUP(2,1/(指数走势!$F$35:$ACK$35&lt;&gt;""),COLUMN(指数走势!$F$35:$ACK$35))-COLUMN(指数走势!$F$35)+1-760+556)))</f>
        <v>13.8596000671387</v>
      </c>
      <c r="UL99">
        <f>IF(ISERROR(INDEX(指数走势!$F$35:$ACK$35,1,LOOKUP(2,1/(指数走势!$F$35:$ACK$35&lt;&gt;""),COLUMN(指数走势!$F$35:$ACK$35))-COLUMN(指数走势!$F$35)+1-760+557)),NA(),IF(INDEX(指数走势!$F$35:$ACK$35,1,LOOKUP(2,1/(指数走势!$F$35:$ACK$35&lt;&gt;""),COLUMN(指数走势!$F$35:$ACK$35))-COLUMN(指数走势!$F$35)+1-760+557)=0,NA(),INDEX(指数走势!$F$35:$ACK$35,1,LOOKUP(2,1/(指数走势!$F$35:$ACK$35&lt;&gt;""),COLUMN(指数走势!$F$35:$ACK$35))-COLUMN(指数走势!$F$35)+1-760+557)))</f>
        <v>14.0934000015259</v>
      </c>
      <c r="UM99">
        <f>IF(ISERROR(INDEX(指数走势!$F$35:$ACK$35,1,LOOKUP(2,1/(指数走势!$F$35:$ACK$35&lt;&gt;""),COLUMN(指数走势!$F$35:$ACK$35))-COLUMN(指数走势!$F$35)+1-760+558)),NA(),IF(INDEX(指数走势!$F$35:$ACK$35,1,LOOKUP(2,1/(指数走势!$F$35:$ACK$35&lt;&gt;""),COLUMN(指数走势!$F$35:$ACK$35))-COLUMN(指数走势!$F$35)+1-760+558)=0,NA(),INDEX(指数走势!$F$35:$ACK$35,1,LOOKUP(2,1/(指数走势!$F$35:$ACK$35&lt;&gt;""),COLUMN(指数走势!$F$35:$ACK$35))-COLUMN(指数走势!$F$35)+1-760+558)))</f>
        <v>14.1515998840332</v>
      </c>
      <c r="UN99">
        <f>IF(ISERROR(INDEX(指数走势!$F$35:$ACK$35,1,LOOKUP(2,1/(指数走势!$F$35:$ACK$35&lt;&gt;""),COLUMN(指数走势!$F$35:$ACK$35))-COLUMN(指数走势!$F$35)+1-760+559)),NA(),IF(INDEX(指数走势!$F$35:$ACK$35,1,LOOKUP(2,1/(指数走势!$F$35:$ACK$35&lt;&gt;""),COLUMN(指数走势!$F$35:$ACK$35))-COLUMN(指数走势!$F$35)+1-760+559)=0,NA(),INDEX(指数走势!$F$35:$ACK$35,1,LOOKUP(2,1/(指数走势!$F$35:$ACK$35&lt;&gt;""),COLUMN(指数走势!$F$35:$ACK$35))-COLUMN(指数走势!$F$35)+1-760+559)))</f>
        <v>14.1368999481201</v>
      </c>
      <c r="UO99">
        <f>IF(ISERROR(INDEX(指数走势!$F$35:$ACK$35,1,LOOKUP(2,1/(指数走势!$F$35:$ACK$35&lt;&gt;""),COLUMN(指数走势!$F$35:$ACK$35))-COLUMN(指数走势!$F$35)+1-760+560)),NA(),IF(INDEX(指数走势!$F$35:$ACK$35,1,LOOKUP(2,1/(指数走势!$F$35:$ACK$35&lt;&gt;""),COLUMN(指数走势!$F$35:$ACK$35))-COLUMN(指数走势!$F$35)+1-760+560)=0,NA(),INDEX(指数走势!$F$35:$ACK$35,1,LOOKUP(2,1/(指数走势!$F$35:$ACK$35&lt;&gt;""),COLUMN(指数走势!$F$35:$ACK$35))-COLUMN(指数走势!$F$35)+1-760+560)))</f>
        <v>14.1414003372192</v>
      </c>
      <c r="UP99">
        <f>IF(ISERROR(INDEX(指数走势!$F$35:$ACK$35,1,LOOKUP(2,1/(指数走势!$F$35:$ACK$35&lt;&gt;""),COLUMN(指数走势!$F$35:$ACK$35))-COLUMN(指数走势!$F$35)+1-760+561)),NA(),IF(INDEX(指数走势!$F$35:$ACK$35,1,LOOKUP(2,1/(指数走势!$F$35:$ACK$35&lt;&gt;""),COLUMN(指数走势!$F$35:$ACK$35))-COLUMN(指数走势!$F$35)+1-760+561)=0,NA(),INDEX(指数走势!$F$35:$ACK$35,1,LOOKUP(2,1/(指数走势!$F$35:$ACK$35&lt;&gt;""),COLUMN(指数走势!$F$35:$ACK$35))-COLUMN(指数走势!$F$35)+1-760+561)))</f>
        <v>14.0109996795654</v>
      </c>
      <c r="UQ99">
        <f>IF(ISERROR(INDEX(指数走势!$F$35:$ACK$35,1,LOOKUP(2,1/(指数走势!$F$35:$ACK$35&lt;&gt;""),COLUMN(指数走势!$F$35:$ACK$35))-COLUMN(指数走势!$F$35)+1-760+562)),NA(),IF(INDEX(指数走势!$F$35:$ACK$35,1,LOOKUP(2,1/(指数走势!$F$35:$ACK$35&lt;&gt;""),COLUMN(指数走势!$F$35:$ACK$35))-COLUMN(指数走势!$F$35)+1-760+562)=0,NA(),INDEX(指数走势!$F$35:$ACK$35,1,LOOKUP(2,1/(指数走势!$F$35:$ACK$35&lt;&gt;""),COLUMN(指数走势!$F$35:$ACK$35))-COLUMN(指数走势!$F$35)+1-760+562)))</f>
        <v>13.853099822998</v>
      </c>
      <c r="UR99">
        <f>IF(ISERROR(INDEX(指数走势!$F$35:$ACK$35,1,LOOKUP(2,1/(指数走势!$F$35:$ACK$35&lt;&gt;""),COLUMN(指数走势!$F$35:$ACK$35))-COLUMN(指数走势!$F$35)+1-760+563)),NA(),IF(INDEX(指数走势!$F$35:$ACK$35,1,LOOKUP(2,1/(指数走势!$F$35:$ACK$35&lt;&gt;""),COLUMN(指数走势!$F$35:$ACK$35))-COLUMN(指数走势!$F$35)+1-760+563)=0,NA(),INDEX(指数走势!$F$35:$ACK$35,1,LOOKUP(2,1/(指数走势!$F$35:$ACK$35&lt;&gt;""),COLUMN(指数走势!$F$35:$ACK$35))-COLUMN(指数走势!$F$35)+1-760+563)))</f>
        <v>13.9751996994019</v>
      </c>
      <c r="US99">
        <f>IF(ISERROR(INDEX(指数走势!$F$35:$ACK$35,1,LOOKUP(2,1/(指数走势!$F$35:$ACK$35&lt;&gt;""),COLUMN(指数走势!$F$35:$ACK$35))-COLUMN(指数走势!$F$35)+1-760+564)),NA(),IF(INDEX(指数走势!$F$35:$ACK$35,1,LOOKUP(2,1/(指数走势!$F$35:$ACK$35&lt;&gt;""),COLUMN(指数走势!$F$35:$ACK$35))-COLUMN(指数走势!$F$35)+1-760+564)=0,NA(),INDEX(指数走势!$F$35:$ACK$35,1,LOOKUP(2,1/(指数走势!$F$35:$ACK$35&lt;&gt;""),COLUMN(指数走势!$F$35:$ACK$35))-COLUMN(指数走势!$F$35)+1-760+564)))</f>
        <v>13.9860000610352</v>
      </c>
      <c r="UT99">
        <f>IF(ISERROR(INDEX(指数走势!$F$35:$ACK$35,1,LOOKUP(2,1/(指数走势!$F$35:$ACK$35&lt;&gt;""),COLUMN(指数走势!$F$35:$ACK$35))-COLUMN(指数走势!$F$35)+1-760+565)),NA(),IF(INDEX(指数走势!$F$35:$ACK$35,1,LOOKUP(2,1/(指数走势!$F$35:$ACK$35&lt;&gt;""),COLUMN(指数走势!$F$35:$ACK$35))-COLUMN(指数走势!$F$35)+1-760+565)=0,NA(),INDEX(指数走势!$F$35:$ACK$35,1,LOOKUP(2,1/(指数走势!$F$35:$ACK$35&lt;&gt;""),COLUMN(指数走势!$F$35:$ACK$35))-COLUMN(指数走势!$F$35)+1-760+565)))</f>
        <v>13.9022998809814</v>
      </c>
      <c r="UU99">
        <f>IF(ISERROR(INDEX(指数走势!$F$35:$ACK$35,1,LOOKUP(2,1/(指数走势!$F$35:$ACK$35&lt;&gt;""),COLUMN(指数走势!$F$35:$ACK$35))-COLUMN(指数走势!$F$35)+1-760+566)),NA(),IF(INDEX(指数走势!$F$35:$ACK$35,1,LOOKUP(2,1/(指数走势!$F$35:$ACK$35&lt;&gt;""),COLUMN(指数走势!$F$35:$ACK$35))-COLUMN(指数走势!$F$35)+1-760+566)=0,NA(),INDEX(指数走势!$F$35:$ACK$35,1,LOOKUP(2,1/(指数走势!$F$35:$ACK$35&lt;&gt;""),COLUMN(指数走势!$F$35:$ACK$35))-COLUMN(指数走势!$F$35)+1-760+566)))</f>
        <v>13.9430999755859</v>
      </c>
      <c r="UV99">
        <f>IF(ISERROR(INDEX(指数走势!$F$35:$ACK$35,1,LOOKUP(2,1/(指数走势!$F$35:$ACK$35&lt;&gt;""),COLUMN(指数走势!$F$35:$ACK$35))-COLUMN(指数走势!$F$35)+1-760+567)),NA(),IF(INDEX(指数走势!$F$35:$ACK$35,1,LOOKUP(2,1/(指数走势!$F$35:$ACK$35&lt;&gt;""),COLUMN(指数走势!$F$35:$ACK$35))-COLUMN(指数走势!$F$35)+1-760+567)=0,NA(),INDEX(指数走势!$F$35:$ACK$35,1,LOOKUP(2,1/(指数走势!$F$35:$ACK$35&lt;&gt;""),COLUMN(指数走势!$F$35:$ACK$35))-COLUMN(指数走势!$F$35)+1-760+567)))</f>
        <v>14.180100440979</v>
      </c>
      <c r="UW99">
        <f>IF(ISERROR(INDEX(指数走势!$F$35:$ACK$35,1,LOOKUP(2,1/(指数走势!$F$35:$ACK$35&lt;&gt;""),COLUMN(指数走势!$F$35:$ACK$35))-COLUMN(指数走势!$F$35)+1-760+568)),NA(),IF(INDEX(指数走势!$F$35:$ACK$35,1,LOOKUP(2,1/(指数走势!$F$35:$ACK$35&lt;&gt;""),COLUMN(指数走势!$F$35:$ACK$35))-COLUMN(指数走势!$F$35)+1-760+568)=0,NA(),INDEX(指数走势!$F$35:$ACK$35,1,LOOKUP(2,1/(指数走势!$F$35:$ACK$35&lt;&gt;""),COLUMN(指数走势!$F$35:$ACK$35))-COLUMN(指数走势!$F$35)+1-760+568)))</f>
        <v>14.1308002471924</v>
      </c>
      <c r="UX99">
        <f>IF(ISERROR(INDEX(指数走势!$F$35:$ACK$35,1,LOOKUP(2,1/(指数走势!$F$35:$ACK$35&lt;&gt;""),COLUMN(指数走势!$F$35:$ACK$35))-COLUMN(指数走势!$F$35)+1-760+569)),NA(),IF(INDEX(指数走势!$F$35:$ACK$35,1,LOOKUP(2,1/(指数走势!$F$35:$ACK$35&lt;&gt;""),COLUMN(指数走势!$F$35:$ACK$35))-COLUMN(指数走势!$F$35)+1-760+569)=0,NA(),INDEX(指数走势!$F$35:$ACK$35,1,LOOKUP(2,1/(指数走势!$F$35:$ACK$35&lt;&gt;""),COLUMN(指数走势!$F$35:$ACK$35))-COLUMN(指数走势!$F$35)+1-760+569)))</f>
        <v>14.1326999664307</v>
      </c>
      <c r="UY99">
        <f>IF(ISERROR(INDEX(指数走势!$F$35:$ACK$35,1,LOOKUP(2,1/(指数走势!$F$35:$ACK$35&lt;&gt;""),COLUMN(指数走势!$F$35:$ACK$35))-COLUMN(指数走势!$F$35)+1-760+570)),NA(),IF(INDEX(指数走势!$F$35:$ACK$35,1,LOOKUP(2,1/(指数走势!$F$35:$ACK$35&lt;&gt;""),COLUMN(指数走势!$F$35:$ACK$35))-COLUMN(指数走势!$F$35)+1-760+570)=0,NA(),INDEX(指数走势!$F$35:$ACK$35,1,LOOKUP(2,1/(指数走势!$F$35:$ACK$35&lt;&gt;""),COLUMN(指数走势!$F$35:$ACK$35))-COLUMN(指数走势!$F$35)+1-760+570)))</f>
        <v>14.0896997451782</v>
      </c>
      <c r="UZ99">
        <f>IF(ISERROR(INDEX(指数走势!$F$35:$ACK$35,1,LOOKUP(2,1/(指数走势!$F$35:$ACK$35&lt;&gt;""),COLUMN(指数走势!$F$35:$ACK$35))-COLUMN(指数走势!$F$35)+1-760+571)),NA(),IF(INDEX(指数走势!$F$35:$ACK$35,1,LOOKUP(2,1/(指数走势!$F$35:$ACK$35&lt;&gt;""),COLUMN(指数走势!$F$35:$ACK$35))-COLUMN(指数走势!$F$35)+1-760+571)=0,NA(),INDEX(指数走势!$F$35:$ACK$35,1,LOOKUP(2,1/(指数走势!$F$35:$ACK$35&lt;&gt;""),COLUMN(指数走势!$F$35:$ACK$35))-COLUMN(指数走势!$F$35)+1-760+571)))</f>
        <v>14.1590995788574</v>
      </c>
      <c r="VA99">
        <f>IF(ISERROR(INDEX(指数走势!$F$35:$ACK$35,1,LOOKUP(2,1/(指数走势!$F$35:$ACK$35&lt;&gt;""),COLUMN(指数走势!$F$35:$ACK$35))-COLUMN(指数走势!$F$35)+1-760+572)),NA(),IF(INDEX(指数走势!$F$35:$ACK$35,1,LOOKUP(2,1/(指数走势!$F$35:$ACK$35&lt;&gt;""),COLUMN(指数走势!$F$35:$ACK$35))-COLUMN(指数走势!$F$35)+1-760+572)=0,NA(),INDEX(指数走势!$F$35:$ACK$35,1,LOOKUP(2,1/(指数走势!$F$35:$ACK$35&lt;&gt;""),COLUMN(指数走势!$F$35:$ACK$35))-COLUMN(指数走势!$F$35)+1-760+572)))</f>
        <v>13.9616003036499</v>
      </c>
      <c r="VB99">
        <f>IF(ISERROR(INDEX(指数走势!$F$35:$ACK$35,1,LOOKUP(2,1/(指数走势!$F$35:$ACK$35&lt;&gt;""),COLUMN(指数走势!$F$35:$ACK$35))-COLUMN(指数走势!$F$35)+1-760+573)),NA(),IF(INDEX(指数走势!$F$35:$ACK$35,1,LOOKUP(2,1/(指数走势!$F$35:$ACK$35&lt;&gt;""),COLUMN(指数走势!$F$35:$ACK$35))-COLUMN(指数走势!$F$35)+1-760+573)=0,NA(),INDEX(指数走势!$F$35:$ACK$35,1,LOOKUP(2,1/(指数走势!$F$35:$ACK$35&lt;&gt;""),COLUMN(指数走势!$F$35:$ACK$35))-COLUMN(指数走势!$F$35)+1-760+573)))</f>
        <v>13.9609003067017</v>
      </c>
      <c r="VC99">
        <f>IF(ISERROR(INDEX(指数走势!$F$35:$ACK$35,1,LOOKUP(2,1/(指数走势!$F$35:$ACK$35&lt;&gt;""),COLUMN(指数走势!$F$35:$ACK$35))-COLUMN(指数走势!$F$35)+1-760+574)),NA(),IF(INDEX(指数走势!$F$35:$ACK$35,1,LOOKUP(2,1/(指数走势!$F$35:$ACK$35&lt;&gt;""),COLUMN(指数走势!$F$35:$ACK$35))-COLUMN(指数走势!$F$35)+1-760+574)=0,NA(),INDEX(指数走势!$F$35:$ACK$35,1,LOOKUP(2,1/(指数走势!$F$35:$ACK$35&lt;&gt;""),COLUMN(指数走势!$F$35:$ACK$35))-COLUMN(指数走势!$F$35)+1-760+574)))</f>
        <v>13.9723997116089</v>
      </c>
      <c r="VD99">
        <f>IF(ISERROR(INDEX(指数走势!$F$35:$ACK$35,1,LOOKUP(2,1/(指数走势!$F$35:$ACK$35&lt;&gt;""),COLUMN(指数走势!$F$35:$ACK$35))-COLUMN(指数走势!$F$35)+1-760+575)),NA(),IF(INDEX(指数走势!$F$35:$ACK$35,1,LOOKUP(2,1/(指数走势!$F$35:$ACK$35&lt;&gt;""),COLUMN(指数走势!$F$35:$ACK$35))-COLUMN(指数走势!$F$35)+1-760+575)=0,NA(),INDEX(指数走势!$F$35:$ACK$35,1,LOOKUP(2,1/(指数走势!$F$35:$ACK$35&lt;&gt;""),COLUMN(指数走势!$F$35:$ACK$35))-COLUMN(指数走势!$F$35)+1-760+575)))</f>
        <v>14.0132999420166</v>
      </c>
      <c r="VE99">
        <f>IF(ISERROR(INDEX(指数走势!$F$35:$ACK$35,1,LOOKUP(2,1/(指数走势!$F$35:$ACK$35&lt;&gt;""),COLUMN(指数走势!$F$35:$ACK$35))-COLUMN(指数走势!$F$35)+1-760+576)),NA(),IF(INDEX(指数走势!$F$35:$ACK$35,1,LOOKUP(2,1/(指数走势!$F$35:$ACK$35&lt;&gt;""),COLUMN(指数走势!$F$35:$ACK$35))-COLUMN(指数走势!$F$35)+1-760+576)=0,NA(),INDEX(指数走势!$F$35:$ACK$35,1,LOOKUP(2,1/(指数走势!$F$35:$ACK$35&lt;&gt;""),COLUMN(指数走势!$F$35:$ACK$35))-COLUMN(指数走势!$F$35)+1-760+576)))</f>
        <v>14.0963001251221</v>
      </c>
      <c r="VF99">
        <f>IF(ISERROR(INDEX(指数走势!$F$35:$ACK$35,1,LOOKUP(2,1/(指数走势!$F$35:$ACK$35&lt;&gt;""),COLUMN(指数走势!$F$35:$ACK$35))-COLUMN(指数走势!$F$35)+1-760+577)),NA(),IF(INDEX(指数走势!$F$35:$ACK$35,1,LOOKUP(2,1/(指数走势!$F$35:$ACK$35&lt;&gt;""),COLUMN(指数走势!$F$35:$ACK$35))-COLUMN(指数走势!$F$35)+1-760+577)=0,NA(),INDEX(指数走势!$F$35:$ACK$35,1,LOOKUP(2,1/(指数走势!$F$35:$ACK$35&lt;&gt;""),COLUMN(指数走势!$F$35:$ACK$35))-COLUMN(指数走势!$F$35)+1-760+577)))</f>
        <v>14.1333999633789</v>
      </c>
      <c r="VG99">
        <f>IF(ISERROR(INDEX(指数走势!$F$35:$ACK$35,1,LOOKUP(2,1/(指数走势!$F$35:$ACK$35&lt;&gt;""),COLUMN(指数走势!$F$35:$ACK$35))-COLUMN(指数走势!$F$35)+1-760+578)),NA(),IF(INDEX(指数走势!$F$35:$ACK$35,1,LOOKUP(2,1/(指数走势!$F$35:$ACK$35&lt;&gt;""),COLUMN(指数走势!$F$35:$ACK$35))-COLUMN(指数走势!$F$35)+1-760+578)=0,NA(),INDEX(指数走势!$F$35:$ACK$35,1,LOOKUP(2,1/(指数走势!$F$35:$ACK$35&lt;&gt;""),COLUMN(指数走势!$F$35:$ACK$35))-COLUMN(指数走势!$F$35)+1-760+578)))</f>
        <v>14.0418996810913</v>
      </c>
      <c r="VH99">
        <f>IF(ISERROR(INDEX(指数走势!$F$35:$ACK$35,1,LOOKUP(2,1/(指数走势!$F$35:$ACK$35&lt;&gt;""),COLUMN(指数走势!$F$35:$ACK$35))-COLUMN(指数走势!$F$35)+1-760+579)),NA(),IF(INDEX(指数走势!$F$35:$ACK$35,1,LOOKUP(2,1/(指数走势!$F$35:$ACK$35&lt;&gt;""),COLUMN(指数走势!$F$35:$ACK$35))-COLUMN(指数走势!$F$35)+1-760+579)=0,NA(),INDEX(指数走势!$F$35:$ACK$35,1,LOOKUP(2,1/(指数走势!$F$35:$ACK$35&lt;&gt;""),COLUMN(指数走势!$F$35:$ACK$35))-COLUMN(指数走势!$F$35)+1-760+579)))</f>
        <v>14.1851997375488</v>
      </c>
      <c r="VI99">
        <f>IF(ISERROR(INDEX(指数走势!$F$35:$ACK$35,1,LOOKUP(2,1/(指数走势!$F$35:$ACK$35&lt;&gt;""),COLUMN(指数走势!$F$35:$ACK$35))-COLUMN(指数走势!$F$35)+1-760+580)),NA(),IF(INDEX(指数走势!$F$35:$ACK$35,1,LOOKUP(2,1/(指数走势!$F$35:$ACK$35&lt;&gt;""),COLUMN(指数走势!$F$35:$ACK$35))-COLUMN(指数走势!$F$35)+1-760+580)=0,NA(),INDEX(指数走势!$F$35:$ACK$35,1,LOOKUP(2,1/(指数走势!$F$35:$ACK$35&lt;&gt;""),COLUMN(指数走势!$F$35:$ACK$35))-COLUMN(指数走势!$F$35)+1-760+580)))</f>
        <v>14.2225999832153</v>
      </c>
      <c r="VJ99">
        <f>IF(ISERROR(INDEX(指数走势!$F$35:$ACK$35,1,LOOKUP(2,1/(指数走势!$F$35:$ACK$35&lt;&gt;""),COLUMN(指数走势!$F$35:$ACK$35))-COLUMN(指数走势!$F$35)+1-760+581)),NA(),IF(INDEX(指数走势!$F$35:$ACK$35,1,LOOKUP(2,1/(指数走势!$F$35:$ACK$35&lt;&gt;""),COLUMN(指数走势!$F$35:$ACK$35))-COLUMN(指数走势!$F$35)+1-760+581)=0,NA(),INDEX(指数走势!$F$35:$ACK$35,1,LOOKUP(2,1/(指数走势!$F$35:$ACK$35&lt;&gt;""),COLUMN(指数走势!$F$35:$ACK$35))-COLUMN(指数走势!$F$35)+1-760+581)))</f>
        <v>14.4153003692627</v>
      </c>
      <c r="VK99">
        <f>IF(ISERROR(INDEX(指数走势!$F$35:$ACK$35,1,LOOKUP(2,1/(指数走势!$F$35:$ACK$35&lt;&gt;""),COLUMN(指数走势!$F$35:$ACK$35))-COLUMN(指数走势!$F$35)+1-760+582)),NA(),IF(INDEX(指数走势!$F$35:$ACK$35,1,LOOKUP(2,1/(指数走势!$F$35:$ACK$35&lt;&gt;""),COLUMN(指数走势!$F$35:$ACK$35))-COLUMN(指数走势!$F$35)+1-760+582)=0,NA(),INDEX(指数走势!$F$35:$ACK$35,1,LOOKUP(2,1/(指数走势!$F$35:$ACK$35&lt;&gt;""),COLUMN(指数走势!$F$35:$ACK$35))-COLUMN(指数走势!$F$35)+1-760+582)))</f>
        <v>14.2453002929687</v>
      </c>
      <c r="VL99">
        <f>IF(ISERROR(INDEX(指数走势!$F$35:$ACK$35,1,LOOKUP(2,1/(指数走势!$F$35:$ACK$35&lt;&gt;""),COLUMN(指数走势!$F$35:$ACK$35))-COLUMN(指数走势!$F$35)+1-760+583)),NA(),IF(INDEX(指数走势!$F$35:$ACK$35,1,LOOKUP(2,1/(指数走势!$F$35:$ACK$35&lt;&gt;""),COLUMN(指数走势!$F$35:$ACK$35))-COLUMN(指数走势!$F$35)+1-760+583)=0,NA(),INDEX(指数走势!$F$35:$ACK$35,1,LOOKUP(2,1/(指数走势!$F$35:$ACK$35&lt;&gt;""),COLUMN(指数走势!$F$35:$ACK$35))-COLUMN(指数走势!$F$35)+1-760+583)))</f>
        <v>14.1894998550415</v>
      </c>
      <c r="VM99">
        <f>IF(ISERROR(INDEX(指数走势!$F$35:$ACK$35,1,LOOKUP(2,1/(指数走势!$F$35:$ACK$35&lt;&gt;""),COLUMN(指数走势!$F$35:$ACK$35))-COLUMN(指数走势!$F$35)+1-760+584)),NA(),IF(INDEX(指数走势!$F$35:$ACK$35,1,LOOKUP(2,1/(指数走势!$F$35:$ACK$35&lt;&gt;""),COLUMN(指数走势!$F$35:$ACK$35))-COLUMN(指数走势!$F$35)+1-760+584)=0,NA(),INDEX(指数走势!$F$35:$ACK$35,1,LOOKUP(2,1/(指数走势!$F$35:$ACK$35&lt;&gt;""),COLUMN(指数走势!$F$35:$ACK$35))-COLUMN(指数走势!$F$35)+1-760+584)))</f>
        <v>14.1444997787476</v>
      </c>
      <c r="VN99">
        <f>IF(ISERROR(INDEX(指数走势!$F$35:$ACK$35,1,LOOKUP(2,1/(指数走势!$F$35:$ACK$35&lt;&gt;""),COLUMN(指数走势!$F$35:$ACK$35))-COLUMN(指数走势!$F$35)+1-760+585)),NA(),IF(INDEX(指数走势!$F$35:$ACK$35,1,LOOKUP(2,1/(指数走势!$F$35:$ACK$35&lt;&gt;""),COLUMN(指数走势!$F$35:$ACK$35))-COLUMN(指数走势!$F$35)+1-760+585)=0,NA(),INDEX(指数走势!$F$35:$ACK$35,1,LOOKUP(2,1/(指数走势!$F$35:$ACK$35&lt;&gt;""),COLUMN(指数走势!$F$35:$ACK$35))-COLUMN(指数走势!$F$35)+1-760+585)))</f>
        <v>14.3058004379272</v>
      </c>
      <c r="VO99">
        <f>IF(ISERROR(INDEX(指数走势!$F$35:$ACK$35,1,LOOKUP(2,1/(指数走势!$F$35:$ACK$35&lt;&gt;""),COLUMN(指数走势!$F$35:$ACK$35))-COLUMN(指数走势!$F$35)+1-760+586)),NA(),IF(INDEX(指数走势!$F$35:$ACK$35,1,LOOKUP(2,1/(指数走势!$F$35:$ACK$35&lt;&gt;""),COLUMN(指数走势!$F$35:$ACK$35))-COLUMN(指数走势!$F$35)+1-760+586)=0,NA(),INDEX(指数走势!$F$35:$ACK$35,1,LOOKUP(2,1/(指数走势!$F$35:$ACK$35&lt;&gt;""),COLUMN(指数走势!$F$35:$ACK$35))-COLUMN(指数走势!$F$35)+1-760+586)))</f>
        <v>14.4041004180908</v>
      </c>
      <c r="VP99">
        <f>IF(ISERROR(INDEX(指数走势!$F$35:$ACK$35,1,LOOKUP(2,1/(指数走势!$F$35:$ACK$35&lt;&gt;""),COLUMN(指数走势!$F$35:$ACK$35))-COLUMN(指数走势!$F$35)+1-760+587)),NA(),IF(INDEX(指数走势!$F$35:$ACK$35,1,LOOKUP(2,1/(指数走势!$F$35:$ACK$35&lt;&gt;""),COLUMN(指数走势!$F$35:$ACK$35))-COLUMN(指数走势!$F$35)+1-760+587)=0,NA(),INDEX(指数走势!$F$35:$ACK$35,1,LOOKUP(2,1/(指数走势!$F$35:$ACK$35&lt;&gt;""),COLUMN(指数走势!$F$35:$ACK$35))-COLUMN(指数走势!$F$35)+1-760+587)))</f>
        <v>14.1536998748779</v>
      </c>
      <c r="VQ99">
        <f>IF(ISERROR(INDEX(指数走势!$F$35:$ACK$35,1,LOOKUP(2,1/(指数走势!$F$35:$ACK$35&lt;&gt;""),COLUMN(指数走势!$F$35:$ACK$35))-COLUMN(指数走势!$F$35)+1-760+588)),NA(),IF(INDEX(指数走势!$F$35:$ACK$35,1,LOOKUP(2,1/(指数走势!$F$35:$ACK$35&lt;&gt;""),COLUMN(指数走势!$F$35:$ACK$35))-COLUMN(指数走势!$F$35)+1-760+588)=0,NA(),INDEX(指数走势!$F$35:$ACK$35,1,LOOKUP(2,1/(指数走势!$F$35:$ACK$35&lt;&gt;""),COLUMN(指数走势!$F$35:$ACK$35))-COLUMN(指数走势!$F$35)+1-760+588)))</f>
        <v>14.2164001464844</v>
      </c>
      <c r="VR99">
        <f>IF(ISERROR(INDEX(指数走势!$F$35:$ACK$35,1,LOOKUP(2,1/(指数走势!$F$35:$ACK$35&lt;&gt;""),COLUMN(指数走势!$F$35:$ACK$35))-COLUMN(指数走势!$F$35)+1-760+589)),NA(),IF(INDEX(指数走势!$F$35:$ACK$35,1,LOOKUP(2,1/(指数走势!$F$35:$ACK$35&lt;&gt;""),COLUMN(指数走势!$F$35:$ACK$35))-COLUMN(指数走势!$F$35)+1-760+589)=0,NA(),INDEX(指数走势!$F$35:$ACK$35,1,LOOKUP(2,1/(指数走势!$F$35:$ACK$35&lt;&gt;""),COLUMN(指数走势!$F$35:$ACK$35))-COLUMN(指数走势!$F$35)+1-760+589)))</f>
        <v>14.3729000091553</v>
      </c>
      <c r="VS99">
        <f>IF(ISERROR(INDEX(指数走势!$F$35:$ACK$35,1,LOOKUP(2,1/(指数走势!$F$35:$ACK$35&lt;&gt;""),COLUMN(指数走势!$F$35:$ACK$35))-COLUMN(指数走势!$F$35)+1-760+590)),NA(),IF(INDEX(指数走势!$F$35:$ACK$35,1,LOOKUP(2,1/(指数走势!$F$35:$ACK$35&lt;&gt;""),COLUMN(指数走势!$F$35:$ACK$35))-COLUMN(指数走势!$F$35)+1-760+590)=0,NA(),INDEX(指数走势!$F$35:$ACK$35,1,LOOKUP(2,1/(指数走势!$F$35:$ACK$35&lt;&gt;""),COLUMN(指数走势!$F$35:$ACK$35))-COLUMN(指数走势!$F$35)+1-760+590)))</f>
        <v>14.3983001708984</v>
      </c>
      <c r="VT99">
        <f>IF(ISERROR(INDEX(指数走势!$F$35:$ACK$35,1,LOOKUP(2,1/(指数走势!$F$35:$ACK$35&lt;&gt;""),COLUMN(指数走势!$F$35:$ACK$35))-COLUMN(指数走势!$F$35)+1-760+591)),NA(),IF(INDEX(指数走势!$F$35:$ACK$35,1,LOOKUP(2,1/(指数走势!$F$35:$ACK$35&lt;&gt;""),COLUMN(指数走势!$F$35:$ACK$35))-COLUMN(指数走势!$F$35)+1-760+591)=0,NA(),INDEX(指数走势!$F$35:$ACK$35,1,LOOKUP(2,1/(指数走势!$F$35:$ACK$35&lt;&gt;""),COLUMN(指数走势!$F$35:$ACK$35))-COLUMN(指数走势!$F$35)+1-760+591)))</f>
        <v>14.4575996398926</v>
      </c>
      <c r="VU99">
        <f>IF(ISERROR(INDEX(指数走势!$F$35:$ACK$35,1,LOOKUP(2,1/(指数走势!$F$35:$ACK$35&lt;&gt;""),COLUMN(指数走势!$F$35:$ACK$35))-COLUMN(指数走势!$F$35)+1-760+592)),NA(),IF(INDEX(指数走势!$F$35:$ACK$35,1,LOOKUP(2,1/(指数走势!$F$35:$ACK$35&lt;&gt;""),COLUMN(指数走势!$F$35:$ACK$35))-COLUMN(指数走势!$F$35)+1-760+592)=0,NA(),INDEX(指数走势!$F$35:$ACK$35,1,LOOKUP(2,1/(指数走势!$F$35:$ACK$35&lt;&gt;""),COLUMN(指数走势!$F$35:$ACK$35))-COLUMN(指数走势!$F$35)+1-760+592)))</f>
        <v>14.5550003051758</v>
      </c>
      <c r="VV99">
        <f>IF(ISERROR(INDEX(指数走势!$F$35:$ACK$35,1,LOOKUP(2,1/(指数走势!$F$35:$ACK$35&lt;&gt;""),COLUMN(指数走势!$F$35:$ACK$35))-COLUMN(指数走势!$F$35)+1-760+593)),NA(),IF(INDEX(指数走势!$F$35:$ACK$35,1,LOOKUP(2,1/(指数走势!$F$35:$ACK$35&lt;&gt;""),COLUMN(指数走势!$F$35:$ACK$35))-COLUMN(指数走势!$F$35)+1-760+593)=0,NA(),INDEX(指数走势!$F$35:$ACK$35,1,LOOKUP(2,1/(指数走势!$F$35:$ACK$35&lt;&gt;""),COLUMN(指数走势!$F$35:$ACK$35))-COLUMN(指数走势!$F$35)+1-760+593)))</f>
        <v>14.6921997070312</v>
      </c>
      <c r="VW99">
        <f>IF(ISERROR(INDEX(指数走势!$F$35:$ACK$35,1,LOOKUP(2,1/(指数走势!$F$35:$ACK$35&lt;&gt;""),COLUMN(指数走势!$F$35:$ACK$35))-COLUMN(指数走势!$F$35)+1-760+594)),NA(),IF(INDEX(指数走势!$F$35:$ACK$35,1,LOOKUP(2,1/(指数走势!$F$35:$ACK$35&lt;&gt;""),COLUMN(指数走势!$F$35:$ACK$35))-COLUMN(指数走势!$F$35)+1-760+594)=0,NA(),INDEX(指数走势!$F$35:$ACK$35,1,LOOKUP(2,1/(指数走势!$F$35:$ACK$35&lt;&gt;""),COLUMN(指数走势!$F$35:$ACK$35))-COLUMN(指数走势!$F$35)+1-760+594)))</f>
        <v>14.622200012207</v>
      </c>
      <c r="VX99">
        <f>IF(ISERROR(INDEX(指数走势!$F$35:$ACK$35,1,LOOKUP(2,1/(指数走势!$F$35:$ACK$35&lt;&gt;""),COLUMN(指数走势!$F$35:$ACK$35))-COLUMN(指数走势!$F$35)+1-760+595)),NA(),IF(INDEX(指数走势!$F$35:$ACK$35,1,LOOKUP(2,1/(指数走势!$F$35:$ACK$35&lt;&gt;""),COLUMN(指数走势!$F$35:$ACK$35))-COLUMN(指数走势!$F$35)+1-760+595)=0,NA(),INDEX(指数走势!$F$35:$ACK$35,1,LOOKUP(2,1/(指数走势!$F$35:$ACK$35&lt;&gt;""),COLUMN(指数走势!$F$35:$ACK$35))-COLUMN(指数走势!$F$35)+1-760+595)))</f>
        <v>14.6152000427246</v>
      </c>
      <c r="VY99">
        <f>IF(ISERROR(INDEX(指数走势!$F$35:$ACK$35,1,LOOKUP(2,1/(指数走势!$F$35:$ACK$35&lt;&gt;""),COLUMN(指数走势!$F$35:$ACK$35))-COLUMN(指数走势!$F$35)+1-760+596)),NA(),IF(INDEX(指数走势!$F$35:$ACK$35,1,LOOKUP(2,1/(指数走势!$F$35:$ACK$35&lt;&gt;""),COLUMN(指数走势!$F$35:$ACK$35))-COLUMN(指数走势!$F$35)+1-760+596)=0,NA(),INDEX(指数走势!$F$35:$ACK$35,1,LOOKUP(2,1/(指数走势!$F$35:$ACK$35&lt;&gt;""),COLUMN(指数走势!$F$35:$ACK$35))-COLUMN(指数走势!$F$35)+1-760+596)))</f>
        <v>14.4942998886108</v>
      </c>
      <c r="VZ99">
        <f>IF(ISERROR(INDEX(指数走势!$F$35:$ACK$35,1,LOOKUP(2,1/(指数走势!$F$35:$ACK$35&lt;&gt;""),COLUMN(指数走势!$F$35:$ACK$35))-COLUMN(指数走势!$F$35)+1-760+597)),NA(),IF(INDEX(指数走势!$F$35:$ACK$35,1,LOOKUP(2,1/(指数走势!$F$35:$ACK$35&lt;&gt;""),COLUMN(指数走势!$F$35:$ACK$35))-COLUMN(指数走势!$F$35)+1-760+597)=0,NA(),INDEX(指数走势!$F$35:$ACK$35,1,LOOKUP(2,1/(指数走势!$F$35:$ACK$35&lt;&gt;""),COLUMN(指数走势!$F$35:$ACK$35))-COLUMN(指数走势!$F$35)+1-760+597)))</f>
        <v>14.1146001815796</v>
      </c>
      <c r="WA99">
        <f>IF(ISERROR(INDEX(指数走势!$F$35:$ACK$35,1,LOOKUP(2,1/(指数走势!$F$35:$ACK$35&lt;&gt;""),COLUMN(指数走势!$F$35:$ACK$35))-COLUMN(指数走势!$F$35)+1-760+598)),NA(),IF(INDEX(指数走势!$F$35:$ACK$35,1,LOOKUP(2,1/(指数走势!$F$35:$ACK$35&lt;&gt;""),COLUMN(指数走势!$F$35:$ACK$35))-COLUMN(指数走势!$F$35)+1-760+598)=0,NA(),INDEX(指数走势!$F$35:$ACK$35,1,LOOKUP(2,1/(指数走势!$F$35:$ACK$35&lt;&gt;""),COLUMN(指数走势!$F$35:$ACK$35))-COLUMN(指数走势!$F$35)+1-760+598)))</f>
        <v>14.203800201416</v>
      </c>
      <c r="WB99">
        <f>IF(ISERROR(INDEX(指数走势!$F$35:$ACK$35,1,LOOKUP(2,1/(指数走势!$F$35:$ACK$35&lt;&gt;""),COLUMN(指数走势!$F$35:$ACK$35))-COLUMN(指数走势!$F$35)+1-760+599)),NA(),IF(INDEX(指数走势!$F$35:$ACK$35,1,LOOKUP(2,1/(指数走势!$F$35:$ACK$35&lt;&gt;""),COLUMN(指数走势!$F$35:$ACK$35))-COLUMN(指数走势!$F$35)+1-760+599)=0,NA(),INDEX(指数走势!$F$35:$ACK$35,1,LOOKUP(2,1/(指数走势!$F$35:$ACK$35&lt;&gt;""),COLUMN(指数走势!$F$35:$ACK$35))-COLUMN(指数走势!$F$35)+1-760+599)))</f>
        <v>14.1715002059937</v>
      </c>
      <c r="WC99">
        <f>IF(ISERROR(INDEX(指数走势!$F$35:$ACK$35,1,LOOKUP(2,1/(指数走势!$F$35:$ACK$35&lt;&gt;""),COLUMN(指数走势!$F$35:$ACK$35))-COLUMN(指数走势!$F$35)+1-760+600)),NA(),IF(INDEX(指数走势!$F$35:$ACK$35,1,LOOKUP(2,1/(指数走势!$F$35:$ACK$35&lt;&gt;""),COLUMN(指数走势!$F$35:$ACK$35))-COLUMN(指数走势!$F$35)+1-760+600)=0,NA(),INDEX(指数走势!$F$35:$ACK$35,1,LOOKUP(2,1/(指数走势!$F$35:$ACK$35&lt;&gt;""),COLUMN(指数走势!$F$35:$ACK$35))-COLUMN(指数走势!$F$35)+1-760+600)))</f>
        <v>14.1770000457764</v>
      </c>
      <c r="WD99">
        <f>IF(ISERROR(INDEX(指数走势!$F$35:$ACK$35,1,LOOKUP(2,1/(指数走势!$F$35:$ACK$35&lt;&gt;""),COLUMN(指数走势!$F$35:$ACK$35))-COLUMN(指数走势!$F$35)+1-760+601)),NA(),IF(INDEX(指数走势!$F$35:$ACK$35,1,LOOKUP(2,1/(指数走势!$F$35:$ACK$35&lt;&gt;""),COLUMN(指数走势!$F$35:$ACK$35))-COLUMN(指数走势!$F$35)+1-760+601)=0,NA(),INDEX(指数走势!$F$35:$ACK$35,1,LOOKUP(2,1/(指数走势!$F$35:$ACK$35&lt;&gt;""),COLUMN(指数走势!$F$35:$ACK$35))-COLUMN(指数走势!$F$35)+1-760+601)))</f>
        <v>14.3295001983643</v>
      </c>
      <c r="WE99">
        <f>IF(ISERROR(INDEX(指数走势!$F$35:$ACK$35,1,LOOKUP(2,1/(指数走势!$F$35:$ACK$35&lt;&gt;""),COLUMN(指数走势!$F$35:$ACK$35))-COLUMN(指数走势!$F$35)+1-760+602)),NA(),IF(INDEX(指数走势!$F$35:$ACK$35,1,LOOKUP(2,1/(指数走势!$F$35:$ACK$35&lt;&gt;""),COLUMN(指数走势!$F$35:$ACK$35))-COLUMN(指数走势!$F$35)+1-760+602)=0,NA(),INDEX(指数走势!$F$35:$ACK$35,1,LOOKUP(2,1/(指数走势!$F$35:$ACK$35&lt;&gt;""),COLUMN(指数走势!$F$35:$ACK$35))-COLUMN(指数走势!$F$35)+1-760+602)))</f>
        <v>14.2847995758057</v>
      </c>
      <c r="WF99">
        <f>IF(ISERROR(INDEX(指数走势!$F$35:$ACK$35,1,LOOKUP(2,1/(指数走势!$F$35:$ACK$35&lt;&gt;""),COLUMN(指数走势!$F$35:$ACK$35))-COLUMN(指数走势!$F$35)+1-760+603)),NA(),IF(INDEX(指数走势!$F$35:$ACK$35,1,LOOKUP(2,1/(指数走势!$F$35:$ACK$35&lt;&gt;""),COLUMN(指数走势!$F$35:$ACK$35))-COLUMN(指数走势!$F$35)+1-760+603)=0,NA(),INDEX(指数走势!$F$35:$ACK$35,1,LOOKUP(2,1/(指数走势!$F$35:$ACK$35&lt;&gt;""),COLUMN(指数走势!$F$35:$ACK$35))-COLUMN(指数走势!$F$35)+1-760+603)))</f>
        <v>14.3641004562378</v>
      </c>
      <c r="WG99">
        <f>IF(ISERROR(INDEX(指数走势!$F$35:$ACK$35,1,LOOKUP(2,1/(指数走势!$F$35:$ACK$35&lt;&gt;""),COLUMN(指数走势!$F$35:$ACK$35))-COLUMN(指数走势!$F$35)+1-760+604)),NA(),IF(INDEX(指数走势!$F$35:$ACK$35,1,LOOKUP(2,1/(指数走势!$F$35:$ACK$35&lt;&gt;""),COLUMN(指数走势!$F$35:$ACK$35))-COLUMN(指数走势!$F$35)+1-760+604)=0,NA(),INDEX(指数走势!$F$35:$ACK$35,1,LOOKUP(2,1/(指数走势!$F$35:$ACK$35&lt;&gt;""),COLUMN(指数走势!$F$35:$ACK$35))-COLUMN(指数走势!$F$35)+1-760+604)))</f>
        <v>14.2722997665405</v>
      </c>
      <c r="WH99">
        <f>IF(ISERROR(INDEX(指数走势!$F$35:$ACK$35,1,LOOKUP(2,1/(指数走势!$F$35:$ACK$35&lt;&gt;""),COLUMN(指数走势!$F$35:$ACK$35))-COLUMN(指数走势!$F$35)+1-760+605)),NA(),IF(INDEX(指数走势!$F$35:$ACK$35,1,LOOKUP(2,1/(指数走势!$F$35:$ACK$35&lt;&gt;""),COLUMN(指数走势!$F$35:$ACK$35))-COLUMN(指数走势!$F$35)+1-760+605)=0,NA(),INDEX(指数走势!$F$35:$ACK$35,1,LOOKUP(2,1/(指数走势!$F$35:$ACK$35&lt;&gt;""),COLUMN(指数走势!$F$35:$ACK$35))-COLUMN(指数走势!$F$35)+1-760+605)))</f>
        <v>14.311900138855</v>
      </c>
      <c r="WI99">
        <f>IF(ISERROR(INDEX(指数走势!$F$35:$ACK$35,1,LOOKUP(2,1/(指数走势!$F$35:$ACK$35&lt;&gt;""),COLUMN(指数走势!$F$35:$ACK$35))-COLUMN(指数走势!$F$35)+1-760+606)),NA(),IF(INDEX(指数走势!$F$35:$ACK$35,1,LOOKUP(2,1/(指数走势!$F$35:$ACK$35&lt;&gt;""),COLUMN(指数走势!$F$35:$ACK$35))-COLUMN(指数走势!$F$35)+1-760+606)=0,NA(),INDEX(指数走势!$F$35:$ACK$35,1,LOOKUP(2,1/(指数走势!$F$35:$ACK$35&lt;&gt;""),COLUMN(指数走势!$F$35:$ACK$35))-COLUMN(指数走势!$F$35)+1-760+606)))</f>
        <v>14.4074001312256</v>
      </c>
      <c r="WJ99">
        <f>IF(ISERROR(INDEX(指数走势!$F$35:$ACK$35,1,LOOKUP(2,1/(指数走势!$F$35:$ACK$35&lt;&gt;""),COLUMN(指数走势!$F$35:$ACK$35))-COLUMN(指数走势!$F$35)+1-760+607)),NA(),IF(INDEX(指数走势!$F$35:$ACK$35,1,LOOKUP(2,1/(指数走势!$F$35:$ACK$35&lt;&gt;""),COLUMN(指数走势!$F$35:$ACK$35))-COLUMN(指数走势!$F$35)+1-760+607)=0,NA(),INDEX(指数走势!$F$35:$ACK$35,1,LOOKUP(2,1/(指数走势!$F$35:$ACK$35&lt;&gt;""),COLUMN(指数走势!$F$35:$ACK$35))-COLUMN(指数走势!$F$35)+1-760+607)))</f>
        <v>14.2372999191284</v>
      </c>
      <c r="WK99">
        <f>IF(ISERROR(INDEX(指数走势!$F$35:$ACK$35,1,LOOKUP(2,1/(指数走势!$F$35:$ACK$35&lt;&gt;""),COLUMN(指数走势!$F$35:$ACK$35))-COLUMN(指数走势!$F$35)+1-760+608)),NA(),IF(INDEX(指数走势!$F$35:$ACK$35,1,LOOKUP(2,1/(指数走势!$F$35:$ACK$35&lt;&gt;""),COLUMN(指数走势!$F$35:$ACK$35))-COLUMN(指数走势!$F$35)+1-760+608)=0,NA(),INDEX(指数走势!$F$35:$ACK$35,1,LOOKUP(2,1/(指数走势!$F$35:$ACK$35&lt;&gt;""),COLUMN(指数走势!$F$35:$ACK$35))-COLUMN(指数走势!$F$35)+1-760+608)))</f>
        <v>14.1352996826172</v>
      </c>
      <c r="WL99">
        <f>IF(ISERROR(INDEX(指数走势!$F$35:$ACK$35,1,LOOKUP(2,1/(指数走势!$F$35:$ACK$35&lt;&gt;""),COLUMN(指数走势!$F$35:$ACK$35))-COLUMN(指数走势!$F$35)+1-760+609)),NA(),IF(INDEX(指数走势!$F$35:$ACK$35,1,LOOKUP(2,1/(指数走势!$F$35:$ACK$35&lt;&gt;""),COLUMN(指数走势!$F$35:$ACK$35))-COLUMN(指数走势!$F$35)+1-760+609)=0,NA(),INDEX(指数走势!$F$35:$ACK$35,1,LOOKUP(2,1/(指数走势!$F$35:$ACK$35&lt;&gt;""),COLUMN(指数走势!$F$35:$ACK$35))-COLUMN(指数走势!$F$35)+1-760+609)))</f>
        <v>14.0559997558594</v>
      </c>
      <c r="WM99">
        <f>IF(ISERROR(INDEX(指数走势!$F$35:$ACK$35,1,LOOKUP(2,1/(指数走势!$F$35:$ACK$35&lt;&gt;""),COLUMN(指数走势!$F$35:$ACK$35))-COLUMN(指数走势!$F$35)+1-760+610)),NA(),IF(INDEX(指数走势!$F$35:$ACK$35,1,LOOKUP(2,1/(指数走势!$F$35:$ACK$35&lt;&gt;""),COLUMN(指数走势!$F$35:$ACK$35))-COLUMN(指数走势!$F$35)+1-760+610)=0,NA(),INDEX(指数走势!$F$35:$ACK$35,1,LOOKUP(2,1/(指数走势!$F$35:$ACK$35&lt;&gt;""),COLUMN(指数走势!$F$35:$ACK$35))-COLUMN(指数走势!$F$35)+1-760+610)))</f>
        <v>14.1603002548218</v>
      </c>
      <c r="WN99">
        <f>IF(ISERROR(INDEX(指数走势!$F$35:$ACK$35,1,LOOKUP(2,1/(指数走势!$F$35:$ACK$35&lt;&gt;""),COLUMN(指数走势!$F$35:$ACK$35))-COLUMN(指数走势!$F$35)+1-760+611)),NA(),IF(INDEX(指数走势!$F$35:$ACK$35,1,LOOKUP(2,1/(指数走势!$F$35:$ACK$35&lt;&gt;""),COLUMN(指数走势!$F$35:$ACK$35))-COLUMN(指数走势!$F$35)+1-760+611)=0,NA(),INDEX(指数走势!$F$35:$ACK$35,1,LOOKUP(2,1/(指数走势!$F$35:$ACK$35&lt;&gt;""),COLUMN(指数走势!$F$35:$ACK$35))-COLUMN(指数走势!$F$35)+1-760+611)))</f>
        <v>14.1386995315552</v>
      </c>
      <c r="WO99">
        <f>IF(ISERROR(INDEX(指数走势!$F$35:$ACK$35,1,LOOKUP(2,1/(指数走势!$F$35:$ACK$35&lt;&gt;""),COLUMN(指数走势!$F$35:$ACK$35))-COLUMN(指数走势!$F$35)+1-760+612)),NA(),IF(INDEX(指数走势!$F$35:$ACK$35,1,LOOKUP(2,1/(指数走势!$F$35:$ACK$35&lt;&gt;""),COLUMN(指数走势!$F$35:$ACK$35))-COLUMN(指数走势!$F$35)+1-760+612)=0,NA(),INDEX(指数走势!$F$35:$ACK$35,1,LOOKUP(2,1/(指数走势!$F$35:$ACK$35&lt;&gt;""),COLUMN(指数走势!$F$35:$ACK$35))-COLUMN(指数走势!$F$35)+1-760+612)))</f>
        <v>13.8715000152588</v>
      </c>
      <c r="WP99">
        <f>IF(ISERROR(INDEX(指数走势!$F$35:$ACK$35,1,LOOKUP(2,1/(指数走势!$F$35:$ACK$35&lt;&gt;""),COLUMN(指数走势!$F$35:$ACK$35))-COLUMN(指数走势!$F$35)+1-760+613)),NA(),IF(INDEX(指数走势!$F$35:$ACK$35,1,LOOKUP(2,1/(指数走势!$F$35:$ACK$35&lt;&gt;""),COLUMN(指数走势!$F$35:$ACK$35))-COLUMN(指数走势!$F$35)+1-760+613)=0,NA(),INDEX(指数走势!$F$35:$ACK$35,1,LOOKUP(2,1/(指数走势!$F$35:$ACK$35&lt;&gt;""),COLUMN(指数走势!$F$35:$ACK$35))-COLUMN(指数走势!$F$35)+1-760+613)))</f>
        <v>13.8076000213623</v>
      </c>
      <c r="WQ99">
        <f>IF(ISERROR(INDEX(指数走势!$F$35:$ACK$35,1,LOOKUP(2,1/(指数走势!$F$35:$ACK$35&lt;&gt;""),COLUMN(指数走势!$F$35:$ACK$35))-COLUMN(指数走势!$F$35)+1-760+614)),NA(),IF(INDEX(指数走势!$F$35:$ACK$35,1,LOOKUP(2,1/(指数走势!$F$35:$ACK$35&lt;&gt;""),COLUMN(指数走势!$F$35:$ACK$35))-COLUMN(指数走势!$F$35)+1-760+614)=0,NA(),INDEX(指数走势!$F$35:$ACK$35,1,LOOKUP(2,1/(指数走势!$F$35:$ACK$35&lt;&gt;""),COLUMN(指数走势!$F$35:$ACK$35))-COLUMN(指数走势!$F$35)+1-760+614)))</f>
        <v>13.9184999465942</v>
      </c>
      <c r="WR99">
        <f>IF(ISERROR(INDEX(指数走势!$F$35:$ACK$35,1,LOOKUP(2,1/(指数走势!$F$35:$ACK$35&lt;&gt;""),COLUMN(指数走势!$F$35:$ACK$35))-COLUMN(指数走势!$F$35)+1-760+615)),NA(),IF(INDEX(指数走势!$F$35:$ACK$35,1,LOOKUP(2,1/(指数走势!$F$35:$ACK$35&lt;&gt;""),COLUMN(指数走势!$F$35:$ACK$35))-COLUMN(指数走势!$F$35)+1-760+615)=0,NA(),INDEX(指数走势!$F$35:$ACK$35,1,LOOKUP(2,1/(指数走势!$F$35:$ACK$35&lt;&gt;""),COLUMN(指数走势!$F$35:$ACK$35))-COLUMN(指数走势!$F$35)+1-760+615)))</f>
        <v>13.9204998016357</v>
      </c>
      <c r="WS99">
        <f>IF(ISERROR(INDEX(指数走势!$F$35:$ACK$35,1,LOOKUP(2,1/(指数走势!$F$35:$ACK$35&lt;&gt;""),COLUMN(指数走势!$F$35:$ACK$35))-COLUMN(指数走势!$F$35)+1-760+616)),NA(),IF(INDEX(指数走势!$F$35:$ACK$35,1,LOOKUP(2,1/(指数走势!$F$35:$ACK$35&lt;&gt;""),COLUMN(指数走势!$F$35:$ACK$35))-COLUMN(指数走势!$F$35)+1-760+616)=0,NA(),INDEX(指数走势!$F$35:$ACK$35,1,LOOKUP(2,1/(指数走势!$F$35:$ACK$35&lt;&gt;""),COLUMN(指数走势!$F$35:$ACK$35))-COLUMN(指数走势!$F$35)+1-760+616)))</f>
        <v>13.9465999603271</v>
      </c>
      <c r="WT99">
        <f>IF(ISERROR(INDEX(指数走势!$F$35:$ACK$35,1,LOOKUP(2,1/(指数走势!$F$35:$ACK$35&lt;&gt;""),COLUMN(指数走势!$F$35:$ACK$35))-COLUMN(指数走势!$F$35)+1-760+617)),NA(),IF(INDEX(指数走势!$F$35:$ACK$35,1,LOOKUP(2,1/(指数走势!$F$35:$ACK$35&lt;&gt;""),COLUMN(指数走势!$F$35:$ACK$35))-COLUMN(指数走势!$F$35)+1-760+617)=0,NA(),INDEX(指数走势!$F$35:$ACK$35,1,LOOKUP(2,1/(指数走势!$F$35:$ACK$35&lt;&gt;""),COLUMN(指数走势!$F$35:$ACK$35))-COLUMN(指数走势!$F$35)+1-760+617)))</f>
        <v>13.940899848938</v>
      </c>
      <c r="WU99">
        <f>IF(ISERROR(INDEX(指数走势!$F$35:$ACK$35,1,LOOKUP(2,1/(指数走势!$F$35:$ACK$35&lt;&gt;""),COLUMN(指数走势!$F$35:$ACK$35))-COLUMN(指数走势!$F$35)+1-760+618)),NA(),IF(INDEX(指数走势!$F$35:$ACK$35,1,LOOKUP(2,1/(指数走势!$F$35:$ACK$35&lt;&gt;""),COLUMN(指数走势!$F$35:$ACK$35))-COLUMN(指数走势!$F$35)+1-760+618)=0,NA(),INDEX(指数走势!$F$35:$ACK$35,1,LOOKUP(2,1/(指数走势!$F$35:$ACK$35&lt;&gt;""),COLUMN(指数走势!$F$35:$ACK$35))-COLUMN(指数走势!$F$35)+1-760+618)))</f>
        <v>14.0524997711182</v>
      </c>
      <c r="WV99">
        <f>IF(ISERROR(INDEX(指数走势!$F$35:$ACK$35,1,LOOKUP(2,1/(指数走势!$F$35:$ACK$35&lt;&gt;""),COLUMN(指数走势!$F$35:$ACK$35))-COLUMN(指数走势!$F$35)+1-760+619)),NA(),IF(INDEX(指数走势!$F$35:$ACK$35,1,LOOKUP(2,1/(指数走势!$F$35:$ACK$35&lt;&gt;""),COLUMN(指数走势!$F$35:$ACK$35))-COLUMN(指数走势!$F$35)+1-760+619)=0,NA(),INDEX(指数走势!$F$35:$ACK$35,1,LOOKUP(2,1/(指数走势!$F$35:$ACK$35&lt;&gt;""),COLUMN(指数走势!$F$35:$ACK$35))-COLUMN(指数走势!$F$35)+1-760+619)))</f>
        <v>14.0177001953125</v>
      </c>
      <c r="WW99">
        <f>IF(ISERROR(INDEX(指数走势!$F$35:$ACK$35,1,LOOKUP(2,1/(指数走势!$F$35:$ACK$35&lt;&gt;""),COLUMN(指数走势!$F$35:$ACK$35))-COLUMN(指数走势!$F$35)+1-760+620)),NA(),IF(INDEX(指数走势!$F$35:$ACK$35,1,LOOKUP(2,1/(指数走势!$F$35:$ACK$35&lt;&gt;""),COLUMN(指数走势!$F$35:$ACK$35))-COLUMN(指数走势!$F$35)+1-760+620)=0,NA(),INDEX(指数走势!$F$35:$ACK$35,1,LOOKUP(2,1/(指数走势!$F$35:$ACK$35&lt;&gt;""),COLUMN(指数走势!$F$35:$ACK$35))-COLUMN(指数走势!$F$35)+1-760+620)))</f>
        <v>13.9351997375488</v>
      </c>
      <c r="WX99">
        <f>IF(ISERROR(INDEX(指数走势!$F$35:$ACK$35,1,LOOKUP(2,1/(指数走势!$F$35:$ACK$35&lt;&gt;""),COLUMN(指数走势!$F$35:$ACK$35))-COLUMN(指数走势!$F$35)+1-760+621)),NA(),IF(INDEX(指数走势!$F$35:$ACK$35,1,LOOKUP(2,1/(指数走势!$F$35:$ACK$35&lt;&gt;""),COLUMN(指数走势!$F$35:$ACK$35))-COLUMN(指数走势!$F$35)+1-760+621)=0,NA(),INDEX(指数走势!$F$35:$ACK$35,1,LOOKUP(2,1/(指数走势!$F$35:$ACK$35&lt;&gt;""),COLUMN(指数走势!$F$35:$ACK$35))-COLUMN(指数走势!$F$35)+1-760+621)))</f>
        <v>13.9561004638672</v>
      </c>
      <c r="WY99">
        <f>IF(ISERROR(INDEX(指数走势!$F$35:$ACK$35,1,LOOKUP(2,1/(指数走势!$F$35:$ACK$35&lt;&gt;""),COLUMN(指数走势!$F$35:$ACK$35))-COLUMN(指数走势!$F$35)+1-760+622)),NA(),IF(INDEX(指数走势!$F$35:$ACK$35,1,LOOKUP(2,1/(指数走势!$F$35:$ACK$35&lt;&gt;""),COLUMN(指数走势!$F$35:$ACK$35))-COLUMN(指数走势!$F$35)+1-760+622)=0,NA(),INDEX(指数走势!$F$35:$ACK$35,1,LOOKUP(2,1/(指数走势!$F$35:$ACK$35&lt;&gt;""),COLUMN(指数走势!$F$35:$ACK$35))-COLUMN(指数走势!$F$35)+1-760+622)))</f>
        <v>14.0186996459961</v>
      </c>
      <c r="WZ99">
        <f>IF(ISERROR(INDEX(指数走势!$F$35:$ACK$35,1,LOOKUP(2,1/(指数走势!$F$35:$ACK$35&lt;&gt;""),COLUMN(指数走势!$F$35:$ACK$35))-COLUMN(指数走势!$F$35)+1-760+623)),NA(),IF(INDEX(指数走势!$F$35:$ACK$35,1,LOOKUP(2,1/(指数走势!$F$35:$ACK$35&lt;&gt;""),COLUMN(指数走势!$F$35:$ACK$35))-COLUMN(指数走势!$F$35)+1-760+623)=0,NA(),INDEX(指数走势!$F$35:$ACK$35,1,LOOKUP(2,1/(指数走势!$F$35:$ACK$35&lt;&gt;""),COLUMN(指数走势!$F$35:$ACK$35))-COLUMN(指数走势!$F$35)+1-760+623)))</f>
        <v>14.0805997848511</v>
      </c>
      <c r="XA99">
        <f>IF(ISERROR(INDEX(指数走势!$F$35:$ACK$35,1,LOOKUP(2,1/(指数走势!$F$35:$ACK$35&lt;&gt;""),COLUMN(指数走势!$F$35:$ACK$35))-COLUMN(指数走势!$F$35)+1-760+624)),NA(),IF(INDEX(指数走势!$F$35:$ACK$35,1,LOOKUP(2,1/(指数走势!$F$35:$ACK$35&lt;&gt;""),COLUMN(指数走势!$F$35:$ACK$35))-COLUMN(指数走势!$F$35)+1-760+624)=0,NA(),INDEX(指数走势!$F$35:$ACK$35,1,LOOKUP(2,1/(指数走势!$F$35:$ACK$35&lt;&gt;""),COLUMN(指数走势!$F$35:$ACK$35))-COLUMN(指数走势!$F$35)+1-760+624)))</f>
        <v>14.0336999893188</v>
      </c>
      <c r="XB99">
        <f>IF(ISERROR(INDEX(指数走势!$F$35:$ACK$35,1,LOOKUP(2,1/(指数走势!$F$35:$ACK$35&lt;&gt;""),COLUMN(指数走势!$F$35:$ACK$35))-COLUMN(指数走势!$F$35)+1-760+625)),NA(),IF(INDEX(指数走势!$F$35:$ACK$35,1,LOOKUP(2,1/(指数走势!$F$35:$ACK$35&lt;&gt;""),COLUMN(指数走势!$F$35:$ACK$35))-COLUMN(指数走势!$F$35)+1-760+625)=0,NA(),INDEX(指数走势!$F$35:$ACK$35,1,LOOKUP(2,1/(指数走势!$F$35:$ACK$35&lt;&gt;""),COLUMN(指数走势!$F$35:$ACK$35))-COLUMN(指数走势!$F$35)+1-760+625)))</f>
        <v>13.9724998474121</v>
      </c>
      <c r="XC99">
        <f>IF(ISERROR(INDEX(指数走势!$F$35:$ACK$35,1,LOOKUP(2,1/(指数走势!$F$35:$ACK$35&lt;&gt;""),COLUMN(指数走势!$F$35:$ACK$35))-COLUMN(指数走势!$F$35)+1-760+626)),NA(),IF(INDEX(指数走势!$F$35:$ACK$35,1,LOOKUP(2,1/(指数走势!$F$35:$ACK$35&lt;&gt;""),COLUMN(指数走势!$F$35:$ACK$35))-COLUMN(指数走势!$F$35)+1-760+626)=0,NA(),INDEX(指数走势!$F$35:$ACK$35,1,LOOKUP(2,1/(指数走势!$F$35:$ACK$35&lt;&gt;""),COLUMN(指数走势!$F$35:$ACK$35))-COLUMN(指数走势!$F$35)+1-760+626)))</f>
        <v>13.8800001144409</v>
      </c>
      <c r="XD99">
        <f>IF(ISERROR(INDEX(指数走势!$F$35:$ACK$35,1,LOOKUP(2,1/(指数走势!$F$35:$ACK$35&lt;&gt;""),COLUMN(指数走势!$F$35:$ACK$35))-COLUMN(指数走势!$F$35)+1-760+627)),NA(),IF(INDEX(指数走势!$F$35:$ACK$35,1,LOOKUP(2,1/(指数走势!$F$35:$ACK$35&lt;&gt;""),COLUMN(指数走势!$F$35:$ACK$35))-COLUMN(指数走势!$F$35)+1-760+627)=0,NA(),INDEX(指数走势!$F$35:$ACK$35,1,LOOKUP(2,1/(指数走势!$F$35:$ACK$35&lt;&gt;""),COLUMN(指数走势!$F$35:$ACK$35))-COLUMN(指数走势!$F$35)+1-760+627)))</f>
        <v>13.9089002609253</v>
      </c>
      <c r="XE99">
        <f>IF(ISERROR(INDEX(指数走势!$F$35:$ACK$35,1,LOOKUP(2,1/(指数走势!$F$35:$ACK$35&lt;&gt;""),COLUMN(指数走势!$F$35:$ACK$35))-COLUMN(指数走势!$F$35)+1-760+628)),NA(),IF(INDEX(指数走势!$F$35:$ACK$35,1,LOOKUP(2,1/(指数走势!$F$35:$ACK$35&lt;&gt;""),COLUMN(指数走势!$F$35:$ACK$35))-COLUMN(指数走势!$F$35)+1-760+628)=0,NA(),INDEX(指数走势!$F$35:$ACK$35,1,LOOKUP(2,1/(指数走势!$F$35:$ACK$35&lt;&gt;""),COLUMN(指数走势!$F$35:$ACK$35))-COLUMN(指数走势!$F$35)+1-760+628)))</f>
        <v>13.8929004669189</v>
      </c>
      <c r="XF99">
        <f>IF(ISERROR(INDEX(指数走势!$F$35:$ACK$35,1,LOOKUP(2,1/(指数走势!$F$35:$ACK$35&lt;&gt;""),COLUMN(指数走势!$F$35:$ACK$35))-COLUMN(指数走势!$F$35)+1-760+629)),NA(),IF(INDEX(指数走势!$F$35:$ACK$35,1,LOOKUP(2,1/(指数走势!$F$35:$ACK$35&lt;&gt;""),COLUMN(指数走势!$F$35:$ACK$35))-COLUMN(指数走势!$F$35)+1-760+629)=0,NA(),INDEX(指数走势!$F$35:$ACK$35,1,LOOKUP(2,1/(指数走势!$F$35:$ACK$35&lt;&gt;""),COLUMN(指数走势!$F$35:$ACK$35))-COLUMN(指数走势!$F$35)+1-760+629)))</f>
        <v>13.7673997879028</v>
      </c>
      <c r="XG99">
        <f>IF(ISERROR(INDEX(指数走势!$F$35:$ACK$35,1,LOOKUP(2,1/(指数走势!$F$35:$ACK$35&lt;&gt;""),COLUMN(指数走势!$F$35:$ACK$35))-COLUMN(指数走势!$F$35)+1-760+630)),NA(),IF(INDEX(指数走势!$F$35:$ACK$35,1,LOOKUP(2,1/(指数走势!$F$35:$ACK$35&lt;&gt;""),COLUMN(指数走势!$F$35:$ACK$35))-COLUMN(指数走势!$F$35)+1-760+630)=0,NA(),INDEX(指数走势!$F$35:$ACK$35,1,LOOKUP(2,1/(指数走势!$F$35:$ACK$35&lt;&gt;""),COLUMN(指数走势!$F$35:$ACK$35))-COLUMN(指数走势!$F$35)+1-760+630)))</f>
        <v>13.9591999053955</v>
      </c>
      <c r="XH99">
        <f>IF(ISERROR(INDEX(指数走势!$F$35:$ACK$35,1,LOOKUP(2,1/(指数走势!$F$35:$ACK$35&lt;&gt;""),COLUMN(指数走势!$F$35:$ACK$35))-COLUMN(指数走势!$F$35)+1-760+631)),NA(),IF(INDEX(指数走势!$F$35:$ACK$35,1,LOOKUP(2,1/(指数走势!$F$35:$ACK$35&lt;&gt;""),COLUMN(指数走势!$F$35:$ACK$35))-COLUMN(指数走势!$F$35)+1-760+631)=0,NA(),INDEX(指数走势!$F$35:$ACK$35,1,LOOKUP(2,1/(指数走势!$F$35:$ACK$35&lt;&gt;""),COLUMN(指数走势!$F$35:$ACK$35))-COLUMN(指数走势!$F$35)+1-760+631)))</f>
        <v>13.9586000442505</v>
      </c>
      <c r="XI99">
        <f>IF(ISERROR(INDEX(指数走势!$F$35:$ACK$35,1,LOOKUP(2,1/(指数走势!$F$35:$ACK$35&lt;&gt;""),COLUMN(指数走势!$F$35:$ACK$35))-COLUMN(指数走势!$F$35)+1-760+632)),NA(),IF(INDEX(指数走势!$F$35:$ACK$35,1,LOOKUP(2,1/(指数走势!$F$35:$ACK$35&lt;&gt;""),COLUMN(指数走势!$F$35:$ACK$35))-COLUMN(指数走势!$F$35)+1-760+632)=0,NA(),INDEX(指数走势!$F$35:$ACK$35,1,LOOKUP(2,1/(指数走势!$F$35:$ACK$35&lt;&gt;""),COLUMN(指数走势!$F$35:$ACK$35))-COLUMN(指数走势!$F$35)+1-760+632)))</f>
        <v>13.9670000076294</v>
      </c>
      <c r="XJ99">
        <f>IF(ISERROR(INDEX(指数走势!$F$35:$ACK$35,1,LOOKUP(2,1/(指数走势!$F$35:$ACK$35&lt;&gt;""),COLUMN(指数走势!$F$35:$ACK$35))-COLUMN(指数走势!$F$35)+1-760+633)),NA(),IF(INDEX(指数走势!$F$35:$ACK$35,1,LOOKUP(2,1/(指数走势!$F$35:$ACK$35&lt;&gt;""),COLUMN(指数走势!$F$35:$ACK$35))-COLUMN(指数走势!$F$35)+1-760+633)=0,NA(),INDEX(指数走势!$F$35:$ACK$35,1,LOOKUP(2,1/(指数走势!$F$35:$ACK$35&lt;&gt;""),COLUMN(指数走势!$F$35:$ACK$35))-COLUMN(指数走势!$F$35)+1-760+633)))</f>
        <v>14.0539999008179</v>
      </c>
      <c r="XK99">
        <f>IF(ISERROR(INDEX(指数走势!$F$35:$ACK$35,1,LOOKUP(2,1/(指数走势!$F$35:$ACK$35&lt;&gt;""),COLUMN(指数走势!$F$35:$ACK$35))-COLUMN(指数走势!$F$35)+1-760+634)),NA(),IF(INDEX(指数走势!$F$35:$ACK$35,1,LOOKUP(2,1/(指数走势!$F$35:$ACK$35&lt;&gt;""),COLUMN(指数走势!$F$35:$ACK$35))-COLUMN(指数走势!$F$35)+1-760+634)=0,NA(),INDEX(指数走势!$F$35:$ACK$35,1,LOOKUP(2,1/(指数走势!$F$35:$ACK$35&lt;&gt;""),COLUMN(指数走势!$F$35:$ACK$35))-COLUMN(指数走势!$F$35)+1-760+634)))</f>
        <v>14.0942001342773</v>
      </c>
      <c r="XL99">
        <f>IF(ISERROR(INDEX(指数走势!$F$35:$ACK$35,1,LOOKUP(2,1/(指数走势!$F$35:$ACK$35&lt;&gt;""),COLUMN(指数走势!$F$35:$ACK$35))-COLUMN(指数走势!$F$35)+1-760+635)),NA(),IF(INDEX(指数走势!$F$35:$ACK$35,1,LOOKUP(2,1/(指数走势!$F$35:$ACK$35&lt;&gt;""),COLUMN(指数走势!$F$35:$ACK$35))-COLUMN(指数走势!$F$35)+1-760+635)=0,NA(),INDEX(指数走势!$F$35:$ACK$35,1,LOOKUP(2,1/(指数走势!$F$35:$ACK$35&lt;&gt;""),COLUMN(指数走势!$F$35:$ACK$35))-COLUMN(指数走势!$F$35)+1-760+635)))</f>
        <v>14.114800453186</v>
      </c>
      <c r="XM99">
        <f>IF(ISERROR(INDEX(指数走势!$F$35:$ACK$35,1,LOOKUP(2,1/(指数走势!$F$35:$ACK$35&lt;&gt;""),COLUMN(指数走势!$F$35:$ACK$35))-COLUMN(指数走势!$F$35)+1-760+636)),NA(),IF(INDEX(指数走势!$F$35:$ACK$35,1,LOOKUP(2,1/(指数走势!$F$35:$ACK$35&lt;&gt;""),COLUMN(指数走势!$F$35:$ACK$35))-COLUMN(指数走势!$F$35)+1-760+636)=0,NA(),INDEX(指数走势!$F$35:$ACK$35,1,LOOKUP(2,1/(指数走势!$F$35:$ACK$35&lt;&gt;""),COLUMN(指数走势!$F$35:$ACK$35))-COLUMN(指数走势!$F$35)+1-760+636)))</f>
        <v>14.1337995529175</v>
      </c>
      <c r="XN99">
        <f>IF(ISERROR(INDEX(指数走势!$F$35:$ACK$35,1,LOOKUP(2,1/(指数走势!$F$35:$ACK$35&lt;&gt;""),COLUMN(指数走势!$F$35:$ACK$35))-COLUMN(指数走势!$F$35)+1-760+637)),NA(),IF(INDEX(指数走势!$F$35:$ACK$35,1,LOOKUP(2,1/(指数走势!$F$35:$ACK$35&lt;&gt;""),COLUMN(指数走势!$F$35:$ACK$35))-COLUMN(指数走势!$F$35)+1-760+637)=0,NA(),INDEX(指数走势!$F$35:$ACK$35,1,LOOKUP(2,1/(指数走势!$F$35:$ACK$35&lt;&gt;""),COLUMN(指数走势!$F$35:$ACK$35))-COLUMN(指数走势!$F$35)+1-760+637)))</f>
        <v>14.1461000442505</v>
      </c>
      <c r="XO99">
        <f>IF(ISERROR(INDEX(指数走势!$F$35:$ACK$35,1,LOOKUP(2,1/(指数走势!$F$35:$ACK$35&lt;&gt;""),COLUMN(指数走势!$F$35:$ACK$35))-COLUMN(指数走势!$F$35)+1-760+638)),NA(),IF(INDEX(指数走势!$F$35:$ACK$35,1,LOOKUP(2,1/(指数走势!$F$35:$ACK$35&lt;&gt;""),COLUMN(指数走势!$F$35:$ACK$35))-COLUMN(指数走势!$F$35)+1-760+638)=0,NA(),INDEX(指数走势!$F$35:$ACK$35,1,LOOKUP(2,1/(指数走势!$F$35:$ACK$35&lt;&gt;""),COLUMN(指数走势!$F$35:$ACK$35))-COLUMN(指数走势!$F$35)+1-760+638)))</f>
        <v>14.1572999954224</v>
      </c>
      <c r="XP99">
        <f>IF(ISERROR(INDEX(指数走势!$F$35:$ACK$35,1,LOOKUP(2,1/(指数走势!$F$35:$ACK$35&lt;&gt;""),COLUMN(指数走势!$F$35:$ACK$35))-COLUMN(指数走势!$F$35)+1-760+639)),NA(),IF(INDEX(指数走势!$F$35:$ACK$35,1,LOOKUP(2,1/(指数走势!$F$35:$ACK$35&lt;&gt;""),COLUMN(指数走势!$F$35:$ACK$35))-COLUMN(指数走势!$F$35)+1-760+639)=0,NA(),INDEX(指数走势!$F$35:$ACK$35,1,LOOKUP(2,1/(指数走势!$F$35:$ACK$35&lt;&gt;""),COLUMN(指数走势!$F$35:$ACK$35))-COLUMN(指数走势!$F$35)+1-760+639)))</f>
        <v>14.1850996017456</v>
      </c>
      <c r="XQ99">
        <f>IF(ISERROR(INDEX(指数走势!$F$35:$ACK$35,1,LOOKUP(2,1/(指数走势!$F$35:$ACK$35&lt;&gt;""),COLUMN(指数走势!$F$35:$ACK$35))-COLUMN(指数走势!$F$35)+1-760+640)),NA(),IF(INDEX(指数走势!$F$35:$ACK$35,1,LOOKUP(2,1/(指数走势!$F$35:$ACK$35&lt;&gt;""),COLUMN(指数走势!$F$35:$ACK$35))-COLUMN(指数走势!$F$35)+1-760+640)=0,NA(),INDEX(指数走势!$F$35:$ACK$35,1,LOOKUP(2,1/(指数走势!$F$35:$ACK$35&lt;&gt;""),COLUMN(指数走势!$F$35:$ACK$35))-COLUMN(指数走势!$F$35)+1-760+640)))</f>
        <v>14.1724004745483</v>
      </c>
      <c r="XR99">
        <f>IF(ISERROR(INDEX(指数走势!$F$35:$ACK$35,1,LOOKUP(2,1/(指数走势!$F$35:$ACK$35&lt;&gt;""),COLUMN(指数走势!$F$35:$ACK$35))-COLUMN(指数走势!$F$35)+1-760+641)),NA(),IF(INDEX(指数走势!$F$35:$ACK$35,1,LOOKUP(2,1/(指数走势!$F$35:$ACK$35&lt;&gt;""),COLUMN(指数走势!$F$35:$ACK$35))-COLUMN(指数走势!$F$35)+1-760+641)=0,NA(),INDEX(指数走势!$F$35:$ACK$35,1,LOOKUP(2,1/(指数走势!$F$35:$ACK$35&lt;&gt;""),COLUMN(指数走势!$F$35:$ACK$35))-COLUMN(指数走势!$F$35)+1-760+641)))</f>
        <v>14.3331003189087</v>
      </c>
      <c r="XS99">
        <f>IF(ISERROR(INDEX(指数走势!$F$35:$ACK$35,1,LOOKUP(2,1/(指数走势!$F$35:$ACK$35&lt;&gt;""),COLUMN(指数走势!$F$35:$ACK$35))-COLUMN(指数走势!$F$35)+1-760+642)),NA(),IF(INDEX(指数走势!$F$35:$ACK$35,1,LOOKUP(2,1/(指数走势!$F$35:$ACK$35&lt;&gt;""),COLUMN(指数走势!$F$35:$ACK$35))-COLUMN(指数走势!$F$35)+1-760+642)=0,NA(),INDEX(指数走势!$F$35:$ACK$35,1,LOOKUP(2,1/(指数走势!$F$35:$ACK$35&lt;&gt;""),COLUMN(指数走势!$F$35:$ACK$35))-COLUMN(指数走势!$F$35)+1-760+642)))</f>
        <v>14.5183000564575</v>
      </c>
      <c r="XT99">
        <f>IF(ISERROR(INDEX(指数走势!$F$35:$ACK$35,1,LOOKUP(2,1/(指数走势!$F$35:$ACK$35&lt;&gt;""),COLUMN(指数走势!$F$35:$ACK$35))-COLUMN(指数走势!$F$35)+1-760+643)),NA(),IF(INDEX(指数走势!$F$35:$ACK$35,1,LOOKUP(2,1/(指数走势!$F$35:$ACK$35&lt;&gt;""),COLUMN(指数走势!$F$35:$ACK$35))-COLUMN(指数走势!$F$35)+1-760+643)=0,NA(),INDEX(指数走势!$F$35:$ACK$35,1,LOOKUP(2,1/(指数走势!$F$35:$ACK$35&lt;&gt;""),COLUMN(指数走势!$F$35:$ACK$35))-COLUMN(指数走势!$F$35)+1-760+643)))</f>
        <v>14.4391002655029</v>
      </c>
      <c r="XU99">
        <f>IF(ISERROR(INDEX(指数走势!$F$35:$ACK$35,1,LOOKUP(2,1/(指数走势!$F$35:$ACK$35&lt;&gt;""),COLUMN(指数走势!$F$35:$ACK$35))-COLUMN(指数走势!$F$35)+1-760+644)),NA(),IF(INDEX(指数走势!$F$35:$ACK$35,1,LOOKUP(2,1/(指数走势!$F$35:$ACK$35&lt;&gt;""),COLUMN(指数走势!$F$35:$ACK$35))-COLUMN(指数走势!$F$35)+1-760+644)=0,NA(),INDEX(指数走势!$F$35:$ACK$35,1,LOOKUP(2,1/(指数走势!$F$35:$ACK$35&lt;&gt;""),COLUMN(指数走势!$F$35:$ACK$35))-COLUMN(指数走势!$F$35)+1-760+644)))</f>
        <v>14.3492002487183</v>
      </c>
      <c r="XV99">
        <f>IF(ISERROR(INDEX(指数走势!$F$35:$ACK$35,1,LOOKUP(2,1/(指数走势!$F$35:$ACK$35&lt;&gt;""),COLUMN(指数走势!$F$35:$ACK$35))-COLUMN(指数走势!$F$35)+1-760+645)),NA(),IF(INDEX(指数走势!$F$35:$ACK$35,1,LOOKUP(2,1/(指数走势!$F$35:$ACK$35&lt;&gt;""),COLUMN(指数走势!$F$35:$ACK$35))-COLUMN(指数走势!$F$35)+1-760+645)=0,NA(),INDEX(指数走势!$F$35:$ACK$35,1,LOOKUP(2,1/(指数走势!$F$35:$ACK$35&lt;&gt;""),COLUMN(指数走势!$F$35:$ACK$35))-COLUMN(指数走势!$F$35)+1-760+645)))</f>
        <v>14.4075002670288</v>
      </c>
      <c r="XW99">
        <f>IF(ISERROR(INDEX(指数走势!$F$35:$ACK$35,1,LOOKUP(2,1/(指数走势!$F$35:$ACK$35&lt;&gt;""),COLUMN(指数走势!$F$35:$ACK$35))-COLUMN(指数走势!$F$35)+1-760+646)),NA(),IF(INDEX(指数走势!$F$35:$ACK$35,1,LOOKUP(2,1/(指数走势!$F$35:$ACK$35&lt;&gt;""),COLUMN(指数走势!$F$35:$ACK$35))-COLUMN(指数走势!$F$35)+1-760+646)=0,NA(),INDEX(指数走势!$F$35:$ACK$35,1,LOOKUP(2,1/(指数走势!$F$35:$ACK$35&lt;&gt;""),COLUMN(指数走势!$F$35:$ACK$35))-COLUMN(指数走势!$F$35)+1-760+646)))</f>
        <v>14.4837999343872</v>
      </c>
      <c r="XX99">
        <f>IF(ISERROR(INDEX(指数走势!$F$35:$ACK$35,1,LOOKUP(2,1/(指数走势!$F$35:$ACK$35&lt;&gt;""),COLUMN(指数走势!$F$35:$ACK$35))-COLUMN(指数走势!$F$35)+1-760+647)),NA(),IF(INDEX(指数走势!$F$35:$ACK$35,1,LOOKUP(2,1/(指数走势!$F$35:$ACK$35&lt;&gt;""),COLUMN(指数走势!$F$35:$ACK$35))-COLUMN(指数走势!$F$35)+1-760+647)=0,NA(),INDEX(指数走势!$F$35:$ACK$35,1,LOOKUP(2,1/(指数走势!$F$35:$ACK$35&lt;&gt;""),COLUMN(指数走势!$F$35:$ACK$35))-COLUMN(指数走势!$F$35)+1-760+647)))</f>
        <v>14.4555997848511</v>
      </c>
      <c r="XY99">
        <f>IF(ISERROR(INDEX(指数走势!$F$35:$ACK$35,1,LOOKUP(2,1/(指数走势!$F$35:$ACK$35&lt;&gt;""),COLUMN(指数走势!$F$35:$ACK$35))-COLUMN(指数走势!$F$35)+1-760+648)),NA(),IF(INDEX(指数走势!$F$35:$ACK$35,1,LOOKUP(2,1/(指数走势!$F$35:$ACK$35&lt;&gt;""),COLUMN(指数走势!$F$35:$ACK$35))-COLUMN(指数走势!$F$35)+1-760+648)=0,NA(),INDEX(指数走势!$F$35:$ACK$35,1,LOOKUP(2,1/(指数走势!$F$35:$ACK$35&lt;&gt;""),COLUMN(指数走势!$F$35:$ACK$35))-COLUMN(指数走势!$F$35)+1-760+648)))</f>
        <v>14.3477001190186</v>
      </c>
      <c r="XZ99">
        <f>IF(ISERROR(INDEX(指数走势!$F$35:$ACK$35,1,LOOKUP(2,1/(指数走势!$F$35:$ACK$35&lt;&gt;""),COLUMN(指数走势!$F$35:$ACK$35))-COLUMN(指数走势!$F$35)+1-760+649)),NA(),IF(INDEX(指数走势!$F$35:$ACK$35,1,LOOKUP(2,1/(指数走势!$F$35:$ACK$35&lt;&gt;""),COLUMN(指数走势!$F$35:$ACK$35))-COLUMN(指数走势!$F$35)+1-760+649)=0,NA(),INDEX(指数走势!$F$35:$ACK$35,1,LOOKUP(2,1/(指数走势!$F$35:$ACK$35&lt;&gt;""),COLUMN(指数走势!$F$35:$ACK$35))-COLUMN(指数走势!$F$35)+1-760+649)))</f>
        <v>14.3163003921509</v>
      </c>
      <c r="YA99">
        <f>IF(ISERROR(INDEX(指数走势!$F$35:$ACK$35,1,LOOKUP(2,1/(指数走势!$F$35:$ACK$35&lt;&gt;""),COLUMN(指数走势!$F$35:$ACK$35))-COLUMN(指数走势!$F$35)+1-760+650)),NA(),IF(INDEX(指数走势!$F$35:$ACK$35,1,LOOKUP(2,1/(指数走势!$F$35:$ACK$35&lt;&gt;""),COLUMN(指数走势!$F$35:$ACK$35))-COLUMN(指数走势!$F$35)+1-760+650)=0,NA(),INDEX(指数走势!$F$35:$ACK$35,1,LOOKUP(2,1/(指数走势!$F$35:$ACK$35&lt;&gt;""),COLUMN(指数走势!$F$35:$ACK$35))-COLUMN(指数走势!$F$35)+1-760+650)))</f>
        <v>14.22350025177</v>
      </c>
      <c r="YB99">
        <f>IF(ISERROR(INDEX(指数走势!$F$35:$ACK$35,1,LOOKUP(2,1/(指数走势!$F$35:$ACK$35&lt;&gt;""),COLUMN(指数走势!$F$35:$ACK$35))-COLUMN(指数走势!$F$35)+1-760+651)),NA(),IF(INDEX(指数走势!$F$35:$ACK$35,1,LOOKUP(2,1/(指数走势!$F$35:$ACK$35&lt;&gt;""),COLUMN(指数走势!$F$35:$ACK$35))-COLUMN(指数走势!$F$35)+1-760+651)=0,NA(),INDEX(指数走势!$F$35:$ACK$35,1,LOOKUP(2,1/(指数走势!$F$35:$ACK$35&lt;&gt;""),COLUMN(指数走势!$F$35:$ACK$35))-COLUMN(指数走势!$F$35)+1-760+651)))</f>
        <v>14.2172002792358</v>
      </c>
      <c r="YC99">
        <f>IF(ISERROR(INDEX(指数走势!$F$35:$ACK$35,1,LOOKUP(2,1/(指数走势!$F$35:$ACK$35&lt;&gt;""),COLUMN(指数走势!$F$35:$ACK$35))-COLUMN(指数走势!$F$35)+1-760+652)),NA(),IF(INDEX(指数走势!$F$35:$ACK$35,1,LOOKUP(2,1/(指数走势!$F$35:$ACK$35&lt;&gt;""),COLUMN(指数走势!$F$35:$ACK$35))-COLUMN(指数走势!$F$35)+1-760+652)=0,NA(),INDEX(指数走势!$F$35:$ACK$35,1,LOOKUP(2,1/(指数走势!$F$35:$ACK$35&lt;&gt;""),COLUMN(指数走势!$F$35:$ACK$35))-COLUMN(指数走势!$F$35)+1-760+652)))</f>
        <v>14.2216997146606</v>
      </c>
      <c r="YD99">
        <f>IF(ISERROR(INDEX(指数走势!$F$35:$ACK$35,1,LOOKUP(2,1/(指数走势!$F$35:$ACK$35&lt;&gt;""),COLUMN(指数走势!$F$35:$ACK$35))-COLUMN(指数走势!$F$35)+1-760+653)),NA(),IF(INDEX(指数走势!$F$35:$ACK$35,1,LOOKUP(2,1/(指数走势!$F$35:$ACK$35&lt;&gt;""),COLUMN(指数走势!$F$35:$ACK$35))-COLUMN(指数走势!$F$35)+1-760+653)=0,NA(),INDEX(指数走势!$F$35:$ACK$35,1,LOOKUP(2,1/(指数走势!$F$35:$ACK$35&lt;&gt;""),COLUMN(指数走势!$F$35:$ACK$35))-COLUMN(指数走势!$F$35)+1-760+653)))</f>
        <v>14.1767997741699</v>
      </c>
      <c r="YE99">
        <f>IF(ISERROR(INDEX(指数走势!$F$35:$ACK$35,1,LOOKUP(2,1/(指数走势!$F$35:$ACK$35&lt;&gt;""),COLUMN(指数走势!$F$35:$ACK$35))-COLUMN(指数走势!$F$35)+1-760+654)),NA(),IF(INDEX(指数走势!$F$35:$ACK$35,1,LOOKUP(2,1/(指数走势!$F$35:$ACK$35&lt;&gt;""),COLUMN(指数走势!$F$35:$ACK$35))-COLUMN(指数走势!$F$35)+1-760+654)=0,NA(),INDEX(指数走势!$F$35:$ACK$35,1,LOOKUP(2,1/(指数走势!$F$35:$ACK$35&lt;&gt;""),COLUMN(指数走势!$F$35:$ACK$35))-COLUMN(指数走势!$F$35)+1-760+654)))</f>
        <v>14.1667003631592</v>
      </c>
      <c r="YF99">
        <f>IF(ISERROR(INDEX(指数走势!$F$35:$ACK$35,1,LOOKUP(2,1/(指数走势!$F$35:$ACK$35&lt;&gt;""),COLUMN(指数走势!$F$35:$ACK$35))-COLUMN(指数走势!$F$35)+1-760+655)),NA(),IF(INDEX(指数走势!$F$35:$ACK$35,1,LOOKUP(2,1/(指数走势!$F$35:$ACK$35&lt;&gt;""),COLUMN(指数走势!$F$35:$ACK$35))-COLUMN(指数走势!$F$35)+1-760+655)=0,NA(),INDEX(指数走势!$F$35:$ACK$35,1,LOOKUP(2,1/(指数走势!$F$35:$ACK$35&lt;&gt;""),COLUMN(指数走势!$F$35:$ACK$35))-COLUMN(指数走势!$F$35)+1-760+655)))</f>
        <v>14.079400062561</v>
      </c>
      <c r="YG99">
        <f>IF(ISERROR(INDEX(指数走势!$F$35:$ACK$35,1,LOOKUP(2,1/(指数走势!$F$35:$ACK$35&lt;&gt;""),COLUMN(指数走势!$F$35:$ACK$35))-COLUMN(指数走势!$F$35)+1-760+656)),NA(),IF(INDEX(指数走势!$F$35:$ACK$35,1,LOOKUP(2,1/(指数走势!$F$35:$ACK$35&lt;&gt;""),COLUMN(指数走势!$F$35:$ACK$35))-COLUMN(指数走势!$F$35)+1-760+656)=0,NA(),INDEX(指数走势!$F$35:$ACK$35,1,LOOKUP(2,1/(指数走势!$F$35:$ACK$35&lt;&gt;""),COLUMN(指数走势!$F$35:$ACK$35))-COLUMN(指数走势!$F$35)+1-760+656)))</f>
        <v>14.1451997756958</v>
      </c>
      <c r="YH99">
        <f>IF(ISERROR(INDEX(指数走势!$F$35:$ACK$35,1,LOOKUP(2,1/(指数走势!$F$35:$ACK$35&lt;&gt;""),COLUMN(指数走势!$F$35:$ACK$35))-COLUMN(指数走势!$F$35)+1-760+657)),NA(),IF(INDEX(指数走势!$F$35:$ACK$35,1,LOOKUP(2,1/(指数走势!$F$35:$ACK$35&lt;&gt;""),COLUMN(指数走势!$F$35:$ACK$35))-COLUMN(指数走势!$F$35)+1-760+657)=0,NA(),INDEX(指数走势!$F$35:$ACK$35,1,LOOKUP(2,1/(指数走势!$F$35:$ACK$35&lt;&gt;""),COLUMN(指数走势!$F$35:$ACK$35))-COLUMN(指数走势!$F$35)+1-760+657)))</f>
        <v>14.1372995376587</v>
      </c>
      <c r="YI99">
        <f>IF(ISERROR(INDEX(指数走势!$F$35:$ACK$35,1,LOOKUP(2,1/(指数走势!$F$35:$ACK$35&lt;&gt;""),COLUMN(指数走势!$F$35:$ACK$35))-COLUMN(指数走势!$F$35)+1-760+658)),NA(),IF(INDEX(指数走势!$F$35:$ACK$35,1,LOOKUP(2,1/(指数走势!$F$35:$ACK$35&lt;&gt;""),COLUMN(指数走势!$F$35:$ACK$35))-COLUMN(指数走势!$F$35)+1-760+658)=0,NA(),INDEX(指数走势!$F$35:$ACK$35,1,LOOKUP(2,1/(指数走势!$F$35:$ACK$35&lt;&gt;""),COLUMN(指数走势!$F$35:$ACK$35))-COLUMN(指数走势!$F$35)+1-760+658)))</f>
        <v>14.1970996856689</v>
      </c>
      <c r="YJ99">
        <f>IF(ISERROR(INDEX(指数走势!$F$35:$ACK$35,1,LOOKUP(2,1/(指数走势!$F$35:$ACK$35&lt;&gt;""),COLUMN(指数走势!$F$35:$ACK$35))-COLUMN(指数走势!$F$35)+1-760+659)),NA(),IF(INDEX(指数走势!$F$35:$ACK$35,1,LOOKUP(2,1/(指数走势!$F$35:$ACK$35&lt;&gt;""),COLUMN(指数走势!$F$35:$ACK$35))-COLUMN(指数走势!$F$35)+1-760+659)=0,NA(),INDEX(指数走势!$F$35:$ACK$35,1,LOOKUP(2,1/(指数走势!$F$35:$ACK$35&lt;&gt;""),COLUMN(指数走势!$F$35:$ACK$35))-COLUMN(指数走势!$F$35)+1-760+659)))</f>
        <v>14.3128004074097</v>
      </c>
      <c r="YK99">
        <f>IF(ISERROR(INDEX(指数走势!$F$35:$ACK$35,1,LOOKUP(2,1/(指数走势!$F$35:$ACK$35&lt;&gt;""),COLUMN(指数走势!$F$35:$ACK$35))-COLUMN(指数走势!$F$35)+1-760+660)),NA(),IF(INDEX(指数走势!$F$35:$ACK$35,1,LOOKUP(2,1/(指数走势!$F$35:$ACK$35&lt;&gt;""),COLUMN(指数走势!$F$35:$ACK$35))-COLUMN(指数走势!$F$35)+1-760+660)=0,NA(),INDEX(指数走势!$F$35:$ACK$35,1,LOOKUP(2,1/(指数走势!$F$35:$ACK$35&lt;&gt;""),COLUMN(指数走势!$F$35:$ACK$35))-COLUMN(指数走势!$F$35)+1-760+660)))</f>
        <v>14.1752004623413</v>
      </c>
      <c r="YL99">
        <f>IF(ISERROR(INDEX(指数走势!$F$35:$ACK$35,1,LOOKUP(2,1/(指数走势!$F$35:$ACK$35&lt;&gt;""),COLUMN(指数走势!$F$35:$ACK$35))-COLUMN(指数走势!$F$35)+1-760+661)),NA(),IF(INDEX(指数走势!$F$35:$ACK$35,1,LOOKUP(2,1/(指数走势!$F$35:$ACK$35&lt;&gt;""),COLUMN(指数走势!$F$35:$ACK$35))-COLUMN(指数走势!$F$35)+1-760+661)=0,NA(),INDEX(指数走势!$F$35:$ACK$35,1,LOOKUP(2,1/(指数走势!$F$35:$ACK$35&lt;&gt;""),COLUMN(指数走势!$F$35:$ACK$35))-COLUMN(指数走势!$F$35)+1-760+661)))</f>
        <v>13.9057998657227</v>
      </c>
      <c r="YM99">
        <f>IF(ISERROR(INDEX(指数走势!$F$35:$ACK$35,1,LOOKUP(2,1/(指数走势!$F$35:$ACK$35&lt;&gt;""),COLUMN(指数走势!$F$35:$ACK$35))-COLUMN(指数走势!$F$35)+1-760+662)),NA(),IF(INDEX(指数走势!$F$35:$ACK$35,1,LOOKUP(2,1/(指数走势!$F$35:$ACK$35&lt;&gt;""),COLUMN(指数走势!$F$35:$ACK$35))-COLUMN(指数走势!$F$35)+1-760+662)=0,NA(),INDEX(指数走势!$F$35:$ACK$35,1,LOOKUP(2,1/(指数走势!$F$35:$ACK$35&lt;&gt;""),COLUMN(指数走势!$F$35:$ACK$35))-COLUMN(指数走势!$F$35)+1-760+662)))</f>
        <v>13.9736003875732</v>
      </c>
      <c r="YN99">
        <f>IF(ISERROR(INDEX(指数走势!$F$35:$ACK$35,1,LOOKUP(2,1/(指数走势!$F$35:$ACK$35&lt;&gt;""),COLUMN(指数走势!$F$35:$ACK$35))-COLUMN(指数走势!$F$35)+1-760+663)),NA(),IF(INDEX(指数走势!$F$35:$ACK$35,1,LOOKUP(2,1/(指数走势!$F$35:$ACK$35&lt;&gt;""),COLUMN(指数走势!$F$35:$ACK$35))-COLUMN(指数走势!$F$35)+1-760+663)=0,NA(),INDEX(指数走势!$F$35:$ACK$35,1,LOOKUP(2,1/(指数走势!$F$35:$ACK$35&lt;&gt;""),COLUMN(指数走势!$F$35:$ACK$35))-COLUMN(指数走势!$F$35)+1-760+663)))</f>
        <v>14.1321001052856</v>
      </c>
      <c r="YO99">
        <f>IF(ISERROR(INDEX(指数走势!$F$35:$ACK$35,1,LOOKUP(2,1/(指数走势!$F$35:$ACK$35&lt;&gt;""),COLUMN(指数走势!$F$35:$ACK$35))-COLUMN(指数走势!$F$35)+1-760+664)),NA(),IF(INDEX(指数走势!$F$35:$ACK$35,1,LOOKUP(2,1/(指数走势!$F$35:$ACK$35&lt;&gt;""),COLUMN(指数走势!$F$35:$ACK$35))-COLUMN(指数走势!$F$35)+1-760+664)=0,NA(),INDEX(指数走势!$F$35:$ACK$35,1,LOOKUP(2,1/(指数走势!$F$35:$ACK$35&lt;&gt;""),COLUMN(指数走势!$F$35:$ACK$35))-COLUMN(指数走势!$F$35)+1-760+664)))</f>
        <v>14.0847997665405</v>
      </c>
      <c r="YP99">
        <f>IF(ISERROR(INDEX(指数走势!$F$35:$ACK$35,1,LOOKUP(2,1/(指数走势!$F$35:$ACK$35&lt;&gt;""),COLUMN(指数走势!$F$35:$ACK$35))-COLUMN(指数走势!$F$35)+1-760+665)),NA(),IF(INDEX(指数走势!$F$35:$ACK$35,1,LOOKUP(2,1/(指数走势!$F$35:$ACK$35&lt;&gt;""),COLUMN(指数走势!$F$35:$ACK$35))-COLUMN(指数走势!$F$35)+1-760+665)=0,NA(),INDEX(指数走势!$F$35:$ACK$35,1,LOOKUP(2,1/(指数走势!$F$35:$ACK$35&lt;&gt;""),COLUMN(指数走势!$F$35:$ACK$35))-COLUMN(指数走势!$F$35)+1-760+665)))</f>
        <v>14.0408000946045</v>
      </c>
      <c r="YQ99">
        <f>IF(ISERROR(INDEX(指数走势!$F$35:$ACK$35,1,LOOKUP(2,1/(指数走势!$F$35:$ACK$35&lt;&gt;""),COLUMN(指数走势!$F$35:$ACK$35))-COLUMN(指数走势!$F$35)+1-760+666)),NA(),IF(INDEX(指数走势!$F$35:$ACK$35,1,LOOKUP(2,1/(指数走势!$F$35:$ACK$35&lt;&gt;""),COLUMN(指数走势!$F$35:$ACK$35))-COLUMN(指数走势!$F$35)+1-760+666)=0,NA(),INDEX(指数走势!$F$35:$ACK$35,1,LOOKUP(2,1/(指数走势!$F$35:$ACK$35&lt;&gt;""),COLUMN(指数走势!$F$35:$ACK$35))-COLUMN(指数走势!$F$35)+1-760+666)))</f>
        <v>14.1986999511719</v>
      </c>
      <c r="YR99">
        <f>IF(ISERROR(INDEX(指数走势!$F$35:$ACK$35,1,LOOKUP(2,1/(指数走势!$F$35:$ACK$35&lt;&gt;""),COLUMN(指数走势!$F$35:$ACK$35))-COLUMN(指数走势!$F$35)+1-760+667)),NA(),IF(INDEX(指数走势!$F$35:$ACK$35,1,LOOKUP(2,1/(指数走势!$F$35:$ACK$35&lt;&gt;""),COLUMN(指数走势!$F$35:$ACK$35))-COLUMN(指数走势!$F$35)+1-760+667)=0,NA(),INDEX(指数走势!$F$35:$ACK$35,1,LOOKUP(2,1/(指数走势!$F$35:$ACK$35&lt;&gt;""),COLUMN(指数走势!$F$35:$ACK$35))-COLUMN(指数走势!$F$35)+1-760+667)))</f>
        <v>14.2298002243042</v>
      </c>
      <c r="YS99">
        <f>IF(ISERROR(INDEX(指数走势!$F$35:$ACK$35,1,LOOKUP(2,1/(指数走势!$F$35:$ACK$35&lt;&gt;""),COLUMN(指数走势!$F$35:$ACK$35))-COLUMN(指数走势!$F$35)+1-760+668)),NA(),IF(INDEX(指数走势!$F$35:$ACK$35,1,LOOKUP(2,1/(指数走势!$F$35:$ACK$35&lt;&gt;""),COLUMN(指数走势!$F$35:$ACK$35))-COLUMN(指数走势!$F$35)+1-760+668)=0,NA(),INDEX(指数走势!$F$35:$ACK$35,1,LOOKUP(2,1/(指数走势!$F$35:$ACK$35&lt;&gt;""),COLUMN(指数走势!$F$35:$ACK$35))-COLUMN(指数走势!$F$35)+1-760+668)))</f>
        <v>14.2290000915527</v>
      </c>
      <c r="YT99">
        <f>IF(ISERROR(INDEX(指数走势!$F$35:$ACK$35,1,LOOKUP(2,1/(指数走势!$F$35:$ACK$35&lt;&gt;""),COLUMN(指数走势!$F$35:$ACK$35))-COLUMN(指数走势!$F$35)+1-760+669)),NA(),IF(INDEX(指数走势!$F$35:$ACK$35,1,LOOKUP(2,1/(指数走势!$F$35:$ACK$35&lt;&gt;""),COLUMN(指数走势!$F$35:$ACK$35))-COLUMN(指数走势!$F$35)+1-760+669)=0,NA(),INDEX(指数走势!$F$35:$ACK$35,1,LOOKUP(2,1/(指数走势!$F$35:$ACK$35&lt;&gt;""),COLUMN(指数走势!$F$35:$ACK$35))-COLUMN(指数走势!$F$35)+1-760+669)))</f>
        <v>14.2037000656128</v>
      </c>
      <c r="YU99">
        <f>IF(ISERROR(INDEX(指数走势!$F$35:$ACK$35,1,LOOKUP(2,1/(指数走势!$F$35:$ACK$35&lt;&gt;""),COLUMN(指数走势!$F$35:$ACK$35))-COLUMN(指数走势!$F$35)+1-760+670)),NA(),IF(INDEX(指数走势!$F$35:$ACK$35,1,LOOKUP(2,1/(指数走势!$F$35:$ACK$35&lt;&gt;""),COLUMN(指数走势!$F$35:$ACK$35))-COLUMN(指数走势!$F$35)+1-760+670)=0,NA(),INDEX(指数走势!$F$35:$ACK$35,1,LOOKUP(2,1/(指数走势!$F$35:$ACK$35&lt;&gt;""),COLUMN(指数走势!$F$35:$ACK$35))-COLUMN(指数走势!$F$35)+1-760+670)))</f>
        <v>14.010199546814</v>
      </c>
      <c r="YV99">
        <f>IF(ISERROR(INDEX(指数走势!$F$35:$ACK$35,1,LOOKUP(2,1/(指数走势!$F$35:$ACK$35&lt;&gt;""),COLUMN(指数走势!$F$35:$ACK$35))-COLUMN(指数走势!$F$35)+1-760+671)),NA(),IF(INDEX(指数走势!$F$35:$ACK$35,1,LOOKUP(2,1/(指数走势!$F$35:$ACK$35&lt;&gt;""),COLUMN(指数走势!$F$35:$ACK$35))-COLUMN(指数走势!$F$35)+1-760+671)=0,NA(),INDEX(指数走势!$F$35:$ACK$35,1,LOOKUP(2,1/(指数走势!$F$35:$ACK$35&lt;&gt;""),COLUMN(指数走势!$F$35:$ACK$35))-COLUMN(指数走势!$F$35)+1-760+671)))</f>
        <v>14.1521997451782</v>
      </c>
      <c r="YW99">
        <f>IF(ISERROR(INDEX(指数走势!$F$35:$ACK$35,1,LOOKUP(2,1/(指数走势!$F$35:$ACK$35&lt;&gt;""),COLUMN(指数走势!$F$35:$ACK$35))-COLUMN(指数走势!$F$35)+1-760+672)),NA(),IF(INDEX(指数走势!$F$35:$ACK$35,1,LOOKUP(2,1/(指数走势!$F$35:$ACK$35&lt;&gt;""),COLUMN(指数走势!$F$35:$ACK$35))-COLUMN(指数走势!$F$35)+1-760+672)=0,NA(),INDEX(指数走势!$F$35:$ACK$35,1,LOOKUP(2,1/(指数走势!$F$35:$ACK$35&lt;&gt;""),COLUMN(指数走势!$F$35:$ACK$35))-COLUMN(指数走势!$F$35)+1-760+672)))</f>
        <v>14.2014999389648</v>
      </c>
      <c r="YX99">
        <f>IF(ISERROR(INDEX(指数走势!$F$35:$ACK$35,1,LOOKUP(2,1/(指数走势!$F$35:$ACK$35&lt;&gt;""),COLUMN(指数走势!$F$35:$ACK$35))-COLUMN(指数走势!$F$35)+1-760+673)),NA(),IF(INDEX(指数走势!$F$35:$ACK$35,1,LOOKUP(2,1/(指数走势!$F$35:$ACK$35&lt;&gt;""),COLUMN(指数走势!$F$35:$ACK$35))-COLUMN(指数走势!$F$35)+1-760+673)=0,NA(),INDEX(指数走势!$F$35:$ACK$35,1,LOOKUP(2,1/(指数走势!$F$35:$ACK$35&lt;&gt;""),COLUMN(指数走势!$F$35:$ACK$35))-COLUMN(指数走势!$F$35)+1-760+673)))</f>
        <v>14.1501998901367</v>
      </c>
      <c r="YY99">
        <f>IF(ISERROR(INDEX(指数走势!$F$35:$ACK$35,1,LOOKUP(2,1/(指数走势!$F$35:$ACK$35&lt;&gt;""),COLUMN(指数走势!$F$35:$ACK$35))-COLUMN(指数走势!$F$35)+1-760+674)),NA(),IF(INDEX(指数走势!$F$35:$ACK$35,1,LOOKUP(2,1/(指数走势!$F$35:$ACK$35&lt;&gt;""),COLUMN(指数走势!$F$35:$ACK$35))-COLUMN(指数走势!$F$35)+1-760+674)=0,NA(),INDEX(指数走势!$F$35:$ACK$35,1,LOOKUP(2,1/(指数走势!$F$35:$ACK$35&lt;&gt;""),COLUMN(指数走势!$F$35:$ACK$35))-COLUMN(指数走势!$F$35)+1-760+674)))</f>
        <v>14.1260995864868</v>
      </c>
      <c r="YZ99">
        <f>IF(ISERROR(INDEX(指数走势!$F$35:$ACK$35,1,LOOKUP(2,1/(指数走势!$F$35:$ACK$35&lt;&gt;""),COLUMN(指数走势!$F$35:$ACK$35))-COLUMN(指数走势!$F$35)+1-760+675)),NA(),IF(INDEX(指数走势!$F$35:$ACK$35,1,LOOKUP(2,1/(指数走势!$F$35:$ACK$35&lt;&gt;""),COLUMN(指数走势!$F$35:$ACK$35))-COLUMN(指数走势!$F$35)+1-760+675)=0,NA(),INDEX(指数走势!$F$35:$ACK$35,1,LOOKUP(2,1/(指数走势!$F$35:$ACK$35&lt;&gt;""),COLUMN(指数走势!$F$35:$ACK$35))-COLUMN(指数走势!$F$35)+1-760+675)))</f>
        <v>14.2791004180908</v>
      </c>
      <c r="ZA99">
        <f>IF(ISERROR(INDEX(指数走势!$F$35:$ACK$35,1,LOOKUP(2,1/(指数走势!$F$35:$ACK$35&lt;&gt;""),COLUMN(指数走势!$F$35:$ACK$35))-COLUMN(指数走势!$F$35)+1-760+676)),NA(),IF(INDEX(指数走势!$F$35:$ACK$35,1,LOOKUP(2,1/(指数走势!$F$35:$ACK$35&lt;&gt;""),COLUMN(指数走势!$F$35:$ACK$35))-COLUMN(指数走势!$F$35)+1-760+676)=0,NA(),INDEX(指数走势!$F$35:$ACK$35,1,LOOKUP(2,1/(指数走势!$F$35:$ACK$35&lt;&gt;""),COLUMN(指数走势!$F$35:$ACK$35))-COLUMN(指数走势!$F$35)+1-760+676)))</f>
        <v>14.2791996002197</v>
      </c>
      <c r="ZB99">
        <f>IF(ISERROR(INDEX(指数走势!$F$35:$ACK$35,1,LOOKUP(2,1/(指数走势!$F$35:$ACK$35&lt;&gt;""),COLUMN(指数走势!$F$35:$ACK$35))-COLUMN(指数走势!$F$35)+1-760+677)),NA(),IF(INDEX(指数走势!$F$35:$ACK$35,1,LOOKUP(2,1/(指数走势!$F$35:$ACK$35&lt;&gt;""),COLUMN(指数走势!$F$35:$ACK$35))-COLUMN(指数走势!$F$35)+1-760+677)=0,NA(),INDEX(指数走势!$F$35:$ACK$35,1,LOOKUP(2,1/(指数走势!$F$35:$ACK$35&lt;&gt;""),COLUMN(指数走势!$F$35:$ACK$35))-COLUMN(指数走势!$F$35)+1-760+677)))</f>
        <v>14.1143999099731</v>
      </c>
      <c r="ZC99">
        <f>IF(ISERROR(INDEX(指数走势!$F$35:$ACK$35,1,LOOKUP(2,1/(指数走势!$F$35:$ACK$35&lt;&gt;""),COLUMN(指数走势!$F$35:$ACK$35))-COLUMN(指数走势!$F$35)+1-760+678)),NA(),IF(INDEX(指数走势!$F$35:$ACK$35,1,LOOKUP(2,1/(指数走势!$F$35:$ACK$35&lt;&gt;""),COLUMN(指数走势!$F$35:$ACK$35))-COLUMN(指数走势!$F$35)+1-760+678)=0,NA(),INDEX(指数走势!$F$35:$ACK$35,1,LOOKUP(2,1/(指数走势!$F$35:$ACK$35&lt;&gt;""),COLUMN(指数走势!$F$35:$ACK$35))-COLUMN(指数走势!$F$35)+1-760+678)))</f>
        <v>14.1838998794556</v>
      </c>
      <c r="ZD99">
        <f>IF(ISERROR(INDEX(指数走势!$F$35:$ACK$35,1,LOOKUP(2,1/(指数走势!$F$35:$ACK$35&lt;&gt;""),COLUMN(指数走势!$F$35:$ACK$35))-COLUMN(指数走势!$F$35)+1-760+679)),NA(),IF(INDEX(指数走势!$F$35:$ACK$35,1,LOOKUP(2,1/(指数走势!$F$35:$ACK$35&lt;&gt;""),COLUMN(指数走势!$F$35:$ACK$35))-COLUMN(指数走势!$F$35)+1-760+679)=0,NA(),INDEX(指数走势!$F$35:$ACK$35,1,LOOKUP(2,1/(指数走势!$F$35:$ACK$35&lt;&gt;""),COLUMN(指数走势!$F$35:$ACK$35))-COLUMN(指数走势!$F$35)+1-760+679)))</f>
        <v>14.1906003952026</v>
      </c>
      <c r="ZE99">
        <f>IF(ISERROR(INDEX(指数走势!$F$35:$ACK$35,1,LOOKUP(2,1/(指数走势!$F$35:$ACK$35&lt;&gt;""),COLUMN(指数走势!$F$35:$ACK$35))-COLUMN(指数走势!$F$35)+1-760+680)),NA(),IF(INDEX(指数走势!$F$35:$ACK$35,1,LOOKUP(2,1/(指数走势!$F$35:$ACK$35&lt;&gt;""),COLUMN(指数走势!$F$35:$ACK$35))-COLUMN(指数走势!$F$35)+1-760+680)=0,NA(),INDEX(指数走势!$F$35:$ACK$35,1,LOOKUP(2,1/(指数走势!$F$35:$ACK$35&lt;&gt;""),COLUMN(指数走势!$F$35:$ACK$35))-COLUMN(指数走势!$F$35)+1-760+680)))</f>
        <v>14.1520004272461</v>
      </c>
      <c r="ZF99">
        <f>IF(ISERROR(INDEX(指数走势!$F$35:$ACK$35,1,LOOKUP(2,1/(指数走势!$F$35:$ACK$35&lt;&gt;""),COLUMN(指数走势!$F$35:$ACK$35))-COLUMN(指数走势!$F$35)+1-760+681)),NA(),IF(INDEX(指数走势!$F$35:$ACK$35,1,LOOKUP(2,1/(指数走势!$F$35:$ACK$35&lt;&gt;""),COLUMN(指数走势!$F$35:$ACK$35))-COLUMN(指数走势!$F$35)+1-760+681)=0,NA(),INDEX(指数走势!$F$35:$ACK$35,1,LOOKUP(2,1/(指数走势!$F$35:$ACK$35&lt;&gt;""),COLUMN(指数走势!$F$35:$ACK$35))-COLUMN(指数走势!$F$35)+1-760+681)))</f>
        <v>14.1546001434326</v>
      </c>
      <c r="ZG99">
        <f>IF(ISERROR(INDEX(指数走势!$F$35:$ACK$35,1,LOOKUP(2,1/(指数走势!$F$35:$ACK$35&lt;&gt;""),COLUMN(指数走势!$F$35:$ACK$35))-COLUMN(指数走势!$F$35)+1-760+682)),NA(),IF(INDEX(指数走势!$F$35:$ACK$35,1,LOOKUP(2,1/(指数走势!$F$35:$ACK$35&lt;&gt;""),COLUMN(指数走势!$F$35:$ACK$35))-COLUMN(指数走势!$F$35)+1-760+682)=0,NA(),INDEX(指数走势!$F$35:$ACK$35,1,LOOKUP(2,1/(指数走势!$F$35:$ACK$35&lt;&gt;""),COLUMN(指数走势!$F$35:$ACK$35))-COLUMN(指数走势!$F$35)+1-760+682)))</f>
        <v>14.2607002258301</v>
      </c>
      <c r="ZH99">
        <f>IF(ISERROR(INDEX(指数走势!$F$35:$ACK$35,1,LOOKUP(2,1/(指数走势!$F$35:$ACK$35&lt;&gt;""),COLUMN(指数走势!$F$35:$ACK$35))-COLUMN(指数走势!$F$35)+1-760+683)),NA(),IF(INDEX(指数走势!$F$35:$ACK$35,1,LOOKUP(2,1/(指数走势!$F$35:$ACK$35&lt;&gt;""),COLUMN(指数走势!$F$35:$ACK$35))-COLUMN(指数走势!$F$35)+1-760+683)=0,NA(),INDEX(指数走势!$F$35:$ACK$35,1,LOOKUP(2,1/(指数走势!$F$35:$ACK$35&lt;&gt;""),COLUMN(指数走势!$F$35:$ACK$35))-COLUMN(指数走势!$F$35)+1-760+683)))</f>
        <v>14.2607002258301</v>
      </c>
      <c r="ZI99">
        <f>IF(ISERROR(INDEX(指数走势!$F$35:$ACK$35,1,LOOKUP(2,1/(指数走势!$F$35:$ACK$35&lt;&gt;""),COLUMN(指数走势!$F$35:$ACK$35))-COLUMN(指数走势!$F$35)+1-760+684)),NA(),IF(INDEX(指数走势!$F$35:$ACK$35,1,LOOKUP(2,1/(指数走势!$F$35:$ACK$35&lt;&gt;""),COLUMN(指数走势!$F$35:$ACK$35))-COLUMN(指数走势!$F$35)+1-760+684)=0,NA(),INDEX(指数走势!$F$35:$ACK$35,1,LOOKUP(2,1/(指数走势!$F$35:$ACK$35&lt;&gt;""),COLUMN(指数走势!$F$35:$ACK$35))-COLUMN(指数走势!$F$35)+1-760+684)))</f>
        <v>14.208399772644</v>
      </c>
      <c r="ZJ99">
        <f>IF(ISERROR(INDEX(指数走势!$F$35:$ACK$35,1,LOOKUP(2,1/(指数走势!$F$35:$ACK$35&lt;&gt;""),COLUMN(指数走势!$F$35:$ACK$35))-COLUMN(指数走势!$F$35)+1-760+685)),NA(),IF(INDEX(指数走势!$F$35:$ACK$35,1,LOOKUP(2,1/(指数走势!$F$35:$ACK$35&lt;&gt;""),COLUMN(指数走势!$F$35:$ACK$35))-COLUMN(指数走势!$F$35)+1-760+685)=0,NA(),INDEX(指数走势!$F$35:$ACK$35,1,LOOKUP(2,1/(指数走势!$F$35:$ACK$35&lt;&gt;""),COLUMN(指数走势!$F$35:$ACK$35))-COLUMN(指数走势!$F$35)+1-760+685)))</f>
        <v>14.1993999481201</v>
      </c>
      <c r="ZK99">
        <f>IF(ISERROR(INDEX(指数走势!$F$35:$ACK$35,1,LOOKUP(2,1/(指数走势!$F$35:$ACK$35&lt;&gt;""),COLUMN(指数走势!$F$35:$ACK$35))-COLUMN(指数走势!$F$35)+1-760+686)),NA(),IF(INDEX(指数走势!$F$35:$ACK$35,1,LOOKUP(2,1/(指数走势!$F$35:$ACK$35&lt;&gt;""),COLUMN(指数走势!$F$35:$ACK$35))-COLUMN(指数走势!$F$35)+1-760+686)=0,NA(),INDEX(指数走势!$F$35:$ACK$35,1,LOOKUP(2,1/(指数走势!$F$35:$ACK$35&lt;&gt;""),COLUMN(指数走势!$F$35:$ACK$35))-COLUMN(指数走势!$F$35)+1-760+686)))</f>
        <v>14.1605997085571</v>
      </c>
      <c r="ZL99">
        <f>IF(ISERROR(INDEX(指数走势!$F$35:$ACK$35,1,LOOKUP(2,1/(指数走势!$F$35:$ACK$35&lt;&gt;""),COLUMN(指数走势!$F$35:$ACK$35))-COLUMN(指数走势!$F$35)+1-760+687)),NA(),IF(INDEX(指数走势!$F$35:$ACK$35,1,LOOKUP(2,1/(指数走势!$F$35:$ACK$35&lt;&gt;""),COLUMN(指数走势!$F$35:$ACK$35))-COLUMN(指数走势!$F$35)+1-760+687)=0,NA(),INDEX(指数走势!$F$35:$ACK$35,1,LOOKUP(2,1/(指数走势!$F$35:$ACK$35&lt;&gt;""),COLUMN(指数走势!$F$35:$ACK$35))-COLUMN(指数走势!$F$35)+1-760+687)))</f>
        <v>14.1822004318237</v>
      </c>
      <c r="ZM99">
        <f>IF(ISERROR(INDEX(指数走势!$F$35:$ACK$35,1,LOOKUP(2,1/(指数走势!$F$35:$ACK$35&lt;&gt;""),COLUMN(指数走势!$F$35:$ACK$35))-COLUMN(指数走势!$F$35)+1-760+688)),NA(),IF(INDEX(指数走势!$F$35:$ACK$35,1,LOOKUP(2,1/(指数走势!$F$35:$ACK$35&lt;&gt;""),COLUMN(指数走势!$F$35:$ACK$35))-COLUMN(指数走势!$F$35)+1-760+688)=0,NA(),INDEX(指数走势!$F$35:$ACK$35,1,LOOKUP(2,1/(指数走势!$F$35:$ACK$35&lt;&gt;""),COLUMN(指数走势!$F$35:$ACK$35))-COLUMN(指数走势!$F$35)+1-760+688)))</f>
        <v>14.0904998779297</v>
      </c>
      <c r="ZN99">
        <f>IF(ISERROR(INDEX(指数走势!$F$35:$ACK$35,1,LOOKUP(2,1/(指数走势!$F$35:$ACK$35&lt;&gt;""),COLUMN(指数走势!$F$35:$ACK$35))-COLUMN(指数走势!$F$35)+1-760+689)),NA(),IF(INDEX(指数走势!$F$35:$ACK$35,1,LOOKUP(2,1/(指数走势!$F$35:$ACK$35&lt;&gt;""),COLUMN(指数走势!$F$35:$ACK$35))-COLUMN(指数走势!$F$35)+1-760+689)=0,NA(),INDEX(指数走势!$F$35:$ACK$35,1,LOOKUP(2,1/(指数走势!$F$35:$ACK$35&lt;&gt;""),COLUMN(指数走势!$F$35:$ACK$35))-COLUMN(指数走势!$F$35)+1-760+689)))</f>
        <v>14.0240001678467</v>
      </c>
      <c r="ZO99">
        <f>IF(ISERROR(INDEX(指数走势!$F$35:$ACK$35,1,LOOKUP(2,1/(指数走势!$F$35:$ACK$35&lt;&gt;""),COLUMN(指数走势!$F$35:$ACK$35))-COLUMN(指数走势!$F$35)+1-760+690)),NA(),IF(INDEX(指数走势!$F$35:$ACK$35,1,LOOKUP(2,1/(指数走势!$F$35:$ACK$35&lt;&gt;""),COLUMN(指数走势!$F$35:$ACK$35))-COLUMN(指数走势!$F$35)+1-760+690)=0,NA(),INDEX(指数走势!$F$35:$ACK$35,1,LOOKUP(2,1/(指数走势!$F$35:$ACK$35&lt;&gt;""),COLUMN(指数走势!$F$35:$ACK$35))-COLUMN(指数走势!$F$35)+1-760+690)))</f>
        <v>13.6115999221802</v>
      </c>
      <c r="ZP99">
        <f>IF(ISERROR(INDEX(指数走势!$F$35:$ACK$35,1,LOOKUP(2,1/(指数走势!$F$35:$ACK$35&lt;&gt;""),COLUMN(指数走势!$F$35:$ACK$35))-COLUMN(指数走势!$F$35)+1-760+691)),NA(),IF(INDEX(指数走势!$F$35:$ACK$35,1,LOOKUP(2,1/(指数走势!$F$35:$ACK$35&lt;&gt;""),COLUMN(指数走势!$F$35:$ACK$35))-COLUMN(指数走势!$F$35)+1-760+691)=0,NA(),INDEX(指数走势!$F$35:$ACK$35,1,LOOKUP(2,1/(指数走势!$F$35:$ACK$35&lt;&gt;""),COLUMN(指数走势!$F$35:$ACK$35))-COLUMN(指数走势!$F$35)+1-760+691)))</f>
        <v>13.7405004501343</v>
      </c>
      <c r="ZQ99">
        <f>IF(ISERROR(INDEX(指数走势!$F$35:$ACK$35,1,LOOKUP(2,1/(指数走势!$F$35:$ACK$35&lt;&gt;""),COLUMN(指数走势!$F$35:$ACK$35))-COLUMN(指数走势!$F$35)+1-760+692)),NA(),IF(INDEX(指数走势!$F$35:$ACK$35,1,LOOKUP(2,1/(指数走势!$F$35:$ACK$35&lt;&gt;""),COLUMN(指数走势!$F$35:$ACK$35))-COLUMN(指数走势!$F$35)+1-760+692)=0,NA(),INDEX(指数走势!$F$35:$ACK$35,1,LOOKUP(2,1/(指数走势!$F$35:$ACK$35&lt;&gt;""),COLUMN(指数走势!$F$35:$ACK$35))-COLUMN(指数走势!$F$35)+1-760+692)))</f>
        <v>13.8647003173828</v>
      </c>
      <c r="ZR99">
        <f>IF(ISERROR(INDEX(指数走势!$F$35:$ACK$35,1,LOOKUP(2,1/(指数走势!$F$35:$ACK$35&lt;&gt;""),COLUMN(指数走势!$F$35:$ACK$35))-COLUMN(指数走势!$F$35)+1-760+693)),NA(),IF(INDEX(指数走势!$F$35:$ACK$35,1,LOOKUP(2,1/(指数走势!$F$35:$ACK$35&lt;&gt;""),COLUMN(指数走势!$F$35:$ACK$35))-COLUMN(指数走势!$F$35)+1-760+693)=0,NA(),INDEX(指数走势!$F$35:$ACK$35,1,LOOKUP(2,1/(指数走势!$F$35:$ACK$35&lt;&gt;""),COLUMN(指数走势!$F$35:$ACK$35))-COLUMN(指数走势!$F$35)+1-760+693)))</f>
        <v>13.7880001068115</v>
      </c>
      <c r="ZS99">
        <f>IF(ISERROR(INDEX(指数走势!$F$35:$ACK$35,1,LOOKUP(2,1/(指数走势!$F$35:$ACK$35&lt;&gt;""),COLUMN(指数走势!$F$35:$ACK$35))-COLUMN(指数走势!$F$35)+1-760+694)),NA(),IF(INDEX(指数走势!$F$35:$ACK$35,1,LOOKUP(2,1/(指数走势!$F$35:$ACK$35&lt;&gt;""),COLUMN(指数走势!$F$35:$ACK$35))-COLUMN(指数走势!$F$35)+1-760+694)=0,NA(),INDEX(指数走势!$F$35:$ACK$35,1,LOOKUP(2,1/(指数走势!$F$35:$ACK$35&lt;&gt;""),COLUMN(指数走势!$F$35:$ACK$35))-COLUMN(指数走势!$F$35)+1-760+694)))</f>
        <v>13.9127998352051</v>
      </c>
      <c r="ZT99">
        <f>IF(ISERROR(INDEX(指数走势!$F$35:$ACK$35,1,LOOKUP(2,1/(指数走势!$F$35:$ACK$35&lt;&gt;""),COLUMN(指数走势!$F$35:$ACK$35))-COLUMN(指数走势!$F$35)+1-760+695)),NA(),IF(INDEX(指数走势!$F$35:$ACK$35,1,LOOKUP(2,1/(指数走势!$F$35:$ACK$35&lt;&gt;""),COLUMN(指数走势!$F$35:$ACK$35))-COLUMN(指数走势!$F$35)+1-760+695)=0,NA(),INDEX(指数走势!$F$35:$ACK$35,1,LOOKUP(2,1/(指数走势!$F$35:$ACK$35&lt;&gt;""),COLUMN(指数走势!$F$35:$ACK$35))-COLUMN(指数走势!$F$35)+1-760+695)))</f>
        <v>13.9575004577637</v>
      </c>
      <c r="ZU99">
        <f>IF(ISERROR(INDEX(指数走势!$F$35:$ACK$35,1,LOOKUP(2,1/(指数走势!$F$35:$ACK$35&lt;&gt;""),COLUMN(指数走势!$F$35:$ACK$35))-COLUMN(指数走势!$F$35)+1-760+696)),NA(),IF(INDEX(指数走势!$F$35:$ACK$35,1,LOOKUP(2,1/(指数走势!$F$35:$ACK$35&lt;&gt;""),COLUMN(指数走势!$F$35:$ACK$35))-COLUMN(指数走势!$F$35)+1-760+696)=0,NA(),INDEX(指数走势!$F$35:$ACK$35,1,LOOKUP(2,1/(指数走势!$F$35:$ACK$35&lt;&gt;""),COLUMN(指数走势!$F$35:$ACK$35))-COLUMN(指数走势!$F$35)+1-760+696)))</f>
        <v>13.8915996551514</v>
      </c>
      <c r="ZV99">
        <f>IF(ISERROR(INDEX(指数走势!$F$35:$ACK$35,1,LOOKUP(2,1/(指数走势!$F$35:$ACK$35&lt;&gt;""),COLUMN(指数走势!$F$35:$ACK$35))-COLUMN(指数走势!$F$35)+1-760+697)),NA(),IF(INDEX(指数走势!$F$35:$ACK$35,1,LOOKUP(2,1/(指数走势!$F$35:$ACK$35&lt;&gt;""),COLUMN(指数走势!$F$35:$ACK$35))-COLUMN(指数走势!$F$35)+1-760+697)=0,NA(),INDEX(指数走势!$F$35:$ACK$35,1,LOOKUP(2,1/(指数走势!$F$35:$ACK$35&lt;&gt;""),COLUMN(指数走势!$F$35:$ACK$35))-COLUMN(指数走势!$F$35)+1-760+697)))</f>
        <v>14.1183996200562</v>
      </c>
      <c r="ZW99">
        <f>IF(ISERROR(INDEX(指数走势!$F$35:$ACK$35,1,LOOKUP(2,1/(指数走势!$F$35:$ACK$35&lt;&gt;""),COLUMN(指数走势!$F$35:$ACK$35))-COLUMN(指数走势!$F$35)+1-760+698)),NA(),IF(INDEX(指数走势!$F$35:$ACK$35,1,LOOKUP(2,1/(指数走势!$F$35:$ACK$35&lt;&gt;""),COLUMN(指数走势!$F$35:$ACK$35))-COLUMN(指数走势!$F$35)+1-760+698)=0,NA(),INDEX(指数走势!$F$35:$ACK$35,1,LOOKUP(2,1/(指数走势!$F$35:$ACK$35&lt;&gt;""),COLUMN(指数走势!$F$35:$ACK$35))-COLUMN(指数走势!$F$35)+1-760+698)))</f>
        <v>14.0452995300293</v>
      </c>
      <c r="ZX99">
        <f>IF(ISERROR(INDEX(指数走势!$F$35:$ACK$35,1,LOOKUP(2,1/(指数走势!$F$35:$ACK$35&lt;&gt;""),COLUMN(指数走势!$F$35:$ACK$35))-COLUMN(指数走势!$F$35)+1-760+699)),NA(),IF(INDEX(指数走势!$F$35:$ACK$35,1,LOOKUP(2,1/(指数走势!$F$35:$ACK$35&lt;&gt;""),COLUMN(指数走势!$F$35:$ACK$35))-COLUMN(指数走势!$F$35)+1-760+699)=0,NA(),INDEX(指数走势!$F$35:$ACK$35,1,LOOKUP(2,1/(指数走势!$F$35:$ACK$35&lt;&gt;""),COLUMN(指数走势!$F$35:$ACK$35))-COLUMN(指数走势!$F$35)+1-760+699)))</f>
        <v>13.911600112915</v>
      </c>
      <c r="ZY99">
        <f>IF(ISERROR(INDEX(指数走势!$F$35:$ACK$35,1,LOOKUP(2,1/(指数走势!$F$35:$ACK$35&lt;&gt;""),COLUMN(指数走势!$F$35:$ACK$35))-COLUMN(指数走势!$F$35)+1-760+700)),NA(),IF(INDEX(指数走势!$F$35:$ACK$35,1,LOOKUP(2,1/(指数走势!$F$35:$ACK$35&lt;&gt;""),COLUMN(指数走势!$F$35:$ACK$35))-COLUMN(指数走势!$F$35)+1-760+700)=0,NA(),INDEX(指数走势!$F$35:$ACK$35,1,LOOKUP(2,1/(指数走势!$F$35:$ACK$35&lt;&gt;""),COLUMN(指数走势!$F$35:$ACK$35))-COLUMN(指数走势!$F$35)+1-760+700)))</f>
        <v>13.9043998718262</v>
      </c>
      <c r="ZZ99">
        <f>IF(ISERROR(INDEX(指数走势!$F$35:$ACK$35,1,LOOKUP(2,1/(指数走势!$F$35:$ACK$35&lt;&gt;""),COLUMN(指数走势!$F$35:$ACK$35))-COLUMN(指数走势!$F$35)+1-760+701)),NA(),IF(INDEX(指数走势!$F$35:$ACK$35,1,LOOKUP(2,1/(指数走势!$F$35:$ACK$35&lt;&gt;""),COLUMN(指数走势!$F$35:$ACK$35))-COLUMN(指数走势!$F$35)+1-760+701)=0,NA(),INDEX(指数走势!$F$35:$ACK$35,1,LOOKUP(2,1/(指数走势!$F$35:$ACK$35&lt;&gt;""),COLUMN(指数走势!$F$35:$ACK$35))-COLUMN(指数走势!$F$35)+1-760+701)))</f>
        <v>14.1855001449585</v>
      </c>
      <c r="AAA99">
        <f>IF(ISERROR(INDEX(指数走势!$F$35:$ACK$35,1,LOOKUP(2,1/(指数走势!$F$35:$ACK$35&lt;&gt;""),COLUMN(指数走势!$F$35:$ACK$35))-COLUMN(指数走势!$F$35)+1-760+702)),NA(),IF(INDEX(指数走势!$F$35:$ACK$35,1,LOOKUP(2,1/(指数走势!$F$35:$ACK$35&lt;&gt;""),COLUMN(指数走势!$F$35:$ACK$35))-COLUMN(指数走势!$F$35)+1-760+702)=0,NA(),INDEX(指数走势!$F$35:$ACK$35,1,LOOKUP(2,1/(指数走势!$F$35:$ACK$35&lt;&gt;""),COLUMN(指数走势!$F$35:$ACK$35))-COLUMN(指数走势!$F$35)+1-760+702)))</f>
        <v>14.1048002243042</v>
      </c>
      <c r="AAB99">
        <f>IF(ISERROR(INDEX(指数走势!$F$35:$ACK$35,1,LOOKUP(2,1/(指数走势!$F$35:$ACK$35&lt;&gt;""),COLUMN(指数走势!$F$35:$ACK$35))-COLUMN(指数走势!$F$35)+1-760+703)),NA(),IF(INDEX(指数走势!$F$35:$ACK$35,1,LOOKUP(2,1/(指数走势!$F$35:$ACK$35&lt;&gt;""),COLUMN(指数走势!$F$35:$ACK$35))-COLUMN(指数走势!$F$35)+1-760+703)=0,NA(),INDEX(指数走势!$F$35:$ACK$35,1,LOOKUP(2,1/(指数走势!$F$35:$ACK$35&lt;&gt;""),COLUMN(指数走势!$F$35:$ACK$35))-COLUMN(指数走势!$F$35)+1-760+703)))</f>
        <v>14.2194004058838</v>
      </c>
      <c r="AAC99">
        <f>IF(ISERROR(INDEX(指数走势!$F$35:$ACK$35,1,LOOKUP(2,1/(指数走势!$F$35:$ACK$35&lt;&gt;""),COLUMN(指数走势!$F$35:$ACK$35))-COLUMN(指数走势!$F$35)+1-760+704)),NA(),IF(INDEX(指数走势!$F$35:$ACK$35,1,LOOKUP(2,1/(指数走势!$F$35:$ACK$35&lt;&gt;""),COLUMN(指数走势!$F$35:$ACK$35))-COLUMN(指数走势!$F$35)+1-760+704)=0,NA(),INDEX(指数走势!$F$35:$ACK$35,1,LOOKUP(2,1/(指数走势!$F$35:$ACK$35&lt;&gt;""),COLUMN(指数走势!$F$35:$ACK$35))-COLUMN(指数走势!$F$35)+1-760+704)))</f>
        <v>14.2615003585815</v>
      </c>
      <c r="AAD99">
        <f>IF(ISERROR(INDEX(指数走势!$F$35:$ACK$35,1,LOOKUP(2,1/(指数走势!$F$35:$ACK$35&lt;&gt;""),COLUMN(指数走势!$F$35:$ACK$35))-COLUMN(指数走势!$F$35)+1-760+705)),NA(),IF(INDEX(指数走势!$F$35:$ACK$35,1,LOOKUP(2,1/(指数走势!$F$35:$ACK$35&lt;&gt;""),COLUMN(指数走势!$F$35:$ACK$35))-COLUMN(指数走势!$F$35)+1-760+705)=0,NA(),INDEX(指数走势!$F$35:$ACK$35,1,LOOKUP(2,1/(指数走势!$F$35:$ACK$35&lt;&gt;""),COLUMN(指数走势!$F$35:$ACK$35))-COLUMN(指数走势!$F$35)+1-760+705)))</f>
        <v>14.3758001327515</v>
      </c>
      <c r="AAE99">
        <f>IF(ISERROR(INDEX(指数走势!$F$35:$ACK$35,1,LOOKUP(2,1/(指数走势!$F$35:$ACK$35&lt;&gt;""),COLUMN(指数走势!$F$35:$ACK$35))-COLUMN(指数走势!$F$35)+1-760+706)),NA(),IF(INDEX(指数走势!$F$35:$ACK$35,1,LOOKUP(2,1/(指数走势!$F$35:$ACK$35&lt;&gt;""),COLUMN(指数走势!$F$35:$ACK$35))-COLUMN(指数走势!$F$35)+1-760+706)=0,NA(),INDEX(指数走势!$F$35:$ACK$35,1,LOOKUP(2,1/(指数走势!$F$35:$ACK$35&lt;&gt;""),COLUMN(指数走势!$F$35:$ACK$35))-COLUMN(指数走势!$F$35)+1-760+706)))</f>
        <v>14.3575000762939</v>
      </c>
      <c r="AAF99">
        <f>IF(ISERROR(INDEX(指数走势!$F$35:$ACK$35,1,LOOKUP(2,1/(指数走势!$F$35:$ACK$35&lt;&gt;""),COLUMN(指数走势!$F$35:$ACK$35))-COLUMN(指数走势!$F$35)+1-760+707)),NA(),IF(INDEX(指数走势!$F$35:$ACK$35,1,LOOKUP(2,1/(指数走势!$F$35:$ACK$35&lt;&gt;""),COLUMN(指数走势!$F$35:$ACK$35))-COLUMN(指数走势!$F$35)+1-760+707)=0,NA(),INDEX(指数走势!$F$35:$ACK$35,1,LOOKUP(2,1/(指数走势!$F$35:$ACK$35&lt;&gt;""),COLUMN(指数走势!$F$35:$ACK$35))-COLUMN(指数走势!$F$35)+1-760+707)))</f>
        <v>14.4310998916626</v>
      </c>
      <c r="AAG99">
        <f>IF(ISERROR(INDEX(指数走势!$F$35:$ACK$35,1,LOOKUP(2,1/(指数走势!$F$35:$ACK$35&lt;&gt;""),COLUMN(指数走势!$F$35:$ACK$35))-COLUMN(指数走势!$F$35)+1-760+708)),NA(),IF(INDEX(指数走势!$F$35:$ACK$35,1,LOOKUP(2,1/(指数走势!$F$35:$ACK$35&lt;&gt;""),COLUMN(指数走势!$F$35:$ACK$35))-COLUMN(指数走势!$F$35)+1-760+708)=0,NA(),INDEX(指数走势!$F$35:$ACK$35,1,LOOKUP(2,1/(指数走势!$F$35:$ACK$35&lt;&gt;""),COLUMN(指数走势!$F$35:$ACK$35))-COLUMN(指数走势!$F$35)+1-760+708)))</f>
        <v>14.4034004211426</v>
      </c>
      <c r="AAH99">
        <f>IF(ISERROR(INDEX(指数走势!$F$35:$ACK$35,1,LOOKUP(2,1/(指数走势!$F$35:$ACK$35&lt;&gt;""),COLUMN(指数走势!$F$35:$ACK$35))-COLUMN(指数走势!$F$35)+1-760+709)),NA(),IF(INDEX(指数走势!$F$35:$ACK$35,1,LOOKUP(2,1/(指数走势!$F$35:$ACK$35&lt;&gt;""),COLUMN(指数走势!$F$35:$ACK$35))-COLUMN(指数走势!$F$35)+1-760+709)=0,NA(),INDEX(指数走势!$F$35:$ACK$35,1,LOOKUP(2,1/(指数走势!$F$35:$ACK$35&lt;&gt;""),COLUMN(指数走势!$F$35:$ACK$35))-COLUMN(指数走势!$F$35)+1-760+709)))</f>
        <v>14.5233001708984</v>
      </c>
      <c r="AAI99">
        <f>IF(ISERROR(INDEX(指数走势!$F$35:$ACK$35,1,LOOKUP(2,1/(指数走势!$F$35:$ACK$35&lt;&gt;""),COLUMN(指数走势!$F$35:$ACK$35))-COLUMN(指数走势!$F$35)+1-760+710)),NA(),IF(INDEX(指数走势!$F$35:$ACK$35,1,LOOKUP(2,1/(指数走势!$F$35:$ACK$35&lt;&gt;""),COLUMN(指数走势!$F$35:$ACK$35))-COLUMN(指数走势!$F$35)+1-760+710)=0,NA(),INDEX(指数走势!$F$35:$ACK$35,1,LOOKUP(2,1/(指数走势!$F$35:$ACK$35&lt;&gt;""),COLUMN(指数走势!$F$35:$ACK$35))-COLUMN(指数走势!$F$35)+1-760+710)))</f>
        <v>14.5768995285034</v>
      </c>
      <c r="AAJ99">
        <f>IF(ISERROR(INDEX(指数走势!$F$35:$ACK$35,1,LOOKUP(2,1/(指数走势!$F$35:$ACK$35&lt;&gt;""),COLUMN(指数走势!$F$35:$ACK$35))-COLUMN(指数走势!$F$35)+1-760+711)),NA(),IF(INDEX(指数走势!$F$35:$ACK$35,1,LOOKUP(2,1/(指数走势!$F$35:$ACK$35&lt;&gt;""),COLUMN(指数走势!$F$35:$ACK$35))-COLUMN(指数走势!$F$35)+1-760+711)=0,NA(),INDEX(指数走势!$F$35:$ACK$35,1,LOOKUP(2,1/(指数走势!$F$35:$ACK$35&lt;&gt;""),COLUMN(指数走势!$F$35:$ACK$35))-COLUMN(指数走势!$F$35)+1-760+711)))</f>
        <v>14.6094999313354</v>
      </c>
      <c r="AAK99">
        <f>IF(ISERROR(INDEX(指数走势!$F$35:$ACK$35,1,LOOKUP(2,1/(指数走势!$F$35:$ACK$35&lt;&gt;""),COLUMN(指数走势!$F$35:$ACK$35))-COLUMN(指数走势!$F$35)+1-760+712)),NA(),IF(INDEX(指数走势!$F$35:$ACK$35,1,LOOKUP(2,1/(指数走势!$F$35:$ACK$35&lt;&gt;""),COLUMN(指数走势!$F$35:$ACK$35))-COLUMN(指数走势!$F$35)+1-760+712)=0,NA(),INDEX(指数走势!$F$35:$ACK$35,1,LOOKUP(2,1/(指数走势!$F$35:$ACK$35&lt;&gt;""),COLUMN(指数走势!$F$35:$ACK$35))-COLUMN(指数走势!$F$35)+1-760+712)))</f>
        <v>14.6038999557495</v>
      </c>
      <c r="AAL99">
        <f>IF(ISERROR(INDEX(指数走势!$F$35:$ACK$35,1,LOOKUP(2,1/(指数走势!$F$35:$ACK$35&lt;&gt;""),COLUMN(指数走势!$F$35:$ACK$35))-COLUMN(指数走势!$F$35)+1-760+713)),NA(),IF(INDEX(指数走势!$F$35:$ACK$35,1,LOOKUP(2,1/(指数走势!$F$35:$ACK$35&lt;&gt;""),COLUMN(指数走势!$F$35:$ACK$35))-COLUMN(指数走势!$F$35)+1-760+713)=0,NA(),INDEX(指数走势!$F$35:$ACK$35,1,LOOKUP(2,1/(指数走势!$F$35:$ACK$35&lt;&gt;""),COLUMN(指数走势!$F$35:$ACK$35))-COLUMN(指数走势!$F$35)+1-760+713)))</f>
        <v>14.5458002090454</v>
      </c>
      <c r="AAM99">
        <f>IF(ISERROR(INDEX(指数走势!$F$35:$ACK$35,1,LOOKUP(2,1/(指数走势!$F$35:$ACK$35&lt;&gt;""),COLUMN(指数走势!$F$35:$ACK$35))-COLUMN(指数走势!$F$35)+1-760+714)),NA(),IF(INDEX(指数走势!$F$35:$ACK$35,1,LOOKUP(2,1/(指数走势!$F$35:$ACK$35&lt;&gt;""),COLUMN(指数走势!$F$35:$ACK$35))-COLUMN(指数走势!$F$35)+1-760+714)=0,NA(),INDEX(指数走势!$F$35:$ACK$35,1,LOOKUP(2,1/(指数走势!$F$35:$ACK$35&lt;&gt;""),COLUMN(指数走势!$F$35:$ACK$35))-COLUMN(指数走势!$F$35)+1-760+714)))</f>
        <v>14.541600227356</v>
      </c>
      <c r="AAN99">
        <f>IF(ISERROR(INDEX(指数走势!$F$35:$ACK$35,1,LOOKUP(2,1/(指数走势!$F$35:$ACK$35&lt;&gt;""),COLUMN(指数走势!$F$35:$ACK$35))-COLUMN(指数走势!$F$35)+1-760+715)),NA(),IF(INDEX(指数走势!$F$35:$ACK$35,1,LOOKUP(2,1/(指数走势!$F$35:$ACK$35&lt;&gt;""),COLUMN(指数走势!$F$35:$ACK$35))-COLUMN(指数走势!$F$35)+1-760+715)=0,NA(),INDEX(指数走势!$F$35:$ACK$35,1,LOOKUP(2,1/(指数走势!$F$35:$ACK$35&lt;&gt;""),COLUMN(指数走势!$F$35:$ACK$35))-COLUMN(指数走势!$F$35)+1-760+715)))</f>
        <v>14.6106004714966</v>
      </c>
      <c r="AAO99">
        <f>IF(ISERROR(INDEX(指数走势!$F$35:$ACK$35,1,LOOKUP(2,1/(指数走势!$F$35:$ACK$35&lt;&gt;""),COLUMN(指数走势!$F$35:$ACK$35))-COLUMN(指数走势!$F$35)+1-760+716)),NA(),IF(INDEX(指数走势!$F$35:$ACK$35,1,LOOKUP(2,1/(指数走势!$F$35:$ACK$35&lt;&gt;""),COLUMN(指数走势!$F$35:$ACK$35))-COLUMN(指数走势!$F$35)+1-760+716)=0,NA(),INDEX(指数走势!$F$35:$ACK$35,1,LOOKUP(2,1/(指数走势!$F$35:$ACK$35&lt;&gt;""),COLUMN(指数走势!$F$35:$ACK$35))-COLUMN(指数走势!$F$35)+1-760+716)))</f>
        <v>14.709400177002</v>
      </c>
      <c r="AAP99">
        <f>IF(ISERROR(INDEX(指数走势!$F$35:$ACK$35,1,LOOKUP(2,1/(指数走势!$F$35:$ACK$35&lt;&gt;""),COLUMN(指数走势!$F$35:$ACK$35))-COLUMN(指数走势!$F$35)+1-760+717)),NA(),IF(INDEX(指数走势!$F$35:$ACK$35,1,LOOKUP(2,1/(指数走势!$F$35:$ACK$35&lt;&gt;""),COLUMN(指数走势!$F$35:$ACK$35))-COLUMN(指数走势!$F$35)+1-760+717)=0,NA(),INDEX(指数走势!$F$35:$ACK$35,1,LOOKUP(2,1/(指数走势!$F$35:$ACK$35&lt;&gt;""),COLUMN(指数走势!$F$35:$ACK$35))-COLUMN(指数走势!$F$35)+1-760+717)))</f>
        <v>14.6354999542236</v>
      </c>
      <c r="AAQ99">
        <f>IF(ISERROR(INDEX(指数走势!$F$35:$ACK$35,1,LOOKUP(2,1/(指数走势!$F$35:$ACK$35&lt;&gt;""),COLUMN(指数走势!$F$35:$ACK$35))-COLUMN(指数走势!$F$35)+1-760+718)),NA(),IF(INDEX(指数走势!$F$35:$ACK$35,1,LOOKUP(2,1/(指数走势!$F$35:$ACK$35&lt;&gt;""),COLUMN(指数走势!$F$35:$ACK$35))-COLUMN(指数走势!$F$35)+1-760+718)=0,NA(),INDEX(指数走势!$F$35:$ACK$35,1,LOOKUP(2,1/(指数走势!$F$35:$ACK$35&lt;&gt;""),COLUMN(指数走势!$F$35:$ACK$35))-COLUMN(指数走势!$F$35)+1-760+718)))</f>
        <v>14.786600112915</v>
      </c>
      <c r="AAR99">
        <f>IF(ISERROR(INDEX(指数走势!$F$35:$ACK$35,1,LOOKUP(2,1/(指数走势!$F$35:$ACK$35&lt;&gt;""),COLUMN(指数走势!$F$35:$ACK$35))-COLUMN(指数走势!$F$35)+1-760+719)),NA(),IF(INDEX(指数走势!$F$35:$ACK$35,1,LOOKUP(2,1/(指数走势!$F$35:$ACK$35&lt;&gt;""),COLUMN(指数走势!$F$35:$ACK$35))-COLUMN(指数走势!$F$35)+1-760+719)=0,NA(),INDEX(指数走势!$F$35:$ACK$35,1,LOOKUP(2,1/(指数走势!$F$35:$ACK$35&lt;&gt;""),COLUMN(指数走势!$F$35:$ACK$35))-COLUMN(指数走势!$F$35)+1-760+719)))</f>
        <v>14.7677001953125</v>
      </c>
      <c r="AAS99">
        <f>IF(ISERROR(INDEX(指数走势!$F$35:$ACK$35,1,LOOKUP(2,1/(指数走势!$F$35:$ACK$35&lt;&gt;""),COLUMN(指数走势!$F$35:$ACK$35))-COLUMN(指数走势!$F$35)+1-760+720)),NA(),IF(INDEX(指数走势!$F$35:$ACK$35,1,LOOKUP(2,1/(指数走势!$F$35:$ACK$35&lt;&gt;""),COLUMN(指数走势!$F$35:$ACK$35))-COLUMN(指数走势!$F$35)+1-760+720)=0,NA(),INDEX(指数走势!$F$35:$ACK$35,1,LOOKUP(2,1/(指数走势!$F$35:$ACK$35&lt;&gt;""),COLUMN(指数走势!$F$35:$ACK$35))-COLUMN(指数走势!$F$35)+1-760+720)))</f>
        <v>14.7058000564575</v>
      </c>
      <c r="AAT99">
        <f>IF(ISERROR(INDEX(指数走势!$F$35:$ACK$35,1,LOOKUP(2,1/(指数走势!$F$35:$ACK$35&lt;&gt;""),COLUMN(指数走势!$F$35:$ACK$35))-COLUMN(指数走势!$F$35)+1-760+721)),NA(),IF(INDEX(指数走势!$F$35:$ACK$35,1,LOOKUP(2,1/(指数走势!$F$35:$ACK$35&lt;&gt;""),COLUMN(指数走势!$F$35:$ACK$35))-COLUMN(指数走势!$F$35)+1-760+721)=0,NA(),INDEX(指数走势!$F$35:$ACK$35,1,LOOKUP(2,1/(指数走势!$F$35:$ACK$35&lt;&gt;""),COLUMN(指数走势!$F$35:$ACK$35))-COLUMN(指数走势!$F$35)+1-760+721)))</f>
        <v>14.8549003601074</v>
      </c>
      <c r="AAU99">
        <f>IF(ISERROR(INDEX(指数走势!$F$35:$ACK$35,1,LOOKUP(2,1/(指数走势!$F$35:$ACK$35&lt;&gt;""),COLUMN(指数走势!$F$35:$ACK$35))-COLUMN(指数走势!$F$35)+1-760+722)),NA(),IF(INDEX(指数走势!$F$35:$ACK$35,1,LOOKUP(2,1/(指数走势!$F$35:$ACK$35&lt;&gt;""),COLUMN(指数走势!$F$35:$ACK$35))-COLUMN(指数走势!$F$35)+1-760+722)=0,NA(),INDEX(指数走势!$F$35:$ACK$35,1,LOOKUP(2,1/(指数走势!$F$35:$ACK$35&lt;&gt;""),COLUMN(指数走势!$F$35:$ACK$35))-COLUMN(指数走势!$F$35)+1-760+722)))</f>
        <v>14.8264999389648</v>
      </c>
      <c r="AAV99">
        <f>IF(ISERROR(INDEX(指数走势!$F$35:$ACK$35,1,LOOKUP(2,1/(指数走势!$F$35:$ACK$35&lt;&gt;""),COLUMN(指数走势!$F$35:$ACK$35))-COLUMN(指数走势!$F$35)+1-760+723)),NA(),IF(INDEX(指数走势!$F$35:$ACK$35,1,LOOKUP(2,1/(指数走势!$F$35:$ACK$35&lt;&gt;""),COLUMN(指数走势!$F$35:$ACK$35))-COLUMN(指数走势!$F$35)+1-760+723)=0,NA(),INDEX(指数走势!$F$35:$ACK$35,1,LOOKUP(2,1/(指数走势!$F$35:$ACK$35&lt;&gt;""),COLUMN(指数走势!$F$35:$ACK$35))-COLUMN(指数走势!$F$35)+1-760+723)))</f>
        <v>14.8989000320435</v>
      </c>
      <c r="AAW99">
        <f>IF(ISERROR(INDEX(指数走势!$F$35:$ACK$35,1,LOOKUP(2,1/(指数走势!$F$35:$ACK$35&lt;&gt;""),COLUMN(指数走势!$F$35:$ACK$35))-COLUMN(指数走势!$F$35)+1-760+724)),NA(),IF(INDEX(指数走势!$F$35:$ACK$35,1,LOOKUP(2,1/(指数走势!$F$35:$ACK$35&lt;&gt;""),COLUMN(指数走势!$F$35:$ACK$35))-COLUMN(指数走势!$F$35)+1-760+724)=0,NA(),INDEX(指数走势!$F$35:$ACK$35,1,LOOKUP(2,1/(指数走势!$F$35:$ACK$35&lt;&gt;""),COLUMN(指数走势!$F$35:$ACK$35))-COLUMN(指数走势!$F$35)+1-760+724)))</f>
        <v>14.7255001068115</v>
      </c>
      <c r="AAX99">
        <f>IF(ISERROR(INDEX(指数走势!$F$35:$ACK$35,1,LOOKUP(2,1/(指数走势!$F$35:$ACK$35&lt;&gt;""),COLUMN(指数走势!$F$35:$ACK$35))-COLUMN(指数走势!$F$35)+1-760+725)),NA(),IF(INDEX(指数走势!$F$35:$ACK$35,1,LOOKUP(2,1/(指数走势!$F$35:$ACK$35&lt;&gt;""),COLUMN(指数走势!$F$35:$ACK$35))-COLUMN(指数走势!$F$35)+1-760+725)=0,NA(),INDEX(指数走势!$F$35:$ACK$35,1,LOOKUP(2,1/(指数走势!$F$35:$ACK$35&lt;&gt;""),COLUMN(指数走势!$F$35:$ACK$35))-COLUMN(指数走势!$F$35)+1-760+725)))</f>
        <v>14.6059999465942</v>
      </c>
      <c r="AAY99">
        <f>IF(ISERROR(INDEX(指数走势!$F$35:$ACK$35,1,LOOKUP(2,1/(指数走势!$F$35:$ACK$35&lt;&gt;""),COLUMN(指数走势!$F$35:$ACK$35))-COLUMN(指数走势!$F$35)+1-760+726)),NA(),IF(INDEX(指数走势!$F$35:$ACK$35,1,LOOKUP(2,1/(指数走势!$F$35:$ACK$35&lt;&gt;""),COLUMN(指数走势!$F$35:$ACK$35))-COLUMN(指数走势!$F$35)+1-760+726)=0,NA(),INDEX(指数走势!$F$35:$ACK$35,1,LOOKUP(2,1/(指数走势!$F$35:$ACK$35&lt;&gt;""),COLUMN(指数走势!$F$35:$ACK$35))-COLUMN(指数走势!$F$35)+1-760+726)))</f>
        <v>14.5537996292114</v>
      </c>
      <c r="AAZ99">
        <f>IF(ISERROR(INDEX(指数走势!$F$35:$ACK$35,1,LOOKUP(2,1/(指数走势!$F$35:$ACK$35&lt;&gt;""),COLUMN(指数走势!$F$35:$ACK$35))-COLUMN(指数走势!$F$35)+1-760+727)),NA(),IF(INDEX(指数走势!$F$35:$ACK$35,1,LOOKUP(2,1/(指数走势!$F$35:$ACK$35&lt;&gt;""),COLUMN(指数走势!$F$35:$ACK$35))-COLUMN(指数走势!$F$35)+1-760+727)=0,NA(),INDEX(指数走势!$F$35:$ACK$35,1,LOOKUP(2,1/(指数走势!$F$35:$ACK$35&lt;&gt;""),COLUMN(指数走势!$F$35:$ACK$35))-COLUMN(指数走势!$F$35)+1-760+727)))</f>
        <v>14.6338996887207</v>
      </c>
      <c r="ABA99">
        <f>IF(ISERROR(INDEX(指数走势!$F$35:$ACK$35,1,LOOKUP(2,1/(指数走势!$F$35:$ACK$35&lt;&gt;""),COLUMN(指数走势!$F$35:$ACK$35))-COLUMN(指数走势!$F$35)+1-760+728)),NA(),IF(INDEX(指数走势!$F$35:$ACK$35,1,LOOKUP(2,1/(指数走势!$F$35:$ACK$35&lt;&gt;""),COLUMN(指数走势!$F$35:$ACK$35))-COLUMN(指数走势!$F$35)+1-760+728)=0,NA(),INDEX(指数走势!$F$35:$ACK$35,1,LOOKUP(2,1/(指数走势!$F$35:$ACK$35&lt;&gt;""),COLUMN(指数走势!$F$35:$ACK$35))-COLUMN(指数走势!$F$35)+1-760+728)))</f>
        <v>14.5741996765137</v>
      </c>
      <c r="ABB99">
        <f>IF(ISERROR(INDEX(指数走势!$F$35:$ACK$35,1,LOOKUP(2,1/(指数走势!$F$35:$ACK$35&lt;&gt;""),COLUMN(指数走势!$F$35:$ACK$35))-COLUMN(指数走势!$F$35)+1-760+729)),NA(),IF(INDEX(指数走势!$F$35:$ACK$35,1,LOOKUP(2,1/(指数走势!$F$35:$ACK$35&lt;&gt;""),COLUMN(指数走势!$F$35:$ACK$35))-COLUMN(指数走势!$F$35)+1-760+729)=0,NA(),INDEX(指数走势!$F$35:$ACK$35,1,LOOKUP(2,1/(指数走势!$F$35:$ACK$35&lt;&gt;""),COLUMN(指数走势!$F$35:$ACK$35))-COLUMN(指数走势!$F$35)+1-760+729)))</f>
        <v>14.3954000473022</v>
      </c>
      <c r="ABC99">
        <f>IF(ISERROR(INDEX(指数走势!$F$35:$ACK$35,1,LOOKUP(2,1/(指数走势!$F$35:$ACK$35&lt;&gt;""),COLUMN(指数走势!$F$35:$ACK$35))-COLUMN(指数走势!$F$35)+1-760+730)),NA(),IF(INDEX(指数走势!$F$35:$ACK$35,1,LOOKUP(2,1/(指数走势!$F$35:$ACK$35&lt;&gt;""),COLUMN(指数走势!$F$35:$ACK$35))-COLUMN(指数走势!$F$35)+1-760+730)=0,NA(),INDEX(指数走势!$F$35:$ACK$35,1,LOOKUP(2,1/(指数走势!$F$35:$ACK$35&lt;&gt;""),COLUMN(指数走势!$F$35:$ACK$35))-COLUMN(指数走势!$F$35)+1-760+730)))</f>
        <v>14.4856996536255</v>
      </c>
      <c r="ABD99">
        <f>IF(ISERROR(INDEX(指数走势!$F$35:$ACK$35,1,LOOKUP(2,1/(指数走势!$F$35:$ACK$35&lt;&gt;""),COLUMN(指数走势!$F$35:$ACK$35))-COLUMN(指数走势!$F$35)+1-760+731)),NA(),IF(INDEX(指数走势!$F$35:$ACK$35,1,LOOKUP(2,1/(指数走势!$F$35:$ACK$35&lt;&gt;""),COLUMN(指数走势!$F$35:$ACK$35))-COLUMN(指数走势!$F$35)+1-760+731)=0,NA(),INDEX(指数走势!$F$35:$ACK$35,1,LOOKUP(2,1/(指数走势!$F$35:$ACK$35&lt;&gt;""),COLUMN(指数走势!$F$35:$ACK$35))-COLUMN(指数走势!$F$35)+1-760+731)))</f>
        <v>14.6388998031616</v>
      </c>
      <c r="ABE99">
        <f>IF(ISERROR(INDEX(指数走势!$F$35:$ACK$35,1,LOOKUP(2,1/(指数走势!$F$35:$ACK$35&lt;&gt;""),COLUMN(指数走势!$F$35:$ACK$35))-COLUMN(指数走势!$F$35)+1-760+732)),NA(),IF(INDEX(指数走势!$F$35:$ACK$35,1,LOOKUP(2,1/(指数走势!$F$35:$ACK$35&lt;&gt;""),COLUMN(指数走势!$F$35:$ACK$35))-COLUMN(指数走势!$F$35)+1-760+732)=0,NA(),INDEX(指数走势!$F$35:$ACK$35,1,LOOKUP(2,1/(指数走势!$F$35:$ACK$35&lt;&gt;""),COLUMN(指数走势!$F$35:$ACK$35))-COLUMN(指数走势!$F$35)+1-760+732)))</f>
        <v>14.7041997909546</v>
      </c>
      <c r="ABF99">
        <f>IF(ISERROR(INDEX(指数走势!$F$35:$ACK$35,1,LOOKUP(2,1/(指数走势!$F$35:$ACK$35&lt;&gt;""),COLUMN(指数走势!$F$35:$ACK$35))-COLUMN(指数走势!$F$35)+1-760+733)),NA(),IF(INDEX(指数走势!$F$35:$ACK$35,1,LOOKUP(2,1/(指数走势!$F$35:$ACK$35&lt;&gt;""),COLUMN(指数走势!$F$35:$ACK$35))-COLUMN(指数走势!$F$35)+1-760+733)=0,NA(),INDEX(指数走势!$F$35:$ACK$35,1,LOOKUP(2,1/(指数走势!$F$35:$ACK$35&lt;&gt;""),COLUMN(指数走势!$F$35:$ACK$35))-COLUMN(指数走势!$F$35)+1-760+733)))</f>
        <v>14.5729999542236</v>
      </c>
      <c r="ABG99">
        <f>IF(ISERROR(INDEX(指数走势!$F$35:$ACK$35,1,LOOKUP(2,1/(指数走势!$F$35:$ACK$35&lt;&gt;""),COLUMN(指数走势!$F$35:$ACK$35))-COLUMN(指数走势!$F$35)+1-760+734)),NA(),IF(INDEX(指数走势!$F$35:$ACK$35,1,LOOKUP(2,1/(指数走势!$F$35:$ACK$35&lt;&gt;""),COLUMN(指数走势!$F$35:$ACK$35))-COLUMN(指数走势!$F$35)+1-760+734)=0,NA(),INDEX(指数走势!$F$35:$ACK$35,1,LOOKUP(2,1/(指数走势!$F$35:$ACK$35&lt;&gt;""),COLUMN(指数走势!$F$35:$ACK$35))-COLUMN(指数走势!$F$35)+1-760+734)))</f>
        <v>14.5641002655029</v>
      </c>
      <c r="ABH99">
        <f>IF(ISERROR(INDEX(指数走势!$F$35:$ACK$35,1,LOOKUP(2,1/(指数走势!$F$35:$ACK$35&lt;&gt;""),COLUMN(指数走势!$F$35:$ACK$35))-COLUMN(指数走势!$F$35)+1-760+735)),NA(),IF(INDEX(指数走势!$F$35:$ACK$35,1,LOOKUP(2,1/(指数走势!$F$35:$ACK$35&lt;&gt;""),COLUMN(指数走势!$F$35:$ACK$35))-COLUMN(指数走势!$F$35)+1-760+735)=0,NA(),INDEX(指数走势!$F$35:$ACK$35,1,LOOKUP(2,1/(指数走势!$F$35:$ACK$35&lt;&gt;""),COLUMN(指数走势!$F$35:$ACK$35))-COLUMN(指数走势!$F$35)+1-760+735)))</f>
        <v>14.5590000152588</v>
      </c>
      <c r="ABI99">
        <f>IF(ISERROR(INDEX(指数走势!$F$35:$ACK$35,1,LOOKUP(2,1/(指数走势!$F$35:$ACK$35&lt;&gt;""),COLUMN(指数走势!$F$35:$ACK$35))-COLUMN(指数走势!$F$35)+1-760+736)),NA(),IF(INDEX(指数走势!$F$35:$ACK$35,1,LOOKUP(2,1/(指数走势!$F$35:$ACK$35&lt;&gt;""),COLUMN(指数走势!$F$35:$ACK$35))-COLUMN(指数走势!$F$35)+1-760+736)=0,NA(),INDEX(指数走势!$F$35:$ACK$35,1,LOOKUP(2,1/(指数走势!$F$35:$ACK$35&lt;&gt;""),COLUMN(指数走势!$F$35:$ACK$35))-COLUMN(指数走势!$F$35)+1-760+736)))</f>
        <v>14.5167999267578</v>
      </c>
      <c r="ABJ99">
        <f>IF(ISERROR(INDEX(指数走势!$F$35:$ACK$35,1,LOOKUP(2,1/(指数走势!$F$35:$ACK$35&lt;&gt;""),COLUMN(指数走势!$F$35:$ACK$35))-COLUMN(指数走势!$F$35)+1-760+737)),NA(),IF(INDEX(指数走势!$F$35:$ACK$35,1,LOOKUP(2,1/(指数走势!$F$35:$ACK$35&lt;&gt;""),COLUMN(指数走势!$F$35:$ACK$35))-COLUMN(指数走势!$F$35)+1-760+737)=0,NA(),INDEX(指数走势!$F$35:$ACK$35,1,LOOKUP(2,1/(指数走势!$F$35:$ACK$35&lt;&gt;""),COLUMN(指数走势!$F$35:$ACK$35))-COLUMN(指数走势!$F$35)+1-760+737)))</f>
        <v>14.6600999832153</v>
      </c>
      <c r="ABK99">
        <f>IF(ISERROR(INDEX(指数走势!$F$35:$ACK$35,1,LOOKUP(2,1/(指数走势!$F$35:$ACK$35&lt;&gt;""),COLUMN(指数走势!$F$35:$ACK$35))-COLUMN(指数走势!$F$35)+1-760+738)),NA(),IF(INDEX(指数走势!$F$35:$ACK$35,1,LOOKUP(2,1/(指数走势!$F$35:$ACK$35&lt;&gt;""),COLUMN(指数走势!$F$35:$ACK$35))-COLUMN(指数走势!$F$35)+1-760+738)=0,NA(),INDEX(指数走势!$F$35:$ACK$35,1,LOOKUP(2,1/(指数走势!$F$35:$ACK$35&lt;&gt;""),COLUMN(指数走势!$F$35:$ACK$35))-COLUMN(指数走势!$F$35)+1-760+738)))</f>
        <v>14.6774997711182</v>
      </c>
      <c r="ABL99">
        <f>IF(ISERROR(INDEX(指数走势!$F$35:$ACK$35,1,LOOKUP(2,1/(指数走势!$F$35:$ACK$35&lt;&gt;""),COLUMN(指数走势!$F$35:$ACK$35))-COLUMN(指数走势!$F$35)+1-760+739)),NA(),IF(INDEX(指数走势!$F$35:$ACK$35,1,LOOKUP(2,1/(指数走势!$F$35:$ACK$35&lt;&gt;""),COLUMN(指数走势!$F$35:$ACK$35))-COLUMN(指数走势!$F$35)+1-760+739)=0,NA(),INDEX(指数走势!$F$35:$ACK$35,1,LOOKUP(2,1/(指数走势!$F$35:$ACK$35&lt;&gt;""),COLUMN(指数走势!$F$35:$ACK$35))-COLUMN(指数走势!$F$35)+1-760+739)))</f>
        <v>14.5438003540039</v>
      </c>
      <c r="ABM99">
        <f>IF(ISERROR(INDEX(指数走势!$F$35:$ACK$35,1,LOOKUP(2,1/(指数走势!$F$35:$ACK$35&lt;&gt;""),COLUMN(指数走势!$F$35:$ACK$35))-COLUMN(指数走势!$F$35)+1-760+740)),NA(),IF(INDEX(指数走势!$F$35:$ACK$35,1,LOOKUP(2,1/(指数走势!$F$35:$ACK$35&lt;&gt;""),COLUMN(指数走势!$F$35:$ACK$35))-COLUMN(指数走势!$F$35)+1-760+740)=0,NA(),INDEX(指数走势!$F$35:$ACK$35,1,LOOKUP(2,1/(指数走势!$F$35:$ACK$35&lt;&gt;""),COLUMN(指数走势!$F$35:$ACK$35))-COLUMN(指数走势!$F$35)+1-760+740)))</f>
        <v>14.3873996734619</v>
      </c>
      <c r="ABN99">
        <f>IF(ISERROR(INDEX(指数走势!$F$35:$ACK$35,1,LOOKUP(2,1/(指数走势!$F$35:$ACK$35&lt;&gt;""),COLUMN(指数走势!$F$35:$ACK$35))-COLUMN(指数走势!$F$35)+1-760+741)),NA(),IF(INDEX(指数走势!$F$35:$ACK$35,1,LOOKUP(2,1/(指数走势!$F$35:$ACK$35&lt;&gt;""),COLUMN(指数走势!$F$35:$ACK$35))-COLUMN(指数走势!$F$35)+1-760+741)=0,NA(),INDEX(指数走势!$F$35:$ACK$35,1,LOOKUP(2,1/(指数走势!$F$35:$ACK$35&lt;&gt;""),COLUMN(指数走势!$F$35:$ACK$35))-COLUMN(指数走势!$F$35)+1-760+741)))</f>
        <v>14.2327003479004</v>
      </c>
      <c r="ABO99">
        <f>IF(ISERROR(INDEX(指数走势!$F$35:$ACK$35,1,LOOKUP(2,1/(指数走势!$F$35:$ACK$35&lt;&gt;""),COLUMN(指数走势!$F$35:$ACK$35))-COLUMN(指数走势!$F$35)+1-760+742)),NA(),IF(INDEX(指数走势!$F$35:$ACK$35,1,LOOKUP(2,1/(指数走势!$F$35:$ACK$35&lt;&gt;""),COLUMN(指数走势!$F$35:$ACK$35))-COLUMN(指数走势!$F$35)+1-760+742)=0,NA(),INDEX(指数走势!$F$35:$ACK$35,1,LOOKUP(2,1/(指数走势!$F$35:$ACK$35&lt;&gt;""),COLUMN(指数走势!$F$35:$ACK$35))-COLUMN(指数走势!$F$35)+1-760+742)))</f>
        <v>14.3653001785278</v>
      </c>
      <c r="ABP99">
        <f>IF(ISERROR(INDEX(指数走势!$F$35:$ACK$35,1,LOOKUP(2,1/(指数走势!$F$35:$ACK$35&lt;&gt;""),COLUMN(指数走势!$F$35:$ACK$35))-COLUMN(指数走势!$F$35)+1-760+743)),NA(),IF(INDEX(指数走势!$F$35:$ACK$35,1,LOOKUP(2,1/(指数走势!$F$35:$ACK$35&lt;&gt;""),COLUMN(指数走势!$F$35:$ACK$35))-COLUMN(指数走势!$F$35)+1-760+743)=0,NA(),INDEX(指数走势!$F$35:$ACK$35,1,LOOKUP(2,1/(指数走势!$F$35:$ACK$35&lt;&gt;""),COLUMN(指数走势!$F$35:$ACK$35))-COLUMN(指数走势!$F$35)+1-760+743)))</f>
        <v>14.296799659729</v>
      </c>
      <c r="ABQ99">
        <f>IF(ISERROR(INDEX(指数走势!$F$35:$ACK$35,1,LOOKUP(2,1/(指数走势!$F$35:$ACK$35&lt;&gt;""),COLUMN(指数走势!$F$35:$ACK$35))-COLUMN(指数走势!$F$35)+1-760+744)),NA(),IF(INDEX(指数走势!$F$35:$ACK$35,1,LOOKUP(2,1/(指数走势!$F$35:$ACK$35&lt;&gt;""),COLUMN(指数走势!$F$35:$ACK$35))-COLUMN(指数走势!$F$35)+1-760+744)=0,NA(),INDEX(指数走势!$F$35:$ACK$35,1,LOOKUP(2,1/(指数走势!$F$35:$ACK$35&lt;&gt;""),COLUMN(指数走势!$F$35:$ACK$35))-COLUMN(指数走势!$F$35)+1-760+744)))</f>
        <v>14.2515001296997</v>
      </c>
      <c r="ABR99">
        <f>IF(ISERROR(INDEX(指数走势!$F$35:$ACK$35,1,LOOKUP(2,1/(指数走势!$F$35:$ACK$35&lt;&gt;""),COLUMN(指数走势!$F$35:$ACK$35))-COLUMN(指数走势!$F$35)+1-760+745)),NA(),IF(INDEX(指数走势!$F$35:$ACK$35,1,LOOKUP(2,1/(指数走势!$F$35:$ACK$35&lt;&gt;""),COLUMN(指数走势!$F$35:$ACK$35))-COLUMN(指数走势!$F$35)+1-760+745)=0,NA(),INDEX(指数走势!$F$35:$ACK$35,1,LOOKUP(2,1/(指数走势!$F$35:$ACK$35&lt;&gt;""),COLUMN(指数走势!$F$35:$ACK$35))-COLUMN(指数走势!$F$35)+1-760+745)))</f>
        <v>14.4180002212524</v>
      </c>
      <c r="ABS99">
        <f>IF(ISERROR(INDEX(指数走势!$F$35:$ACK$35,1,LOOKUP(2,1/(指数走势!$F$35:$ACK$35&lt;&gt;""),COLUMN(指数走势!$F$35:$ACK$35))-COLUMN(指数走势!$F$35)+1-760+746)),NA(),IF(INDEX(指数走势!$F$35:$ACK$35,1,LOOKUP(2,1/(指数走势!$F$35:$ACK$35&lt;&gt;""),COLUMN(指数走势!$F$35:$ACK$35))-COLUMN(指数走势!$F$35)+1-760+746)=0,NA(),INDEX(指数走势!$F$35:$ACK$35,1,LOOKUP(2,1/(指数走势!$F$35:$ACK$35&lt;&gt;""),COLUMN(指数走势!$F$35:$ACK$35))-COLUMN(指数走势!$F$35)+1-760+746)))</f>
        <v>14.7889003753662</v>
      </c>
      <c r="ABT99">
        <f>IF(ISERROR(INDEX(指数走势!$F$35:$ACK$35,1,LOOKUP(2,1/(指数走势!$F$35:$ACK$35&lt;&gt;""),COLUMN(指数走势!$F$35:$ACK$35))-COLUMN(指数走势!$F$35)+1-760+747)),NA(),IF(INDEX(指数走势!$F$35:$ACK$35,1,LOOKUP(2,1/(指数走势!$F$35:$ACK$35&lt;&gt;""),COLUMN(指数走势!$F$35:$ACK$35))-COLUMN(指数走势!$F$35)+1-760+747)=0,NA(),INDEX(指数走势!$F$35:$ACK$35,1,LOOKUP(2,1/(指数走势!$F$35:$ACK$35&lt;&gt;""),COLUMN(指数走势!$F$35:$ACK$35))-COLUMN(指数走势!$F$35)+1-760+747)))</f>
        <v>14.6875</v>
      </c>
      <c r="ABU99">
        <f>IF(ISERROR(INDEX(指数走势!$F$35:$ACK$35,1,LOOKUP(2,1/(指数走势!$F$35:$ACK$35&lt;&gt;""),COLUMN(指数走势!$F$35:$ACK$35))-COLUMN(指数走势!$F$35)+1-760+748)),NA(),IF(INDEX(指数走势!$F$35:$ACK$35,1,LOOKUP(2,1/(指数走势!$F$35:$ACK$35&lt;&gt;""),COLUMN(指数走势!$F$35:$ACK$35))-COLUMN(指数走势!$F$35)+1-760+748)=0,NA(),INDEX(指数走势!$F$35:$ACK$35,1,LOOKUP(2,1/(指数走势!$F$35:$ACK$35&lt;&gt;""),COLUMN(指数走势!$F$35:$ACK$35))-COLUMN(指数走势!$F$35)+1-760+748)))</f>
        <v>14.7313995361328</v>
      </c>
      <c r="ABV99">
        <f>IF(ISERROR(INDEX(指数走势!$F$35:$ACK$35,1,LOOKUP(2,1/(指数走势!$F$35:$ACK$35&lt;&gt;""),COLUMN(指数走势!$F$35:$ACK$35))-COLUMN(指数走势!$F$35)+1-760+749)),NA(),IF(INDEX(指数走势!$F$35:$ACK$35,1,LOOKUP(2,1/(指数走势!$F$35:$ACK$35&lt;&gt;""),COLUMN(指数走势!$F$35:$ACK$35))-COLUMN(指数走势!$F$35)+1-760+749)=0,NA(),INDEX(指数走势!$F$35:$ACK$35,1,LOOKUP(2,1/(指数走势!$F$35:$ACK$35&lt;&gt;""),COLUMN(指数走势!$F$35:$ACK$35))-COLUMN(指数走势!$F$35)+1-760+749)))</f>
        <v>14.6375999450684</v>
      </c>
      <c r="ABW99">
        <f>IF(ISERROR(INDEX(指数走势!$F$35:$ACK$35,1,LOOKUP(2,1/(指数走势!$F$35:$ACK$35&lt;&gt;""),COLUMN(指数走势!$F$35:$ACK$35))-COLUMN(指数走势!$F$35)+1-760+750)),NA(),IF(INDEX(指数走势!$F$35:$ACK$35,1,LOOKUP(2,1/(指数走势!$F$35:$ACK$35&lt;&gt;""),COLUMN(指数走势!$F$35:$ACK$35))-COLUMN(指数走势!$F$35)+1-760+750)=0,NA(),INDEX(指数走势!$F$35:$ACK$35,1,LOOKUP(2,1/(指数走势!$F$35:$ACK$35&lt;&gt;""),COLUMN(指数走势!$F$35:$ACK$35))-COLUMN(指数走势!$F$35)+1-760+750)))</f>
        <v>14.9286003112793</v>
      </c>
      <c r="ABX99">
        <f>IF(ISERROR(INDEX(指数走势!$F$35:$ACK$35,1,LOOKUP(2,1/(指数走势!$F$35:$ACK$35&lt;&gt;""),COLUMN(指数走势!$F$35:$ACK$35))-COLUMN(指数走势!$F$35)+1-760+751)),NA(),IF(INDEX(指数走势!$F$35:$ACK$35,1,LOOKUP(2,1/(指数走势!$F$35:$ACK$35&lt;&gt;""),COLUMN(指数走势!$F$35:$ACK$35))-COLUMN(指数走势!$F$35)+1-760+751)=0,NA(),INDEX(指数走势!$F$35:$ACK$35,1,LOOKUP(2,1/(指数走势!$F$35:$ACK$35&lt;&gt;""),COLUMN(指数走势!$F$35:$ACK$35))-COLUMN(指数走势!$F$35)+1-760+751)))</f>
        <v>14.6496000289917</v>
      </c>
      <c r="ABY99">
        <f>IF(ISERROR(INDEX(指数走势!$F$35:$ACK$35,1,LOOKUP(2,1/(指数走势!$F$35:$ACK$35&lt;&gt;""),COLUMN(指数走势!$F$35:$ACK$35))-COLUMN(指数走势!$F$35)+1-760+752)),NA(),IF(INDEX(指数走势!$F$35:$ACK$35,1,LOOKUP(2,1/(指数走势!$F$35:$ACK$35&lt;&gt;""),COLUMN(指数走势!$F$35:$ACK$35))-COLUMN(指数走势!$F$35)+1-760+752)=0,NA(),INDEX(指数走势!$F$35:$ACK$35,1,LOOKUP(2,1/(指数走势!$F$35:$ACK$35&lt;&gt;""),COLUMN(指数走势!$F$35:$ACK$35))-COLUMN(指数走势!$F$35)+1-760+752)))</f>
        <v>14.621000289917</v>
      </c>
      <c r="ABZ99">
        <f>IF(ISERROR(INDEX(指数走势!$F$35:$ACK$35,1,LOOKUP(2,1/(指数走势!$F$35:$ACK$35&lt;&gt;""),COLUMN(指数走势!$F$35:$ACK$35))-COLUMN(指数走势!$F$35)+1-760+753)),NA(),IF(INDEX(指数走势!$F$35:$ACK$35,1,LOOKUP(2,1/(指数走势!$F$35:$ACK$35&lt;&gt;""),COLUMN(指数走势!$F$35:$ACK$35))-COLUMN(指数走势!$F$35)+1-760+753)=0,NA(),INDEX(指数走势!$F$35:$ACK$35,1,LOOKUP(2,1/(指数走势!$F$35:$ACK$35&lt;&gt;""),COLUMN(指数走势!$F$35:$ACK$35))-COLUMN(指数走势!$F$35)+1-760+753)))</f>
        <v>14.7136001586914</v>
      </c>
      <c r="ACA99">
        <f>IF(ISERROR(INDEX(指数走势!$F$35:$ACK$35,1,LOOKUP(2,1/(指数走势!$F$35:$ACK$35&lt;&gt;""),COLUMN(指数走势!$F$35:$ACK$35))-COLUMN(指数走势!$F$35)+1-760+754)),NA(),IF(INDEX(指数走势!$F$35:$ACK$35,1,LOOKUP(2,1/(指数走势!$F$35:$ACK$35&lt;&gt;""),COLUMN(指数走势!$F$35:$ACK$35))-COLUMN(指数走势!$F$35)+1-760+754)=0,NA(),INDEX(指数走势!$F$35:$ACK$35,1,LOOKUP(2,1/(指数走势!$F$35:$ACK$35&lt;&gt;""),COLUMN(指数走势!$F$35:$ACK$35))-COLUMN(指数走势!$F$35)+1-760+754)))</f>
        <v>14.3392000198364</v>
      </c>
      <c r="ACB99">
        <f>IF(ISERROR(INDEX(指数走势!$F$35:$ACK$35,1,LOOKUP(2,1/(指数走势!$F$35:$ACK$35&lt;&gt;""),COLUMN(指数走势!$F$35:$ACK$35))-COLUMN(指数走势!$F$35)+1-760+755)),NA(),IF(INDEX(指数走势!$F$35:$ACK$35,1,LOOKUP(2,1/(指数走势!$F$35:$ACK$35&lt;&gt;""),COLUMN(指数走势!$F$35:$ACK$35))-COLUMN(指数走势!$F$35)+1-760+755)=0,NA(),INDEX(指数走势!$F$35:$ACK$35,1,LOOKUP(2,1/(指数走势!$F$35:$ACK$35&lt;&gt;""),COLUMN(指数走势!$F$35:$ACK$35))-COLUMN(指数走势!$F$35)+1-760+755)))</f>
        <v>14.4888000488281</v>
      </c>
      <c r="ACC99">
        <f>IF(ISERROR(INDEX(指数走势!$F$35:$ACK$35,1,LOOKUP(2,1/(指数走势!$F$35:$ACK$35&lt;&gt;""),COLUMN(指数走势!$F$35:$ACK$35))-COLUMN(指数走势!$F$35)+1-760+756)),NA(),IF(INDEX(指数走势!$F$35:$ACK$35,1,LOOKUP(2,1/(指数走势!$F$35:$ACK$35&lt;&gt;""),COLUMN(指数走势!$F$35:$ACK$35))-COLUMN(指数走势!$F$35)+1-760+756)=0,NA(),INDEX(指数走势!$F$35:$ACK$35,1,LOOKUP(2,1/(指数走势!$F$35:$ACK$35&lt;&gt;""),COLUMN(指数走势!$F$35:$ACK$35))-COLUMN(指数走势!$F$35)+1-760+756)))</f>
        <v>14.5066003799438</v>
      </c>
      <c r="ACD99">
        <f>IF(ISERROR(INDEX(指数走势!$F$35:$ACK$35,1,LOOKUP(2,1/(指数走势!$F$35:$ACK$35&lt;&gt;""),COLUMN(指数走势!$F$35:$ACK$35))-COLUMN(指数走势!$F$35)+1-760+757)),NA(),IF(INDEX(指数走势!$F$35:$ACK$35,1,LOOKUP(2,1/(指数走势!$F$35:$ACK$35&lt;&gt;""),COLUMN(指数走势!$F$35:$ACK$35))-COLUMN(指数走势!$F$35)+1-760+757)=0,NA(),INDEX(指数走势!$F$35:$ACK$35,1,LOOKUP(2,1/(指数走势!$F$35:$ACK$35&lt;&gt;""),COLUMN(指数走势!$F$35:$ACK$35))-COLUMN(指数走势!$F$35)+1-760+757)))</f>
        <v>14.5138998031616</v>
      </c>
      <c r="ACE99">
        <f>IF(ISERROR(INDEX(指数走势!$F$35:$ACK$35,1,LOOKUP(2,1/(指数走势!$F$35:$ACK$35&lt;&gt;""),COLUMN(指数走势!$F$35:$ACK$35))-COLUMN(指数走势!$F$35)+1-760+758)),NA(),IF(INDEX(指数走势!$F$35:$ACK$35,1,LOOKUP(2,1/(指数走势!$F$35:$ACK$35&lt;&gt;""),COLUMN(指数走势!$F$35:$ACK$35))-COLUMN(指数走势!$F$35)+1-760+758)=0,NA(),INDEX(指数走势!$F$35:$ACK$35,1,LOOKUP(2,1/(指数走势!$F$35:$ACK$35&lt;&gt;""),COLUMN(指数走势!$F$35:$ACK$35))-COLUMN(指数走势!$F$35)+1-760+758)))</f>
        <v>14.2372999191284</v>
      </c>
      <c r="ACF99">
        <f>IF(ISERROR(INDEX(指数走势!$F$35:$ACK$35,1,LOOKUP(2,1/(指数走势!$F$35:$ACK$35&lt;&gt;""),COLUMN(指数走势!$F$35:$ACK$35))-COLUMN(指数走势!$F$35)+1-760+759)),NA(),IF(INDEX(指数走势!$F$35:$ACK$35,1,LOOKUP(2,1/(指数走势!$F$35:$ACK$35&lt;&gt;""),COLUMN(指数走势!$F$35:$ACK$35))-COLUMN(指数走势!$F$35)+1-760+759)=0,NA(),INDEX(指数走势!$F$35:$ACK$35,1,LOOKUP(2,1/(指数走势!$F$35:$ACK$35&lt;&gt;""),COLUMN(指数走势!$F$35:$ACK$35))-COLUMN(指数走势!$F$35)+1-760+759)))</f>
        <v>14.3227996826172</v>
      </c>
      <c r="ACG99">
        <f>IF(ISERROR(INDEX(指数走势!$F$35:$ACK$35,1,LOOKUP(2,1/(指数走势!$F$35:$ACK$35&lt;&gt;""),COLUMN(指数走势!$F$35:$ACK$35))-COLUMN(指数走势!$F$35)+1-760+760)),NA(),IF(INDEX(指数走势!$F$35:$ACK$35,1,LOOKUP(2,1/(指数走势!$F$35:$ACK$35&lt;&gt;""),COLUMN(指数走势!$F$35:$ACK$35))-COLUMN(指数走势!$F$35)+1-760+760)=0,NA(),INDEX(指数走势!$F$35:$ACK$35,1,LOOKUP(2,1/(指数走势!$F$35:$ACK$35&lt;&gt;""),COLUMN(指数走势!$F$35:$ACK$35))-COLUMN(指数走势!$F$35)+1-760+760)))</f>
        <v>14.322699546814</v>
      </c>
    </row>
    <row r="100" ht="15" customHeight="1" spans="1:761">
      <c r="A100" s="1" t="s">
        <v>46</v>
      </c>
      <c r="B100" s="2" t="e">
        <f>IF(ISERROR(INDEX(指数走势!$F$36:$ACK$36,1,LOOKUP(2,1/(指数走势!$F$36:$ACK$36&lt;&gt;""),COLUMN(指数走势!$F$36:$ACK$36))-COLUMN(指数走势!$F$36)+1-760+1)),NA(),IF(INDEX(指数走势!$F$36:$ACK$36,1,LOOKUP(2,1/(指数走势!$F$36:$ACK$36&lt;&gt;""),COLUMN(指数走势!$F$36:$ACK$36))-COLUMN(指数走势!$F$36)+1-760+1)=0,NA(),INDEX(指数走势!$F$36:$ACK$36,1,LOOKUP(2,1/(指数走势!$F$36:$ACK$36&lt;&gt;""),COLUMN(指数走势!$F$36:$ACK$36))-COLUMN(指数走势!$F$36)+1-760+1)))</f>
        <v>#N/A</v>
      </c>
      <c r="C100" s="2" t="e">
        <f>IF(ISERROR(INDEX(指数走势!$F$36:$ACK$36,1,LOOKUP(2,1/(指数走势!$F$36:$ACK$36&lt;&gt;""),COLUMN(指数走势!$F$36:$ACK$36))-COLUMN(指数走势!$F$36)+1-760+2)),NA(),IF(INDEX(指数走势!$F$36:$ACK$36,1,LOOKUP(2,1/(指数走势!$F$36:$ACK$36&lt;&gt;""),COLUMN(指数走势!$F$36:$ACK$36))-COLUMN(指数走势!$F$36)+1-760+2)=0,NA(),INDEX(指数走势!$F$36:$ACK$36,1,LOOKUP(2,1/(指数走势!$F$36:$ACK$36&lt;&gt;""),COLUMN(指数走势!$F$36:$ACK$36))-COLUMN(指数走势!$F$36)+1-760+2)))</f>
        <v>#N/A</v>
      </c>
      <c r="D100" s="2" t="e">
        <f>IF(ISERROR(INDEX(指数走势!$F$36:$ACK$36,1,LOOKUP(2,1/(指数走势!$F$36:$ACK$36&lt;&gt;""),COLUMN(指数走势!$F$36:$ACK$36))-COLUMN(指数走势!$F$36)+1-760+3)),NA(),IF(INDEX(指数走势!$F$36:$ACK$36,1,LOOKUP(2,1/(指数走势!$F$36:$ACK$36&lt;&gt;""),COLUMN(指数走势!$F$36:$ACK$36))-COLUMN(指数走势!$F$36)+1-760+3)=0,NA(),INDEX(指数走势!$F$36:$ACK$36,1,LOOKUP(2,1/(指数走势!$F$36:$ACK$36&lt;&gt;""),COLUMN(指数走势!$F$36:$ACK$36))-COLUMN(指数走势!$F$36)+1-760+3)))</f>
        <v>#N/A</v>
      </c>
      <c r="E100" s="2" t="e">
        <f>IF(ISERROR(INDEX(指数走势!$F$36:$ACK$36,1,LOOKUP(2,1/(指数走势!$F$36:$ACK$36&lt;&gt;""),COLUMN(指数走势!$F$36:$ACK$36))-COLUMN(指数走势!$F$36)+1-760+4)),NA(),IF(INDEX(指数走势!$F$36:$ACK$36,1,LOOKUP(2,1/(指数走势!$F$36:$ACK$36&lt;&gt;""),COLUMN(指数走势!$F$36:$ACK$36))-COLUMN(指数走势!$F$36)+1-760+4)=0,NA(),INDEX(指数走势!$F$36:$ACK$36,1,LOOKUP(2,1/(指数走势!$F$36:$ACK$36&lt;&gt;""),COLUMN(指数走势!$F$36:$ACK$36))-COLUMN(指数走势!$F$36)+1-760+4)))</f>
        <v>#N/A</v>
      </c>
      <c r="F100" s="2" t="e">
        <f>IF(ISERROR(INDEX(指数走势!$F$36:$ACK$36,1,LOOKUP(2,1/(指数走势!$F$36:$ACK$36&lt;&gt;""),COLUMN(指数走势!$F$36:$ACK$36))-COLUMN(指数走势!$F$36)+1-760+5)),NA(),IF(INDEX(指数走势!$F$36:$ACK$36,1,LOOKUP(2,1/(指数走势!$F$36:$ACK$36&lt;&gt;""),COLUMN(指数走势!$F$36:$ACK$36))-COLUMN(指数走势!$F$36)+1-760+5)=0,NA(),INDEX(指数走势!$F$36:$ACK$36,1,LOOKUP(2,1/(指数走势!$F$36:$ACK$36&lt;&gt;""),COLUMN(指数走势!$F$36:$ACK$36))-COLUMN(指数走势!$F$36)+1-760+5)))</f>
        <v>#N/A</v>
      </c>
      <c r="G100" s="2" t="e">
        <f>IF(ISERROR(INDEX(指数走势!$F$36:$ACK$36,1,LOOKUP(2,1/(指数走势!$F$36:$ACK$36&lt;&gt;""),COLUMN(指数走势!$F$36:$ACK$36))-COLUMN(指数走势!$F$36)+1-760+6)),NA(),IF(INDEX(指数走势!$F$36:$ACK$36,1,LOOKUP(2,1/(指数走势!$F$36:$ACK$36&lt;&gt;""),COLUMN(指数走势!$F$36:$ACK$36))-COLUMN(指数走势!$F$36)+1-760+6)=0,NA(),INDEX(指数走势!$F$36:$ACK$36,1,LOOKUP(2,1/(指数走势!$F$36:$ACK$36&lt;&gt;""),COLUMN(指数走势!$F$36:$ACK$36))-COLUMN(指数走势!$F$36)+1-760+6)))</f>
        <v>#N/A</v>
      </c>
      <c r="H100" s="2" t="e">
        <f>IF(ISERROR(INDEX(指数走势!$F$36:$ACK$36,1,LOOKUP(2,1/(指数走势!$F$36:$ACK$36&lt;&gt;""),COLUMN(指数走势!$F$36:$ACK$36))-COLUMN(指数走势!$F$36)+1-760+7)),NA(),IF(INDEX(指数走势!$F$36:$ACK$36,1,LOOKUP(2,1/(指数走势!$F$36:$ACK$36&lt;&gt;""),COLUMN(指数走势!$F$36:$ACK$36))-COLUMN(指数走势!$F$36)+1-760+7)=0,NA(),INDEX(指数走势!$F$36:$ACK$36,1,LOOKUP(2,1/(指数走势!$F$36:$ACK$36&lt;&gt;""),COLUMN(指数走势!$F$36:$ACK$36))-COLUMN(指数走势!$F$36)+1-760+7)))</f>
        <v>#N/A</v>
      </c>
      <c r="I100" s="2" t="e">
        <f>IF(ISERROR(INDEX(指数走势!$F$36:$ACK$36,1,LOOKUP(2,1/(指数走势!$F$36:$ACK$36&lt;&gt;""),COLUMN(指数走势!$F$36:$ACK$36))-COLUMN(指数走势!$F$36)+1-760+8)),NA(),IF(INDEX(指数走势!$F$36:$ACK$36,1,LOOKUP(2,1/(指数走势!$F$36:$ACK$36&lt;&gt;""),COLUMN(指数走势!$F$36:$ACK$36))-COLUMN(指数走势!$F$36)+1-760+8)=0,NA(),INDEX(指数走势!$F$36:$ACK$36,1,LOOKUP(2,1/(指数走势!$F$36:$ACK$36&lt;&gt;""),COLUMN(指数走势!$F$36:$ACK$36))-COLUMN(指数走势!$F$36)+1-760+8)))</f>
        <v>#N/A</v>
      </c>
      <c r="J100" s="2" t="e">
        <f>IF(ISERROR(INDEX(指数走势!$F$36:$ACK$36,1,LOOKUP(2,1/(指数走势!$F$36:$ACK$36&lt;&gt;""),COLUMN(指数走势!$F$36:$ACK$36))-COLUMN(指数走势!$F$36)+1-760+9)),NA(),IF(INDEX(指数走势!$F$36:$ACK$36,1,LOOKUP(2,1/(指数走势!$F$36:$ACK$36&lt;&gt;""),COLUMN(指数走势!$F$36:$ACK$36))-COLUMN(指数走势!$F$36)+1-760+9)=0,NA(),INDEX(指数走势!$F$36:$ACK$36,1,LOOKUP(2,1/(指数走势!$F$36:$ACK$36&lt;&gt;""),COLUMN(指数走势!$F$36:$ACK$36))-COLUMN(指数走势!$F$36)+1-760+9)))</f>
        <v>#N/A</v>
      </c>
      <c r="K100" s="2" t="e">
        <f>IF(ISERROR(INDEX(指数走势!$F$36:$ACK$36,1,LOOKUP(2,1/(指数走势!$F$36:$ACK$36&lt;&gt;""),COLUMN(指数走势!$F$36:$ACK$36))-COLUMN(指数走势!$F$36)+1-760+10)),NA(),IF(INDEX(指数走势!$F$36:$ACK$36,1,LOOKUP(2,1/(指数走势!$F$36:$ACK$36&lt;&gt;""),COLUMN(指数走势!$F$36:$ACK$36))-COLUMN(指数走势!$F$36)+1-760+10)=0,NA(),INDEX(指数走势!$F$36:$ACK$36,1,LOOKUP(2,1/(指数走势!$F$36:$ACK$36&lt;&gt;""),COLUMN(指数走势!$F$36:$ACK$36))-COLUMN(指数走势!$F$36)+1-760+10)))</f>
        <v>#N/A</v>
      </c>
      <c r="L100" s="2" t="e">
        <f>IF(ISERROR(INDEX(指数走势!$F$36:$ACK$36,1,LOOKUP(2,1/(指数走势!$F$36:$ACK$36&lt;&gt;""),COLUMN(指数走势!$F$36:$ACK$36))-COLUMN(指数走势!$F$36)+1-760+11)),NA(),IF(INDEX(指数走势!$F$36:$ACK$36,1,LOOKUP(2,1/(指数走势!$F$36:$ACK$36&lt;&gt;""),COLUMN(指数走势!$F$36:$ACK$36))-COLUMN(指数走势!$F$36)+1-760+11)=0,NA(),INDEX(指数走势!$F$36:$ACK$36,1,LOOKUP(2,1/(指数走势!$F$36:$ACK$36&lt;&gt;""),COLUMN(指数走势!$F$36:$ACK$36))-COLUMN(指数走势!$F$36)+1-760+11)))</f>
        <v>#N/A</v>
      </c>
      <c r="M100" s="2" t="e">
        <f>IF(ISERROR(INDEX(指数走势!$F$36:$ACK$36,1,LOOKUP(2,1/(指数走势!$F$36:$ACK$36&lt;&gt;""),COLUMN(指数走势!$F$36:$ACK$36))-COLUMN(指数走势!$F$36)+1-760+12)),NA(),IF(INDEX(指数走势!$F$36:$ACK$36,1,LOOKUP(2,1/(指数走势!$F$36:$ACK$36&lt;&gt;""),COLUMN(指数走势!$F$36:$ACK$36))-COLUMN(指数走势!$F$36)+1-760+12)=0,NA(),INDEX(指数走势!$F$36:$ACK$36,1,LOOKUP(2,1/(指数走势!$F$36:$ACK$36&lt;&gt;""),COLUMN(指数走势!$F$36:$ACK$36))-COLUMN(指数走势!$F$36)+1-760+12)))</f>
        <v>#N/A</v>
      </c>
      <c r="N100" s="2" t="e">
        <f>IF(ISERROR(INDEX(指数走势!$F$36:$ACK$36,1,LOOKUP(2,1/(指数走势!$F$36:$ACK$36&lt;&gt;""),COLUMN(指数走势!$F$36:$ACK$36))-COLUMN(指数走势!$F$36)+1-760+13)),NA(),IF(INDEX(指数走势!$F$36:$ACK$36,1,LOOKUP(2,1/(指数走势!$F$36:$ACK$36&lt;&gt;""),COLUMN(指数走势!$F$36:$ACK$36))-COLUMN(指数走势!$F$36)+1-760+13)=0,NA(),INDEX(指数走势!$F$36:$ACK$36,1,LOOKUP(2,1/(指数走势!$F$36:$ACK$36&lt;&gt;""),COLUMN(指数走势!$F$36:$ACK$36))-COLUMN(指数走势!$F$36)+1-760+13)))</f>
        <v>#N/A</v>
      </c>
      <c r="O100" s="2" t="e">
        <f>IF(ISERROR(INDEX(指数走势!$F$36:$ACK$36,1,LOOKUP(2,1/(指数走势!$F$36:$ACK$36&lt;&gt;""),COLUMN(指数走势!$F$36:$ACK$36))-COLUMN(指数走势!$F$36)+1-760+14)),NA(),IF(INDEX(指数走势!$F$36:$ACK$36,1,LOOKUP(2,1/(指数走势!$F$36:$ACK$36&lt;&gt;""),COLUMN(指数走势!$F$36:$ACK$36))-COLUMN(指数走势!$F$36)+1-760+14)=0,NA(),INDEX(指数走势!$F$36:$ACK$36,1,LOOKUP(2,1/(指数走势!$F$36:$ACK$36&lt;&gt;""),COLUMN(指数走势!$F$36:$ACK$36))-COLUMN(指数走势!$F$36)+1-760+14)))</f>
        <v>#N/A</v>
      </c>
      <c r="P100" s="2" t="e">
        <f>IF(ISERROR(INDEX(指数走势!$F$36:$ACK$36,1,LOOKUP(2,1/(指数走势!$F$36:$ACK$36&lt;&gt;""),COLUMN(指数走势!$F$36:$ACK$36))-COLUMN(指数走势!$F$36)+1-760+15)),NA(),IF(INDEX(指数走势!$F$36:$ACK$36,1,LOOKUP(2,1/(指数走势!$F$36:$ACK$36&lt;&gt;""),COLUMN(指数走势!$F$36:$ACK$36))-COLUMN(指数走势!$F$36)+1-760+15)=0,NA(),INDEX(指数走势!$F$36:$ACK$36,1,LOOKUP(2,1/(指数走势!$F$36:$ACK$36&lt;&gt;""),COLUMN(指数走势!$F$36:$ACK$36))-COLUMN(指数走势!$F$36)+1-760+15)))</f>
        <v>#N/A</v>
      </c>
      <c r="Q100" s="2" t="e">
        <f>IF(ISERROR(INDEX(指数走势!$F$36:$ACK$36,1,LOOKUP(2,1/(指数走势!$F$36:$ACK$36&lt;&gt;""),COLUMN(指数走势!$F$36:$ACK$36))-COLUMN(指数走势!$F$36)+1-760+16)),NA(),IF(INDEX(指数走势!$F$36:$ACK$36,1,LOOKUP(2,1/(指数走势!$F$36:$ACK$36&lt;&gt;""),COLUMN(指数走势!$F$36:$ACK$36))-COLUMN(指数走势!$F$36)+1-760+16)=0,NA(),INDEX(指数走势!$F$36:$ACK$36,1,LOOKUP(2,1/(指数走势!$F$36:$ACK$36&lt;&gt;""),COLUMN(指数走势!$F$36:$ACK$36))-COLUMN(指数走势!$F$36)+1-760+16)))</f>
        <v>#N/A</v>
      </c>
      <c r="R100" s="2" t="e">
        <f>IF(ISERROR(INDEX(指数走势!$F$36:$ACK$36,1,LOOKUP(2,1/(指数走势!$F$36:$ACK$36&lt;&gt;""),COLUMN(指数走势!$F$36:$ACK$36))-COLUMN(指数走势!$F$36)+1-760+17)),NA(),IF(INDEX(指数走势!$F$36:$ACK$36,1,LOOKUP(2,1/(指数走势!$F$36:$ACK$36&lt;&gt;""),COLUMN(指数走势!$F$36:$ACK$36))-COLUMN(指数走势!$F$36)+1-760+17)=0,NA(),INDEX(指数走势!$F$36:$ACK$36,1,LOOKUP(2,1/(指数走势!$F$36:$ACK$36&lt;&gt;""),COLUMN(指数走势!$F$36:$ACK$36))-COLUMN(指数走势!$F$36)+1-760+17)))</f>
        <v>#N/A</v>
      </c>
      <c r="S100" s="2" t="e">
        <f>IF(ISERROR(INDEX(指数走势!$F$36:$ACK$36,1,LOOKUP(2,1/(指数走势!$F$36:$ACK$36&lt;&gt;""),COLUMN(指数走势!$F$36:$ACK$36))-COLUMN(指数走势!$F$36)+1-760+18)),NA(),IF(INDEX(指数走势!$F$36:$ACK$36,1,LOOKUP(2,1/(指数走势!$F$36:$ACK$36&lt;&gt;""),COLUMN(指数走势!$F$36:$ACK$36))-COLUMN(指数走势!$F$36)+1-760+18)=0,NA(),INDEX(指数走势!$F$36:$ACK$36,1,LOOKUP(2,1/(指数走势!$F$36:$ACK$36&lt;&gt;""),COLUMN(指数走势!$F$36:$ACK$36))-COLUMN(指数走势!$F$36)+1-760+18)))</f>
        <v>#N/A</v>
      </c>
      <c r="T100" s="2" t="e">
        <f>IF(ISERROR(INDEX(指数走势!$F$36:$ACK$36,1,LOOKUP(2,1/(指数走势!$F$36:$ACK$36&lt;&gt;""),COLUMN(指数走势!$F$36:$ACK$36))-COLUMN(指数走势!$F$36)+1-760+19)),NA(),IF(INDEX(指数走势!$F$36:$ACK$36,1,LOOKUP(2,1/(指数走势!$F$36:$ACK$36&lt;&gt;""),COLUMN(指数走势!$F$36:$ACK$36))-COLUMN(指数走势!$F$36)+1-760+19)=0,NA(),INDEX(指数走势!$F$36:$ACK$36,1,LOOKUP(2,1/(指数走势!$F$36:$ACK$36&lt;&gt;""),COLUMN(指数走势!$F$36:$ACK$36))-COLUMN(指数走势!$F$36)+1-760+19)))</f>
        <v>#N/A</v>
      </c>
      <c r="U100" s="2" t="e">
        <f>IF(ISERROR(INDEX(指数走势!$F$36:$ACK$36,1,LOOKUP(2,1/(指数走势!$F$36:$ACK$36&lt;&gt;""),COLUMN(指数走势!$F$36:$ACK$36))-COLUMN(指数走势!$F$36)+1-760+20)),NA(),IF(INDEX(指数走势!$F$36:$ACK$36,1,LOOKUP(2,1/(指数走势!$F$36:$ACK$36&lt;&gt;""),COLUMN(指数走势!$F$36:$ACK$36))-COLUMN(指数走势!$F$36)+1-760+20)=0,NA(),INDEX(指数走势!$F$36:$ACK$36,1,LOOKUP(2,1/(指数走势!$F$36:$ACK$36&lt;&gt;""),COLUMN(指数走势!$F$36:$ACK$36))-COLUMN(指数走势!$F$36)+1-760+20)))</f>
        <v>#N/A</v>
      </c>
      <c r="V100" s="2" t="e">
        <f>IF(ISERROR(INDEX(指数走势!$F$36:$ACK$36,1,LOOKUP(2,1/(指数走势!$F$36:$ACK$36&lt;&gt;""),COLUMN(指数走势!$F$36:$ACK$36))-COLUMN(指数走势!$F$36)+1-760+21)),NA(),IF(INDEX(指数走势!$F$36:$ACK$36,1,LOOKUP(2,1/(指数走势!$F$36:$ACK$36&lt;&gt;""),COLUMN(指数走势!$F$36:$ACK$36))-COLUMN(指数走势!$F$36)+1-760+21)=0,NA(),INDEX(指数走势!$F$36:$ACK$36,1,LOOKUP(2,1/(指数走势!$F$36:$ACK$36&lt;&gt;""),COLUMN(指数走势!$F$36:$ACK$36))-COLUMN(指数走势!$F$36)+1-760+21)))</f>
        <v>#N/A</v>
      </c>
      <c r="W100" s="2" t="e">
        <f>IF(ISERROR(INDEX(指数走势!$F$36:$ACK$36,1,LOOKUP(2,1/(指数走势!$F$36:$ACK$36&lt;&gt;""),COLUMN(指数走势!$F$36:$ACK$36))-COLUMN(指数走势!$F$36)+1-760+22)),NA(),IF(INDEX(指数走势!$F$36:$ACK$36,1,LOOKUP(2,1/(指数走势!$F$36:$ACK$36&lt;&gt;""),COLUMN(指数走势!$F$36:$ACK$36))-COLUMN(指数走势!$F$36)+1-760+22)=0,NA(),INDEX(指数走势!$F$36:$ACK$36,1,LOOKUP(2,1/(指数走势!$F$36:$ACK$36&lt;&gt;""),COLUMN(指数走势!$F$36:$ACK$36))-COLUMN(指数走势!$F$36)+1-760+22)))</f>
        <v>#N/A</v>
      </c>
      <c r="X100" s="2" t="e">
        <f>IF(ISERROR(INDEX(指数走势!$F$36:$ACK$36,1,LOOKUP(2,1/(指数走势!$F$36:$ACK$36&lt;&gt;""),COLUMN(指数走势!$F$36:$ACK$36))-COLUMN(指数走势!$F$36)+1-760+23)),NA(),IF(INDEX(指数走势!$F$36:$ACK$36,1,LOOKUP(2,1/(指数走势!$F$36:$ACK$36&lt;&gt;""),COLUMN(指数走势!$F$36:$ACK$36))-COLUMN(指数走势!$F$36)+1-760+23)=0,NA(),INDEX(指数走势!$F$36:$ACK$36,1,LOOKUP(2,1/(指数走势!$F$36:$ACK$36&lt;&gt;""),COLUMN(指数走势!$F$36:$ACK$36))-COLUMN(指数走势!$F$36)+1-760+23)))</f>
        <v>#N/A</v>
      </c>
      <c r="Y100" s="2" t="e">
        <f>IF(ISERROR(INDEX(指数走势!$F$36:$ACK$36,1,LOOKUP(2,1/(指数走势!$F$36:$ACK$36&lt;&gt;""),COLUMN(指数走势!$F$36:$ACK$36))-COLUMN(指数走势!$F$36)+1-760+24)),NA(),IF(INDEX(指数走势!$F$36:$ACK$36,1,LOOKUP(2,1/(指数走势!$F$36:$ACK$36&lt;&gt;""),COLUMN(指数走势!$F$36:$ACK$36))-COLUMN(指数走势!$F$36)+1-760+24)=0,NA(),INDEX(指数走势!$F$36:$ACK$36,1,LOOKUP(2,1/(指数走势!$F$36:$ACK$36&lt;&gt;""),COLUMN(指数走势!$F$36:$ACK$36))-COLUMN(指数走势!$F$36)+1-760+24)))</f>
        <v>#N/A</v>
      </c>
      <c r="Z100" s="2" t="e">
        <f>IF(ISERROR(INDEX(指数走势!$F$36:$ACK$36,1,LOOKUP(2,1/(指数走势!$F$36:$ACK$36&lt;&gt;""),COLUMN(指数走势!$F$36:$ACK$36))-COLUMN(指数走势!$F$36)+1-760+25)),NA(),IF(INDEX(指数走势!$F$36:$ACK$36,1,LOOKUP(2,1/(指数走势!$F$36:$ACK$36&lt;&gt;""),COLUMN(指数走势!$F$36:$ACK$36))-COLUMN(指数走势!$F$36)+1-760+25)=0,NA(),INDEX(指数走势!$F$36:$ACK$36,1,LOOKUP(2,1/(指数走势!$F$36:$ACK$36&lt;&gt;""),COLUMN(指数走势!$F$36:$ACK$36))-COLUMN(指数走势!$F$36)+1-760+25)))</f>
        <v>#N/A</v>
      </c>
      <c r="AA100" s="2" t="e">
        <f>IF(ISERROR(INDEX(指数走势!$F$36:$ACK$36,1,LOOKUP(2,1/(指数走势!$F$36:$ACK$36&lt;&gt;""),COLUMN(指数走势!$F$36:$ACK$36))-COLUMN(指数走势!$F$36)+1-760+26)),NA(),IF(INDEX(指数走势!$F$36:$ACK$36,1,LOOKUP(2,1/(指数走势!$F$36:$ACK$36&lt;&gt;""),COLUMN(指数走势!$F$36:$ACK$36))-COLUMN(指数走势!$F$36)+1-760+26)=0,NA(),INDEX(指数走势!$F$36:$ACK$36,1,LOOKUP(2,1/(指数走势!$F$36:$ACK$36&lt;&gt;""),COLUMN(指数走势!$F$36:$ACK$36))-COLUMN(指数走势!$F$36)+1-760+26)))</f>
        <v>#N/A</v>
      </c>
      <c r="AB100" s="2" t="e">
        <f>IF(ISERROR(INDEX(指数走势!$F$36:$ACK$36,1,LOOKUP(2,1/(指数走势!$F$36:$ACK$36&lt;&gt;""),COLUMN(指数走势!$F$36:$ACK$36))-COLUMN(指数走势!$F$36)+1-760+27)),NA(),IF(INDEX(指数走势!$F$36:$ACK$36,1,LOOKUP(2,1/(指数走势!$F$36:$ACK$36&lt;&gt;""),COLUMN(指数走势!$F$36:$ACK$36))-COLUMN(指数走势!$F$36)+1-760+27)=0,NA(),INDEX(指数走势!$F$36:$ACK$36,1,LOOKUP(2,1/(指数走势!$F$36:$ACK$36&lt;&gt;""),COLUMN(指数走势!$F$36:$ACK$36))-COLUMN(指数走势!$F$36)+1-760+27)))</f>
        <v>#N/A</v>
      </c>
      <c r="AC100" s="2" t="e">
        <f>IF(ISERROR(INDEX(指数走势!$F$36:$ACK$36,1,LOOKUP(2,1/(指数走势!$F$36:$ACK$36&lt;&gt;""),COLUMN(指数走势!$F$36:$ACK$36))-COLUMN(指数走势!$F$36)+1-760+28)),NA(),IF(INDEX(指数走势!$F$36:$ACK$36,1,LOOKUP(2,1/(指数走势!$F$36:$ACK$36&lt;&gt;""),COLUMN(指数走势!$F$36:$ACK$36))-COLUMN(指数走势!$F$36)+1-760+28)=0,NA(),INDEX(指数走势!$F$36:$ACK$36,1,LOOKUP(2,1/(指数走势!$F$36:$ACK$36&lt;&gt;""),COLUMN(指数走势!$F$36:$ACK$36))-COLUMN(指数走势!$F$36)+1-760+28)))</f>
        <v>#N/A</v>
      </c>
      <c r="AD100" s="2" t="e">
        <f>IF(ISERROR(INDEX(指数走势!$F$36:$ACK$36,1,LOOKUP(2,1/(指数走势!$F$36:$ACK$36&lt;&gt;""),COLUMN(指数走势!$F$36:$ACK$36))-COLUMN(指数走势!$F$36)+1-760+29)),NA(),IF(INDEX(指数走势!$F$36:$ACK$36,1,LOOKUP(2,1/(指数走势!$F$36:$ACK$36&lt;&gt;""),COLUMN(指数走势!$F$36:$ACK$36))-COLUMN(指数走势!$F$36)+1-760+29)=0,NA(),INDEX(指数走势!$F$36:$ACK$36,1,LOOKUP(2,1/(指数走势!$F$36:$ACK$36&lt;&gt;""),COLUMN(指数走势!$F$36:$ACK$36))-COLUMN(指数走势!$F$36)+1-760+29)))</f>
        <v>#N/A</v>
      </c>
      <c r="AE100" s="2" t="e">
        <f>IF(ISERROR(INDEX(指数走势!$F$36:$ACK$36,1,LOOKUP(2,1/(指数走势!$F$36:$ACK$36&lt;&gt;""),COLUMN(指数走势!$F$36:$ACK$36))-COLUMN(指数走势!$F$36)+1-760+30)),NA(),IF(INDEX(指数走势!$F$36:$ACK$36,1,LOOKUP(2,1/(指数走势!$F$36:$ACK$36&lt;&gt;""),COLUMN(指数走势!$F$36:$ACK$36))-COLUMN(指数走势!$F$36)+1-760+30)=0,NA(),INDEX(指数走势!$F$36:$ACK$36,1,LOOKUP(2,1/(指数走势!$F$36:$ACK$36&lt;&gt;""),COLUMN(指数走势!$F$36:$ACK$36))-COLUMN(指数走势!$F$36)+1-760+30)))</f>
        <v>#N/A</v>
      </c>
      <c r="AF100" s="2" t="e">
        <f>IF(ISERROR(INDEX(指数走势!$F$36:$ACK$36,1,LOOKUP(2,1/(指数走势!$F$36:$ACK$36&lt;&gt;""),COLUMN(指数走势!$F$36:$ACK$36))-COLUMN(指数走势!$F$36)+1-760+31)),NA(),IF(INDEX(指数走势!$F$36:$ACK$36,1,LOOKUP(2,1/(指数走势!$F$36:$ACK$36&lt;&gt;""),COLUMN(指数走势!$F$36:$ACK$36))-COLUMN(指数走势!$F$36)+1-760+31)=0,NA(),INDEX(指数走势!$F$36:$ACK$36,1,LOOKUP(2,1/(指数走势!$F$36:$ACK$36&lt;&gt;""),COLUMN(指数走势!$F$36:$ACK$36))-COLUMN(指数走势!$F$36)+1-760+31)))</f>
        <v>#N/A</v>
      </c>
      <c r="AG100" s="2" t="e">
        <f>IF(ISERROR(INDEX(指数走势!$F$36:$ACK$36,1,LOOKUP(2,1/(指数走势!$F$36:$ACK$36&lt;&gt;""),COLUMN(指数走势!$F$36:$ACK$36))-COLUMN(指数走势!$F$36)+1-760+32)),NA(),IF(INDEX(指数走势!$F$36:$ACK$36,1,LOOKUP(2,1/(指数走势!$F$36:$ACK$36&lt;&gt;""),COLUMN(指数走势!$F$36:$ACK$36))-COLUMN(指数走势!$F$36)+1-760+32)=0,NA(),INDEX(指数走势!$F$36:$ACK$36,1,LOOKUP(2,1/(指数走势!$F$36:$ACK$36&lt;&gt;""),COLUMN(指数走势!$F$36:$ACK$36))-COLUMN(指数走势!$F$36)+1-760+32)))</f>
        <v>#N/A</v>
      </c>
      <c r="AH100" s="2" t="e">
        <f>IF(ISERROR(INDEX(指数走势!$F$36:$ACK$36,1,LOOKUP(2,1/(指数走势!$F$36:$ACK$36&lt;&gt;""),COLUMN(指数走势!$F$36:$ACK$36))-COLUMN(指数走势!$F$36)+1-760+33)),NA(),IF(INDEX(指数走势!$F$36:$ACK$36,1,LOOKUP(2,1/(指数走势!$F$36:$ACK$36&lt;&gt;""),COLUMN(指数走势!$F$36:$ACK$36))-COLUMN(指数走势!$F$36)+1-760+33)=0,NA(),INDEX(指数走势!$F$36:$ACK$36,1,LOOKUP(2,1/(指数走势!$F$36:$ACK$36&lt;&gt;""),COLUMN(指数走势!$F$36:$ACK$36))-COLUMN(指数走势!$F$36)+1-760+33)))</f>
        <v>#N/A</v>
      </c>
      <c r="AI100" s="2">
        <f>IF(ISERROR(INDEX(指数走势!$F$36:$ACK$36,1,LOOKUP(2,1/(指数走势!$F$36:$ACK$36&lt;&gt;""),COLUMN(指数走势!$F$36:$ACK$36))-COLUMN(指数走势!$F$36)+1-760+34)),NA(),IF(INDEX(指数走势!$F$36:$ACK$36,1,LOOKUP(2,1/(指数走势!$F$36:$ACK$36&lt;&gt;""),COLUMN(指数走势!$F$36:$ACK$36))-COLUMN(指数走势!$F$36)+1-760+34)=0,NA(),INDEX(指数走势!$F$36:$ACK$36,1,LOOKUP(2,1/(指数走势!$F$36:$ACK$36&lt;&gt;""),COLUMN(指数走势!$F$36:$ACK$36))-COLUMN(指数走势!$F$36)+1-760+34)))</f>
        <v>30.8015995025635</v>
      </c>
      <c r="AJ100" s="2">
        <f>IF(ISERROR(INDEX(指数走势!$F$36:$ACK$36,1,LOOKUP(2,1/(指数走势!$F$36:$ACK$36&lt;&gt;""),COLUMN(指数走势!$F$36:$ACK$36))-COLUMN(指数走势!$F$36)+1-760+35)),NA(),IF(INDEX(指数走势!$F$36:$ACK$36,1,LOOKUP(2,1/(指数走势!$F$36:$ACK$36&lt;&gt;""),COLUMN(指数走势!$F$36:$ACK$36))-COLUMN(指数走势!$F$36)+1-760+35)=0,NA(),INDEX(指数走势!$F$36:$ACK$36,1,LOOKUP(2,1/(指数走势!$F$36:$ACK$36&lt;&gt;""),COLUMN(指数走势!$F$36:$ACK$36))-COLUMN(指数走势!$F$36)+1-760+35)))</f>
        <v>32.2274017333984</v>
      </c>
      <c r="AK100" s="2">
        <f>IF(ISERROR(INDEX(指数走势!$F$36:$ACK$36,1,LOOKUP(2,1/(指数走势!$F$36:$ACK$36&lt;&gt;""),COLUMN(指数走势!$F$36:$ACK$36))-COLUMN(指数走势!$F$36)+1-760+36)),NA(),IF(INDEX(指数走势!$F$36:$ACK$36,1,LOOKUP(2,1/(指数走势!$F$36:$ACK$36&lt;&gt;""),COLUMN(指数走势!$F$36:$ACK$36))-COLUMN(指数走势!$F$36)+1-760+36)=0,NA(),INDEX(指数走势!$F$36:$ACK$36,1,LOOKUP(2,1/(指数走势!$F$36:$ACK$36&lt;&gt;""),COLUMN(指数走势!$F$36:$ACK$36))-COLUMN(指数走势!$F$36)+1-760+36)))</f>
        <v>31.8840999603271</v>
      </c>
      <c r="AL100" s="2">
        <f>IF(ISERROR(INDEX(指数走势!$F$36:$ACK$36,1,LOOKUP(2,1/(指数走势!$F$36:$ACK$36&lt;&gt;""),COLUMN(指数走势!$F$36:$ACK$36))-COLUMN(指数走势!$F$36)+1-760+37)),NA(),IF(INDEX(指数走势!$F$36:$ACK$36,1,LOOKUP(2,1/(指数走势!$F$36:$ACK$36&lt;&gt;""),COLUMN(指数走势!$F$36:$ACK$36))-COLUMN(指数走势!$F$36)+1-760+37)=0,NA(),INDEX(指数走势!$F$36:$ACK$36,1,LOOKUP(2,1/(指数走势!$F$36:$ACK$36&lt;&gt;""),COLUMN(指数走势!$F$36:$ACK$36))-COLUMN(指数走势!$F$36)+1-760+37)))</f>
        <v>32.3123016357422</v>
      </c>
      <c r="AM100" s="2">
        <f>IF(ISERROR(INDEX(指数走势!$F$36:$ACK$36,1,LOOKUP(2,1/(指数走势!$F$36:$ACK$36&lt;&gt;""),COLUMN(指数走势!$F$36:$ACK$36))-COLUMN(指数走势!$F$36)+1-760+38)),NA(),IF(INDEX(指数走势!$F$36:$ACK$36,1,LOOKUP(2,1/(指数走势!$F$36:$ACK$36&lt;&gt;""),COLUMN(指数走势!$F$36:$ACK$36))-COLUMN(指数走势!$F$36)+1-760+38)=0,NA(),INDEX(指数走势!$F$36:$ACK$36,1,LOOKUP(2,1/(指数走势!$F$36:$ACK$36&lt;&gt;""),COLUMN(指数走势!$F$36:$ACK$36))-COLUMN(指数走势!$F$36)+1-760+38)))</f>
        <v>32.5699005126953</v>
      </c>
      <c r="AN100" s="2">
        <f>IF(ISERROR(INDEX(指数走势!$F$36:$ACK$36,1,LOOKUP(2,1/(指数走势!$F$36:$ACK$36&lt;&gt;""),COLUMN(指数走势!$F$36:$ACK$36))-COLUMN(指数走势!$F$36)+1-760+39)),NA(),IF(INDEX(指数走势!$F$36:$ACK$36,1,LOOKUP(2,1/(指数走势!$F$36:$ACK$36&lt;&gt;""),COLUMN(指数走势!$F$36:$ACK$36))-COLUMN(指数走势!$F$36)+1-760+39)=0,NA(),INDEX(指数走势!$F$36:$ACK$36,1,LOOKUP(2,1/(指数走势!$F$36:$ACK$36&lt;&gt;""),COLUMN(指数走势!$F$36:$ACK$36))-COLUMN(指数走势!$F$36)+1-760+39)))</f>
        <v>32.3003997802734</v>
      </c>
      <c r="AO100" s="2">
        <f>IF(ISERROR(INDEX(指数走势!$F$36:$ACK$36,1,LOOKUP(2,1/(指数走势!$F$36:$ACK$36&lt;&gt;""),COLUMN(指数走势!$F$36:$ACK$36))-COLUMN(指数走势!$F$36)+1-760+40)),NA(),IF(INDEX(指数走势!$F$36:$ACK$36,1,LOOKUP(2,1/(指数走势!$F$36:$ACK$36&lt;&gt;""),COLUMN(指数走势!$F$36:$ACK$36))-COLUMN(指数走势!$F$36)+1-760+40)=0,NA(),INDEX(指数走势!$F$36:$ACK$36,1,LOOKUP(2,1/(指数走势!$F$36:$ACK$36&lt;&gt;""),COLUMN(指数走势!$F$36:$ACK$36))-COLUMN(指数走势!$F$36)+1-760+40)))</f>
        <v>32.8959007263184</v>
      </c>
      <c r="AP100" s="2">
        <f>IF(ISERROR(INDEX(指数走势!$F$36:$ACK$36,1,LOOKUP(2,1/(指数走势!$F$36:$ACK$36&lt;&gt;""),COLUMN(指数走势!$F$36:$ACK$36))-COLUMN(指数走势!$F$36)+1-760+41)),NA(),IF(INDEX(指数走势!$F$36:$ACK$36,1,LOOKUP(2,1/(指数走势!$F$36:$ACK$36&lt;&gt;""),COLUMN(指数走势!$F$36:$ACK$36))-COLUMN(指数走势!$F$36)+1-760+41)=0,NA(),INDEX(指数走势!$F$36:$ACK$36,1,LOOKUP(2,1/(指数走势!$F$36:$ACK$36&lt;&gt;""),COLUMN(指数走势!$F$36:$ACK$36))-COLUMN(指数走势!$F$36)+1-760+41)))</f>
        <v>32.7009010314941</v>
      </c>
      <c r="AQ100" s="2">
        <f>IF(ISERROR(INDEX(指数走势!$F$36:$ACK$36,1,LOOKUP(2,1/(指数走势!$F$36:$ACK$36&lt;&gt;""),COLUMN(指数走势!$F$36:$ACK$36))-COLUMN(指数走势!$F$36)+1-760+42)),NA(),IF(INDEX(指数走势!$F$36:$ACK$36,1,LOOKUP(2,1/(指数走势!$F$36:$ACK$36&lt;&gt;""),COLUMN(指数走势!$F$36:$ACK$36))-COLUMN(指数走势!$F$36)+1-760+42)=0,NA(),INDEX(指数走势!$F$36:$ACK$36,1,LOOKUP(2,1/(指数走势!$F$36:$ACK$36&lt;&gt;""),COLUMN(指数走势!$F$36:$ACK$36))-COLUMN(指数走势!$F$36)+1-760+42)))</f>
        <v>32.4496002197266</v>
      </c>
      <c r="AR100" s="2">
        <f>IF(ISERROR(INDEX(指数走势!$F$36:$ACK$36,1,LOOKUP(2,1/(指数走势!$F$36:$ACK$36&lt;&gt;""),COLUMN(指数走势!$F$36:$ACK$36))-COLUMN(指数走势!$F$36)+1-760+43)),NA(),IF(INDEX(指数走势!$F$36:$ACK$36,1,LOOKUP(2,1/(指数走势!$F$36:$ACK$36&lt;&gt;""),COLUMN(指数走势!$F$36:$ACK$36))-COLUMN(指数走势!$F$36)+1-760+43)=0,NA(),INDEX(指数走势!$F$36:$ACK$36,1,LOOKUP(2,1/(指数走势!$F$36:$ACK$36&lt;&gt;""),COLUMN(指数走势!$F$36:$ACK$36))-COLUMN(指数走势!$F$36)+1-760+43)))</f>
        <v>32.3386993408203</v>
      </c>
      <c r="AS100" s="2">
        <f>IF(ISERROR(INDEX(指数走势!$F$36:$ACK$36,1,LOOKUP(2,1/(指数走势!$F$36:$ACK$36&lt;&gt;""),COLUMN(指数走势!$F$36:$ACK$36))-COLUMN(指数走势!$F$36)+1-760+44)),NA(),IF(INDEX(指数走势!$F$36:$ACK$36,1,LOOKUP(2,1/(指数走势!$F$36:$ACK$36&lt;&gt;""),COLUMN(指数走势!$F$36:$ACK$36))-COLUMN(指数走势!$F$36)+1-760+44)=0,NA(),INDEX(指数走势!$F$36:$ACK$36,1,LOOKUP(2,1/(指数走势!$F$36:$ACK$36&lt;&gt;""),COLUMN(指数走势!$F$36:$ACK$36))-COLUMN(指数走势!$F$36)+1-760+44)))</f>
        <v>32.0225982666016</v>
      </c>
      <c r="AT100" s="2">
        <f>IF(ISERROR(INDEX(指数走势!$F$36:$ACK$36,1,LOOKUP(2,1/(指数走势!$F$36:$ACK$36&lt;&gt;""),COLUMN(指数走势!$F$36:$ACK$36))-COLUMN(指数走势!$F$36)+1-760+45)),NA(),IF(INDEX(指数走势!$F$36:$ACK$36,1,LOOKUP(2,1/(指数走势!$F$36:$ACK$36&lt;&gt;""),COLUMN(指数走势!$F$36:$ACK$36))-COLUMN(指数走势!$F$36)+1-760+45)=0,NA(),INDEX(指数走势!$F$36:$ACK$36,1,LOOKUP(2,1/(指数走势!$F$36:$ACK$36&lt;&gt;""),COLUMN(指数走势!$F$36:$ACK$36))-COLUMN(指数走势!$F$36)+1-760+45)))</f>
        <v>31.7245998382568</v>
      </c>
      <c r="AU100" s="2">
        <f>IF(ISERROR(INDEX(指数走势!$F$36:$ACK$36,1,LOOKUP(2,1/(指数走势!$F$36:$ACK$36&lt;&gt;""),COLUMN(指数走势!$F$36:$ACK$36))-COLUMN(指数走势!$F$36)+1-760+46)),NA(),IF(INDEX(指数走势!$F$36:$ACK$36,1,LOOKUP(2,1/(指数走势!$F$36:$ACK$36&lt;&gt;""),COLUMN(指数走势!$F$36:$ACK$36))-COLUMN(指数走势!$F$36)+1-760+46)=0,NA(),INDEX(指数走势!$F$36:$ACK$36,1,LOOKUP(2,1/(指数走势!$F$36:$ACK$36&lt;&gt;""),COLUMN(指数走势!$F$36:$ACK$36))-COLUMN(指数走势!$F$36)+1-760+46)))</f>
        <v>31.8460998535156</v>
      </c>
      <c r="AV100" s="2">
        <f>IF(ISERROR(INDEX(指数走势!$F$36:$ACK$36,1,LOOKUP(2,1/(指数走势!$F$36:$ACK$36&lt;&gt;""),COLUMN(指数走势!$F$36:$ACK$36))-COLUMN(指数走势!$F$36)+1-760+47)),NA(),IF(INDEX(指数走势!$F$36:$ACK$36,1,LOOKUP(2,1/(指数走势!$F$36:$ACK$36&lt;&gt;""),COLUMN(指数走势!$F$36:$ACK$36))-COLUMN(指数走势!$F$36)+1-760+47)=0,NA(),INDEX(指数走势!$F$36:$ACK$36,1,LOOKUP(2,1/(指数走势!$F$36:$ACK$36&lt;&gt;""),COLUMN(指数走势!$F$36:$ACK$36))-COLUMN(指数走势!$F$36)+1-760+47)))</f>
        <v>31.6264991760254</v>
      </c>
      <c r="AW100" s="2">
        <f>IF(ISERROR(INDEX(指数走势!$F$36:$ACK$36,1,LOOKUP(2,1/(指数走势!$F$36:$ACK$36&lt;&gt;""),COLUMN(指数走势!$F$36:$ACK$36))-COLUMN(指数走势!$F$36)+1-760+48)),NA(),IF(INDEX(指数走势!$F$36:$ACK$36,1,LOOKUP(2,1/(指数走势!$F$36:$ACK$36&lt;&gt;""),COLUMN(指数走势!$F$36:$ACK$36))-COLUMN(指数走势!$F$36)+1-760+48)=0,NA(),INDEX(指数走势!$F$36:$ACK$36,1,LOOKUP(2,1/(指数走势!$F$36:$ACK$36&lt;&gt;""),COLUMN(指数走势!$F$36:$ACK$36))-COLUMN(指数走势!$F$36)+1-760+48)))</f>
        <v>32.3105010986328</v>
      </c>
      <c r="AX100" s="2">
        <f>IF(ISERROR(INDEX(指数走势!$F$36:$ACK$36,1,LOOKUP(2,1/(指数走势!$F$36:$ACK$36&lt;&gt;""),COLUMN(指数走势!$F$36:$ACK$36))-COLUMN(指数走势!$F$36)+1-760+49)),NA(),IF(INDEX(指数走势!$F$36:$ACK$36,1,LOOKUP(2,1/(指数走势!$F$36:$ACK$36&lt;&gt;""),COLUMN(指数走势!$F$36:$ACK$36))-COLUMN(指数走势!$F$36)+1-760+49)=0,NA(),INDEX(指数走势!$F$36:$ACK$36,1,LOOKUP(2,1/(指数走势!$F$36:$ACK$36&lt;&gt;""),COLUMN(指数走势!$F$36:$ACK$36))-COLUMN(指数走势!$F$36)+1-760+49)))</f>
        <v>31.5379009246826</v>
      </c>
      <c r="AY100" s="2">
        <f>IF(ISERROR(INDEX(指数走势!$F$36:$ACK$36,1,LOOKUP(2,1/(指数走势!$F$36:$ACK$36&lt;&gt;""),COLUMN(指数走势!$F$36:$ACK$36))-COLUMN(指数走势!$F$36)+1-760+50)),NA(),IF(INDEX(指数走势!$F$36:$ACK$36,1,LOOKUP(2,1/(指数走势!$F$36:$ACK$36&lt;&gt;""),COLUMN(指数走势!$F$36:$ACK$36))-COLUMN(指数走势!$F$36)+1-760+50)=0,NA(),INDEX(指数走势!$F$36:$ACK$36,1,LOOKUP(2,1/(指数走势!$F$36:$ACK$36&lt;&gt;""),COLUMN(指数走势!$F$36:$ACK$36))-COLUMN(指数走势!$F$36)+1-760+50)))</f>
        <v>31.4468002319336</v>
      </c>
      <c r="AZ100" s="2">
        <f>IF(ISERROR(INDEX(指数走势!$F$36:$ACK$36,1,LOOKUP(2,1/(指数走势!$F$36:$ACK$36&lt;&gt;""),COLUMN(指数走势!$F$36:$ACK$36))-COLUMN(指数走势!$F$36)+1-760+51)),NA(),IF(INDEX(指数走势!$F$36:$ACK$36,1,LOOKUP(2,1/(指数走势!$F$36:$ACK$36&lt;&gt;""),COLUMN(指数走势!$F$36:$ACK$36))-COLUMN(指数走势!$F$36)+1-760+51)=0,NA(),INDEX(指数走势!$F$36:$ACK$36,1,LOOKUP(2,1/(指数走势!$F$36:$ACK$36&lt;&gt;""),COLUMN(指数走势!$F$36:$ACK$36))-COLUMN(指数走势!$F$36)+1-760+51)))</f>
        <v>31.9318008422852</v>
      </c>
      <c r="BA100" s="2">
        <f>IF(ISERROR(INDEX(指数走势!$F$36:$ACK$36,1,LOOKUP(2,1/(指数走势!$F$36:$ACK$36&lt;&gt;""),COLUMN(指数走势!$F$36:$ACK$36))-COLUMN(指数走势!$F$36)+1-760+52)),NA(),IF(INDEX(指数走势!$F$36:$ACK$36,1,LOOKUP(2,1/(指数走势!$F$36:$ACK$36&lt;&gt;""),COLUMN(指数走势!$F$36:$ACK$36))-COLUMN(指数走势!$F$36)+1-760+52)=0,NA(),INDEX(指数走势!$F$36:$ACK$36,1,LOOKUP(2,1/(指数走势!$F$36:$ACK$36&lt;&gt;""),COLUMN(指数走势!$F$36:$ACK$36))-COLUMN(指数走势!$F$36)+1-760+52)))</f>
        <v>32.119701385498</v>
      </c>
      <c r="BB100" s="2">
        <f>IF(ISERROR(INDEX(指数走势!$F$36:$ACK$36,1,LOOKUP(2,1/(指数走势!$F$36:$ACK$36&lt;&gt;""),COLUMN(指数走势!$F$36:$ACK$36))-COLUMN(指数走势!$F$36)+1-760+53)),NA(),IF(INDEX(指数走势!$F$36:$ACK$36,1,LOOKUP(2,1/(指数走势!$F$36:$ACK$36&lt;&gt;""),COLUMN(指数走势!$F$36:$ACK$36))-COLUMN(指数走势!$F$36)+1-760+53)=0,NA(),INDEX(指数走势!$F$36:$ACK$36,1,LOOKUP(2,1/(指数走势!$F$36:$ACK$36&lt;&gt;""),COLUMN(指数走势!$F$36:$ACK$36))-COLUMN(指数走势!$F$36)+1-760+53)))</f>
        <v>31.9403991699219</v>
      </c>
      <c r="BC100" s="2">
        <f>IF(ISERROR(INDEX(指数走势!$F$36:$ACK$36,1,LOOKUP(2,1/(指数走势!$F$36:$ACK$36&lt;&gt;""),COLUMN(指数走势!$F$36:$ACK$36))-COLUMN(指数走势!$F$36)+1-760+54)),NA(),IF(INDEX(指数走势!$F$36:$ACK$36,1,LOOKUP(2,1/(指数走势!$F$36:$ACK$36&lt;&gt;""),COLUMN(指数走势!$F$36:$ACK$36))-COLUMN(指数走势!$F$36)+1-760+54)=0,NA(),INDEX(指数走势!$F$36:$ACK$36,1,LOOKUP(2,1/(指数走势!$F$36:$ACK$36&lt;&gt;""),COLUMN(指数走势!$F$36:$ACK$36))-COLUMN(指数走势!$F$36)+1-760+54)))</f>
        <v>31.8551006317139</v>
      </c>
      <c r="BD100" s="2">
        <f>IF(ISERROR(INDEX(指数走势!$F$36:$ACK$36,1,LOOKUP(2,1/(指数走势!$F$36:$ACK$36&lt;&gt;""),COLUMN(指数走势!$F$36:$ACK$36))-COLUMN(指数走势!$F$36)+1-760+55)),NA(),IF(INDEX(指数走势!$F$36:$ACK$36,1,LOOKUP(2,1/(指数走势!$F$36:$ACK$36&lt;&gt;""),COLUMN(指数走势!$F$36:$ACK$36))-COLUMN(指数走势!$F$36)+1-760+55)=0,NA(),INDEX(指数走势!$F$36:$ACK$36,1,LOOKUP(2,1/(指数走势!$F$36:$ACK$36&lt;&gt;""),COLUMN(指数走势!$F$36:$ACK$36))-COLUMN(指数走势!$F$36)+1-760+55)))</f>
        <v>32.1430015563965</v>
      </c>
      <c r="BE100" s="2">
        <f>IF(ISERROR(INDEX(指数走势!$F$36:$ACK$36,1,LOOKUP(2,1/(指数走势!$F$36:$ACK$36&lt;&gt;""),COLUMN(指数走势!$F$36:$ACK$36))-COLUMN(指数走势!$F$36)+1-760+56)),NA(),IF(INDEX(指数走势!$F$36:$ACK$36,1,LOOKUP(2,1/(指数走势!$F$36:$ACK$36&lt;&gt;""),COLUMN(指数走势!$F$36:$ACK$36))-COLUMN(指数走势!$F$36)+1-760+56)=0,NA(),INDEX(指数走势!$F$36:$ACK$36,1,LOOKUP(2,1/(指数走势!$F$36:$ACK$36&lt;&gt;""),COLUMN(指数走势!$F$36:$ACK$36))-COLUMN(指数走势!$F$36)+1-760+56)))</f>
        <v>32.3894996643066</v>
      </c>
      <c r="BF100" s="2">
        <f>IF(ISERROR(INDEX(指数走势!$F$36:$ACK$36,1,LOOKUP(2,1/(指数走势!$F$36:$ACK$36&lt;&gt;""),COLUMN(指数走势!$F$36:$ACK$36))-COLUMN(指数走势!$F$36)+1-760+57)),NA(),IF(INDEX(指数走势!$F$36:$ACK$36,1,LOOKUP(2,1/(指数走势!$F$36:$ACK$36&lt;&gt;""),COLUMN(指数走势!$F$36:$ACK$36))-COLUMN(指数走势!$F$36)+1-760+57)=0,NA(),INDEX(指数走势!$F$36:$ACK$36,1,LOOKUP(2,1/(指数走势!$F$36:$ACK$36&lt;&gt;""),COLUMN(指数走势!$F$36:$ACK$36))-COLUMN(指数走势!$F$36)+1-760+57)))</f>
        <v>32.0070991516113</v>
      </c>
      <c r="BG100" s="2">
        <f>IF(ISERROR(INDEX(指数走势!$F$36:$ACK$36,1,LOOKUP(2,1/(指数走势!$F$36:$ACK$36&lt;&gt;""),COLUMN(指数走势!$F$36:$ACK$36))-COLUMN(指数走势!$F$36)+1-760+58)),NA(),IF(INDEX(指数走势!$F$36:$ACK$36,1,LOOKUP(2,1/(指数走势!$F$36:$ACK$36&lt;&gt;""),COLUMN(指数走势!$F$36:$ACK$36))-COLUMN(指数走势!$F$36)+1-760+58)=0,NA(),INDEX(指数走势!$F$36:$ACK$36,1,LOOKUP(2,1/(指数走势!$F$36:$ACK$36&lt;&gt;""),COLUMN(指数走势!$F$36:$ACK$36))-COLUMN(指数走势!$F$36)+1-760+58)))</f>
        <v>31.8495998382568</v>
      </c>
      <c r="BH100" s="2">
        <f>IF(ISERROR(INDEX(指数走势!$F$36:$ACK$36,1,LOOKUP(2,1/(指数走势!$F$36:$ACK$36&lt;&gt;""),COLUMN(指数走势!$F$36:$ACK$36))-COLUMN(指数走势!$F$36)+1-760+59)),NA(),IF(INDEX(指数走势!$F$36:$ACK$36,1,LOOKUP(2,1/(指数走势!$F$36:$ACK$36&lt;&gt;""),COLUMN(指数走势!$F$36:$ACK$36))-COLUMN(指数走势!$F$36)+1-760+59)=0,NA(),INDEX(指数走势!$F$36:$ACK$36,1,LOOKUP(2,1/(指数走势!$F$36:$ACK$36&lt;&gt;""),COLUMN(指数走势!$F$36:$ACK$36))-COLUMN(指数走势!$F$36)+1-760+59)))</f>
        <v>31.8572998046875</v>
      </c>
      <c r="BI100">
        <f>IF(ISERROR(INDEX(指数走势!$F$36:$ACK$36,1,LOOKUP(2,1/(指数走势!$F$36:$ACK$36&lt;&gt;""),COLUMN(指数走势!$F$36:$ACK$36))-COLUMN(指数走势!$F$36)+1-760+60)),NA(),IF(INDEX(指数走势!$F$36:$ACK$36,1,LOOKUP(2,1/(指数走势!$F$36:$ACK$36&lt;&gt;""),COLUMN(指数走势!$F$36:$ACK$36))-COLUMN(指数走势!$F$36)+1-760+60)=0,NA(),INDEX(指数走势!$F$36:$ACK$36,1,LOOKUP(2,1/(指数走势!$F$36:$ACK$36&lt;&gt;""),COLUMN(指数走势!$F$36:$ACK$36))-COLUMN(指数走势!$F$36)+1-760+60)))</f>
        <v>31.979700088501</v>
      </c>
      <c r="BJ100">
        <f>IF(ISERROR(INDEX(指数走势!$F$36:$ACK$36,1,LOOKUP(2,1/(指数走势!$F$36:$ACK$36&lt;&gt;""),COLUMN(指数走势!$F$36:$ACK$36))-COLUMN(指数走势!$F$36)+1-760+61)),NA(),IF(INDEX(指数走势!$F$36:$ACK$36,1,LOOKUP(2,1/(指数走势!$F$36:$ACK$36&lt;&gt;""),COLUMN(指数走势!$F$36:$ACK$36))-COLUMN(指数走势!$F$36)+1-760+61)=0,NA(),INDEX(指数走势!$F$36:$ACK$36,1,LOOKUP(2,1/(指数走势!$F$36:$ACK$36&lt;&gt;""),COLUMN(指数走势!$F$36:$ACK$36))-COLUMN(指数走势!$F$36)+1-760+61)))</f>
        <v>31.2451000213623</v>
      </c>
      <c r="BK100">
        <f>IF(ISERROR(INDEX(指数走势!$F$36:$ACK$36,1,LOOKUP(2,1/(指数走势!$F$36:$ACK$36&lt;&gt;""),COLUMN(指数走势!$F$36:$ACK$36))-COLUMN(指数走势!$F$36)+1-760+62)),NA(),IF(INDEX(指数走势!$F$36:$ACK$36,1,LOOKUP(2,1/(指数走势!$F$36:$ACK$36&lt;&gt;""),COLUMN(指数走势!$F$36:$ACK$36))-COLUMN(指数走势!$F$36)+1-760+62)=0,NA(),INDEX(指数走势!$F$36:$ACK$36,1,LOOKUP(2,1/(指数走势!$F$36:$ACK$36&lt;&gt;""),COLUMN(指数走势!$F$36:$ACK$36))-COLUMN(指数走势!$F$36)+1-760+62)))</f>
        <v>31.2388000488281</v>
      </c>
      <c r="BL100">
        <f>IF(ISERROR(INDEX(指数走势!$F$36:$ACK$36,1,LOOKUP(2,1/(指数走势!$F$36:$ACK$36&lt;&gt;""),COLUMN(指数走势!$F$36:$ACK$36))-COLUMN(指数走势!$F$36)+1-760+63)),NA(),IF(INDEX(指数走势!$F$36:$ACK$36,1,LOOKUP(2,1/(指数走势!$F$36:$ACK$36&lt;&gt;""),COLUMN(指数走势!$F$36:$ACK$36))-COLUMN(指数走势!$F$36)+1-760+63)=0,NA(),INDEX(指数走势!$F$36:$ACK$36,1,LOOKUP(2,1/(指数走势!$F$36:$ACK$36&lt;&gt;""),COLUMN(指数走势!$F$36:$ACK$36))-COLUMN(指数走势!$F$36)+1-760+63)))</f>
        <v>30.9769992828369</v>
      </c>
      <c r="BM100">
        <f>IF(ISERROR(INDEX(指数走势!$F$36:$ACK$36,1,LOOKUP(2,1/(指数走势!$F$36:$ACK$36&lt;&gt;""),COLUMN(指数走势!$F$36:$ACK$36))-COLUMN(指数走势!$F$36)+1-760+64)),NA(),IF(INDEX(指数走势!$F$36:$ACK$36,1,LOOKUP(2,1/(指数走势!$F$36:$ACK$36&lt;&gt;""),COLUMN(指数走势!$F$36:$ACK$36))-COLUMN(指数走势!$F$36)+1-760+64)=0,NA(),INDEX(指数走势!$F$36:$ACK$36,1,LOOKUP(2,1/(指数走势!$F$36:$ACK$36&lt;&gt;""),COLUMN(指数走势!$F$36:$ACK$36))-COLUMN(指数走势!$F$36)+1-760+64)))</f>
        <v>30.8015995025635</v>
      </c>
      <c r="BN100">
        <f>IF(ISERROR(INDEX(指数走势!$F$36:$ACK$36,1,LOOKUP(2,1/(指数走势!$F$36:$ACK$36&lt;&gt;""),COLUMN(指数走势!$F$36:$ACK$36))-COLUMN(指数走势!$F$36)+1-760+65)),NA(),IF(INDEX(指数走势!$F$36:$ACK$36,1,LOOKUP(2,1/(指数走势!$F$36:$ACK$36&lt;&gt;""),COLUMN(指数走势!$F$36:$ACK$36))-COLUMN(指数走势!$F$36)+1-760+65)=0,NA(),INDEX(指数走势!$F$36:$ACK$36,1,LOOKUP(2,1/(指数走势!$F$36:$ACK$36&lt;&gt;""),COLUMN(指数走势!$F$36:$ACK$36))-COLUMN(指数走势!$F$36)+1-760+65)))</f>
        <v>31.0044994354248</v>
      </c>
      <c r="BO100">
        <f>IF(ISERROR(INDEX(指数走势!$F$36:$ACK$36,1,LOOKUP(2,1/(指数走势!$F$36:$ACK$36&lt;&gt;""),COLUMN(指数走势!$F$36:$ACK$36))-COLUMN(指数走势!$F$36)+1-760+66)),NA(),IF(INDEX(指数走势!$F$36:$ACK$36,1,LOOKUP(2,1/(指数走势!$F$36:$ACK$36&lt;&gt;""),COLUMN(指数走势!$F$36:$ACK$36))-COLUMN(指数走势!$F$36)+1-760+66)=0,NA(),INDEX(指数走势!$F$36:$ACK$36,1,LOOKUP(2,1/(指数走势!$F$36:$ACK$36&lt;&gt;""),COLUMN(指数走势!$F$36:$ACK$36))-COLUMN(指数走势!$F$36)+1-760+66)))</f>
        <v>30.5888004302979</v>
      </c>
      <c r="BP100">
        <f>IF(ISERROR(INDEX(指数走势!$F$36:$ACK$36,1,LOOKUP(2,1/(指数走势!$F$36:$ACK$36&lt;&gt;""),COLUMN(指数走势!$F$36:$ACK$36))-COLUMN(指数走势!$F$36)+1-760+67)),NA(),IF(INDEX(指数走势!$F$36:$ACK$36,1,LOOKUP(2,1/(指数走势!$F$36:$ACK$36&lt;&gt;""),COLUMN(指数走势!$F$36:$ACK$36))-COLUMN(指数走势!$F$36)+1-760+67)=0,NA(),INDEX(指数走势!$F$36:$ACK$36,1,LOOKUP(2,1/(指数走势!$F$36:$ACK$36&lt;&gt;""),COLUMN(指数走势!$F$36:$ACK$36))-COLUMN(指数走势!$F$36)+1-760+67)))</f>
        <v>30.281400680542</v>
      </c>
      <c r="BQ100">
        <f>IF(ISERROR(INDEX(指数走势!$F$36:$ACK$36,1,LOOKUP(2,1/(指数走势!$F$36:$ACK$36&lt;&gt;""),COLUMN(指数走势!$F$36:$ACK$36))-COLUMN(指数走势!$F$36)+1-760+68)),NA(),IF(INDEX(指数走势!$F$36:$ACK$36,1,LOOKUP(2,1/(指数走势!$F$36:$ACK$36&lt;&gt;""),COLUMN(指数走势!$F$36:$ACK$36))-COLUMN(指数走势!$F$36)+1-760+68)=0,NA(),INDEX(指数走势!$F$36:$ACK$36,1,LOOKUP(2,1/(指数走势!$F$36:$ACK$36&lt;&gt;""),COLUMN(指数走势!$F$36:$ACK$36))-COLUMN(指数走势!$F$36)+1-760+68)))</f>
        <v>30.1867008209229</v>
      </c>
      <c r="BR100">
        <f>IF(ISERROR(INDEX(指数走势!$F$36:$ACK$36,1,LOOKUP(2,1/(指数走势!$F$36:$ACK$36&lt;&gt;""),COLUMN(指数走势!$F$36:$ACK$36))-COLUMN(指数走势!$F$36)+1-760+69)),NA(),IF(INDEX(指数走势!$F$36:$ACK$36,1,LOOKUP(2,1/(指数走势!$F$36:$ACK$36&lt;&gt;""),COLUMN(指数走势!$F$36:$ACK$36))-COLUMN(指数走势!$F$36)+1-760+69)=0,NA(),INDEX(指数走势!$F$36:$ACK$36,1,LOOKUP(2,1/(指数走势!$F$36:$ACK$36&lt;&gt;""),COLUMN(指数走势!$F$36:$ACK$36))-COLUMN(指数走势!$F$36)+1-760+69)))</f>
        <v>29.5130996704102</v>
      </c>
      <c r="BS100">
        <f>IF(ISERROR(INDEX(指数走势!$F$36:$ACK$36,1,LOOKUP(2,1/(指数走势!$F$36:$ACK$36&lt;&gt;""),COLUMN(指数走势!$F$36:$ACK$36))-COLUMN(指数走势!$F$36)+1-760+70)),NA(),IF(INDEX(指数走势!$F$36:$ACK$36,1,LOOKUP(2,1/(指数走势!$F$36:$ACK$36&lt;&gt;""),COLUMN(指数走势!$F$36:$ACK$36))-COLUMN(指数走势!$F$36)+1-760+70)=0,NA(),INDEX(指数走势!$F$36:$ACK$36,1,LOOKUP(2,1/(指数走势!$F$36:$ACK$36&lt;&gt;""),COLUMN(指数走势!$F$36:$ACK$36))-COLUMN(指数走势!$F$36)+1-760+70)))</f>
        <v>29.9552001953125</v>
      </c>
      <c r="BT100">
        <f>IF(ISERROR(INDEX(指数走势!$F$36:$ACK$36,1,LOOKUP(2,1/(指数走势!$F$36:$ACK$36&lt;&gt;""),COLUMN(指数走势!$F$36:$ACK$36))-COLUMN(指数走势!$F$36)+1-760+71)),NA(),IF(INDEX(指数走势!$F$36:$ACK$36,1,LOOKUP(2,1/(指数走势!$F$36:$ACK$36&lt;&gt;""),COLUMN(指数走势!$F$36:$ACK$36))-COLUMN(指数走势!$F$36)+1-760+71)=0,NA(),INDEX(指数走势!$F$36:$ACK$36,1,LOOKUP(2,1/(指数走势!$F$36:$ACK$36&lt;&gt;""),COLUMN(指数走势!$F$36:$ACK$36))-COLUMN(指数走势!$F$36)+1-760+71)))</f>
        <v>29.1123008728027</v>
      </c>
      <c r="BU100">
        <f>IF(ISERROR(INDEX(指数走势!$F$36:$ACK$36,1,LOOKUP(2,1/(指数走势!$F$36:$ACK$36&lt;&gt;""),COLUMN(指数走势!$F$36:$ACK$36))-COLUMN(指数走势!$F$36)+1-760+72)),NA(),IF(INDEX(指数走势!$F$36:$ACK$36,1,LOOKUP(2,1/(指数走势!$F$36:$ACK$36&lt;&gt;""),COLUMN(指数走势!$F$36:$ACK$36))-COLUMN(指数走势!$F$36)+1-760+72)=0,NA(),INDEX(指数走势!$F$36:$ACK$36,1,LOOKUP(2,1/(指数走势!$F$36:$ACK$36&lt;&gt;""),COLUMN(指数走势!$F$36:$ACK$36))-COLUMN(指数走势!$F$36)+1-760+72)))</f>
        <v>29.2544994354248</v>
      </c>
      <c r="BV100">
        <f>IF(ISERROR(INDEX(指数走势!$F$36:$ACK$36,1,LOOKUP(2,1/(指数走势!$F$36:$ACK$36&lt;&gt;""),COLUMN(指数走势!$F$36:$ACK$36))-COLUMN(指数走势!$F$36)+1-760+73)),NA(),IF(INDEX(指数走势!$F$36:$ACK$36,1,LOOKUP(2,1/(指数走势!$F$36:$ACK$36&lt;&gt;""),COLUMN(指数走势!$F$36:$ACK$36))-COLUMN(指数走势!$F$36)+1-760+73)=0,NA(),INDEX(指数走势!$F$36:$ACK$36,1,LOOKUP(2,1/(指数走势!$F$36:$ACK$36&lt;&gt;""),COLUMN(指数走势!$F$36:$ACK$36))-COLUMN(指数走势!$F$36)+1-760+73)))</f>
        <v>29.9584007263184</v>
      </c>
      <c r="BW100">
        <f>IF(ISERROR(INDEX(指数走势!$F$36:$ACK$36,1,LOOKUP(2,1/(指数走势!$F$36:$ACK$36&lt;&gt;""),COLUMN(指数走势!$F$36:$ACK$36))-COLUMN(指数走势!$F$36)+1-760+74)),NA(),IF(INDEX(指数走势!$F$36:$ACK$36,1,LOOKUP(2,1/(指数走势!$F$36:$ACK$36&lt;&gt;""),COLUMN(指数走势!$F$36:$ACK$36))-COLUMN(指数走势!$F$36)+1-760+74)=0,NA(),INDEX(指数走势!$F$36:$ACK$36,1,LOOKUP(2,1/(指数走势!$F$36:$ACK$36&lt;&gt;""),COLUMN(指数走势!$F$36:$ACK$36))-COLUMN(指数走势!$F$36)+1-760+74)))</f>
        <v>29.8724002838135</v>
      </c>
      <c r="BX100">
        <f>IF(ISERROR(INDEX(指数走势!$F$36:$ACK$36,1,LOOKUP(2,1/(指数走势!$F$36:$ACK$36&lt;&gt;""),COLUMN(指数走势!$F$36:$ACK$36))-COLUMN(指数走势!$F$36)+1-760+75)),NA(),IF(INDEX(指数走势!$F$36:$ACK$36,1,LOOKUP(2,1/(指数走势!$F$36:$ACK$36&lt;&gt;""),COLUMN(指数走势!$F$36:$ACK$36))-COLUMN(指数走势!$F$36)+1-760+75)=0,NA(),INDEX(指数走势!$F$36:$ACK$36,1,LOOKUP(2,1/(指数走势!$F$36:$ACK$36&lt;&gt;""),COLUMN(指数走势!$F$36:$ACK$36))-COLUMN(指数走势!$F$36)+1-760+75)))</f>
        <v>30.7196998596191</v>
      </c>
      <c r="BY100">
        <f>IF(ISERROR(INDEX(指数走势!$F$36:$ACK$36,1,LOOKUP(2,1/(指数走势!$F$36:$ACK$36&lt;&gt;""),COLUMN(指数走势!$F$36:$ACK$36))-COLUMN(指数走势!$F$36)+1-760+76)),NA(),IF(INDEX(指数走势!$F$36:$ACK$36,1,LOOKUP(2,1/(指数走势!$F$36:$ACK$36&lt;&gt;""),COLUMN(指数走势!$F$36:$ACK$36))-COLUMN(指数走势!$F$36)+1-760+76)=0,NA(),INDEX(指数走势!$F$36:$ACK$36,1,LOOKUP(2,1/(指数走势!$F$36:$ACK$36&lt;&gt;""),COLUMN(指数走势!$F$36:$ACK$36))-COLUMN(指数走势!$F$36)+1-760+76)))</f>
        <v>30.6996994018555</v>
      </c>
      <c r="BZ100">
        <f>IF(ISERROR(INDEX(指数走势!$F$36:$ACK$36,1,LOOKUP(2,1/(指数走势!$F$36:$ACK$36&lt;&gt;""),COLUMN(指数走势!$F$36:$ACK$36))-COLUMN(指数走势!$F$36)+1-760+77)),NA(),IF(INDEX(指数走势!$F$36:$ACK$36,1,LOOKUP(2,1/(指数走势!$F$36:$ACK$36&lt;&gt;""),COLUMN(指数走势!$F$36:$ACK$36))-COLUMN(指数走势!$F$36)+1-760+77)=0,NA(),INDEX(指数走势!$F$36:$ACK$36,1,LOOKUP(2,1/(指数走势!$F$36:$ACK$36&lt;&gt;""),COLUMN(指数走势!$F$36:$ACK$36))-COLUMN(指数走势!$F$36)+1-760+77)))</f>
        <v>30.9778003692627</v>
      </c>
      <c r="CA100">
        <f>IF(ISERROR(INDEX(指数走势!$F$36:$ACK$36,1,LOOKUP(2,1/(指数走势!$F$36:$ACK$36&lt;&gt;""),COLUMN(指数走势!$F$36:$ACK$36))-COLUMN(指数走势!$F$36)+1-760+78)),NA(),IF(INDEX(指数走势!$F$36:$ACK$36,1,LOOKUP(2,1/(指数走势!$F$36:$ACK$36&lt;&gt;""),COLUMN(指数走势!$F$36:$ACK$36))-COLUMN(指数走势!$F$36)+1-760+78)=0,NA(),INDEX(指数走势!$F$36:$ACK$36,1,LOOKUP(2,1/(指数走势!$F$36:$ACK$36&lt;&gt;""),COLUMN(指数走势!$F$36:$ACK$36))-COLUMN(指数走势!$F$36)+1-760+78)))</f>
        <v>30.8880004882813</v>
      </c>
      <c r="CB100">
        <f>IF(ISERROR(INDEX(指数走势!$F$36:$ACK$36,1,LOOKUP(2,1/(指数走势!$F$36:$ACK$36&lt;&gt;""),COLUMN(指数走势!$F$36:$ACK$36))-COLUMN(指数走势!$F$36)+1-760+79)),NA(),IF(INDEX(指数走势!$F$36:$ACK$36,1,LOOKUP(2,1/(指数走势!$F$36:$ACK$36&lt;&gt;""),COLUMN(指数走势!$F$36:$ACK$36))-COLUMN(指数走势!$F$36)+1-760+79)=0,NA(),INDEX(指数走势!$F$36:$ACK$36,1,LOOKUP(2,1/(指数走势!$F$36:$ACK$36&lt;&gt;""),COLUMN(指数走势!$F$36:$ACK$36))-COLUMN(指数走势!$F$36)+1-760+79)))</f>
        <v>30.7548999786377</v>
      </c>
      <c r="CC100">
        <f>IF(ISERROR(INDEX(指数走势!$F$36:$ACK$36,1,LOOKUP(2,1/(指数走势!$F$36:$ACK$36&lt;&gt;""),COLUMN(指数走势!$F$36:$ACK$36))-COLUMN(指数走势!$F$36)+1-760+80)),NA(),IF(INDEX(指数走势!$F$36:$ACK$36,1,LOOKUP(2,1/(指数走势!$F$36:$ACK$36&lt;&gt;""),COLUMN(指数走势!$F$36:$ACK$36))-COLUMN(指数走势!$F$36)+1-760+80)=0,NA(),INDEX(指数走势!$F$36:$ACK$36,1,LOOKUP(2,1/(指数走势!$F$36:$ACK$36&lt;&gt;""),COLUMN(指数走势!$F$36:$ACK$36))-COLUMN(指数走势!$F$36)+1-760+80)))</f>
        <v>30.1072006225586</v>
      </c>
      <c r="CD100">
        <f>IF(ISERROR(INDEX(指数走势!$F$36:$ACK$36,1,LOOKUP(2,1/(指数走势!$F$36:$ACK$36&lt;&gt;""),COLUMN(指数走势!$F$36:$ACK$36))-COLUMN(指数走势!$F$36)+1-760+81)),NA(),IF(INDEX(指数走势!$F$36:$ACK$36,1,LOOKUP(2,1/(指数走势!$F$36:$ACK$36&lt;&gt;""),COLUMN(指数走势!$F$36:$ACK$36))-COLUMN(指数走势!$F$36)+1-760+81)=0,NA(),INDEX(指数走势!$F$36:$ACK$36,1,LOOKUP(2,1/(指数走势!$F$36:$ACK$36&lt;&gt;""),COLUMN(指数走势!$F$36:$ACK$36))-COLUMN(指数走势!$F$36)+1-760+81)))</f>
        <v>30.0132007598877</v>
      </c>
      <c r="CE100">
        <f>IF(ISERROR(INDEX(指数走势!$F$36:$ACK$36,1,LOOKUP(2,1/(指数走势!$F$36:$ACK$36&lt;&gt;""),COLUMN(指数走势!$F$36:$ACK$36))-COLUMN(指数走势!$F$36)+1-760+82)),NA(),IF(INDEX(指数走势!$F$36:$ACK$36,1,LOOKUP(2,1/(指数走势!$F$36:$ACK$36&lt;&gt;""),COLUMN(指数走势!$F$36:$ACK$36))-COLUMN(指数走势!$F$36)+1-760+82)=0,NA(),INDEX(指数走势!$F$36:$ACK$36,1,LOOKUP(2,1/(指数走势!$F$36:$ACK$36&lt;&gt;""),COLUMN(指数走势!$F$36:$ACK$36))-COLUMN(指数走势!$F$36)+1-760+82)))</f>
        <v>30.2446994781494</v>
      </c>
      <c r="CF100">
        <f>IF(ISERROR(INDEX(指数走势!$F$36:$ACK$36,1,LOOKUP(2,1/(指数走势!$F$36:$ACK$36&lt;&gt;""),COLUMN(指数走势!$F$36:$ACK$36))-COLUMN(指数走势!$F$36)+1-760+83)),NA(),IF(INDEX(指数走势!$F$36:$ACK$36,1,LOOKUP(2,1/(指数走势!$F$36:$ACK$36&lt;&gt;""),COLUMN(指数走势!$F$36:$ACK$36))-COLUMN(指数走势!$F$36)+1-760+83)=0,NA(),INDEX(指数走势!$F$36:$ACK$36,1,LOOKUP(2,1/(指数走势!$F$36:$ACK$36&lt;&gt;""),COLUMN(指数走势!$F$36:$ACK$36))-COLUMN(指数走势!$F$36)+1-760+83)))</f>
        <v>30.0445995330811</v>
      </c>
      <c r="CG100">
        <f>IF(ISERROR(INDEX(指数走势!$F$36:$ACK$36,1,LOOKUP(2,1/(指数走势!$F$36:$ACK$36&lt;&gt;""),COLUMN(指数走势!$F$36:$ACK$36))-COLUMN(指数走势!$F$36)+1-760+84)),NA(),IF(INDEX(指数走势!$F$36:$ACK$36,1,LOOKUP(2,1/(指数走势!$F$36:$ACK$36&lt;&gt;""),COLUMN(指数走势!$F$36:$ACK$36))-COLUMN(指数走势!$F$36)+1-760+84)=0,NA(),INDEX(指数走势!$F$36:$ACK$36,1,LOOKUP(2,1/(指数走势!$F$36:$ACK$36&lt;&gt;""),COLUMN(指数走势!$F$36:$ACK$36))-COLUMN(指数走势!$F$36)+1-760+84)))</f>
        <v>29.7185001373291</v>
      </c>
      <c r="CH100">
        <f>IF(ISERROR(INDEX(指数走势!$F$36:$ACK$36,1,LOOKUP(2,1/(指数走势!$F$36:$ACK$36&lt;&gt;""),COLUMN(指数走势!$F$36:$ACK$36))-COLUMN(指数走势!$F$36)+1-760+85)),NA(),IF(INDEX(指数走势!$F$36:$ACK$36,1,LOOKUP(2,1/(指数走势!$F$36:$ACK$36&lt;&gt;""),COLUMN(指数走势!$F$36:$ACK$36))-COLUMN(指数走势!$F$36)+1-760+85)=0,NA(),INDEX(指数走势!$F$36:$ACK$36,1,LOOKUP(2,1/(指数走势!$F$36:$ACK$36&lt;&gt;""),COLUMN(指数走势!$F$36:$ACK$36))-COLUMN(指数走势!$F$36)+1-760+85)))</f>
        <v>29.4978008270264</v>
      </c>
      <c r="CI100">
        <f>IF(ISERROR(INDEX(指数走势!$F$36:$ACK$36,1,LOOKUP(2,1/(指数走势!$F$36:$ACK$36&lt;&gt;""),COLUMN(指数走势!$F$36:$ACK$36))-COLUMN(指数走势!$F$36)+1-760+86)),NA(),IF(INDEX(指数走势!$F$36:$ACK$36,1,LOOKUP(2,1/(指数走势!$F$36:$ACK$36&lt;&gt;""),COLUMN(指数走势!$F$36:$ACK$36))-COLUMN(指数走势!$F$36)+1-760+86)=0,NA(),INDEX(指数走势!$F$36:$ACK$36,1,LOOKUP(2,1/(指数走势!$F$36:$ACK$36&lt;&gt;""),COLUMN(指数走势!$F$36:$ACK$36))-COLUMN(指数走势!$F$36)+1-760+86)))</f>
        <v>29.4209995269775</v>
      </c>
      <c r="CJ100">
        <f>IF(ISERROR(INDEX(指数走势!$F$36:$ACK$36,1,LOOKUP(2,1/(指数走势!$F$36:$ACK$36&lt;&gt;""),COLUMN(指数走势!$F$36:$ACK$36))-COLUMN(指数走势!$F$36)+1-760+87)),NA(),IF(INDEX(指数走势!$F$36:$ACK$36,1,LOOKUP(2,1/(指数走势!$F$36:$ACK$36&lt;&gt;""),COLUMN(指数走势!$F$36:$ACK$36))-COLUMN(指数走势!$F$36)+1-760+87)=0,NA(),INDEX(指数走势!$F$36:$ACK$36,1,LOOKUP(2,1/(指数走势!$F$36:$ACK$36&lt;&gt;""),COLUMN(指数走势!$F$36:$ACK$36))-COLUMN(指数走势!$F$36)+1-760+87)))</f>
        <v>29.6714000701904</v>
      </c>
      <c r="CK100">
        <f>IF(ISERROR(INDEX(指数走势!$F$36:$ACK$36,1,LOOKUP(2,1/(指数走势!$F$36:$ACK$36&lt;&gt;""),COLUMN(指数走势!$F$36:$ACK$36))-COLUMN(指数走势!$F$36)+1-760+88)),NA(),IF(INDEX(指数走势!$F$36:$ACK$36,1,LOOKUP(2,1/(指数走势!$F$36:$ACK$36&lt;&gt;""),COLUMN(指数走势!$F$36:$ACK$36))-COLUMN(指数走势!$F$36)+1-760+88)=0,NA(),INDEX(指数走势!$F$36:$ACK$36,1,LOOKUP(2,1/(指数走势!$F$36:$ACK$36&lt;&gt;""),COLUMN(指数走势!$F$36:$ACK$36))-COLUMN(指数走势!$F$36)+1-760+88)))</f>
        <v>29.4097003936768</v>
      </c>
      <c r="CL100">
        <f>IF(ISERROR(INDEX(指数走势!$F$36:$ACK$36,1,LOOKUP(2,1/(指数走势!$F$36:$ACK$36&lt;&gt;""),COLUMN(指数走势!$F$36:$ACK$36))-COLUMN(指数走势!$F$36)+1-760+89)),NA(),IF(INDEX(指数走势!$F$36:$ACK$36,1,LOOKUP(2,1/(指数走势!$F$36:$ACK$36&lt;&gt;""),COLUMN(指数走势!$F$36:$ACK$36))-COLUMN(指数走势!$F$36)+1-760+89)=0,NA(),INDEX(指数走势!$F$36:$ACK$36,1,LOOKUP(2,1/(指数走势!$F$36:$ACK$36&lt;&gt;""),COLUMN(指数走势!$F$36:$ACK$36))-COLUMN(指数走势!$F$36)+1-760+89)))</f>
        <v>29.1744003295898</v>
      </c>
      <c r="CM100">
        <f>IF(ISERROR(INDEX(指数走势!$F$36:$ACK$36,1,LOOKUP(2,1/(指数走势!$F$36:$ACK$36&lt;&gt;""),COLUMN(指数走势!$F$36:$ACK$36))-COLUMN(指数走势!$F$36)+1-760+90)),NA(),IF(INDEX(指数走势!$F$36:$ACK$36,1,LOOKUP(2,1/(指数走势!$F$36:$ACK$36&lt;&gt;""),COLUMN(指数走势!$F$36:$ACK$36))-COLUMN(指数走势!$F$36)+1-760+90)=0,NA(),INDEX(指数走势!$F$36:$ACK$36,1,LOOKUP(2,1/(指数走势!$F$36:$ACK$36&lt;&gt;""),COLUMN(指数走势!$F$36:$ACK$36))-COLUMN(指数走势!$F$36)+1-760+90)))</f>
        <v>28.8974990844727</v>
      </c>
      <c r="CN100">
        <f>IF(ISERROR(INDEX(指数走势!$F$36:$ACK$36,1,LOOKUP(2,1/(指数走势!$F$36:$ACK$36&lt;&gt;""),COLUMN(指数走势!$F$36:$ACK$36))-COLUMN(指数走势!$F$36)+1-760+91)),NA(),IF(INDEX(指数走势!$F$36:$ACK$36,1,LOOKUP(2,1/(指数走势!$F$36:$ACK$36&lt;&gt;""),COLUMN(指数走势!$F$36:$ACK$36))-COLUMN(指数走势!$F$36)+1-760+91)=0,NA(),INDEX(指数走势!$F$36:$ACK$36,1,LOOKUP(2,1/(指数走势!$F$36:$ACK$36&lt;&gt;""),COLUMN(指数走势!$F$36:$ACK$36))-COLUMN(指数走势!$F$36)+1-760+91)))</f>
        <v>29.5289993286133</v>
      </c>
      <c r="CO100">
        <f>IF(ISERROR(INDEX(指数走势!$F$36:$ACK$36,1,LOOKUP(2,1/(指数走势!$F$36:$ACK$36&lt;&gt;""),COLUMN(指数走势!$F$36:$ACK$36))-COLUMN(指数走势!$F$36)+1-760+92)),NA(),IF(INDEX(指数走势!$F$36:$ACK$36,1,LOOKUP(2,1/(指数走势!$F$36:$ACK$36&lt;&gt;""),COLUMN(指数走势!$F$36:$ACK$36))-COLUMN(指数走势!$F$36)+1-760+92)=0,NA(),INDEX(指数走势!$F$36:$ACK$36,1,LOOKUP(2,1/(指数走势!$F$36:$ACK$36&lt;&gt;""),COLUMN(指数走势!$F$36:$ACK$36))-COLUMN(指数走势!$F$36)+1-760+92)))</f>
        <v>29.4335994720459</v>
      </c>
      <c r="CP100">
        <f>IF(ISERROR(INDEX(指数走势!$F$36:$ACK$36,1,LOOKUP(2,1/(指数走势!$F$36:$ACK$36&lt;&gt;""),COLUMN(指数走势!$F$36:$ACK$36))-COLUMN(指数走势!$F$36)+1-760+93)),NA(),IF(INDEX(指数走势!$F$36:$ACK$36,1,LOOKUP(2,1/(指数走势!$F$36:$ACK$36&lt;&gt;""),COLUMN(指数走势!$F$36:$ACK$36))-COLUMN(指数走势!$F$36)+1-760+93)=0,NA(),INDEX(指数走势!$F$36:$ACK$36,1,LOOKUP(2,1/(指数走势!$F$36:$ACK$36&lt;&gt;""),COLUMN(指数走势!$F$36:$ACK$36))-COLUMN(指数走势!$F$36)+1-760+93)))</f>
        <v>29.1923007965088</v>
      </c>
      <c r="CQ100">
        <f>IF(ISERROR(INDEX(指数走势!$F$36:$ACK$36,1,LOOKUP(2,1/(指数走势!$F$36:$ACK$36&lt;&gt;""),COLUMN(指数走势!$F$36:$ACK$36))-COLUMN(指数走势!$F$36)+1-760+94)),NA(),IF(INDEX(指数走势!$F$36:$ACK$36,1,LOOKUP(2,1/(指数走势!$F$36:$ACK$36&lt;&gt;""),COLUMN(指数走势!$F$36:$ACK$36))-COLUMN(指数走势!$F$36)+1-760+94)=0,NA(),INDEX(指数走势!$F$36:$ACK$36,1,LOOKUP(2,1/(指数走势!$F$36:$ACK$36&lt;&gt;""),COLUMN(指数走势!$F$36:$ACK$36))-COLUMN(指数走势!$F$36)+1-760+94)))</f>
        <v>29.415599822998</v>
      </c>
      <c r="CR100">
        <f>IF(ISERROR(INDEX(指数走势!$F$36:$ACK$36,1,LOOKUP(2,1/(指数走势!$F$36:$ACK$36&lt;&gt;""),COLUMN(指数走势!$F$36:$ACK$36))-COLUMN(指数走势!$F$36)+1-760+95)),NA(),IF(INDEX(指数走势!$F$36:$ACK$36,1,LOOKUP(2,1/(指数走势!$F$36:$ACK$36&lt;&gt;""),COLUMN(指数走势!$F$36:$ACK$36))-COLUMN(指数走势!$F$36)+1-760+95)=0,NA(),INDEX(指数走势!$F$36:$ACK$36,1,LOOKUP(2,1/(指数走势!$F$36:$ACK$36&lt;&gt;""),COLUMN(指数走势!$F$36:$ACK$36))-COLUMN(指数走势!$F$36)+1-760+95)))</f>
        <v>29.3740997314453</v>
      </c>
      <c r="CS100">
        <f>IF(ISERROR(INDEX(指数走势!$F$36:$ACK$36,1,LOOKUP(2,1/(指数走势!$F$36:$ACK$36&lt;&gt;""),COLUMN(指数走势!$F$36:$ACK$36))-COLUMN(指数走势!$F$36)+1-760+96)),NA(),IF(INDEX(指数走势!$F$36:$ACK$36,1,LOOKUP(2,1/(指数走势!$F$36:$ACK$36&lt;&gt;""),COLUMN(指数走势!$F$36:$ACK$36))-COLUMN(指数走势!$F$36)+1-760+96)=0,NA(),INDEX(指数走势!$F$36:$ACK$36,1,LOOKUP(2,1/(指数走势!$F$36:$ACK$36&lt;&gt;""),COLUMN(指数走势!$F$36:$ACK$36))-COLUMN(指数走势!$F$36)+1-760+96)))</f>
        <v>29.3412990570068</v>
      </c>
      <c r="CT100">
        <f>IF(ISERROR(INDEX(指数走势!$F$36:$ACK$36,1,LOOKUP(2,1/(指数走势!$F$36:$ACK$36&lt;&gt;""),COLUMN(指数走势!$F$36:$ACK$36))-COLUMN(指数走势!$F$36)+1-760+97)),NA(),IF(INDEX(指数走势!$F$36:$ACK$36,1,LOOKUP(2,1/(指数走势!$F$36:$ACK$36&lt;&gt;""),COLUMN(指数走势!$F$36:$ACK$36))-COLUMN(指数走势!$F$36)+1-760+97)=0,NA(),INDEX(指数走势!$F$36:$ACK$36,1,LOOKUP(2,1/(指数走势!$F$36:$ACK$36&lt;&gt;""),COLUMN(指数走势!$F$36:$ACK$36))-COLUMN(指数走势!$F$36)+1-760+97)))</f>
        <v>29.203800201416</v>
      </c>
      <c r="CU100">
        <f>IF(ISERROR(INDEX(指数走势!$F$36:$ACK$36,1,LOOKUP(2,1/(指数走势!$F$36:$ACK$36&lt;&gt;""),COLUMN(指数走势!$F$36:$ACK$36))-COLUMN(指数走势!$F$36)+1-760+98)),NA(),IF(INDEX(指数走势!$F$36:$ACK$36,1,LOOKUP(2,1/(指数走势!$F$36:$ACK$36&lt;&gt;""),COLUMN(指数走势!$F$36:$ACK$36))-COLUMN(指数走势!$F$36)+1-760+98)=0,NA(),INDEX(指数走势!$F$36:$ACK$36,1,LOOKUP(2,1/(指数走势!$F$36:$ACK$36&lt;&gt;""),COLUMN(指数走势!$F$36:$ACK$36))-COLUMN(指数走势!$F$36)+1-760+98)))</f>
        <v>29.430700302124</v>
      </c>
      <c r="CV100">
        <f>IF(ISERROR(INDEX(指数走势!$F$36:$ACK$36,1,LOOKUP(2,1/(指数走势!$F$36:$ACK$36&lt;&gt;""),COLUMN(指数走势!$F$36:$ACK$36))-COLUMN(指数走势!$F$36)+1-760+99)),NA(),IF(INDEX(指数走势!$F$36:$ACK$36,1,LOOKUP(2,1/(指数走势!$F$36:$ACK$36&lt;&gt;""),COLUMN(指数走势!$F$36:$ACK$36))-COLUMN(指数走势!$F$36)+1-760+99)=0,NA(),INDEX(指数走势!$F$36:$ACK$36,1,LOOKUP(2,1/(指数走势!$F$36:$ACK$36&lt;&gt;""),COLUMN(指数走势!$F$36:$ACK$36))-COLUMN(指数走势!$F$36)+1-760+99)))</f>
        <v>29.656099319458</v>
      </c>
      <c r="CW100">
        <f>IF(ISERROR(INDEX(指数走势!$F$36:$ACK$36,1,LOOKUP(2,1/(指数走势!$F$36:$ACK$36&lt;&gt;""),COLUMN(指数走势!$F$36:$ACK$36))-COLUMN(指数走势!$F$36)+1-760+100)),NA(),IF(INDEX(指数走势!$F$36:$ACK$36,1,LOOKUP(2,1/(指数走势!$F$36:$ACK$36&lt;&gt;""),COLUMN(指数走势!$F$36:$ACK$36))-COLUMN(指数走势!$F$36)+1-760+100)=0,NA(),INDEX(指数走势!$F$36:$ACK$36,1,LOOKUP(2,1/(指数走势!$F$36:$ACK$36&lt;&gt;""),COLUMN(指数走势!$F$36:$ACK$36))-COLUMN(指数走势!$F$36)+1-760+100)))</f>
        <v>29.331600189209</v>
      </c>
      <c r="CX100">
        <f>IF(ISERROR(INDEX(指数走势!$F$36:$ACK$36,1,LOOKUP(2,1/(指数走势!$F$36:$ACK$36&lt;&gt;""),COLUMN(指数走势!$F$36:$ACK$36))-COLUMN(指数走势!$F$36)+1-760+101)),NA(),IF(INDEX(指数走势!$F$36:$ACK$36,1,LOOKUP(2,1/(指数走势!$F$36:$ACK$36&lt;&gt;""),COLUMN(指数走势!$F$36:$ACK$36))-COLUMN(指数走势!$F$36)+1-760+101)=0,NA(),INDEX(指数走势!$F$36:$ACK$36,1,LOOKUP(2,1/(指数走势!$F$36:$ACK$36&lt;&gt;""),COLUMN(指数走势!$F$36:$ACK$36))-COLUMN(指数走势!$F$36)+1-760+101)))</f>
        <v>28.7674007415771</v>
      </c>
      <c r="CY100">
        <f>IF(ISERROR(INDEX(指数走势!$F$36:$ACK$36,1,LOOKUP(2,1/(指数走势!$F$36:$ACK$36&lt;&gt;""),COLUMN(指数走势!$F$36:$ACK$36))-COLUMN(指数走势!$F$36)+1-760+102)),NA(),IF(INDEX(指数走势!$F$36:$ACK$36,1,LOOKUP(2,1/(指数走势!$F$36:$ACK$36&lt;&gt;""),COLUMN(指数走势!$F$36:$ACK$36))-COLUMN(指数走势!$F$36)+1-760+102)=0,NA(),INDEX(指数走势!$F$36:$ACK$36,1,LOOKUP(2,1/(指数走势!$F$36:$ACK$36&lt;&gt;""),COLUMN(指数走势!$F$36:$ACK$36))-COLUMN(指数走势!$F$36)+1-760+102)))</f>
        <v>28.8239994049072</v>
      </c>
      <c r="CZ100">
        <f>IF(ISERROR(INDEX(指数走势!$F$36:$ACK$36,1,LOOKUP(2,1/(指数走势!$F$36:$ACK$36&lt;&gt;""),COLUMN(指数走势!$F$36:$ACK$36))-COLUMN(指数走势!$F$36)+1-760+103)),NA(),IF(INDEX(指数走势!$F$36:$ACK$36,1,LOOKUP(2,1/(指数走势!$F$36:$ACK$36&lt;&gt;""),COLUMN(指数走势!$F$36:$ACK$36))-COLUMN(指数走势!$F$36)+1-760+103)=0,NA(),INDEX(指数走势!$F$36:$ACK$36,1,LOOKUP(2,1/(指数走势!$F$36:$ACK$36&lt;&gt;""),COLUMN(指数走势!$F$36:$ACK$36))-COLUMN(指数走势!$F$36)+1-760+103)))</f>
        <v>28.4825992584229</v>
      </c>
      <c r="DA100">
        <f>IF(ISERROR(INDEX(指数走势!$F$36:$ACK$36,1,LOOKUP(2,1/(指数走势!$F$36:$ACK$36&lt;&gt;""),COLUMN(指数走势!$F$36:$ACK$36))-COLUMN(指数走势!$F$36)+1-760+104)),NA(),IF(INDEX(指数走势!$F$36:$ACK$36,1,LOOKUP(2,1/(指数走势!$F$36:$ACK$36&lt;&gt;""),COLUMN(指数走势!$F$36:$ACK$36))-COLUMN(指数走势!$F$36)+1-760+104)=0,NA(),INDEX(指数走势!$F$36:$ACK$36,1,LOOKUP(2,1/(指数走势!$F$36:$ACK$36&lt;&gt;""),COLUMN(指数走势!$F$36:$ACK$36))-COLUMN(指数走势!$F$36)+1-760+104)))</f>
        <v>28.1159992218018</v>
      </c>
      <c r="DB100">
        <f>IF(ISERROR(INDEX(指数走势!$F$36:$ACK$36,1,LOOKUP(2,1/(指数走势!$F$36:$ACK$36&lt;&gt;""),COLUMN(指数走势!$F$36:$ACK$36))-COLUMN(指数走势!$F$36)+1-760+105)),NA(),IF(INDEX(指数走势!$F$36:$ACK$36,1,LOOKUP(2,1/(指数走势!$F$36:$ACK$36&lt;&gt;""),COLUMN(指数走势!$F$36:$ACK$36))-COLUMN(指数走势!$F$36)+1-760+105)=0,NA(),INDEX(指数走势!$F$36:$ACK$36,1,LOOKUP(2,1/(指数走势!$F$36:$ACK$36&lt;&gt;""),COLUMN(指数走势!$F$36:$ACK$36))-COLUMN(指数走势!$F$36)+1-760+105)))</f>
        <v>27.6884994506836</v>
      </c>
      <c r="DC100">
        <f>IF(ISERROR(INDEX(指数走势!$F$36:$ACK$36,1,LOOKUP(2,1/(指数走势!$F$36:$ACK$36&lt;&gt;""),COLUMN(指数走势!$F$36:$ACK$36))-COLUMN(指数走势!$F$36)+1-760+106)),NA(),IF(INDEX(指数走势!$F$36:$ACK$36,1,LOOKUP(2,1/(指数走势!$F$36:$ACK$36&lt;&gt;""),COLUMN(指数走势!$F$36:$ACK$36))-COLUMN(指数走势!$F$36)+1-760+106)=0,NA(),INDEX(指数走势!$F$36:$ACK$36,1,LOOKUP(2,1/(指数走势!$F$36:$ACK$36&lt;&gt;""),COLUMN(指数走势!$F$36:$ACK$36))-COLUMN(指数走势!$F$36)+1-760+106)))</f>
        <v>27.1916999816895</v>
      </c>
      <c r="DD100">
        <f>IF(ISERROR(INDEX(指数走势!$F$36:$ACK$36,1,LOOKUP(2,1/(指数走势!$F$36:$ACK$36&lt;&gt;""),COLUMN(指数走势!$F$36:$ACK$36))-COLUMN(指数走势!$F$36)+1-760+107)),NA(),IF(INDEX(指数走势!$F$36:$ACK$36,1,LOOKUP(2,1/(指数走势!$F$36:$ACK$36&lt;&gt;""),COLUMN(指数走势!$F$36:$ACK$36))-COLUMN(指数走势!$F$36)+1-760+107)=0,NA(),INDEX(指数走势!$F$36:$ACK$36,1,LOOKUP(2,1/(指数走势!$F$36:$ACK$36&lt;&gt;""),COLUMN(指数走势!$F$36:$ACK$36))-COLUMN(指数走势!$F$36)+1-760+107)))</f>
        <v>27.3736991882324</v>
      </c>
      <c r="DE100">
        <f>IF(ISERROR(INDEX(指数走势!$F$36:$ACK$36,1,LOOKUP(2,1/(指数走势!$F$36:$ACK$36&lt;&gt;""),COLUMN(指数走势!$F$36:$ACK$36))-COLUMN(指数走势!$F$36)+1-760+108)),NA(),IF(INDEX(指数走势!$F$36:$ACK$36,1,LOOKUP(2,1/(指数走势!$F$36:$ACK$36&lt;&gt;""),COLUMN(指数走势!$F$36:$ACK$36))-COLUMN(指数走势!$F$36)+1-760+108)=0,NA(),INDEX(指数走势!$F$36:$ACK$36,1,LOOKUP(2,1/(指数走势!$F$36:$ACK$36&lt;&gt;""),COLUMN(指数走势!$F$36:$ACK$36))-COLUMN(指数走势!$F$36)+1-760+108)))</f>
        <v>27.0795993804932</v>
      </c>
      <c r="DF100">
        <f>IF(ISERROR(INDEX(指数走势!$F$36:$ACK$36,1,LOOKUP(2,1/(指数走势!$F$36:$ACK$36&lt;&gt;""),COLUMN(指数走势!$F$36:$ACK$36))-COLUMN(指数走势!$F$36)+1-760+109)),NA(),IF(INDEX(指数走势!$F$36:$ACK$36,1,LOOKUP(2,1/(指数走势!$F$36:$ACK$36&lt;&gt;""),COLUMN(指数走势!$F$36:$ACK$36))-COLUMN(指数走势!$F$36)+1-760+109)=0,NA(),INDEX(指数走势!$F$36:$ACK$36,1,LOOKUP(2,1/(指数走势!$F$36:$ACK$36&lt;&gt;""),COLUMN(指数走势!$F$36:$ACK$36))-COLUMN(指数走势!$F$36)+1-760+109)))</f>
        <v>27.7968006134033</v>
      </c>
      <c r="DG100">
        <f>IF(ISERROR(INDEX(指数走势!$F$36:$ACK$36,1,LOOKUP(2,1/(指数走势!$F$36:$ACK$36&lt;&gt;""),COLUMN(指数走势!$F$36:$ACK$36))-COLUMN(指数走势!$F$36)+1-760+110)),NA(),IF(INDEX(指数走势!$F$36:$ACK$36,1,LOOKUP(2,1/(指数走势!$F$36:$ACK$36&lt;&gt;""),COLUMN(指数走势!$F$36:$ACK$36))-COLUMN(指数走势!$F$36)+1-760+110)=0,NA(),INDEX(指数走势!$F$36:$ACK$36,1,LOOKUP(2,1/(指数走势!$F$36:$ACK$36&lt;&gt;""),COLUMN(指数走势!$F$36:$ACK$36))-COLUMN(指数走势!$F$36)+1-760+110)))</f>
        <v>28.4766006469727</v>
      </c>
      <c r="DH100">
        <f>IF(ISERROR(INDEX(指数走势!$F$36:$ACK$36,1,LOOKUP(2,1/(指数走势!$F$36:$ACK$36&lt;&gt;""),COLUMN(指数走势!$F$36:$ACK$36))-COLUMN(指数走势!$F$36)+1-760+111)),NA(),IF(INDEX(指数走势!$F$36:$ACK$36,1,LOOKUP(2,1/(指数走势!$F$36:$ACK$36&lt;&gt;""),COLUMN(指数走势!$F$36:$ACK$36))-COLUMN(指数走势!$F$36)+1-760+111)=0,NA(),INDEX(指数走势!$F$36:$ACK$36,1,LOOKUP(2,1/(指数走势!$F$36:$ACK$36&lt;&gt;""),COLUMN(指数走势!$F$36:$ACK$36))-COLUMN(指数走势!$F$36)+1-760+111)))</f>
        <v>28.976900100708</v>
      </c>
      <c r="DI100">
        <f>IF(ISERROR(INDEX(指数走势!$F$36:$ACK$36,1,LOOKUP(2,1/(指数走势!$F$36:$ACK$36&lt;&gt;""),COLUMN(指数走势!$F$36:$ACK$36))-COLUMN(指数走势!$F$36)+1-760+112)),NA(),IF(INDEX(指数走势!$F$36:$ACK$36,1,LOOKUP(2,1/(指数走势!$F$36:$ACK$36&lt;&gt;""),COLUMN(指数走势!$F$36:$ACK$36))-COLUMN(指数走势!$F$36)+1-760+112)=0,NA(),INDEX(指数走势!$F$36:$ACK$36,1,LOOKUP(2,1/(指数走势!$F$36:$ACK$36&lt;&gt;""),COLUMN(指数走势!$F$36:$ACK$36))-COLUMN(指数走势!$F$36)+1-760+112)))</f>
        <v>28.9253005981445</v>
      </c>
      <c r="DJ100">
        <f>IF(ISERROR(INDEX(指数走势!$F$36:$ACK$36,1,LOOKUP(2,1/(指数走势!$F$36:$ACK$36&lt;&gt;""),COLUMN(指数走势!$F$36:$ACK$36))-COLUMN(指数走势!$F$36)+1-760+113)),NA(),IF(INDEX(指数走势!$F$36:$ACK$36,1,LOOKUP(2,1/(指数走势!$F$36:$ACK$36&lt;&gt;""),COLUMN(指数走势!$F$36:$ACK$36))-COLUMN(指数走势!$F$36)+1-760+113)=0,NA(),INDEX(指数走势!$F$36:$ACK$36,1,LOOKUP(2,1/(指数走势!$F$36:$ACK$36&lt;&gt;""),COLUMN(指数走势!$F$36:$ACK$36))-COLUMN(指数走势!$F$36)+1-760+113)))</f>
        <v>28.7961006164551</v>
      </c>
      <c r="DK100">
        <f>IF(ISERROR(INDEX(指数走势!$F$36:$ACK$36,1,LOOKUP(2,1/(指数走势!$F$36:$ACK$36&lt;&gt;""),COLUMN(指数走势!$F$36:$ACK$36))-COLUMN(指数走势!$F$36)+1-760+114)),NA(),IF(INDEX(指数走势!$F$36:$ACK$36,1,LOOKUP(2,1/(指数走势!$F$36:$ACK$36&lt;&gt;""),COLUMN(指数走势!$F$36:$ACK$36))-COLUMN(指数走势!$F$36)+1-760+114)=0,NA(),INDEX(指数走势!$F$36:$ACK$36,1,LOOKUP(2,1/(指数走势!$F$36:$ACK$36&lt;&gt;""),COLUMN(指数走势!$F$36:$ACK$36))-COLUMN(指数走势!$F$36)+1-760+114)))</f>
        <v>28.5244007110596</v>
      </c>
      <c r="DL100">
        <f>IF(ISERROR(INDEX(指数走势!$F$36:$ACK$36,1,LOOKUP(2,1/(指数走势!$F$36:$ACK$36&lt;&gt;""),COLUMN(指数走势!$F$36:$ACK$36))-COLUMN(指数走势!$F$36)+1-760+115)),NA(),IF(INDEX(指数走势!$F$36:$ACK$36,1,LOOKUP(2,1/(指数走势!$F$36:$ACK$36&lt;&gt;""),COLUMN(指数走势!$F$36:$ACK$36))-COLUMN(指数走势!$F$36)+1-760+115)=0,NA(),INDEX(指数走势!$F$36:$ACK$36,1,LOOKUP(2,1/(指数走势!$F$36:$ACK$36&lt;&gt;""),COLUMN(指数走势!$F$36:$ACK$36))-COLUMN(指数走势!$F$36)+1-760+115)))</f>
        <v>28.9113006591797</v>
      </c>
      <c r="DM100">
        <f>IF(ISERROR(INDEX(指数走势!$F$36:$ACK$36,1,LOOKUP(2,1/(指数走势!$F$36:$ACK$36&lt;&gt;""),COLUMN(指数走势!$F$36:$ACK$36))-COLUMN(指数走势!$F$36)+1-760+116)),NA(),IF(INDEX(指数走势!$F$36:$ACK$36,1,LOOKUP(2,1/(指数走势!$F$36:$ACK$36&lt;&gt;""),COLUMN(指数走势!$F$36:$ACK$36))-COLUMN(指数走势!$F$36)+1-760+116)=0,NA(),INDEX(指数走势!$F$36:$ACK$36,1,LOOKUP(2,1/(指数走势!$F$36:$ACK$36&lt;&gt;""),COLUMN(指数走势!$F$36:$ACK$36))-COLUMN(指数走势!$F$36)+1-760+116)))</f>
        <v>29.8129005432129</v>
      </c>
      <c r="DN100">
        <f>IF(ISERROR(INDEX(指数走势!$F$36:$ACK$36,1,LOOKUP(2,1/(指数走势!$F$36:$ACK$36&lt;&gt;""),COLUMN(指数走势!$F$36:$ACK$36))-COLUMN(指数走势!$F$36)+1-760+117)),NA(),IF(INDEX(指数走势!$F$36:$ACK$36,1,LOOKUP(2,1/(指数走势!$F$36:$ACK$36&lt;&gt;""),COLUMN(指数走势!$F$36:$ACK$36))-COLUMN(指数走势!$F$36)+1-760+117)=0,NA(),INDEX(指数走势!$F$36:$ACK$36,1,LOOKUP(2,1/(指数走势!$F$36:$ACK$36&lt;&gt;""),COLUMN(指数走势!$F$36:$ACK$36))-COLUMN(指数走势!$F$36)+1-760+117)))</f>
        <v>29.6406993865967</v>
      </c>
      <c r="DO100">
        <f>IF(ISERROR(INDEX(指数走势!$F$36:$ACK$36,1,LOOKUP(2,1/(指数走势!$F$36:$ACK$36&lt;&gt;""),COLUMN(指数走势!$F$36:$ACK$36))-COLUMN(指数走势!$F$36)+1-760+118)),NA(),IF(INDEX(指数走势!$F$36:$ACK$36,1,LOOKUP(2,1/(指数走势!$F$36:$ACK$36&lt;&gt;""),COLUMN(指数走势!$F$36:$ACK$36))-COLUMN(指数走势!$F$36)+1-760+118)=0,NA(),INDEX(指数走势!$F$36:$ACK$36,1,LOOKUP(2,1/(指数走势!$F$36:$ACK$36&lt;&gt;""),COLUMN(指数走势!$F$36:$ACK$36))-COLUMN(指数走势!$F$36)+1-760+118)))</f>
        <v>29.6767997741699</v>
      </c>
      <c r="DP100">
        <f>IF(ISERROR(INDEX(指数走势!$F$36:$ACK$36,1,LOOKUP(2,1/(指数走势!$F$36:$ACK$36&lt;&gt;""),COLUMN(指数走势!$F$36:$ACK$36))-COLUMN(指数走势!$F$36)+1-760+119)),NA(),IF(INDEX(指数走势!$F$36:$ACK$36,1,LOOKUP(2,1/(指数走势!$F$36:$ACK$36&lt;&gt;""),COLUMN(指数走势!$F$36:$ACK$36))-COLUMN(指数走势!$F$36)+1-760+119)=0,NA(),INDEX(指数走势!$F$36:$ACK$36,1,LOOKUP(2,1/(指数走势!$F$36:$ACK$36&lt;&gt;""),COLUMN(指数走势!$F$36:$ACK$36))-COLUMN(指数走势!$F$36)+1-760+119)))</f>
        <v>29.5639991760254</v>
      </c>
      <c r="DQ100">
        <f>IF(ISERROR(INDEX(指数走势!$F$36:$ACK$36,1,LOOKUP(2,1/(指数走势!$F$36:$ACK$36&lt;&gt;""),COLUMN(指数走势!$F$36:$ACK$36))-COLUMN(指数走势!$F$36)+1-760+120)),NA(),IF(INDEX(指数走势!$F$36:$ACK$36,1,LOOKUP(2,1/(指数走势!$F$36:$ACK$36&lt;&gt;""),COLUMN(指数走势!$F$36:$ACK$36))-COLUMN(指数走势!$F$36)+1-760+120)=0,NA(),INDEX(指数走势!$F$36:$ACK$36,1,LOOKUP(2,1/(指数走势!$F$36:$ACK$36&lt;&gt;""),COLUMN(指数走势!$F$36:$ACK$36))-COLUMN(指数走势!$F$36)+1-760+120)))</f>
        <v>29.3875007629395</v>
      </c>
      <c r="DR100">
        <f>IF(ISERROR(INDEX(指数走势!$F$36:$ACK$36,1,LOOKUP(2,1/(指数走势!$F$36:$ACK$36&lt;&gt;""),COLUMN(指数走势!$F$36:$ACK$36))-COLUMN(指数走势!$F$36)+1-760+121)),NA(),IF(INDEX(指数走势!$F$36:$ACK$36,1,LOOKUP(2,1/(指数走势!$F$36:$ACK$36&lt;&gt;""),COLUMN(指数走势!$F$36:$ACK$36))-COLUMN(指数走势!$F$36)+1-760+121)=0,NA(),INDEX(指数走势!$F$36:$ACK$36,1,LOOKUP(2,1/(指数走势!$F$36:$ACK$36&lt;&gt;""),COLUMN(指数走势!$F$36:$ACK$36))-COLUMN(指数走势!$F$36)+1-760+121)))</f>
        <v>29.4365005493164</v>
      </c>
      <c r="DS100">
        <f>IF(ISERROR(INDEX(指数走势!$F$36:$ACK$36,1,LOOKUP(2,1/(指数走势!$F$36:$ACK$36&lt;&gt;""),COLUMN(指数走势!$F$36:$ACK$36))-COLUMN(指数走势!$F$36)+1-760+122)),NA(),IF(INDEX(指数走势!$F$36:$ACK$36,1,LOOKUP(2,1/(指数走势!$F$36:$ACK$36&lt;&gt;""),COLUMN(指数走势!$F$36:$ACK$36))-COLUMN(指数走势!$F$36)+1-760+122)=0,NA(),INDEX(指数走势!$F$36:$ACK$36,1,LOOKUP(2,1/(指数走势!$F$36:$ACK$36&lt;&gt;""),COLUMN(指数走势!$F$36:$ACK$36))-COLUMN(指数走势!$F$36)+1-760+122)))</f>
        <v>29.386999130249</v>
      </c>
      <c r="DT100">
        <f>IF(ISERROR(INDEX(指数走势!$F$36:$ACK$36,1,LOOKUP(2,1/(指数走势!$F$36:$ACK$36&lt;&gt;""),COLUMN(指数走势!$F$36:$ACK$36))-COLUMN(指数走势!$F$36)+1-760+123)),NA(),IF(INDEX(指数走势!$F$36:$ACK$36,1,LOOKUP(2,1/(指数走势!$F$36:$ACK$36&lt;&gt;""),COLUMN(指数走势!$F$36:$ACK$36))-COLUMN(指数走势!$F$36)+1-760+123)=0,NA(),INDEX(指数走势!$F$36:$ACK$36,1,LOOKUP(2,1/(指数走势!$F$36:$ACK$36&lt;&gt;""),COLUMN(指数走势!$F$36:$ACK$36))-COLUMN(指数走势!$F$36)+1-760+123)))</f>
        <v>29.5548992156982</v>
      </c>
      <c r="DU100">
        <f>IF(ISERROR(INDEX(指数走势!$F$36:$ACK$36,1,LOOKUP(2,1/(指数走势!$F$36:$ACK$36&lt;&gt;""),COLUMN(指数走势!$F$36:$ACK$36))-COLUMN(指数走势!$F$36)+1-760+124)),NA(),IF(INDEX(指数走势!$F$36:$ACK$36,1,LOOKUP(2,1/(指数走势!$F$36:$ACK$36&lt;&gt;""),COLUMN(指数走势!$F$36:$ACK$36))-COLUMN(指数走势!$F$36)+1-760+124)=0,NA(),INDEX(指数走势!$F$36:$ACK$36,1,LOOKUP(2,1/(指数走势!$F$36:$ACK$36&lt;&gt;""),COLUMN(指数走势!$F$36:$ACK$36))-COLUMN(指数走势!$F$36)+1-760+124)))</f>
        <v>29.0205993652344</v>
      </c>
      <c r="DV100">
        <f>IF(ISERROR(INDEX(指数走势!$F$36:$ACK$36,1,LOOKUP(2,1/(指数走势!$F$36:$ACK$36&lt;&gt;""),COLUMN(指数走势!$F$36:$ACK$36))-COLUMN(指数走势!$F$36)+1-760+125)),NA(),IF(INDEX(指数走势!$F$36:$ACK$36,1,LOOKUP(2,1/(指数走势!$F$36:$ACK$36&lt;&gt;""),COLUMN(指数走势!$F$36:$ACK$36))-COLUMN(指数走势!$F$36)+1-760+125)=0,NA(),INDEX(指数走势!$F$36:$ACK$36,1,LOOKUP(2,1/(指数走势!$F$36:$ACK$36&lt;&gt;""),COLUMN(指数走势!$F$36:$ACK$36))-COLUMN(指数走势!$F$36)+1-760+125)))</f>
        <v>29.111400604248</v>
      </c>
      <c r="DW100">
        <f>IF(ISERROR(INDEX(指数走势!$F$36:$ACK$36,1,LOOKUP(2,1/(指数走势!$F$36:$ACK$36&lt;&gt;""),COLUMN(指数走势!$F$36:$ACK$36))-COLUMN(指数走势!$F$36)+1-760+126)),NA(),IF(INDEX(指数走势!$F$36:$ACK$36,1,LOOKUP(2,1/(指数走势!$F$36:$ACK$36&lt;&gt;""),COLUMN(指数走势!$F$36:$ACK$36))-COLUMN(指数走势!$F$36)+1-760+126)=0,NA(),INDEX(指数走势!$F$36:$ACK$36,1,LOOKUP(2,1/(指数走势!$F$36:$ACK$36&lt;&gt;""),COLUMN(指数走势!$F$36:$ACK$36))-COLUMN(指数走势!$F$36)+1-760+126)))</f>
        <v>29.2096996307373</v>
      </c>
      <c r="DX100">
        <f>IF(ISERROR(INDEX(指数走势!$F$36:$ACK$36,1,LOOKUP(2,1/(指数走势!$F$36:$ACK$36&lt;&gt;""),COLUMN(指数走势!$F$36:$ACK$36))-COLUMN(指数走势!$F$36)+1-760+127)),NA(),IF(INDEX(指数走势!$F$36:$ACK$36,1,LOOKUP(2,1/(指数走势!$F$36:$ACK$36&lt;&gt;""),COLUMN(指数走势!$F$36:$ACK$36))-COLUMN(指数走势!$F$36)+1-760+127)=0,NA(),INDEX(指数走势!$F$36:$ACK$36,1,LOOKUP(2,1/(指数走势!$F$36:$ACK$36&lt;&gt;""),COLUMN(指数走势!$F$36:$ACK$36))-COLUMN(指数走势!$F$36)+1-760+127)))</f>
        <v>29.0909996032715</v>
      </c>
      <c r="DY100">
        <f>IF(ISERROR(INDEX(指数走势!$F$36:$ACK$36,1,LOOKUP(2,1/(指数走势!$F$36:$ACK$36&lt;&gt;""),COLUMN(指数走势!$F$36:$ACK$36))-COLUMN(指数走势!$F$36)+1-760+128)),NA(),IF(INDEX(指数走势!$F$36:$ACK$36,1,LOOKUP(2,1/(指数走势!$F$36:$ACK$36&lt;&gt;""),COLUMN(指数走势!$F$36:$ACK$36))-COLUMN(指数走势!$F$36)+1-760+128)=0,NA(),INDEX(指数走势!$F$36:$ACK$36,1,LOOKUP(2,1/(指数走势!$F$36:$ACK$36&lt;&gt;""),COLUMN(指数走势!$F$36:$ACK$36))-COLUMN(指数走势!$F$36)+1-760+128)))</f>
        <v>28.6070995330811</v>
      </c>
      <c r="DZ100">
        <f>IF(ISERROR(INDEX(指数走势!$F$36:$ACK$36,1,LOOKUP(2,1/(指数走势!$F$36:$ACK$36&lt;&gt;""),COLUMN(指数走势!$F$36:$ACK$36))-COLUMN(指数走势!$F$36)+1-760+129)),NA(),IF(INDEX(指数走势!$F$36:$ACK$36,1,LOOKUP(2,1/(指数走势!$F$36:$ACK$36&lt;&gt;""),COLUMN(指数走势!$F$36:$ACK$36))-COLUMN(指数走势!$F$36)+1-760+129)=0,NA(),INDEX(指数走势!$F$36:$ACK$36,1,LOOKUP(2,1/(指数走势!$F$36:$ACK$36&lt;&gt;""),COLUMN(指数走势!$F$36:$ACK$36))-COLUMN(指数走势!$F$36)+1-760+129)))</f>
        <v>28.7674999237061</v>
      </c>
      <c r="EA100">
        <f>IF(ISERROR(INDEX(指数走势!$F$36:$ACK$36,1,LOOKUP(2,1/(指数走势!$F$36:$ACK$36&lt;&gt;""),COLUMN(指数走势!$F$36:$ACK$36))-COLUMN(指数走势!$F$36)+1-760+130)),NA(),IF(INDEX(指数走势!$F$36:$ACK$36,1,LOOKUP(2,1/(指数走势!$F$36:$ACK$36&lt;&gt;""),COLUMN(指数走势!$F$36:$ACK$36))-COLUMN(指数走势!$F$36)+1-760+130)=0,NA(),INDEX(指数走势!$F$36:$ACK$36,1,LOOKUP(2,1/(指数走势!$F$36:$ACK$36&lt;&gt;""),COLUMN(指数走势!$F$36:$ACK$36))-COLUMN(指数走势!$F$36)+1-760+130)))</f>
        <v>28.4347991943359</v>
      </c>
      <c r="EB100">
        <f>IF(ISERROR(INDEX(指数走势!$F$36:$ACK$36,1,LOOKUP(2,1/(指数走势!$F$36:$ACK$36&lt;&gt;""),COLUMN(指数走势!$F$36:$ACK$36))-COLUMN(指数走势!$F$36)+1-760+131)),NA(),IF(INDEX(指数走势!$F$36:$ACK$36,1,LOOKUP(2,1/(指数走势!$F$36:$ACK$36&lt;&gt;""),COLUMN(指数走势!$F$36:$ACK$36))-COLUMN(指数走势!$F$36)+1-760+131)=0,NA(),INDEX(指数走势!$F$36:$ACK$36,1,LOOKUP(2,1/(指数走势!$F$36:$ACK$36&lt;&gt;""),COLUMN(指数走势!$F$36:$ACK$36))-COLUMN(指数走势!$F$36)+1-760+131)))</f>
        <v>28.25119972229</v>
      </c>
      <c r="EC100">
        <f>IF(ISERROR(INDEX(指数走势!$F$36:$ACK$36,1,LOOKUP(2,1/(指数走势!$F$36:$ACK$36&lt;&gt;""),COLUMN(指数走势!$F$36:$ACK$36))-COLUMN(指数走势!$F$36)+1-760+132)),NA(),IF(INDEX(指数走势!$F$36:$ACK$36,1,LOOKUP(2,1/(指数走势!$F$36:$ACK$36&lt;&gt;""),COLUMN(指数走势!$F$36:$ACK$36))-COLUMN(指数走势!$F$36)+1-760+132)=0,NA(),INDEX(指数走势!$F$36:$ACK$36,1,LOOKUP(2,1/(指数走势!$F$36:$ACK$36&lt;&gt;""),COLUMN(指数走势!$F$36:$ACK$36))-COLUMN(指数走势!$F$36)+1-760+132)))</f>
        <v>28.4388999938965</v>
      </c>
      <c r="ED100">
        <f>IF(ISERROR(INDEX(指数走势!$F$36:$ACK$36,1,LOOKUP(2,1/(指数走势!$F$36:$ACK$36&lt;&gt;""),COLUMN(指数走势!$F$36:$ACK$36))-COLUMN(指数走势!$F$36)+1-760+133)),NA(),IF(INDEX(指数走势!$F$36:$ACK$36,1,LOOKUP(2,1/(指数走势!$F$36:$ACK$36&lt;&gt;""),COLUMN(指数走势!$F$36:$ACK$36))-COLUMN(指数走势!$F$36)+1-760+133)=0,NA(),INDEX(指数走势!$F$36:$ACK$36,1,LOOKUP(2,1/(指数走势!$F$36:$ACK$36&lt;&gt;""),COLUMN(指数走势!$F$36:$ACK$36))-COLUMN(指数走势!$F$36)+1-760+133)))</f>
        <v>28.1502990722656</v>
      </c>
      <c r="EE100">
        <f>IF(ISERROR(INDEX(指数走势!$F$36:$ACK$36,1,LOOKUP(2,1/(指数走势!$F$36:$ACK$36&lt;&gt;""),COLUMN(指数走势!$F$36:$ACK$36))-COLUMN(指数走势!$F$36)+1-760+134)),NA(),IF(INDEX(指数走势!$F$36:$ACK$36,1,LOOKUP(2,1/(指数走势!$F$36:$ACK$36&lt;&gt;""),COLUMN(指数走势!$F$36:$ACK$36))-COLUMN(指数走势!$F$36)+1-760+134)=0,NA(),INDEX(指数走势!$F$36:$ACK$36,1,LOOKUP(2,1/(指数走势!$F$36:$ACK$36&lt;&gt;""),COLUMN(指数走势!$F$36:$ACK$36))-COLUMN(指数走势!$F$36)+1-760+134)))</f>
        <v>28.2162990570068</v>
      </c>
      <c r="EF100">
        <f>IF(ISERROR(INDEX(指数走势!$F$36:$ACK$36,1,LOOKUP(2,1/(指数走势!$F$36:$ACK$36&lt;&gt;""),COLUMN(指数走势!$F$36:$ACK$36))-COLUMN(指数走势!$F$36)+1-760+135)),NA(),IF(INDEX(指数走势!$F$36:$ACK$36,1,LOOKUP(2,1/(指数走势!$F$36:$ACK$36&lt;&gt;""),COLUMN(指数走势!$F$36:$ACK$36))-COLUMN(指数走势!$F$36)+1-760+135)=0,NA(),INDEX(指数走势!$F$36:$ACK$36,1,LOOKUP(2,1/(指数走势!$F$36:$ACK$36&lt;&gt;""),COLUMN(指数走势!$F$36:$ACK$36))-COLUMN(指数走势!$F$36)+1-760+135)))</f>
        <v>28.2362995147705</v>
      </c>
      <c r="EG100">
        <f>IF(ISERROR(INDEX(指数走势!$F$36:$ACK$36,1,LOOKUP(2,1/(指数走势!$F$36:$ACK$36&lt;&gt;""),COLUMN(指数走势!$F$36:$ACK$36))-COLUMN(指数走势!$F$36)+1-760+136)),NA(),IF(INDEX(指数走势!$F$36:$ACK$36,1,LOOKUP(2,1/(指数走势!$F$36:$ACK$36&lt;&gt;""),COLUMN(指数走势!$F$36:$ACK$36))-COLUMN(指数走势!$F$36)+1-760+136)=0,NA(),INDEX(指数走势!$F$36:$ACK$36,1,LOOKUP(2,1/(指数走势!$F$36:$ACK$36&lt;&gt;""),COLUMN(指数走势!$F$36:$ACK$36))-COLUMN(指数走势!$F$36)+1-760+136)))</f>
        <v>27.9832000732422</v>
      </c>
      <c r="EH100">
        <f>IF(ISERROR(INDEX(指数走势!$F$36:$ACK$36,1,LOOKUP(2,1/(指数走势!$F$36:$ACK$36&lt;&gt;""),COLUMN(指数走势!$F$36:$ACK$36))-COLUMN(指数走势!$F$36)+1-760+137)),NA(),IF(INDEX(指数走势!$F$36:$ACK$36,1,LOOKUP(2,1/(指数走势!$F$36:$ACK$36&lt;&gt;""),COLUMN(指数走势!$F$36:$ACK$36))-COLUMN(指数走势!$F$36)+1-760+137)=0,NA(),INDEX(指数走势!$F$36:$ACK$36,1,LOOKUP(2,1/(指数走势!$F$36:$ACK$36&lt;&gt;""),COLUMN(指数走势!$F$36:$ACK$36))-COLUMN(指数走势!$F$36)+1-760+137)))</f>
        <v>27.4449996948242</v>
      </c>
      <c r="EI100">
        <f>IF(ISERROR(INDEX(指数走势!$F$36:$ACK$36,1,LOOKUP(2,1/(指数走势!$F$36:$ACK$36&lt;&gt;""),COLUMN(指数走势!$F$36:$ACK$36))-COLUMN(指数走势!$F$36)+1-760+138)),NA(),IF(INDEX(指数走势!$F$36:$ACK$36,1,LOOKUP(2,1/(指数走势!$F$36:$ACK$36&lt;&gt;""),COLUMN(指数走势!$F$36:$ACK$36))-COLUMN(指数走势!$F$36)+1-760+138)=0,NA(),INDEX(指数走势!$F$36:$ACK$36,1,LOOKUP(2,1/(指数走势!$F$36:$ACK$36&lt;&gt;""),COLUMN(指数走势!$F$36:$ACK$36))-COLUMN(指数走势!$F$36)+1-760+138)))</f>
        <v>27.6082992553711</v>
      </c>
      <c r="EJ100">
        <f>IF(ISERROR(INDEX(指数走势!$F$36:$ACK$36,1,LOOKUP(2,1/(指数走势!$F$36:$ACK$36&lt;&gt;""),COLUMN(指数走势!$F$36:$ACK$36))-COLUMN(指数走势!$F$36)+1-760+139)),NA(),IF(INDEX(指数走势!$F$36:$ACK$36,1,LOOKUP(2,1/(指数走势!$F$36:$ACK$36&lt;&gt;""),COLUMN(指数走势!$F$36:$ACK$36))-COLUMN(指数走势!$F$36)+1-760+139)=0,NA(),INDEX(指数走势!$F$36:$ACK$36,1,LOOKUP(2,1/(指数走势!$F$36:$ACK$36&lt;&gt;""),COLUMN(指数走势!$F$36:$ACK$36))-COLUMN(指数走势!$F$36)+1-760+139)))</f>
        <v>27.5499000549316</v>
      </c>
      <c r="EK100">
        <f>IF(ISERROR(INDEX(指数走势!$F$36:$ACK$36,1,LOOKUP(2,1/(指数走势!$F$36:$ACK$36&lt;&gt;""),COLUMN(指数走势!$F$36:$ACK$36))-COLUMN(指数走势!$F$36)+1-760+140)),NA(),IF(INDEX(指数走势!$F$36:$ACK$36,1,LOOKUP(2,1/(指数走势!$F$36:$ACK$36&lt;&gt;""),COLUMN(指数走势!$F$36:$ACK$36))-COLUMN(指数走势!$F$36)+1-760+140)=0,NA(),INDEX(指数走势!$F$36:$ACK$36,1,LOOKUP(2,1/(指数走势!$F$36:$ACK$36&lt;&gt;""),COLUMN(指数走势!$F$36:$ACK$36))-COLUMN(指数走势!$F$36)+1-760+140)))</f>
        <v>27.809700012207</v>
      </c>
      <c r="EL100">
        <f>IF(ISERROR(INDEX(指数走势!$F$36:$ACK$36,1,LOOKUP(2,1/(指数走势!$F$36:$ACK$36&lt;&gt;""),COLUMN(指数走势!$F$36:$ACK$36))-COLUMN(指数走势!$F$36)+1-760+141)),NA(),IF(INDEX(指数走势!$F$36:$ACK$36,1,LOOKUP(2,1/(指数走势!$F$36:$ACK$36&lt;&gt;""),COLUMN(指数走势!$F$36:$ACK$36))-COLUMN(指数走势!$F$36)+1-760+141)=0,NA(),INDEX(指数走势!$F$36:$ACK$36,1,LOOKUP(2,1/(指数走势!$F$36:$ACK$36&lt;&gt;""),COLUMN(指数走势!$F$36:$ACK$36))-COLUMN(指数走势!$F$36)+1-760+141)))</f>
        <v>28.2108001708984</v>
      </c>
      <c r="EM100">
        <f>IF(ISERROR(INDEX(指数走势!$F$36:$ACK$36,1,LOOKUP(2,1/(指数走势!$F$36:$ACK$36&lt;&gt;""),COLUMN(指数走势!$F$36:$ACK$36))-COLUMN(指数走势!$F$36)+1-760+142)),NA(),IF(INDEX(指数走势!$F$36:$ACK$36,1,LOOKUP(2,1/(指数走势!$F$36:$ACK$36&lt;&gt;""),COLUMN(指数走势!$F$36:$ACK$36))-COLUMN(指数走势!$F$36)+1-760+142)=0,NA(),INDEX(指数走势!$F$36:$ACK$36,1,LOOKUP(2,1/(指数走势!$F$36:$ACK$36&lt;&gt;""),COLUMN(指数走势!$F$36:$ACK$36))-COLUMN(指数走势!$F$36)+1-760+142)))</f>
        <v>28.0508003234863</v>
      </c>
      <c r="EN100">
        <f>IF(ISERROR(INDEX(指数走势!$F$36:$ACK$36,1,LOOKUP(2,1/(指数走势!$F$36:$ACK$36&lt;&gt;""),COLUMN(指数走势!$F$36:$ACK$36))-COLUMN(指数走势!$F$36)+1-760+143)),NA(),IF(INDEX(指数走势!$F$36:$ACK$36,1,LOOKUP(2,1/(指数走势!$F$36:$ACK$36&lt;&gt;""),COLUMN(指数走势!$F$36:$ACK$36))-COLUMN(指数走势!$F$36)+1-760+143)=0,NA(),INDEX(指数走势!$F$36:$ACK$36,1,LOOKUP(2,1/(指数走势!$F$36:$ACK$36&lt;&gt;""),COLUMN(指数走势!$F$36:$ACK$36))-COLUMN(指数走势!$F$36)+1-760+143)))</f>
        <v>27.5944004058838</v>
      </c>
      <c r="EO100">
        <f>IF(ISERROR(INDEX(指数走势!$F$36:$ACK$36,1,LOOKUP(2,1/(指数走势!$F$36:$ACK$36&lt;&gt;""),COLUMN(指数走势!$F$36:$ACK$36))-COLUMN(指数走势!$F$36)+1-760+144)),NA(),IF(INDEX(指数走势!$F$36:$ACK$36,1,LOOKUP(2,1/(指数走势!$F$36:$ACK$36&lt;&gt;""),COLUMN(指数走势!$F$36:$ACK$36))-COLUMN(指数走势!$F$36)+1-760+144)=0,NA(),INDEX(指数走势!$F$36:$ACK$36,1,LOOKUP(2,1/(指数走势!$F$36:$ACK$36&lt;&gt;""),COLUMN(指数走势!$F$36:$ACK$36))-COLUMN(指数走势!$F$36)+1-760+144)))</f>
        <v>27.4337005615234</v>
      </c>
      <c r="EP100">
        <f>IF(ISERROR(INDEX(指数走势!$F$36:$ACK$36,1,LOOKUP(2,1/(指数走势!$F$36:$ACK$36&lt;&gt;""),COLUMN(指数走势!$F$36:$ACK$36))-COLUMN(指数走势!$F$36)+1-760+145)),NA(),IF(INDEX(指数走势!$F$36:$ACK$36,1,LOOKUP(2,1/(指数走势!$F$36:$ACK$36&lt;&gt;""),COLUMN(指数走势!$F$36:$ACK$36))-COLUMN(指数走势!$F$36)+1-760+145)=0,NA(),INDEX(指数走势!$F$36:$ACK$36,1,LOOKUP(2,1/(指数走势!$F$36:$ACK$36&lt;&gt;""),COLUMN(指数走势!$F$36:$ACK$36))-COLUMN(指数走势!$F$36)+1-760+145)))</f>
        <v>27.2530002593994</v>
      </c>
      <c r="EQ100">
        <f>IF(ISERROR(INDEX(指数走势!$F$36:$ACK$36,1,LOOKUP(2,1/(指数走势!$F$36:$ACK$36&lt;&gt;""),COLUMN(指数走势!$F$36:$ACK$36))-COLUMN(指数走势!$F$36)+1-760+146)),NA(),IF(INDEX(指数走势!$F$36:$ACK$36,1,LOOKUP(2,1/(指数走势!$F$36:$ACK$36&lt;&gt;""),COLUMN(指数走势!$F$36:$ACK$36))-COLUMN(指数走势!$F$36)+1-760+146)=0,NA(),INDEX(指数走势!$F$36:$ACK$36,1,LOOKUP(2,1/(指数走势!$F$36:$ACK$36&lt;&gt;""),COLUMN(指数走势!$F$36:$ACK$36))-COLUMN(指数走势!$F$36)+1-760+146)))</f>
        <v>26.8537006378174</v>
      </c>
      <c r="ER100">
        <f>IF(ISERROR(INDEX(指数走势!$F$36:$ACK$36,1,LOOKUP(2,1/(指数走势!$F$36:$ACK$36&lt;&gt;""),COLUMN(指数走势!$F$36:$ACK$36))-COLUMN(指数走势!$F$36)+1-760+147)),NA(),IF(INDEX(指数走势!$F$36:$ACK$36,1,LOOKUP(2,1/(指数走势!$F$36:$ACK$36&lt;&gt;""),COLUMN(指数走势!$F$36:$ACK$36))-COLUMN(指数走势!$F$36)+1-760+147)=0,NA(),INDEX(指数走势!$F$36:$ACK$36,1,LOOKUP(2,1/(指数走势!$F$36:$ACK$36&lt;&gt;""),COLUMN(指数走势!$F$36:$ACK$36))-COLUMN(指数走势!$F$36)+1-760+147)))</f>
        <v>26.9533004760742</v>
      </c>
      <c r="ES100">
        <f>IF(ISERROR(INDEX(指数走势!$F$36:$ACK$36,1,LOOKUP(2,1/(指数走势!$F$36:$ACK$36&lt;&gt;""),COLUMN(指数走势!$F$36:$ACK$36))-COLUMN(指数走势!$F$36)+1-760+148)),NA(),IF(INDEX(指数走势!$F$36:$ACK$36,1,LOOKUP(2,1/(指数走势!$F$36:$ACK$36&lt;&gt;""),COLUMN(指数走势!$F$36:$ACK$36))-COLUMN(指数走势!$F$36)+1-760+148)=0,NA(),INDEX(指数走势!$F$36:$ACK$36,1,LOOKUP(2,1/(指数走势!$F$36:$ACK$36&lt;&gt;""),COLUMN(指数走势!$F$36:$ACK$36))-COLUMN(指数走势!$F$36)+1-760+148)))</f>
        <v>26.6093997955322</v>
      </c>
      <c r="ET100">
        <f>IF(ISERROR(INDEX(指数走势!$F$36:$ACK$36,1,LOOKUP(2,1/(指数走势!$F$36:$ACK$36&lt;&gt;""),COLUMN(指数走势!$F$36:$ACK$36))-COLUMN(指数走势!$F$36)+1-760+149)),NA(),IF(INDEX(指数走势!$F$36:$ACK$36,1,LOOKUP(2,1/(指数走势!$F$36:$ACK$36&lt;&gt;""),COLUMN(指数走势!$F$36:$ACK$36))-COLUMN(指数走势!$F$36)+1-760+149)=0,NA(),INDEX(指数走势!$F$36:$ACK$36,1,LOOKUP(2,1/(指数走势!$F$36:$ACK$36&lt;&gt;""),COLUMN(指数走势!$F$36:$ACK$36))-COLUMN(指数走势!$F$36)+1-760+149)))</f>
        <v>27.0221996307373</v>
      </c>
      <c r="EU100">
        <f>IF(ISERROR(INDEX(指数走势!$F$36:$ACK$36,1,LOOKUP(2,1/(指数走势!$F$36:$ACK$36&lt;&gt;""),COLUMN(指数走势!$F$36:$ACK$36))-COLUMN(指数走势!$F$36)+1-760+150)),NA(),IF(INDEX(指数走势!$F$36:$ACK$36,1,LOOKUP(2,1/(指数走势!$F$36:$ACK$36&lt;&gt;""),COLUMN(指数走势!$F$36:$ACK$36))-COLUMN(指数走势!$F$36)+1-760+150)=0,NA(),INDEX(指数走势!$F$36:$ACK$36,1,LOOKUP(2,1/(指数走势!$F$36:$ACK$36&lt;&gt;""),COLUMN(指数走势!$F$36:$ACK$36))-COLUMN(指数走势!$F$36)+1-760+150)))</f>
        <v>26.9034996032715</v>
      </c>
      <c r="EV100">
        <f>IF(ISERROR(INDEX(指数走势!$F$36:$ACK$36,1,LOOKUP(2,1/(指数走势!$F$36:$ACK$36&lt;&gt;""),COLUMN(指数走势!$F$36:$ACK$36))-COLUMN(指数走势!$F$36)+1-760+151)),NA(),IF(INDEX(指数走势!$F$36:$ACK$36,1,LOOKUP(2,1/(指数走势!$F$36:$ACK$36&lt;&gt;""),COLUMN(指数走势!$F$36:$ACK$36))-COLUMN(指数走势!$F$36)+1-760+151)=0,NA(),INDEX(指数走势!$F$36:$ACK$36,1,LOOKUP(2,1/(指数走势!$F$36:$ACK$36&lt;&gt;""),COLUMN(指数走势!$F$36:$ACK$36))-COLUMN(指数走势!$F$36)+1-760+151)))</f>
        <v>26.9832992553711</v>
      </c>
      <c r="EW100">
        <f>IF(ISERROR(INDEX(指数走势!$F$36:$ACK$36,1,LOOKUP(2,1/(指数走势!$F$36:$ACK$36&lt;&gt;""),COLUMN(指数走势!$F$36:$ACK$36))-COLUMN(指数走势!$F$36)+1-760+152)),NA(),IF(INDEX(指数走势!$F$36:$ACK$36,1,LOOKUP(2,1/(指数走势!$F$36:$ACK$36&lt;&gt;""),COLUMN(指数走势!$F$36:$ACK$36))-COLUMN(指数走势!$F$36)+1-760+152)=0,NA(),INDEX(指数走势!$F$36:$ACK$36,1,LOOKUP(2,1/(指数走势!$F$36:$ACK$36&lt;&gt;""),COLUMN(指数走势!$F$36:$ACK$36))-COLUMN(指数走势!$F$36)+1-760+152)))</f>
        <v>26.6485004425049</v>
      </c>
      <c r="EX100">
        <f>IF(ISERROR(INDEX(指数走势!$F$36:$ACK$36,1,LOOKUP(2,1/(指数走势!$F$36:$ACK$36&lt;&gt;""),COLUMN(指数走势!$F$36:$ACK$36))-COLUMN(指数走势!$F$36)+1-760+153)),NA(),IF(INDEX(指数走势!$F$36:$ACK$36,1,LOOKUP(2,1/(指数走势!$F$36:$ACK$36&lt;&gt;""),COLUMN(指数走势!$F$36:$ACK$36))-COLUMN(指数走势!$F$36)+1-760+153)=0,NA(),INDEX(指数走势!$F$36:$ACK$36,1,LOOKUP(2,1/(指数走势!$F$36:$ACK$36&lt;&gt;""),COLUMN(指数走势!$F$36:$ACK$36))-COLUMN(指数走势!$F$36)+1-760+153)))</f>
        <v>26.6772994995117</v>
      </c>
      <c r="EY100">
        <f>IF(ISERROR(INDEX(指数走势!$F$36:$ACK$36,1,LOOKUP(2,1/(指数走势!$F$36:$ACK$36&lt;&gt;""),COLUMN(指数走势!$F$36:$ACK$36))-COLUMN(指数走势!$F$36)+1-760+154)),NA(),IF(INDEX(指数走势!$F$36:$ACK$36,1,LOOKUP(2,1/(指数走势!$F$36:$ACK$36&lt;&gt;""),COLUMN(指数走势!$F$36:$ACK$36))-COLUMN(指数走势!$F$36)+1-760+154)=0,NA(),INDEX(指数走势!$F$36:$ACK$36,1,LOOKUP(2,1/(指数走势!$F$36:$ACK$36&lt;&gt;""),COLUMN(指数走势!$F$36:$ACK$36))-COLUMN(指数走势!$F$36)+1-760+154)))</f>
        <v>27.7008991241455</v>
      </c>
      <c r="EZ100">
        <f>IF(ISERROR(INDEX(指数走势!$F$36:$ACK$36,1,LOOKUP(2,1/(指数走势!$F$36:$ACK$36&lt;&gt;""),COLUMN(指数走势!$F$36:$ACK$36))-COLUMN(指数走势!$F$36)+1-760+155)),NA(),IF(INDEX(指数走势!$F$36:$ACK$36,1,LOOKUP(2,1/(指数走势!$F$36:$ACK$36&lt;&gt;""),COLUMN(指数走势!$F$36:$ACK$36))-COLUMN(指数走势!$F$36)+1-760+155)=0,NA(),INDEX(指数走势!$F$36:$ACK$36,1,LOOKUP(2,1/(指数走势!$F$36:$ACK$36&lt;&gt;""),COLUMN(指数走势!$F$36:$ACK$36))-COLUMN(指数走势!$F$36)+1-760+155)))</f>
        <v>27.8486003875732</v>
      </c>
      <c r="FA100">
        <f>IF(ISERROR(INDEX(指数走势!$F$36:$ACK$36,1,LOOKUP(2,1/(指数走势!$F$36:$ACK$36&lt;&gt;""),COLUMN(指数走势!$F$36:$ACK$36))-COLUMN(指数走势!$F$36)+1-760+156)),NA(),IF(INDEX(指数走势!$F$36:$ACK$36,1,LOOKUP(2,1/(指数走势!$F$36:$ACK$36&lt;&gt;""),COLUMN(指数走势!$F$36:$ACK$36))-COLUMN(指数走势!$F$36)+1-760+156)=0,NA(),INDEX(指数走势!$F$36:$ACK$36,1,LOOKUP(2,1/(指数走势!$F$36:$ACK$36&lt;&gt;""),COLUMN(指数走势!$F$36:$ACK$36))-COLUMN(指数走势!$F$36)+1-760+156)))</f>
        <v>27.334400177002</v>
      </c>
      <c r="FB100">
        <f>IF(ISERROR(INDEX(指数走势!$F$36:$ACK$36,1,LOOKUP(2,1/(指数走势!$F$36:$ACK$36&lt;&gt;""),COLUMN(指数走势!$F$36:$ACK$36))-COLUMN(指数走势!$F$36)+1-760+157)),NA(),IF(INDEX(指数走势!$F$36:$ACK$36,1,LOOKUP(2,1/(指数走势!$F$36:$ACK$36&lt;&gt;""),COLUMN(指数走势!$F$36:$ACK$36))-COLUMN(指数走势!$F$36)+1-760+157)=0,NA(),INDEX(指数走势!$F$36:$ACK$36,1,LOOKUP(2,1/(指数走势!$F$36:$ACK$36&lt;&gt;""),COLUMN(指数走势!$F$36:$ACK$36))-COLUMN(指数走势!$F$36)+1-760+157)))</f>
        <v>27.036600112915</v>
      </c>
      <c r="FC100">
        <f>IF(ISERROR(INDEX(指数走势!$F$36:$ACK$36,1,LOOKUP(2,1/(指数走势!$F$36:$ACK$36&lt;&gt;""),COLUMN(指数走势!$F$36:$ACK$36))-COLUMN(指数走势!$F$36)+1-760+158)),NA(),IF(INDEX(指数走势!$F$36:$ACK$36,1,LOOKUP(2,1/(指数走势!$F$36:$ACK$36&lt;&gt;""),COLUMN(指数走势!$F$36:$ACK$36))-COLUMN(指数走势!$F$36)+1-760+158)=0,NA(),INDEX(指数走势!$F$36:$ACK$36,1,LOOKUP(2,1/(指数走势!$F$36:$ACK$36&lt;&gt;""),COLUMN(指数走势!$F$36:$ACK$36))-COLUMN(指数走势!$F$36)+1-760+158)))</f>
        <v>26.5580005645752</v>
      </c>
      <c r="FD100">
        <f>IF(ISERROR(INDEX(指数走势!$F$36:$ACK$36,1,LOOKUP(2,1/(指数走势!$F$36:$ACK$36&lt;&gt;""),COLUMN(指数走势!$F$36:$ACK$36))-COLUMN(指数走势!$F$36)+1-760+159)),NA(),IF(INDEX(指数走势!$F$36:$ACK$36,1,LOOKUP(2,1/(指数走势!$F$36:$ACK$36&lt;&gt;""),COLUMN(指数走势!$F$36:$ACK$36))-COLUMN(指数走势!$F$36)+1-760+159)=0,NA(),INDEX(指数走势!$F$36:$ACK$36,1,LOOKUP(2,1/(指数走势!$F$36:$ACK$36&lt;&gt;""),COLUMN(指数走势!$F$36:$ACK$36))-COLUMN(指数走势!$F$36)+1-760+159)))</f>
        <v>26.1776008605957</v>
      </c>
      <c r="FE100">
        <f>IF(ISERROR(INDEX(指数走势!$F$36:$ACK$36,1,LOOKUP(2,1/(指数走势!$F$36:$ACK$36&lt;&gt;""),COLUMN(指数走势!$F$36:$ACK$36))-COLUMN(指数走势!$F$36)+1-760+160)),NA(),IF(INDEX(指数走势!$F$36:$ACK$36,1,LOOKUP(2,1/(指数走势!$F$36:$ACK$36&lt;&gt;""),COLUMN(指数走势!$F$36:$ACK$36))-COLUMN(指数走势!$F$36)+1-760+160)=0,NA(),INDEX(指数走势!$F$36:$ACK$36,1,LOOKUP(2,1/(指数走势!$F$36:$ACK$36&lt;&gt;""),COLUMN(指数走势!$F$36:$ACK$36))-COLUMN(指数走势!$F$36)+1-760+160)))</f>
        <v>25.7425994873047</v>
      </c>
      <c r="FF100">
        <f>IF(ISERROR(INDEX(指数走势!$F$36:$ACK$36,1,LOOKUP(2,1/(指数走势!$F$36:$ACK$36&lt;&gt;""),COLUMN(指数走势!$F$36:$ACK$36))-COLUMN(指数走势!$F$36)+1-760+161)),NA(),IF(INDEX(指数走势!$F$36:$ACK$36,1,LOOKUP(2,1/(指数走势!$F$36:$ACK$36&lt;&gt;""),COLUMN(指数走势!$F$36:$ACK$36))-COLUMN(指数走势!$F$36)+1-760+161)=0,NA(),INDEX(指数走势!$F$36:$ACK$36,1,LOOKUP(2,1/(指数走势!$F$36:$ACK$36&lt;&gt;""),COLUMN(指数走势!$F$36:$ACK$36))-COLUMN(指数走势!$F$36)+1-760+161)))</f>
        <v>25.8211994171143</v>
      </c>
      <c r="FG100">
        <f>IF(ISERROR(INDEX(指数走势!$F$36:$ACK$36,1,LOOKUP(2,1/(指数走势!$F$36:$ACK$36&lt;&gt;""),COLUMN(指数走势!$F$36:$ACK$36))-COLUMN(指数走势!$F$36)+1-760+162)),NA(),IF(INDEX(指数走势!$F$36:$ACK$36,1,LOOKUP(2,1/(指数走势!$F$36:$ACK$36&lt;&gt;""),COLUMN(指数走势!$F$36:$ACK$36))-COLUMN(指数走势!$F$36)+1-760+162)=0,NA(),INDEX(指数走势!$F$36:$ACK$36,1,LOOKUP(2,1/(指数走势!$F$36:$ACK$36&lt;&gt;""),COLUMN(指数走势!$F$36:$ACK$36))-COLUMN(指数走势!$F$36)+1-760+162)))</f>
        <v>25.7390003204346</v>
      </c>
      <c r="FH100">
        <f>IF(ISERROR(INDEX(指数走势!$F$36:$ACK$36,1,LOOKUP(2,1/(指数走势!$F$36:$ACK$36&lt;&gt;""),COLUMN(指数走势!$F$36:$ACK$36))-COLUMN(指数走势!$F$36)+1-760+163)),NA(),IF(INDEX(指数走势!$F$36:$ACK$36,1,LOOKUP(2,1/(指数走势!$F$36:$ACK$36&lt;&gt;""),COLUMN(指数走势!$F$36:$ACK$36))-COLUMN(指数走势!$F$36)+1-760+163)=0,NA(),INDEX(指数走势!$F$36:$ACK$36,1,LOOKUP(2,1/(指数走势!$F$36:$ACK$36&lt;&gt;""),COLUMN(指数走势!$F$36:$ACK$36))-COLUMN(指数走势!$F$36)+1-760+163)))</f>
        <v>26.2175006866455</v>
      </c>
      <c r="FI100">
        <f>IF(ISERROR(INDEX(指数走势!$F$36:$ACK$36,1,LOOKUP(2,1/(指数走势!$F$36:$ACK$36&lt;&gt;""),COLUMN(指数走势!$F$36:$ACK$36))-COLUMN(指数走势!$F$36)+1-760+164)),NA(),IF(INDEX(指数走势!$F$36:$ACK$36,1,LOOKUP(2,1/(指数走势!$F$36:$ACK$36&lt;&gt;""),COLUMN(指数走势!$F$36:$ACK$36))-COLUMN(指数走势!$F$36)+1-760+164)=0,NA(),INDEX(指数走势!$F$36:$ACK$36,1,LOOKUP(2,1/(指数走势!$F$36:$ACK$36&lt;&gt;""),COLUMN(指数走势!$F$36:$ACK$36))-COLUMN(指数走势!$F$36)+1-760+164)))</f>
        <v>25.9932994842529</v>
      </c>
      <c r="FJ100">
        <f>IF(ISERROR(INDEX(指数走势!$F$36:$ACK$36,1,LOOKUP(2,1/(指数走势!$F$36:$ACK$36&lt;&gt;""),COLUMN(指数走势!$F$36:$ACK$36))-COLUMN(指数走势!$F$36)+1-760+165)),NA(),IF(INDEX(指数走势!$F$36:$ACK$36,1,LOOKUP(2,1/(指数走势!$F$36:$ACK$36&lt;&gt;""),COLUMN(指数走势!$F$36:$ACK$36))-COLUMN(指数走势!$F$36)+1-760+165)=0,NA(),INDEX(指数走势!$F$36:$ACK$36,1,LOOKUP(2,1/(指数走势!$F$36:$ACK$36&lt;&gt;""),COLUMN(指数走势!$F$36:$ACK$36))-COLUMN(指数走势!$F$36)+1-760+165)))</f>
        <v>25.762300491333</v>
      </c>
      <c r="FK100">
        <f>IF(ISERROR(INDEX(指数走势!$F$36:$ACK$36,1,LOOKUP(2,1/(指数走势!$F$36:$ACK$36&lt;&gt;""),COLUMN(指数走势!$F$36:$ACK$36))-COLUMN(指数走势!$F$36)+1-760+166)),NA(),IF(INDEX(指数走势!$F$36:$ACK$36,1,LOOKUP(2,1/(指数走势!$F$36:$ACK$36&lt;&gt;""),COLUMN(指数走势!$F$36:$ACK$36))-COLUMN(指数走势!$F$36)+1-760+166)=0,NA(),INDEX(指数走势!$F$36:$ACK$36,1,LOOKUP(2,1/(指数走势!$F$36:$ACK$36&lt;&gt;""),COLUMN(指数走势!$F$36:$ACK$36))-COLUMN(指数走势!$F$36)+1-760+166)))</f>
        <v>25.8292999267578</v>
      </c>
      <c r="FL100">
        <f>IF(ISERROR(INDEX(指数走势!$F$36:$ACK$36,1,LOOKUP(2,1/(指数走势!$F$36:$ACK$36&lt;&gt;""),COLUMN(指数走势!$F$36:$ACK$36))-COLUMN(指数走势!$F$36)+1-760+167)),NA(),IF(INDEX(指数走势!$F$36:$ACK$36,1,LOOKUP(2,1/(指数走势!$F$36:$ACK$36&lt;&gt;""),COLUMN(指数走势!$F$36:$ACK$36))-COLUMN(指数走势!$F$36)+1-760+167)=0,NA(),INDEX(指数走势!$F$36:$ACK$36,1,LOOKUP(2,1/(指数走势!$F$36:$ACK$36&lt;&gt;""),COLUMN(指数走势!$F$36:$ACK$36))-COLUMN(指数走势!$F$36)+1-760+167)))</f>
        <v>25.0697002410889</v>
      </c>
      <c r="FM100">
        <f>IF(ISERROR(INDEX(指数走势!$F$36:$ACK$36,1,LOOKUP(2,1/(指数走势!$F$36:$ACK$36&lt;&gt;""),COLUMN(指数走势!$F$36:$ACK$36))-COLUMN(指数走势!$F$36)+1-760+168)),NA(),IF(INDEX(指数走势!$F$36:$ACK$36,1,LOOKUP(2,1/(指数走势!$F$36:$ACK$36&lt;&gt;""),COLUMN(指数走势!$F$36:$ACK$36))-COLUMN(指数走势!$F$36)+1-760+168)=0,NA(),INDEX(指数走势!$F$36:$ACK$36,1,LOOKUP(2,1/(指数走势!$F$36:$ACK$36&lt;&gt;""),COLUMN(指数走势!$F$36:$ACK$36))-COLUMN(指数走势!$F$36)+1-760+168)))</f>
        <v>25.4923992156982</v>
      </c>
      <c r="FN100">
        <f>IF(ISERROR(INDEX(指数走势!$F$36:$ACK$36,1,LOOKUP(2,1/(指数走势!$F$36:$ACK$36&lt;&gt;""),COLUMN(指数走势!$F$36:$ACK$36))-COLUMN(指数走势!$F$36)+1-760+169)),NA(),IF(INDEX(指数走势!$F$36:$ACK$36,1,LOOKUP(2,1/(指数走势!$F$36:$ACK$36&lt;&gt;""),COLUMN(指数走势!$F$36:$ACK$36))-COLUMN(指数走势!$F$36)+1-760+169)=0,NA(),INDEX(指数走势!$F$36:$ACK$36,1,LOOKUP(2,1/(指数走势!$F$36:$ACK$36&lt;&gt;""),COLUMN(指数走势!$F$36:$ACK$36))-COLUMN(指数走势!$F$36)+1-760+169)))</f>
        <v>25.2758007049561</v>
      </c>
      <c r="FO100">
        <f>IF(ISERROR(INDEX(指数走势!$F$36:$ACK$36,1,LOOKUP(2,1/(指数走势!$F$36:$ACK$36&lt;&gt;""),COLUMN(指数走势!$F$36:$ACK$36))-COLUMN(指数走势!$F$36)+1-760+170)),NA(),IF(INDEX(指数走势!$F$36:$ACK$36,1,LOOKUP(2,1/(指数走势!$F$36:$ACK$36&lt;&gt;""),COLUMN(指数走势!$F$36:$ACK$36))-COLUMN(指数走势!$F$36)+1-760+170)=0,NA(),INDEX(指数走势!$F$36:$ACK$36,1,LOOKUP(2,1/(指数走势!$F$36:$ACK$36&lt;&gt;""),COLUMN(指数走势!$F$36:$ACK$36))-COLUMN(指数走势!$F$36)+1-760+170)))</f>
        <v>24.5457992553711</v>
      </c>
      <c r="FP100">
        <f>IF(ISERROR(INDEX(指数走势!$F$36:$ACK$36,1,LOOKUP(2,1/(指数走势!$F$36:$ACK$36&lt;&gt;""),COLUMN(指数走势!$F$36:$ACK$36))-COLUMN(指数走势!$F$36)+1-760+171)),NA(),IF(INDEX(指数走势!$F$36:$ACK$36,1,LOOKUP(2,1/(指数走势!$F$36:$ACK$36&lt;&gt;""),COLUMN(指数走势!$F$36:$ACK$36))-COLUMN(指数走势!$F$36)+1-760+171)=0,NA(),INDEX(指数走势!$F$36:$ACK$36,1,LOOKUP(2,1/(指数走势!$F$36:$ACK$36&lt;&gt;""),COLUMN(指数走势!$F$36:$ACK$36))-COLUMN(指数走势!$F$36)+1-760+171)))</f>
        <v>24.8421001434326</v>
      </c>
      <c r="FQ100">
        <f>IF(ISERROR(INDEX(指数走势!$F$36:$ACK$36,1,LOOKUP(2,1/(指数走势!$F$36:$ACK$36&lt;&gt;""),COLUMN(指数走势!$F$36:$ACK$36))-COLUMN(指数走势!$F$36)+1-760+172)),NA(),IF(INDEX(指数走势!$F$36:$ACK$36,1,LOOKUP(2,1/(指数走势!$F$36:$ACK$36&lt;&gt;""),COLUMN(指数走势!$F$36:$ACK$36))-COLUMN(指数走势!$F$36)+1-760+172)=0,NA(),INDEX(指数走势!$F$36:$ACK$36,1,LOOKUP(2,1/(指数走势!$F$36:$ACK$36&lt;&gt;""),COLUMN(指数走势!$F$36:$ACK$36))-COLUMN(指数走势!$F$36)+1-760+172)))</f>
        <v>25.0081996917725</v>
      </c>
      <c r="FR100">
        <f>IF(ISERROR(INDEX(指数走势!$F$36:$ACK$36,1,LOOKUP(2,1/(指数走势!$F$36:$ACK$36&lt;&gt;""),COLUMN(指数走势!$F$36:$ACK$36))-COLUMN(指数走势!$F$36)+1-760+173)),NA(),IF(INDEX(指数走势!$F$36:$ACK$36,1,LOOKUP(2,1/(指数走势!$F$36:$ACK$36&lt;&gt;""),COLUMN(指数走势!$F$36:$ACK$36))-COLUMN(指数走势!$F$36)+1-760+173)=0,NA(),INDEX(指数走势!$F$36:$ACK$36,1,LOOKUP(2,1/(指数走势!$F$36:$ACK$36&lt;&gt;""),COLUMN(指数走势!$F$36:$ACK$36))-COLUMN(指数走势!$F$36)+1-760+173)))</f>
        <v>25.3514003753662</v>
      </c>
      <c r="FS100">
        <f>IF(ISERROR(INDEX(指数走势!$F$36:$ACK$36,1,LOOKUP(2,1/(指数走势!$F$36:$ACK$36&lt;&gt;""),COLUMN(指数走势!$F$36:$ACK$36))-COLUMN(指数走势!$F$36)+1-760+174)),NA(),IF(INDEX(指数走势!$F$36:$ACK$36,1,LOOKUP(2,1/(指数走势!$F$36:$ACK$36&lt;&gt;""),COLUMN(指数走势!$F$36:$ACK$36))-COLUMN(指数走势!$F$36)+1-760+174)=0,NA(),INDEX(指数走势!$F$36:$ACK$36,1,LOOKUP(2,1/(指数走势!$F$36:$ACK$36&lt;&gt;""),COLUMN(指数走势!$F$36:$ACK$36))-COLUMN(指数走势!$F$36)+1-760+174)))</f>
        <v>24.8066997528076</v>
      </c>
      <c r="FT100">
        <f>IF(ISERROR(INDEX(指数走势!$F$36:$ACK$36,1,LOOKUP(2,1/(指数走势!$F$36:$ACK$36&lt;&gt;""),COLUMN(指数走势!$F$36:$ACK$36))-COLUMN(指数走势!$F$36)+1-760+175)),NA(),IF(INDEX(指数走势!$F$36:$ACK$36,1,LOOKUP(2,1/(指数走势!$F$36:$ACK$36&lt;&gt;""),COLUMN(指数走势!$F$36:$ACK$36))-COLUMN(指数走势!$F$36)+1-760+175)=0,NA(),INDEX(指数走势!$F$36:$ACK$36,1,LOOKUP(2,1/(指数走势!$F$36:$ACK$36&lt;&gt;""),COLUMN(指数走势!$F$36:$ACK$36))-COLUMN(指数走势!$F$36)+1-760+175)))</f>
        <v>23.9869995117188</v>
      </c>
      <c r="FU100">
        <f>IF(ISERROR(INDEX(指数走势!$F$36:$ACK$36,1,LOOKUP(2,1/(指数走势!$F$36:$ACK$36&lt;&gt;""),COLUMN(指数走势!$F$36:$ACK$36))-COLUMN(指数走势!$F$36)+1-760+176)),NA(),IF(INDEX(指数走势!$F$36:$ACK$36,1,LOOKUP(2,1/(指数走势!$F$36:$ACK$36&lt;&gt;""),COLUMN(指数走势!$F$36:$ACK$36))-COLUMN(指数走势!$F$36)+1-760+176)=0,NA(),INDEX(指数走势!$F$36:$ACK$36,1,LOOKUP(2,1/(指数走势!$F$36:$ACK$36&lt;&gt;""),COLUMN(指数走势!$F$36:$ACK$36))-COLUMN(指数走势!$F$36)+1-760+176)))</f>
        <v>23.4009990692139</v>
      </c>
      <c r="FV100">
        <f>IF(ISERROR(INDEX(指数走势!$F$36:$ACK$36,1,LOOKUP(2,1/(指数走势!$F$36:$ACK$36&lt;&gt;""),COLUMN(指数走势!$F$36:$ACK$36))-COLUMN(指数走势!$F$36)+1-760+177)),NA(),IF(INDEX(指数走势!$F$36:$ACK$36,1,LOOKUP(2,1/(指数走势!$F$36:$ACK$36&lt;&gt;""),COLUMN(指数走势!$F$36:$ACK$36))-COLUMN(指数走势!$F$36)+1-760+177)=0,NA(),INDEX(指数走势!$F$36:$ACK$36,1,LOOKUP(2,1/(指数走势!$F$36:$ACK$36&lt;&gt;""),COLUMN(指数走势!$F$36:$ACK$36))-COLUMN(指数走势!$F$36)+1-760+177)))</f>
        <v>23.2131996154785</v>
      </c>
      <c r="FW100">
        <f>IF(ISERROR(INDEX(指数走势!$F$36:$ACK$36,1,LOOKUP(2,1/(指数走势!$F$36:$ACK$36&lt;&gt;""),COLUMN(指数走势!$F$36:$ACK$36))-COLUMN(指数走势!$F$36)+1-760+178)),NA(),IF(INDEX(指数走势!$F$36:$ACK$36,1,LOOKUP(2,1/(指数走势!$F$36:$ACK$36&lt;&gt;""),COLUMN(指数走势!$F$36:$ACK$36))-COLUMN(指数走势!$F$36)+1-760+178)=0,NA(),INDEX(指数走势!$F$36:$ACK$36,1,LOOKUP(2,1/(指数走势!$F$36:$ACK$36&lt;&gt;""),COLUMN(指数走势!$F$36:$ACK$36))-COLUMN(指数走势!$F$36)+1-760+178)))</f>
        <v>23.4472007751465</v>
      </c>
      <c r="FX100">
        <f>IF(ISERROR(INDEX(指数走势!$F$36:$ACK$36,1,LOOKUP(2,1/(指数走势!$F$36:$ACK$36&lt;&gt;""),COLUMN(指数走势!$F$36:$ACK$36))-COLUMN(指数走势!$F$36)+1-760+179)),NA(),IF(INDEX(指数走势!$F$36:$ACK$36,1,LOOKUP(2,1/(指数走势!$F$36:$ACK$36&lt;&gt;""),COLUMN(指数走势!$F$36:$ACK$36))-COLUMN(指数走势!$F$36)+1-760+179)=0,NA(),INDEX(指数走势!$F$36:$ACK$36,1,LOOKUP(2,1/(指数走势!$F$36:$ACK$36&lt;&gt;""),COLUMN(指数走势!$F$36:$ACK$36))-COLUMN(指数走势!$F$36)+1-760+179)))</f>
        <v>22.8803005218506</v>
      </c>
      <c r="FY100">
        <f>IF(ISERROR(INDEX(指数走势!$F$36:$ACK$36,1,LOOKUP(2,1/(指数走势!$F$36:$ACK$36&lt;&gt;""),COLUMN(指数走势!$F$36:$ACK$36))-COLUMN(指数走势!$F$36)+1-760+180)),NA(),IF(INDEX(指数走势!$F$36:$ACK$36,1,LOOKUP(2,1/(指数走势!$F$36:$ACK$36&lt;&gt;""),COLUMN(指数走势!$F$36:$ACK$36))-COLUMN(指数走势!$F$36)+1-760+180)=0,NA(),INDEX(指数走势!$F$36:$ACK$36,1,LOOKUP(2,1/(指数走势!$F$36:$ACK$36&lt;&gt;""),COLUMN(指数走势!$F$36:$ACK$36))-COLUMN(指数走势!$F$36)+1-760+180)))</f>
        <v>23.0977001190186</v>
      </c>
      <c r="FZ100">
        <f>IF(ISERROR(INDEX(指数走势!$F$36:$ACK$36,1,LOOKUP(2,1/(指数走势!$F$36:$ACK$36&lt;&gt;""),COLUMN(指数走势!$F$36:$ACK$36))-COLUMN(指数走势!$F$36)+1-760+181)),NA(),IF(INDEX(指数走势!$F$36:$ACK$36,1,LOOKUP(2,1/(指数走势!$F$36:$ACK$36&lt;&gt;""),COLUMN(指数走势!$F$36:$ACK$36))-COLUMN(指数走势!$F$36)+1-760+181)=0,NA(),INDEX(指数走势!$F$36:$ACK$36,1,LOOKUP(2,1/(指数走势!$F$36:$ACK$36&lt;&gt;""),COLUMN(指数走势!$F$36:$ACK$36))-COLUMN(指数走势!$F$36)+1-760+181)))</f>
        <v>24.6446990966797</v>
      </c>
      <c r="GA100">
        <f>IF(ISERROR(INDEX(指数走势!$F$36:$ACK$36,1,LOOKUP(2,1/(指数走势!$F$36:$ACK$36&lt;&gt;""),COLUMN(指数走势!$F$36:$ACK$36))-COLUMN(指数走势!$F$36)+1-760+182)),NA(),IF(INDEX(指数走势!$F$36:$ACK$36,1,LOOKUP(2,1/(指数走势!$F$36:$ACK$36&lt;&gt;""),COLUMN(指数走势!$F$36:$ACK$36))-COLUMN(指数走势!$F$36)+1-760+182)=0,NA(),INDEX(指数走势!$F$36:$ACK$36,1,LOOKUP(2,1/(指数走势!$F$36:$ACK$36&lt;&gt;""),COLUMN(指数走势!$F$36:$ACK$36))-COLUMN(指数走势!$F$36)+1-760+182)))</f>
        <v>25.1865997314453</v>
      </c>
      <c r="GB100">
        <f>IF(ISERROR(INDEX(指数走势!$F$36:$ACK$36,1,LOOKUP(2,1/(指数走势!$F$36:$ACK$36&lt;&gt;""),COLUMN(指数走势!$F$36:$ACK$36))-COLUMN(指数走势!$F$36)+1-760+183)),NA(),IF(INDEX(指数走势!$F$36:$ACK$36,1,LOOKUP(2,1/(指数走势!$F$36:$ACK$36&lt;&gt;""),COLUMN(指数走势!$F$36:$ACK$36))-COLUMN(指数走势!$F$36)+1-760+183)=0,NA(),INDEX(指数走势!$F$36:$ACK$36,1,LOOKUP(2,1/(指数走势!$F$36:$ACK$36&lt;&gt;""),COLUMN(指数走势!$F$36:$ACK$36))-COLUMN(指数走势!$F$36)+1-760+183)))</f>
        <v>25.4671001434326</v>
      </c>
      <c r="GC100">
        <f>IF(ISERROR(INDEX(指数走势!$F$36:$ACK$36,1,LOOKUP(2,1/(指数走势!$F$36:$ACK$36&lt;&gt;""),COLUMN(指数走势!$F$36:$ACK$36))-COLUMN(指数走势!$F$36)+1-760+184)),NA(),IF(INDEX(指数走势!$F$36:$ACK$36,1,LOOKUP(2,1/(指数走势!$F$36:$ACK$36&lt;&gt;""),COLUMN(指数走势!$F$36:$ACK$36))-COLUMN(指数走势!$F$36)+1-760+184)=0,NA(),INDEX(指数走势!$F$36:$ACK$36,1,LOOKUP(2,1/(指数走势!$F$36:$ACK$36&lt;&gt;""),COLUMN(指数走势!$F$36:$ACK$36))-COLUMN(指数走势!$F$36)+1-760+184)))</f>
        <v>25.7075996398926</v>
      </c>
      <c r="GD100">
        <f>IF(ISERROR(INDEX(指数走势!$F$36:$ACK$36,1,LOOKUP(2,1/(指数走势!$F$36:$ACK$36&lt;&gt;""),COLUMN(指数走势!$F$36:$ACK$36))-COLUMN(指数走势!$F$36)+1-760+185)),NA(),IF(INDEX(指数走势!$F$36:$ACK$36,1,LOOKUP(2,1/(指数走势!$F$36:$ACK$36&lt;&gt;""),COLUMN(指数走势!$F$36:$ACK$36))-COLUMN(指数走势!$F$36)+1-760+185)=0,NA(),INDEX(指数走势!$F$36:$ACK$36,1,LOOKUP(2,1/(指数走势!$F$36:$ACK$36&lt;&gt;""),COLUMN(指数走势!$F$36:$ACK$36))-COLUMN(指数走势!$F$36)+1-760+185)))</f>
        <v>25.6944999694824</v>
      </c>
      <c r="GE100">
        <f>IF(ISERROR(INDEX(指数走势!$F$36:$ACK$36,1,LOOKUP(2,1/(指数走势!$F$36:$ACK$36&lt;&gt;""),COLUMN(指数走势!$F$36:$ACK$36))-COLUMN(指数走势!$F$36)+1-760+186)),NA(),IF(INDEX(指数走势!$F$36:$ACK$36,1,LOOKUP(2,1/(指数走势!$F$36:$ACK$36&lt;&gt;""),COLUMN(指数走势!$F$36:$ACK$36))-COLUMN(指数走势!$F$36)+1-760+186)=0,NA(),INDEX(指数走势!$F$36:$ACK$36,1,LOOKUP(2,1/(指数走势!$F$36:$ACK$36&lt;&gt;""),COLUMN(指数走势!$F$36:$ACK$36))-COLUMN(指数走势!$F$36)+1-760+186)))</f>
        <v>25.8227996826172</v>
      </c>
      <c r="GF100">
        <f>IF(ISERROR(INDEX(指数走势!$F$36:$ACK$36,1,LOOKUP(2,1/(指数走势!$F$36:$ACK$36&lt;&gt;""),COLUMN(指数走势!$F$36:$ACK$36))-COLUMN(指数走势!$F$36)+1-760+187)),NA(),IF(INDEX(指数走势!$F$36:$ACK$36,1,LOOKUP(2,1/(指数走势!$F$36:$ACK$36&lt;&gt;""),COLUMN(指数走势!$F$36:$ACK$36))-COLUMN(指数走势!$F$36)+1-760+187)=0,NA(),INDEX(指数走势!$F$36:$ACK$36,1,LOOKUP(2,1/(指数走势!$F$36:$ACK$36&lt;&gt;""),COLUMN(指数走势!$F$36:$ACK$36))-COLUMN(指数走势!$F$36)+1-760+187)))</f>
        <v>25.8575000762939</v>
      </c>
      <c r="GG100">
        <f>IF(ISERROR(INDEX(指数走势!$F$36:$ACK$36,1,LOOKUP(2,1/(指数走势!$F$36:$ACK$36&lt;&gt;""),COLUMN(指数走势!$F$36:$ACK$36))-COLUMN(指数走势!$F$36)+1-760+188)),NA(),IF(INDEX(指数走势!$F$36:$ACK$36,1,LOOKUP(2,1/(指数走势!$F$36:$ACK$36&lt;&gt;""),COLUMN(指数走势!$F$36:$ACK$36))-COLUMN(指数走势!$F$36)+1-760+188)=0,NA(),INDEX(指数走势!$F$36:$ACK$36,1,LOOKUP(2,1/(指数走势!$F$36:$ACK$36&lt;&gt;""),COLUMN(指数走势!$F$36:$ACK$36))-COLUMN(指数走势!$F$36)+1-760+188)))</f>
        <v>25.8600997924805</v>
      </c>
      <c r="GH100">
        <f>IF(ISERROR(INDEX(指数走势!$F$36:$ACK$36,1,LOOKUP(2,1/(指数走势!$F$36:$ACK$36&lt;&gt;""),COLUMN(指数走势!$F$36:$ACK$36))-COLUMN(指数走势!$F$36)+1-760+189)),NA(),IF(INDEX(指数走势!$F$36:$ACK$36,1,LOOKUP(2,1/(指数走势!$F$36:$ACK$36&lt;&gt;""),COLUMN(指数走势!$F$36:$ACK$36))-COLUMN(指数走势!$F$36)+1-760+189)=0,NA(),INDEX(指数走势!$F$36:$ACK$36,1,LOOKUP(2,1/(指数走势!$F$36:$ACK$36&lt;&gt;""),COLUMN(指数走势!$F$36:$ACK$36))-COLUMN(指数走势!$F$36)+1-760+189)))</f>
        <v>25.7765007019043</v>
      </c>
      <c r="GI100">
        <f>IF(ISERROR(INDEX(指数走势!$F$36:$ACK$36,1,LOOKUP(2,1/(指数走势!$F$36:$ACK$36&lt;&gt;""),COLUMN(指数走势!$F$36:$ACK$36))-COLUMN(指数走势!$F$36)+1-760+190)),NA(),IF(INDEX(指数走势!$F$36:$ACK$36,1,LOOKUP(2,1/(指数走势!$F$36:$ACK$36&lt;&gt;""),COLUMN(指数走势!$F$36:$ACK$36))-COLUMN(指数走势!$F$36)+1-760+190)=0,NA(),INDEX(指数走势!$F$36:$ACK$36,1,LOOKUP(2,1/(指数走势!$F$36:$ACK$36&lt;&gt;""),COLUMN(指数走势!$F$36:$ACK$36))-COLUMN(指数走势!$F$36)+1-760+190)))</f>
        <v>26.3652992248535</v>
      </c>
      <c r="GJ100">
        <f>IF(ISERROR(INDEX(指数走势!$F$36:$ACK$36,1,LOOKUP(2,1/(指数走势!$F$36:$ACK$36&lt;&gt;""),COLUMN(指数走势!$F$36:$ACK$36))-COLUMN(指数走势!$F$36)+1-760+191)),NA(),IF(INDEX(指数走势!$F$36:$ACK$36,1,LOOKUP(2,1/(指数走势!$F$36:$ACK$36&lt;&gt;""),COLUMN(指数走势!$F$36:$ACK$36))-COLUMN(指数走势!$F$36)+1-760+191)=0,NA(),INDEX(指数走势!$F$36:$ACK$36,1,LOOKUP(2,1/(指数走势!$F$36:$ACK$36&lt;&gt;""),COLUMN(指数走势!$F$36:$ACK$36))-COLUMN(指数走势!$F$36)+1-760+191)))</f>
        <v>26.6574001312256</v>
      </c>
      <c r="GK100">
        <f>IF(ISERROR(INDEX(指数走势!$F$36:$ACK$36,1,LOOKUP(2,1/(指数走势!$F$36:$ACK$36&lt;&gt;""),COLUMN(指数走势!$F$36:$ACK$36))-COLUMN(指数走势!$F$36)+1-760+192)),NA(),IF(INDEX(指数走势!$F$36:$ACK$36,1,LOOKUP(2,1/(指数走势!$F$36:$ACK$36&lt;&gt;""),COLUMN(指数走势!$F$36:$ACK$36))-COLUMN(指数走势!$F$36)+1-760+192)=0,NA(),INDEX(指数走势!$F$36:$ACK$36,1,LOOKUP(2,1/(指数走势!$F$36:$ACK$36&lt;&gt;""),COLUMN(指数走势!$F$36:$ACK$36))-COLUMN(指数走势!$F$36)+1-760+192)))</f>
        <v>27.1928997039795</v>
      </c>
      <c r="GL100">
        <f>IF(ISERROR(INDEX(指数走势!$F$36:$ACK$36,1,LOOKUP(2,1/(指数走势!$F$36:$ACK$36&lt;&gt;""),COLUMN(指数走势!$F$36:$ACK$36))-COLUMN(指数走势!$F$36)+1-760+193)),NA(),IF(INDEX(指数走势!$F$36:$ACK$36,1,LOOKUP(2,1/(指数走势!$F$36:$ACK$36&lt;&gt;""),COLUMN(指数走势!$F$36:$ACK$36))-COLUMN(指数走势!$F$36)+1-760+193)=0,NA(),INDEX(指数走势!$F$36:$ACK$36,1,LOOKUP(2,1/(指数走势!$F$36:$ACK$36&lt;&gt;""),COLUMN(指数走势!$F$36:$ACK$36))-COLUMN(指数走势!$F$36)+1-760+193)))</f>
        <v>27.4053001403809</v>
      </c>
      <c r="GM100">
        <f>IF(ISERROR(INDEX(指数走势!$F$36:$ACK$36,1,LOOKUP(2,1/(指数走势!$F$36:$ACK$36&lt;&gt;""),COLUMN(指数走势!$F$36:$ACK$36))-COLUMN(指数走势!$F$36)+1-760+194)),NA(),IF(INDEX(指数走势!$F$36:$ACK$36,1,LOOKUP(2,1/(指数走势!$F$36:$ACK$36&lt;&gt;""),COLUMN(指数走势!$F$36:$ACK$36))-COLUMN(指数走势!$F$36)+1-760+194)=0,NA(),INDEX(指数走势!$F$36:$ACK$36,1,LOOKUP(2,1/(指数走势!$F$36:$ACK$36&lt;&gt;""),COLUMN(指数走势!$F$36:$ACK$36))-COLUMN(指数走势!$F$36)+1-760+194)))</f>
        <v>27.5412006378174</v>
      </c>
      <c r="GN100">
        <f>IF(ISERROR(INDEX(指数走势!$F$36:$ACK$36,1,LOOKUP(2,1/(指数走势!$F$36:$ACK$36&lt;&gt;""),COLUMN(指数走势!$F$36:$ACK$36))-COLUMN(指数走势!$F$36)+1-760+195)),NA(),IF(INDEX(指数走势!$F$36:$ACK$36,1,LOOKUP(2,1/(指数走势!$F$36:$ACK$36&lt;&gt;""),COLUMN(指数走势!$F$36:$ACK$36))-COLUMN(指数走势!$F$36)+1-760+195)=0,NA(),INDEX(指数走势!$F$36:$ACK$36,1,LOOKUP(2,1/(指数走势!$F$36:$ACK$36&lt;&gt;""),COLUMN(指数走势!$F$36:$ACK$36))-COLUMN(指数走势!$F$36)+1-760+195)))</f>
        <v>27.5475997924805</v>
      </c>
      <c r="GO100">
        <f>IF(ISERROR(INDEX(指数走势!$F$36:$ACK$36,1,LOOKUP(2,1/(指数走势!$F$36:$ACK$36&lt;&gt;""),COLUMN(指数走势!$F$36:$ACK$36))-COLUMN(指数走势!$F$36)+1-760+196)),NA(),IF(INDEX(指数走势!$F$36:$ACK$36,1,LOOKUP(2,1/(指数走势!$F$36:$ACK$36&lt;&gt;""),COLUMN(指数走势!$F$36:$ACK$36))-COLUMN(指数走势!$F$36)+1-760+196)=0,NA(),INDEX(指数走势!$F$36:$ACK$36,1,LOOKUP(2,1/(指数走势!$F$36:$ACK$36&lt;&gt;""),COLUMN(指数走势!$F$36:$ACK$36))-COLUMN(指数走势!$F$36)+1-760+196)))</f>
        <v>27.5139999389648</v>
      </c>
      <c r="GP100">
        <f>IF(ISERROR(INDEX(指数走势!$F$36:$ACK$36,1,LOOKUP(2,1/(指数走势!$F$36:$ACK$36&lt;&gt;""),COLUMN(指数走势!$F$36:$ACK$36))-COLUMN(指数走势!$F$36)+1-760+197)),NA(),IF(INDEX(指数走势!$F$36:$ACK$36,1,LOOKUP(2,1/(指数走势!$F$36:$ACK$36&lt;&gt;""),COLUMN(指数走势!$F$36:$ACK$36))-COLUMN(指数走势!$F$36)+1-760+197)=0,NA(),INDEX(指数走势!$F$36:$ACK$36,1,LOOKUP(2,1/(指数走势!$F$36:$ACK$36&lt;&gt;""),COLUMN(指数走势!$F$36:$ACK$36))-COLUMN(指数走势!$F$36)+1-760+197)))</f>
        <v>26.8754005432129</v>
      </c>
      <c r="GQ100">
        <f>IF(ISERROR(INDEX(指数走势!$F$36:$ACK$36,1,LOOKUP(2,1/(指数走势!$F$36:$ACK$36&lt;&gt;""),COLUMN(指数走势!$F$36:$ACK$36))-COLUMN(指数走势!$F$36)+1-760+198)),NA(),IF(INDEX(指数走势!$F$36:$ACK$36,1,LOOKUP(2,1/(指数走势!$F$36:$ACK$36&lt;&gt;""),COLUMN(指数走势!$F$36:$ACK$36))-COLUMN(指数走势!$F$36)+1-760+198)=0,NA(),INDEX(指数走势!$F$36:$ACK$36,1,LOOKUP(2,1/(指数走势!$F$36:$ACK$36&lt;&gt;""),COLUMN(指数走势!$F$36:$ACK$36))-COLUMN(指数走势!$F$36)+1-760+198)))</f>
        <v>27.0855007171631</v>
      </c>
      <c r="GR100">
        <f>IF(ISERROR(INDEX(指数走势!$F$36:$ACK$36,1,LOOKUP(2,1/(指数走势!$F$36:$ACK$36&lt;&gt;""),COLUMN(指数走势!$F$36:$ACK$36))-COLUMN(指数走势!$F$36)+1-760+199)),NA(),IF(INDEX(指数走势!$F$36:$ACK$36,1,LOOKUP(2,1/(指数走势!$F$36:$ACK$36&lt;&gt;""),COLUMN(指数走势!$F$36:$ACK$36))-COLUMN(指数走势!$F$36)+1-760+199)=0,NA(),INDEX(指数走势!$F$36:$ACK$36,1,LOOKUP(2,1/(指数走势!$F$36:$ACK$36&lt;&gt;""),COLUMN(指数走势!$F$36:$ACK$36))-COLUMN(指数走势!$F$36)+1-760+199)))</f>
        <v>28.334400177002</v>
      </c>
      <c r="GS100">
        <f>IF(ISERROR(INDEX(指数走势!$F$36:$ACK$36,1,LOOKUP(2,1/(指数走势!$F$36:$ACK$36&lt;&gt;""),COLUMN(指数走势!$F$36:$ACK$36))-COLUMN(指数走势!$F$36)+1-760+200)),NA(),IF(INDEX(指数走势!$F$36:$ACK$36,1,LOOKUP(2,1/(指数走势!$F$36:$ACK$36&lt;&gt;""),COLUMN(指数走势!$F$36:$ACK$36))-COLUMN(指数走势!$F$36)+1-760+200)=0,NA(),INDEX(指数走势!$F$36:$ACK$36,1,LOOKUP(2,1/(指数走势!$F$36:$ACK$36&lt;&gt;""),COLUMN(指数走势!$F$36:$ACK$36))-COLUMN(指数走势!$F$36)+1-760+200)))</f>
        <v>28.578800201416</v>
      </c>
      <c r="GT100">
        <f>IF(ISERROR(INDEX(指数走势!$F$36:$ACK$36,1,LOOKUP(2,1/(指数走势!$F$36:$ACK$36&lt;&gt;""),COLUMN(指数走势!$F$36:$ACK$36))-COLUMN(指数走势!$F$36)+1-760+201)),NA(),IF(INDEX(指数走势!$F$36:$ACK$36,1,LOOKUP(2,1/(指数走势!$F$36:$ACK$36&lt;&gt;""),COLUMN(指数走势!$F$36:$ACK$36))-COLUMN(指数走势!$F$36)+1-760+201)=0,NA(),INDEX(指数走势!$F$36:$ACK$36,1,LOOKUP(2,1/(指数走势!$F$36:$ACK$36&lt;&gt;""),COLUMN(指数走势!$F$36:$ACK$36))-COLUMN(指数走势!$F$36)+1-760+201)))</f>
        <v>28.4067001342773</v>
      </c>
      <c r="GU100">
        <f>IF(ISERROR(INDEX(指数走势!$F$36:$ACK$36,1,LOOKUP(2,1/(指数走势!$F$36:$ACK$36&lt;&gt;""),COLUMN(指数走势!$F$36:$ACK$36))-COLUMN(指数走势!$F$36)+1-760+202)),NA(),IF(INDEX(指数走势!$F$36:$ACK$36,1,LOOKUP(2,1/(指数走势!$F$36:$ACK$36&lt;&gt;""),COLUMN(指数走势!$F$36:$ACK$36))-COLUMN(指数走势!$F$36)+1-760+202)=0,NA(),INDEX(指数走势!$F$36:$ACK$36,1,LOOKUP(2,1/(指数走势!$F$36:$ACK$36&lt;&gt;""),COLUMN(指数走势!$F$36:$ACK$36))-COLUMN(指数走势!$F$36)+1-760+202)))</f>
        <v>28.2467002868652</v>
      </c>
      <c r="GV100">
        <f>IF(ISERROR(INDEX(指数走势!$F$36:$ACK$36,1,LOOKUP(2,1/(指数走势!$F$36:$ACK$36&lt;&gt;""),COLUMN(指数走势!$F$36:$ACK$36))-COLUMN(指数走势!$F$36)+1-760+203)),NA(),IF(INDEX(指数走势!$F$36:$ACK$36,1,LOOKUP(2,1/(指数走势!$F$36:$ACK$36&lt;&gt;""),COLUMN(指数走势!$F$36:$ACK$36))-COLUMN(指数走势!$F$36)+1-760+203)=0,NA(),INDEX(指数走势!$F$36:$ACK$36,1,LOOKUP(2,1/(指数走势!$F$36:$ACK$36&lt;&gt;""),COLUMN(指数走势!$F$36:$ACK$36))-COLUMN(指数走势!$F$36)+1-760+203)))</f>
        <v>28.2087001800537</v>
      </c>
      <c r="GW100">
        <f>IF(ISERROR(INDEX(指数走势!$F$36:$ACK$36,1,LOOKUP(2,1/(指数走势!$F$36:$ACK$36&lt;&gt;""),COLUMN(指数走势!$F$36:$ACK$36))-COLUMN(指数走势!$F$36)+1-760+204)),NA(),IF(INDEX(指数走势!$F$36:$ACK$36,1,LOOKUP(2,1/(指数走势!$F$36:$ACK$36&lt;&gt;""),COLUMN(指数走势!$F$36:$ACK$36))-COLUMN(指数走势!$F$36)+1-760+204)=0,NA(),INDEX(指数走势!$F$36:$ACK$36,1,LOOKUP(2,1/(指数走势!$F$36:$ACK$36&lt;&gt;""),COLUMN(指数走势!$F$36:$ACK$36))-COLUMN(指数走势!$F$36)+1-760+204)))</f>
        <v>28.8386001586914</v>
      </c>
      <c r="GX100">
        <f>IF(ISERROR(INDEX(指数走势!$F$36:$ACK$36,1,LOOKUP(2,1/(指数走势!$F$36:$ACK$36&lt;&gt;""),COLUMN(指数走势!$F$36:$ACK$36))-COLUMN(指数走势!$F$36)+1-760+205)),NA(),IF(INDEX(指数走势!$F$36:$ACK$36,1,LOOKUP(2,1/(指数走势!$F$36:$ACK$36&lt;&gt;""),COLUMN(指数走势!$F$36:$ACK$36))-COLUMN(指数走势!$F$36)+1-760+205)=0,NA(),INDEX(指数走势!$F$36:$ACK$36,1,LOOKUP(2,1/(指数走势!$F$36:$ACK$36&lt;&gt;""),COLUMN(指数走势!$F$36:$ACK$36))-COLUMN(指数走势!$F$36)+1-760+205)))</f>
        <v>28.5569000244141</v>
      </c>
      <c r="GY100">
        <f>IF(ISERROR(INDEX(指数走势!$F$36:$ACK$36,1,LOOKUP(2,1/(指数走势!$F$36:$ACK$36&lt;&gt;""),COLUMN(指数走势!$F$36:$ACK$36))-COLUMN(指数走势!$F$36)+1-760+206)),NA(),IF(INDEX(指数走势!$F$36:$ACK$36,1,LOOKUP(2,1/(指数走势!$F$36:$ACK$36&lt;&gt;""),COLUMN(指数走势!$F$36:$ACK$36))-COLUMN(指数走势!$F$36)+1-760+206)=0,NA(),INDEX(指数走势!$F$36:$ACK$36,1,LOOKUP(2,1/(指数走势!$F$36:$ACK$36&lt;&gt;""),COLUMN(指数走势!$F$36:$ACK$36))-COLUMN(指数走势!$F$36)+1-760+206)))</f>
        <v>28.6222991943359</v>
      </c>
      <c r="GZ100">
        <f>IF(ISERROR(INDEX(指数走势!$F$36:$ACK$36,1,LOOKUP(2,1/(指数走势!$F$36:$ACK$36&lt;&gt;""),COLUMN(指数走势!$F$36:$ACK$36))-COLUMN(指数走势!$F$36)+1-760+207)),NA(),IF(INDEX(指数走势!$F$36:$ACK$36,1,LOOKUP(2,1/(指数走势!$F$36:$ACK$36&lt;&gt;""),COLUMN(指数走势!$F$36:$ACK$36))-COLUMN(指数走势!$F$36)+1-760+207)=0,NA(),INDEX(指数走势!$F$36:$ACK$36,1,LOOKUP(2,1/(指数走势!$F$36:$ACK$36&lt;&gt;""),COLUMN(指数走势!$F$36:$ACK$36))-COLUMN(指数走势!$F$36)+1-760+207)))</f>
        <v>28.4435005187988</v>
      </c>
      <c r="HA100">
        <f>IF(ISERROR(INDEX(指数走势!$F$36:$ACK$36,1,LOOKUP(2,1/(指数走势!$F$36:$ACK$36&lt;&gt;""),COLUMN(指数走势!$F$36:$ACK$36))-COLUMN(指数走势!$F$36)+1-760+208)),NA(),IF(INDEX(指数走势!$F$36:$ACK$36,1,LOOKUP(2,1/(指数走势!$F$36:$ACK$36&lt;&gt;""),COLUMN(指数走势!$F$36:$ACK$36))-COLUMN(指数走势!$F$36)+1-760+208)=0,NA(),INDEX(指数走势!$F$36:$ACK$36,1,LOOKUP(2,1/(指数走势!$F$36:$ACK$36&lt;&gt;""),COLUMN(指数走势!$F$36:$ACK$36))-COLUMN(指数走势!$F$36)+1-760+208)))</f>
        <v>28.0130996704102</v>
      </c>
      <c r="HB100">
        <f>IF(ISERROR(INDEX(指数走势!$F$36:$ACK$36,1,LOOKUP(2,1/(指数走势!$F$36:$ACK$36&lt;&gt;""),COLUMN(指数走势!$F$36:$ACK$36))-COLUMN(指数走势!$F$36)+1-760+209)),NA(),IF(INDEX(指数走势!$F$36:$ACK$36,1,LOOKUP(2,1/(指数走势!$F$36:$ACK$36&lt;&gt;""),COLUMN(指数走势!$F$36:$ACK$36))-COLUMN(指数走势!$F$36)+1-760+209)=0,NA(),INDEX(指数走势!$F$36:$ACK$36,1,LOOKUP(2,1/(指数走势!$F$36:$ACK$36&lt;&gt;""),COLUMN(指数走势!$F$36:$ACK$36))-COLUMN(指数走势!$F$36)+1-760+209)))</f>
        <v>27.4836006164551</v>
      </c>
      <c r="HC100">
        <f>IF(ISERROR(INDEX(指数走势!$F$36:$ACK$36,1,LOOKUP(2,1/(指数走势!$F$36:$ACK$36&lt;&gt;""),COLUMN(指数走势!$F$36:$ACK$36))-COLUMN(指数走势!$F$36)+1-760+210)),NA(),IF(INDEX(指数走势!$F$36:$ACK$36,1,LOOKUP(2,1/(指数走势!$F$36:$ACK$36&lt;&gt;""),COLUMN(指数走势!$F$36:$ACK$36))-COLUMN(指数走势!$F$36)+1-760+210)=0,NA(),INDEX(指数走势!$F$36:$ACK$36,1,LOOKUP(2,1/(指数走势!$F$36:$ACK$36&lt;&gt;""),COLUMN(指数走势!$F$36:$ACK$36))-COLUMN(指数走势!$F$36)+1-760+210)))</f>
        <v>27.6186008453369</v>
      </c>
      <c r="HD100">
        <f>IF(ISERROR(INDEX(指数走势!$F$36:$ACK$36,1,LOOKUP(2,1/(指数走势!$F$36:$ACK$36&lt;&gt;""),COLUMN(指数走势!$F$36:$ACK$36))-COLUMN(指数走势!$F$36)+1-760+211)),NA(),IF(INDEX(指数走势!$F$36:$ACK$36,1,LOOKUP(2,1/(指数走势!$F$36:$ACK$36&lt;&gt;""),COLUMN(指数走势!$F$36:$ACK$36))-COLUMN(指数走势!$F$36)+1-760+211)=0,NA(),INDEX(指数走势!$F$36:$ACK$36,1,LOOKUP(2,1/(指数走势!$F$36:$ACK$36&lt;&gt;""),COLUMN(指数走势!$F$36:$ACK$36))-COLUMN(指数走势!$F$36)+1-760+211)))</f>
        <v>26.8880004882813</v>
      </c>
      <c r="HE100">
        <f>IF(ISERROR(INDEX(指数走势!$F$36:$ACK$36,1,LOOKUP(2,1/(指数走势!$F$36:$ACK$36&lt;&gt;""),COLUMN(指数走势!$F$36:$ACK$36))-COLUMN(指数走势!$F$36)+1-760+212)),NA(),IF(INDEX(指数走势!$F$36:$ACK$36,1,LOOKUP(2,1/(指数走势!$F$36:$ACK$36&lt;&gt;""),COLUMN(指数走势!$F$36:$ACK$36))-COLUMN(指数走势!$F$36)+1-760+212)=0,NA(),INDEX(指数走势!$F$36:$ACK$36,1,LOOKUP(2,1/(指数走势!$F$36:$ACK$36&lt;&gt;""),COLUMN(指数走势!$F$36:$ACK$36))-COLUMN(指数走势!$F$36)+1-760+212)))</f>
        <v>27.0965003967285</v>
      </c>
      <c r="HF100">
        <f>IF(ISERROR(INDEX(指数走势!$F$36:$ACK$36,1,LOOKUP(2,1/(指数走势!$F$36:$ACK$36&lt;&gt;""),COLUMN(指数走势!$F$36:$ACK$36))-COLUMN(指数走势!$F$36)+1-760+213)),NA(),IF(INDEX(指数走势!$F$36:$ACK$36,1,LOOKUP(2,1/(指数走势!$F$36:$ACK$36&lt;&gt;""),COLUMN(指数走势!$F$36:$ACK$36))-COLUMN(指数走势!$F$36)+1-760+213)=0,NA(),INDEX(指数走势!$F$36:$ACK$36,1,LOOKUP(2,1/(指数走势!$F$36:$ACK$36&lt;&gt;""),COLUMN(指数走势!$F$36:$ACK$36))-COLUMN(指数走势!$F$36)+1-760+213)))</f>
        <v>27.304500579834</v>
      </c>
      <c r="HG100">
        <f>IF(ISERROR(INDEX(指数走势!$F$36:$ACK$36,1,LOOKUP(2,1/(指数走势!$F$36:$ACK$36&lt;&gt;""),COLUMN(指数走势!$F$36:$ACK$36))-COLUMN(指数走势!$F$36)+1-760+214)),NA(),IF(INDEX(指数走势!$F$36:$ACK$36,1,LOOKUP(2,1/(指数走势!$F$36:$ACK$36&lt;&gt;""),COLUMN(指数走势!$F$36:$ACK$36))-COLUMN(指数走势!$F$36)+1-760+214)=0,NA(),INDEX(指数走势!$F$36:$ACK$36,1,LOOKUP(2,1/(指数走势!$F$36:$ACK$36&lt;&gt;""),COLUMN(指数走势!$F$36:$ACK$36))-COLUMN(指数走势!$F$36)+1-760+214)))</f>
        <v>27.9542007446289</v>
      </c>
      <c r="HH100">
        <f>IF(ISERROR(INDEX(指数走势!$F$36:$ACK$36,1,LOOKUP(2,1/(指数走势!$F$36:$ACK$36&lt;&gt;""),COLUMN(指数走势!$F$36:$ACK$36))-COLUMN(指数走势!$F$36)+1-760+215)),NA(),IF(INDEX(指数走势!$F$36:$ACK$36,1,LOOKUP(2,1/(指数走势!$F$36:$ACK$36&lt;&gt;""),COLUMN(指数走势!$F$36:$ACK$36))-COLUMN(指数走势!$F$36)+1-760+215)=0,NA(),INDEX(指数走势!$F$36:$ACK$36,1,LOOKUP(2,1/(指数走势!$F$36:$ACK$36&lt;&gt;""),COLUMN(指数走势!$F$36:$ACK$36))-COLUMN(指数走势!$F$36)+1-760+215)))</f>
        <v>27.8129005432129</v>
      </c>
      <c r="HI100">
        <f>IF(ISERROR(INDEX(指数走势!$F$36:$ACK$36,1,LOOKUP(2,1/(指数走势!$F$36:$ACK$36&lt;&gt;""),COLUMN(指数走势!$F$36:$ACK$36))-COLUMN(指数走势!$F$36)+1-760+216)),NA(),IF(INDEX(指数走势!$F$36:$ACK$36,1,LOOKUP(2,1/(指数走势!$F$36:$ACK$36&lt;&gt;""),COLUMN(指数走势!$F$36:$ACK$36))-COLUMN(指数走势!$F$36)+1-760+216)=0,NA(),INDEX(指数走势!$F$36:$ACK$36,1,LOOKUP(2,1/(指数走势!$F$36:$ACK$36&lt;&gt;""),COLUMN(指数走势!$F$36:$ACK$36))-COLUMN(指数走势!$F$36)+1-760+216)))</f>
        <v>27.5184001922607</v>
      </c>
      <c r="HJ100">
        <f>IF(ISERROR(INDEX(指数走势!$F$36:$ACK$36,1,LOOKUP(2,1/(指数走势!$F$36:$ACK$36&lt;&gt;""),COLUMN(指数走势!$F$36:$ACK$36))-COLUMN(指数走势!$F$36)+1-760+217)),NA(),IF(INDEX(指数走势!$F$36:$ACK$36,1,LOOKUP(2,1/(指数走势!$F$36:$ACK$36&lt;&gt;""),COLUMN(指数走势!$F$36:$ACK$36))-COLUMN(指数走势!$F$36)+1-760+217)=0,NA(),INDEX(指数走势!$F$36:$ACK$36,1,LOOKUP(2,1/(指数走势!$F$36:$ACK$36&lt;&gt;""),COLUMN(指数走势!$F$36:$ACK$36))-COLUMN(指数走势!$F$36)+1-760+217)))</f>
        <v>27.0270004272461</v>
      </c>
      <c r="HK100">
        <f>IF(ISERROR(INDEX(指数走势!$F$36:$ACK$36,1,LOOKUP(2,1/(指数走势!$F$36:$ACK$36&lt;&gt;""),COLUMN(指数走势!$F$36:$ACK$36))-COLUMN(指数走势!$F$36)+1-760+218)),NA(),IF(INDEX(指数走势!$F$36:$ACK$36,1,LOOKUP(2,1/(指数走势!$F$36:$ACK$36&lt;&gt;""),COLUMN(指数走势!$F$36:$ACK$36))-COLUMN(指数走势!$F$36)+1-760+218)=0,NA(),INDEX(指数走势!$F$36:$ACK$36,1,LOOKUP(2,1/(指数走势!$F$36:$ACK$36&lt;&gt;""),COLUMN(指数走势!$F$36:$ACK$36))-COLUMN(指数走势!$F$36)+1-760+218)))</f>
        <v>27.3488998413086</v>
      </c>
      <c r="HL100">
        <f>IF(ISERROR(INDEX(指数走势!$F$36:$ACK$36,1,LOOKUP(2,1/(指数走势!$F$36:$ACK$36&lt;&gt;""),COLUMN(指数走势!$F$36:$ACK$36))-COLUMN(指数走势!$F$36)+1-760+219)),NA(),IF(INDEX(指数走势!$F$36:$ACK$36,1,LOOKUP(2,1/(指数走势!$F$36:$ACK$36&lt;&gt;""),COLUMN(指数走势!$F$36:$ACK$36))-COLUMN(指数走势!$F$36)+1-760+219)=0,NA(),INDEX(指数走势!$F$36:$ACK$36,1,LOOKUP(2,1/(指数走势!$F$36:$ACK$36&lt;&gt;""),COLUMN(指数走势!$F$36:$ACK$36))-COLUMN(指数走势!$F$36)+1-760+219)))</f>
        <v>26.8390998840332</v>
      </c>
      <c r="HM100">
        <f>IF(ISERROR(INDEX(指数走势!$F$36:$ACK$36,1,LOOKUP(2,1/(指数走势!$F$36:$ACK$36&lt;&gt;""),COLUMN(指数走势!$F$36:$ACK$36))-COLUMN(指数走势!$F$36)+1-760+220)),NA(),IF(INDEX(指数走势!$F$36:$ACK$36,1,LOOKUP(2,1/(指数走势!$F$36:$ACK$36&lt;&gt;""),COLUMN(指数走势!$F$36:$ACK$36))-COLUMN(指数走势!$F$36)+1-760+220)=0,NA(),INDEX(指数走势!$F$36:$ACK$36,1,LOOKUP(2,1/(指数走势!$F$36:$ACK$36&lt;&gt;""),COLUMN(指数走势!$F$36:$ACK$36))-COLUMN(指数走势!$F$36)+1-760+220)))</f>
        <v>26.7126007080078</v>
      </c>
      <c r="HN100">
        <f>IF(ISERROR(INDEX(指数走势!$F$36:$ACK$36,1,LOOKUP(2,1/(指数走势!$F$36:$ACK$36&lt;&gt;""),COLUMN(指数走势!$F$36:$ACK$36))-COLUMN(指数走势!$F$36)+1-760+221)),NA(),IF(INDEX(指数走势!$F$36:$ACK$36,1,LOOKUP(2,1/(指数走势!$F$36:$ACK$36&lt;&gt;""),COLUMN(指数走势!$F$36:$ACK$36))-COLUMN(指数走势!$F$36)+1-760+221)=0,NA(),INDEX(指数走势!$F$36:$ACK$36,1,LOOKUP(2,1/(指数走势!$F$36:$ACK$36&lt;&gt;""),COLUMN(指数走势!$F$36:$ACK$36))-COLUMN(指数走势!$F$36)+1-760+221)))</f>
        <v>26.3985004425049</v>
      </c>
      <c r="HO100">
        <f>IF(ISERROR(INDEX(指数走势!$F$36:$ACK$36,1,LOOKUP(2,1/(指数走势!$F$36:$ACK$36&lt;&gt;""),COLUMN(指数走势!$F$36:$ACK$36))-COLUMN(指数走势!$F$36)+1-760+222)),NA(),IF(INDEX(指数走势!$F$36:$ACK$36,1,LOOKUP(2,1/(指数走势!$F$36:$ACK$36&lt;&gt;""),COLUMN(指数走势!$F$36:$ACK$36))-COLUMN(指数走势!$F$36)+1-760+222)=0,NA(),INDEX(指数走势!$F$36:$ACK$36,1,LOOKUP(2,1/(指数走势!$F$36:$ACK$36&lt;&gt;""),COLUMN(指数走势!$F$36:$ACK$36))-COLUMN(指数走势!$F$36)+1-760+222)))</f>
        <v>26.8539009094238</v>
      </c>
      <c r="HP100">
        <f>IF(ISERROR(INDEX(指数走势!$F$36:$ACK$36,1,LOOKUP(2,1/(指数走势!$F$36:$ACK$36&lt;&gt;""),COLUMN(指数走势!$F$36:$ACK$36))-COLUMN(指数走势!$F$36)+1-760+223)),NA(),IF(INDEX(指数走势!$F$36:$ACK$36,1,LOOKUP(2,1/(指数走势!$F$36:$ACK$36&lt;&gt;""),COLUMN(指数走势!$F$36:$ACK$36))-COLUMN(指数走势!$F$36)+1-760+223)=0,NA(),INDEX(指数走势!$F$36:$ACK$36,1,LOOKUP(2,1/(指数走势!$F$36:$ACK$36&lt;&gt;""),COLUMN(指数走势!$F$36:$ACK$36))-COLUMN(指数走势!$F$36)+1-760+223)))</f>
        <v>26.238899230957</v>
      </c>
      <c r="HQ100">
        <f>IF(ISERROR(INDEX(指数走势!$F$36:$ACK$36,1,LOOKUP(2,1/(指数走势!$F$36:$ACK$36&lt;&gt;""),COLUMN(指数走势!$F$36:$ACK$36))-COLUMN(指数走势!$F$36)+1-760+224)),NA(),IF(INDEX(指数走势!$F$36:$ACK$36,1,LOOKUP(2,1/(指数走势!$F$36:$ACK$36&lt;&gt;""),COLUMN(指数走势!$F$36:$ACK$36))-COLUMN(指数走势!$F$36)+1-760+224)=0,NA(),INDEX(指数走势!$F$36:$ACK$36,1,LOOKUP(2,1/(指数走势!$F$36:$ACK$36&lt;&gt;""),COLUMN(指数走势!$F$36:$ACK$36))-COLUMN(指数走势!$F$36)+1-760+224)))</f>
        <v>26.7882995605469</v>
      </c>
      <c r="HR100">
        <f>IF(ISERROR(INDEX(指数走势!$F$36:$ACK$36,1,LOOKUP(2,1/(指数走势!$F$36:$ACK$36&lt;&gt;""),COLUMN(指数走势!$F$36:$ACK$36))-COLUMN(指数走势!$F$36)+1-760+225)),NA(),IF(INDEX(指数走势!$F$36:$ACK$36,1,LOOKUP(2,1/(指数走势!$F$36:$ACK$36&lt;&gt;""),COLUMN(指数走势!$F$36:$ACK$36))-COLUMN(指数走势!$F$36)+1-760+225)=0,NA(),INDEX(指数走势!$F$36:$ACK$36,1,LOOKUP(2,1/(指数走势!$F$36:$ACK$36&lt;&gt;""),COLUMN(指数走势!$F$36:$ACK$36))-COLUMN(指数走势!$F$36)+1-760+225)))</f>
        <v>26.6900005340576</v>
      </c>
      <c r="HS100">
        <f>IF(ISERROR(INDEX(指数走势!$F$36:$ACK$36,1,LOOKUP(2,1/(指数走势!$F$36:$ACK$36&lt;&gt;""),COLUMN(指数走势!$F$36:$ACK$36))-COLUMN(指数走势!$F$36)+1-760+226)),NA(),IF(INDEX(指数走势!$F$36:$ACK$36,1,LOOKUP(2,1/(指数走势!$F$36:$ACK$36&lt;&gt;""),COLUMN(指数走势!$F$36:$ACK$36))-COLUMN(指数走势!$F$36)+1-760+226)=0,NA(),INDEX(指数走势!$F$36:$ACK$36,1,LOOKUP(2,1/(指数走势!$F$36:$ACK$36&lt;&gt;""),COLUMN(指数走势!$F$36:$ACK$36))-COLUMN(指数走势!$F$36)+1-760+226)))</f>
        <v>26.2154006958008</v>
      </c>
      <c r="HT100">
        <f>IF(ISERROR(INDEX(指数走势!$F$36:$ACK$36,1,LOOKUP(2,1/(指数走势!$F$36:$ACK$36&lt;&gt;""),COLUMN(指数走势!$F$36:$ACK$36))-COLUMN(指数走势!$F$36)+1-760+227)),NA(),IF(INDEX(指数走势!$F$36:$ACK$36,1,LOOKUP(2,1/(指数走势!$F$36:$ACK$36&lt;&gt;""),COLUMN(指数走势!$F$36:$ACK$36))-COLUMN(指数走势!$F$36)+1-760+227)=0,NA(),INDEX(指数走势!$F$36:$ACK$36,1,LOOKUP(2,1/(指数走势!$F$36:$ACK$36&lt;&gt;""),COLUMN(指数走势!$F$36:$ACK$36))-COLUMN(指数走势!$F$36)+1-760+227)))</f>
        <v>25.8715000152588</v>
      </c>
      <c r="HU100">
        <f>IF(ISERROR(INDEX(指数走势!$F$36:$ACK$36,1,LOOKUP(2,1/(指数走势!$F$36:$ACK$36&lt;&gt;""),COLUMN(指数走势!$F$36:$ACK$36))-COLUMN(指数走势!$F$36)+1-760+228)),NA(),IF(INDEX(指数走势!$F$36:$ACK$36,1,LOOKUP(2,1/(指数走势!$F$36:$ACK$36&lt;&gt;""),COLUMN(指数走势!$F$36:$ACK$36))-COLUMN(指数走势!$F$36)+1-760+228)=0,NA(),INDEX(指数走势!$F$36:$ACK$36,1,LOOKUP(2,1/(指数走势!$F$36:$ACK$36&lt;&gt;""),COLUMN(指数走势!$F$36:$ACK$36))-COLUMN(指数走势!$F$36)+1-760+228)))</f>
        <v>25.8267002105713</v>
      </c>
      <c r="HV100">
        <f>IF(ISERROR(INDEX(指数走势!$F$36:$ACK$36,1,LOOKUP(2,1/(指数走势!$F$36:$ACK$36&lt;&gt;""),COLUMN(指数走势!$F$36:$ACK$36))-COLUMN(指数走势!$F$36)+1-760+229)),NA(),IF(INDEX(指数走势!$F$36:$ACK$36,1,LOOKUP(2,1/(指数走势!$F$36:$ACK$36&lt;&gt;""),COLUMN(指数走势!$F$36:$ACK$36))-COLUMN(指数走势!$F$36)+1-760+229)=0,NA(),INDEX(指数走势!$F$36:$ACK$36,1,LOOKUP(2,1/(指数走势!$F$36:$ACK$36&lt;&gt;""),COLUMN(指数走势!$F$36:$ACK$36))-COLUMN(指数走势!$F$36)+1-760+229)))</f>
        <v>26.2604999542236</v>
      </c>
      <c r="HW100">
        <f>IF(ISERROR(INDEX(指数走势!$F$36:$ACK$36,1,LOOKUP(2,1/(指数走势!$F$36:$ACK$36&lt;&gt;""),COLUMN(指数走势!$F$36:$ACK$36))-COLUMN(指数走势!$F$36)+1-760+230)),NA(),IF(INDEX(指数走势!$F$36:$ACK$36,1,LOOKUP(2,1/(指数走势!$F$36:$ACK$36&lt;&gt;""),COLUMN(指数走势!$F$36:$ACK$36))-COLUMN(指数走势!$F$36)+1-760+230)=0,NA(),INDEX(指数走势!$F$36:$ACK$36,1,LOOKUP(2,1/(指数走势!$F$36:$ACK$36&lt;&gt;""),COLUMN(指数走势!$F$36:$ACK$36))-COLUMN(指数走势!$F$36)+1-760+230)))</f>
        <v>26.9493999481201</v>
      </c>
      <c r="HX100">
        <f>IF(ISERROR(INDEX(指数走势!$F$36:$ACK$36,1,LOOKUP(2,1/(指数走势!$F$36:$ACK$36&lt;&gt;""),COLUMN(指数走势!$F$36:$ACK$36))-COLUMN(指数走势!$F$36)+1-760+231)),NA(),IF(INDEX(指数走势!$F$36:$ACK$36,1,LOOKUP(2,1/(指数走势!$F$36:$ACK$36&lt;&gt;""),COLUMN(指数走势!$F$36:$ACK$36))-COLUMN(指数走势!$F$36)+1-760+231)=0,NA(),INDEX(指数走势!$F$36:$ACK$36,1,LOOKUP(2,1/(指数走势!$F$36:$ACK$36&lt;&gt;""),COLUMN(指数走势!$F$36:$ACK$36))-COLUMN(指数走势!$F$36)+1-760+231)))</f>
        <v>27.8840999603271</v>
      </c>
      <c r="HY100">
        <f>IF(ISERROR(INDEX(指数走势!$F$36:$ACK$36,1,LOOKUP(2,1/(指数走势!$F$36:$ACK$36&lt;&gt;""),COLUMN(指数走势!$F$36:$ACK$36))-COLUMN(指数走势!$F$36)+1-760+232)),NA(),IF(INDEX(指数走势!$F$36:$ACK$36,1,LOOKUP(2,1/(指数走势!$F$36:$ACK$36&lt;&gt;""),COLUMN(指数走势!$F$36:$ACK$36))-COLUMN(指数走势!$F$36)+1-760+232)=0,NA(),INDEX(指数走势!$F$36:$ACK$36,1,LOOKUP(2,1/(指数走势!$F$36:$ACK$36&lt;&gt;""),COLUMN(指数走势!$F$36:$ACK$36))-COLUMN(指数走势!$F$36)+1-760+232)))</f>
        <v>28.8649005889893</v>
      </c>
      <c r="HZ100">
        <f>IF(ISERROR(INDEX(指数走势!$F$36:$ACK$36,1,LOOKUP(2,1/(指数走势!$F$36:$ACK$36&lt;&gt;""),COLUMN(指数走势!$F$36:$ACK$36))-COLUMN(指数走势!$F$36)+1-760+233)),NA(),IF(INDEX(指数走势!$F$36:$ACK$36,1,LOOKUP(2,1/(指数走势!$F$36:$ACK$36&lt;&gt;""),COLUMN(指数走势!$F$36:$ACK$36))-COLUMN(指数走势!$F$36)+1-760+233)=0,NA(),INDEX(指数走势!$F$36:$ACK$36,1,LOOKUP(2,1/(指数走势!$F$36:$ACK$36&lt;&gt;""),COLUMN(指数走势!$F$36:$ACK$36))-COLUMN(指数走势!$F$36)+1-760+233)))</f>
        <v>28.5545997619629</v>
      </c>
      <c r="IA100">
        <f>IF(ISERROR(INDEX(指数走势!$F$36:$ACK$36,1,LOOKUP(2,1/(指数走势!$F$36:$ACK$36&lt;&gt;""),COLUMN(指数走势!$F$36:$ACK$36))-COLUMN(指数走势!$F$36)+1-760+234)),NA(),IF(INDEX(指数走势!$F$36:$ACK$36,1,LOOKUP(2,1/(指数走势!$F$36:$ACK$36&lt;&gt;""),COLUMN(指数走势!$F$36:$ACK$36))-COLUMN(指数走势!$F$36)+1-760+234)=0,NA(),INDEX(指数走势!$F$36:$ACK$36,1,LOOKUP(2,1/(指数走势!$F$36:$ACK$36&lt;&gt;""),COLUMN(指数走势!$F$36:$ACK$36))-COLUMN(指数走势!$F$36)+1-760+234)))</f>
        <v>29.1623001098633</v>
      </c>
      <c r="IB100">
        <f>IF(ISERROR(INDEX(指数走势!$F$36:$ACK$36,1,LOOKUP(2,1/(指数走势!$F$36:$ACK$36&lt;&gt;""),COLUMN(指数走势!$F$36:$ACK$36))-COLUMN(指数走势!$F$36)+1-760+235)),NA(),IF(INDEX(指数走势!$F$36:$ACK$36,1,LOOKUP(2,1/(指数走势!$F$36:$ACK$36&lt;&gt;""),COLUMN(指数走势!$F$36:$ACK$36))-COLUMN(指数走势!$F$36)+1-760+235)=0,NA(),INDEX(指数走势!$F$36:$ACK$36,1,LOOKUP(2,1/(指数走势!$F$36:$ACK$36&lt;&gt;""),COLUMN(指数走势!$F$36:$ACK$36))-COLUMN(指数走势!$F$36)+1-760+235)))</f>
        <v>29.1383991241455</v>
      </c>
      <c r="IC100">
        <f>IF(ISERROR(INDEX(指数走势!$F$36:$ACK$36,1,LOOKUP(2,1/(指数走势!$F$36:$ACK$36&lt;&gt;""),COLUMN(指数走势!$F$36:$ACK$36))-COLUMN(指数走势!$F$36)+1-760+236)),NA(),IF(INDEX(指数走势!$F$36:$ACK$36,1,LOOKUP(2,1/(指数走势!$F$36:$ACK$36&lt;&gt;""),COLUMN(指数走势!$F$36:$ACK$36))-COLUMN(指数走势!$F$36)+1-760+236)=0,NA(),INDEX(指数走势!$F$36:$ACK$36,1,LOOKUP(2,1/(指数走势!$F$36:$ACK$36&lt;&gt;""),COLUMN(指数走势!$F$36:$ACK$36))-COLUMN(指数走势!$F$36)+1-760+236)))</f>
        <v>28.713399887085</v>
      </c>
      <c r="ID100">
        <f>IF(ISERROR(INDEX(指数走势!$F$36:$ACK$36,1,LOOKUP(2,1/(指数走势!$F$36:$ACK$36&lt;&gt;""),COLUMN(指数走势!$F$36:$ACK$36))-COLUMN(指数走势!$F$36)+1-760+237)),NA(),IF(INDEX(指数走势!$F$36:$ACK$36,1,LOOKUP(2,1/(指数走势!$F$36:$ACK$36&lt;&gt;""),COLUMN(指数走势!$F$36:$ACK$36))-COLUMN(指数走势!$F$36)+1-760+237)=0,NA(),INDEX(指数走势!$F$36:$ACK$36,1,LOOKUP(2,1/(指数走势!$F$36:$ACK$36&lt;&gt;""),COLUMN(指数走势!$F$36:$ACK$36))-COLUMN(指数走势!$F$36)+1-760+237)))</f>
        <v>29.2215995788574</v>
      </c>
      <c r="IE100">
        <f>IF(ISERROR(INDEX(指数走势!$F$36:$ACK$36,1,LOOKUP(2,1/(指数走势!$F$36:$ACK$36&lt;&gt;""),COLUMN(指数走势!$F$36:$ACK$36))-COLUMN(指数走势!$F$36)+1-760+238)),NA(),IF(INDEX(指数走势!$F$36:$ACK$36,1,LOOKUP(2,1/(指数走势!$F$36:$ACK$36&lt;&gt;""),COLUMN(指数走势!$F$36:$ACK$36))-COLUMN(指数走势!$F$36)+1-760+238)=0,NA(),INDEX(指数走势!$F$36:$ACK$36,1,LOOKUP(2,1/(指数走势!$F$36:$ACK$36&lt;&gt;""),COLUMN(指数走势!$F$36:$ACK$36))-COLUMN(指数走势!$F$36)+1-760+238)))</f>
        <v>28.8840007781982</v>
      </c>
      <c r="IF100">
        <f>IF(ISERROR(INDEX(指数走势!$F$36:$ACK$36,1,LOOKUP(2,1/(指数走势!$F$36:$ACK$36&lt;&gt;""),COLUMN(指数走势!$F$36:$ACK$36))-COLUMN(指数走势!$F$36)+1-760+239)),NA(),IF(INDEX(指数走势!$F$36:$ACK$36,1,LOOKUP(2,1/(指数走势!$F$36:$ACK$36&lt;&gt;""),COLUMN(指数走势!$F$36:$ACK$36))-COLUMN(指数走势!$F$36)+1-760+239)=0,NA(),INDEX(指数走势!$F$36:$ACK$36,1,LOOKUP(2,1/(指数走势!$F$36:$ACK$36&lt;&gt;""),COLUMN(指数走势!$F$36:$ACK$36))-COLUMN(指数走势!$F$36)+1-760+239)))</f>
        <v>28.6466999053955</v>
      </c>
      <c r="IG100">
        <f>IF(ISERROR(INDEX(指数走势!$F$36:$ACK$36,1,LOOKUP(2,1/(指数走势!$F$36:$ACK$36&lt;&gt;""),COLUMN(指数走势!$F$36:$ACK$36))-COLUMN(指数走势!$F$36)+1-760+240)),NA(),IF(INDEX(指数走势!$F$36:$ACK$36,1,LOOKUP(2,1/(指数走势!$F$36:$ACK$36&lt;&gt;""),COLUMN(指数走势!$F$36:$ACK$36))-COLUMN(指数走势!$F$36)+1-760+240)=0,NA(),INDEX(指数走势!$F$36:$ACK$36,1,LOOKUP(2,1/(指数走势!$F$36:$ACK$36&lt;&gt;""),COLUMN(指数走势!$F$36:$ACK$36))-COLUMN(指数走势!$F$36)+1-760+240)))</f>
        <v>28.6210994720459</v>
      </c>
      <c r="IH100">
        <f>IF(ISERROR(INDEX(指数走势!$F$36:$ACK$36,1,LOOKUP(2,1/(指数走势!$F$36:$ACK$36&lt;&gt;""),COLUMN(指数走势!$F$36:$ACK$36))-COLUMN(指数走势!$F$36)+1-760+241)),NA(),IF(INDEX(指数走势!$F$36:$ACK$36,1,LOOKUP(2,1/(指数走势!$F$36:$ACK$36&lt;&gt;""),COLUMN(指数走势!$F$36:$ACK$36))-COLUMN(指数走势!$F$36)+1-760+241)=0,NA(),INDEX(指数走势!$F$36:$ACK$36,1,LOOKUP(2,1/(指数走势!$F$36:$ACK$36&lt;&gt;""),COLUMN(指数走势!$F$36:$ACK$36))-COLUMN(指数走势!$F$36)+1-760+241)))</f>
        <v>28.3589000701904</v>
      </c>
      <c r="II100">
        <f>IF(ISERROR(INDEX(指数走势!$F$36:$ACK$36,1,LOOKUP(2,1/(指数走势!$F$36:$ACK$36&lt;&gt;""),COLUMN(指数走势!$F$36:$ACK$36))-COLUMN(指数走势!$F$36)+1-760+242)),NA(),IF(INDEX(指数走势!$F$36:$ACK$36,1,LOOKUP(2,1/(指数走势!$F$36:$ACK$36&lt;&gt;""),COLUMN(指数走势!$F$36:$ACK$36))-COLUMN(指数走势!$F$36)+1-760+242)=0,NA(),INDEX(指数走势!$F$36:$ACK$36,1,LOOKUP(2,1/(指数走势!$F$36:$ACK$36&lt;&gt;""),COLUMN(指数走势!$F$36:$ACK$36))-COLUMN(指数走势!$F$36)+1-760+242)))</f>
        <v>28.4300994873047</v>
      </c>
      <c r="IJ100">
        <f>IF(ISERROR(INDEX(指数走势!$F$36:$ACK$36,1,LOOKUP(2,1/(指数走势!$F$36:$ACK$36&lt;&gt;""),COLUMN(指数走势!$F$36:$ACK$36))-COLUMN(指数走势!$F$36)+1-760+243)),NA(),IF(INDEX(指数走势!$F$36:$ACK$36,1,LOOKUP(2,1/(指数走势!$F$36:$ACK$36&lt;&gt;""),COLUMN(指数走势!$F$36:$ACK$36))-COLUMN(指数走势!$F$36)+1-760+243)=0,NA(),INDEX(指数走势!$F$36:$ACK$36,1,LOOKUP(2,1/(指数走势!$F$36:$ACK$36&lt;&gt;""),COLUMN(指数走势!$F$36:$ACK$36))-COLUMN(指数走势!$F$36)+1-760+243)))</f>
        <v>28.721700668335</v>
      </c>
      <c r="IK100">
        <f>IF(ISERROR(INDEX(指数走势!$F$36:$ACK$36,1,LOOKUP(2,1/(指数走势!$F$36:$ACK$36&lt;&gt;""),COLUMN(指数走势!$F$36:$ACK$36))-COLUMN(指数走势!$F$36)+1-760+244)),NA(),IF(INDEX(指数走势!$F$36:$ACK$36,1,LOOKUP(2,1/(指数走势!$F$36:$ACK$36&lt;&gt;""),COLUMN(指数走势!$F$36:$ACK$36))-COLUMN(指数走势!$F$36)+1-760+244)=0,NA(),INDEX(指数走势!$F$36:$ACK$36,1,LOOKUP(2,1/(指数走势!$F$36:$ACK$36&lt;&gt;""),COLUMN(指数走势!$F$36:$ACK$36))-COLUMN(指数走势!$F$36)+1-760+244)))</f>
        <v>28.8672008514404</v>
      </c>
      <c r="IL100">
        <f>IF(ISERROR(INDEX(指数走势!$F$36:$ACK$36,1,LOOKUP(2,1/(指数走势!$F$36:$ACK$36&lt;&gt;""),COLUMN(指数走势!$F$36:$ACK$36))-COLUMN(指数走势!$F$36)+1-760+245)),NA(),IF(INDEX(指数走势!$F$36:$ACK$36,1,LOOKUP(2,1/(指数走势!$F$36:$ACK$36&lt;&gt;""),COLUMN(指数走势!$F$36:$ACK$36))-COLUMN(指数走势!$F$36)+1-760+245)=0,NA(),INDEX(指数走势!$F$36:$ACK$36,1,LOOKUP(2,1/(指数走势!$F$36:$ACK$36&lt;&gt;""),COLUMN(指数走势!$F$36:$ACK$36))-COLUMN(指数走势!$F$36)+1-760+245)))</f>
        <v>28.6389999389648</v>
      </c>
      <c r="IM100">
        <f>IF(ISERROR(INDEX(指数走势!$F$36:$ACK$36,1,LOOKUP(2,1/(指数走势!$F$36:$ACK$36&lt;&gt;""),COLUMN(指数走势!$F$36:$ACK$36))-COLUMN(指数走势!$F$36)+1-760+246)),NA(),IF(INDEX(指数走势!$F$36:$ACK$36,1,LOOKUP(2,1/(指数走势!$F$36:$ACK$36&lt;&gt;""),COLUMN(指数走势!$F$36:$ACK$36))-COLUMN(指数走势!$F$36)+1-760+246)=0,NA(),INDEX(指数走势!$F$36:$ACK$36,1,LOOKUP(2,1/(指数走势!$F$36:$ACK$36&lt;&gt;""),COLUMN(指数走势!$F$36:$ACK$36))-COLUMN(指数走势!$F$36)+1-760+246)))</f>
        <v>28.8801002502441</v>
      </c>
      <c r="IN100">
        <f>IF(ISERROR(INDEX(指数走势!$F$36:$ACK$36,1,LOOKUP(2,1/(指数走势!$F$36:$ACK$36&lt;&gt;""),COLUMN(指数走势!$F$36:$ACK$36))-COLUMN(指数走势!$F$36)+1-760+247)),NA(),IF(INDEX(指数走势!$F$36:$ACK$36,1,LOOKUP(2,1/(指数走势!$F$36:$ACK$36&lt;&gt;""),COLUMN(指数走势!$F$36:$ACK$36))-COLUMN(指数走势!$F$36)+1-760+247)=0,NA(),INDEX(指数走势!$F$36:$ACK$36,1,LOOKUP(2,1/(指数走势!$F$36:$ACK$36&lt;&gt;""),COLUMN(指数走势!$F$36:$ACK$36))-COLUMN(指数走势!$F$36)+1-760+247)))</f>
        <v>28.4783000946045</v>
      </c>
      <c r="IO100">
        <f>IF(ISERROR(INDEX(指数走势!$F$36:$ACK$36,1,LOOKUP(2,1/(指数走势!$F$36:$ACK$36&lt;&gt;""),COLUMN(指数走势!$F$36:$ACK$36))-COLUMN(指数走势!$F$36)+1-760+248)),NA(),IF(INDEX(指数走势!$F$36:$ACK$36,1,LOOKUP(2,1/(指数走势!$F$36:$ACK$36&lt;&gt;""),COLUMN(指数走势!$F$36:$ACK$36))-COLUMN(指数走势!$F$36)+1-760+248)=0,NA(),INDEX(指数走势!$F$36:$ACK$36,1,LOOKUP(2,1/(指数走势!$F$36:$ACK$36&lt;&gt;""),COLUMN(指数走势!$F$36:$ACK$36))-COLUMN(指数走势!$F$36)+1-760+248)))</f>
        <v>27.9689998626709</v>
      </c>
      <c r="IP100">
        <f>IF(ISERROR(INDEX(指数走势!$F$36:$ACK$36,1,LOOKUP(2,1/(指数走势!$F$36:$ACK$36&lt;&gt;""),COLUMN(指数走势!$F$36:$ACK$36))-COLUMN(指数走势!$F$36)+1-760+249)),NA(),IF(INDEX(指数走势!$F$36:$ACK$36,1,LOOKUP(2,1/(指数走势!$F$36:$ACK$36&lt;&gt;""),COLUMN(指数走势!$F$36:$ACK$36))-COLUMN(指数走势!$F$36)+1-760+249)=0,NA(),INDEX(指数走势!$F$36:$ACK$36,1,LOOKUP(2,1/(指数走势!$F$36:$ACK$36&lt;&gt;""),COLUMN(指数走势!$F$36:$ACK$36))-COLUMN(指数走势!$F$36)+1-760+249)))</f>
        <v>28.1336002349854</v>
      </c>
      <c r="IQ100">
        <f>IF(ISERROR(INDEX(指数走势!$F$36:$ACK$36,1,LOOKUP(2,1/(指数走势!$F$36:$ACK$36&lt;&gt;""),COLUMN(指数走势!$F$36:$ACK$36))-COLUMN(指数走势!$F$36)+1-760+250)),NA(),IF(INDEX(指数走势!$F$36:$ACK$36,1,LOOKUP(2,1/(指数走势!$F$36:$ACK$36&lt;&gt;""),COLUMN(指数走势!$F$36:$ACK$36))-COLUMN(指数走势!$F$36)+1-760+250)=0,NA(),INDEX(指数走势!$F$36:$ACK$36,1,LOOKUP(2,1/(指数走势!$F$36:$ACK$36&lt;&gt;""),COLUMN(指数走势!$F$36:$ACK$36))-COLUMN(指数走势!$F$36)+1-760+250)))</f>
        <v>27.7742004394531</v>
      </c>
      <c r="IR100">
        <f>IF(ISERROR(INDEX(指数走势!$F$36:$ACK$36,1,LOOKUP(2,1/(指数走势!$F$36:$ACK$36&lt;&gt;""),COLUMN(指数走势!$F$36:$ACK$36))-COLUMN(指数走势!$F$36)+1-760+251)),NA(),IF(INDEX(指数走势!$F$36:$ACK$36,1,LOOKUP(2,1/(指数走势!$F$36:$ACK$36&lt;&gt;""),COLUMN(指数走势!$F$36:$ACK$36))-COLUMN(指数走势!$F$36)+1-760+251)=0,NA(),INDEX(指数走势!$F$36:$ACK$36,1,LOOKUP(2,1/(指数走势!$F$36:$ACK$36&lt;&gt;""),COLUMN(指数走势!$F$36:$ACK$36))-COLUMN(指数走势!$F$36)+1-760+251)))</f>
        <v>27.8362007141113</v>
      </c>
      <c r="IS100">
        <f>IF(ISERROR(INDEX(指数走势!$F$36:$ACK$36,1,LOOKUP(2,1/(指数走势!$F$36:$ACK$36&lt;&gt;""),COLUMN(指数走势!$F$36:$ACK$36))-COLUMN(指数走势!$F$36)+1-760+252)),NA(),IF(INDEX(指数走势!$F$36:$ACK$36,1,LOOKUP(2,1/(指数走势!$F$36:$ACK$36&lt;&gt;""),COLUMN(指数走势!$F$36:$ACK$36))-COLUMN(指数走势!$F$36)+1-760+252)=0,NA(),INDEX(指数走势!$F$36:$ACK$36,1,LOOKUP(2,1/(指数走势!$F$36:$ACK$36&lt;&gt;""),COLUMN(指数走势!$F$36:$ACK$36))-COLUMN(指数走势!$F$36)+1-760+252)))</f>
        <v>27.880500793457</v>
      </c>
      <c r="IT100">
        <f>IF(ISERROR(INDEX(指数走势!$F$36:$ACK$36,1,LOOKUP(2,1/(指数走势!$F$36:$ACK$36&lt;&gt;""),COLUMN(指数走势!$F$36:$ACK$36))-COLUMN(指数走势!$F$36)+1-760+253)),NA(),IF(INDEX(指数走势!$F$36:$ACK$36,1,LOOKUP(2,1/(指数走势!$F$36:$ACK$36&lt;&gt;""),COLUMN(指数走势!$F$36:$ACK$36))-COLUMN(指数走势!$F$36)+1-760+253)=0,NA(),INDEX(指数走势!$F$36:$ACK$36,1,LOOKUP(2,1/(指数走势!$F$36:$ACK$36&lt;&gt;""),COLUMN(指数走势!$F$36:$ACK$36))-COLUMN(指数走势!$F$36)+1-760+253)))</f>
        <v>27.738899230957</v>
      </c>
      <c r="IU100">
        <f>IF(ISERROR(INDEX(指数走势!$F$36:$ACK$36,1,LOOKUP(2,1/(指数走势!$F$36:$ACK$36&lt;&gt;""),COLUMN(指数走势!$F$36:$ACK$36))-COLUMN(指数走势!$F$36)+1-760+254)),NA(),IF(INDEX(指数走势!$F$36:$ACK$36,1,LOOKUP(2,1/(指数走势!$F$36:$ACK$36&lt;&gt;""),COLUMN(指数走势!$F$36:$ACK$36))-COLUMN(指数走势!$F$36)+1-760+254)=0,NA(),INDEX(指数走势!$F$36:$ACK$36,1,LOOKUP(2,1/(指数走势!$F$36:$ACK$36&lt;&gt;""),COLUMN(指数走势!$F$36:$ACK$36))-COLUMN(指数走势!$F$36)+1-760+254)))</f>
        <v>27.9395999908447</v>
      </c>
      <c r="IV100">
        <f>IF(ISERROR(INDEX(指数走势!$F$36:$ACK$36,1,LOOKUP(2,1/(指数走势!$F$36:$ACK$36&lt;&gt;""),COLUMN(指数走势!$F$36:$ACK$36))-COLUMN(指数走势!$F$36)+1-760+255)),NA(),IF(INDEX(指数走势!$F$36:$ACK$36,1,LOOKUP(2,1/(指数走势!$F$36:$ACK$36&lt;&gt;""),COLUMN(指数走势!$F$36:$ACK$36))-COLUMN(指数走势!$F$36)+1-760+255)=0,NA(),INDEX(指数走势!$F$36:$ACK$36,1,LOOKUP(2,1/(指数走势!$F$36:$ACK$36&lt;&gt;""),COLUMN(指数走势!$F$36:$ACK$36))-COLUMN(指数走势!$F$36)+1-760+255)))</f>
        <v>28.2833003997803</v>
      </c>
      <c r="IW100">
        <f>IF(ISERROR(INDEX(指数走势!$F$36:$ACK$36,1,LOOKUP(2,1/(指数走势!$F$36:$ACK$36&lt;&gt;""),COLUMN(指数走势!$F$36:$ACK$36))-COLUMN(指数走势!$F$36)+1-760+256)),NA(),IF(INDEX(指数走势!$F$36:$ACK$36,1,LOOKUP(2,1/(指数走势!$F$36:$ACK$36&lt;&gt;""),COLUMN(指数走势!$F$36:$ACK$36))-COLUMN(指数走势!$F$36)+1-760+256)=0,NA(),INDEX(指数走势!$F$36:$ACK$36,1,LOOKUP(2,1/(指数走势!$F$36:$ACK$36&lt;&gt;""),COLUMN(指数走势!$F$36:$ACK$36))-COLUMN(指数走势!$F$36)+1-760+256)))</f>
        <v>28.158899307251</v>
      </c>
      <c r="IX100">
        <f>IF(ISERROR(INDEX(指数走势!$F$36:$ACK$36,1,LOOKUP(2,1/(指数走势!$F$36:$ACK$36&lt;&gt;""),COLUMN(指数走势!$F$36:$ACK$36))-COLUMN(指数走势!$F$36)+1-760+257)),NA(),IF(INDEX(指数走势!$F$36:$ACK$36,1,LOOKUP(2,1/(指数走势!$F$36:$ACK$36&lt;&gt;""),COLUMN(指数走势!$F$36:$ACK$36))-COLUMN(指数走势!$F$36)+1-760+257)=0,NA(),INDEX(指数走势!$F$36:$ACK$36,1,LOOKUP(2,1/(指数走势!$F$36:$ACK$36&lt;&gt;""),COLUMN(指数走势!$F$36:$ACK$36))-COLUMN(指数走势!$F$36)+1-760+257)))</f>
        <v>27.9438991546631</v>
      </c>
      <c r="IY100">
        <f>IF(ISERROR(INDEX(指数走势!$F$36:$ACK$36,1,LOOKUP(2,1/(指数走势!$F$36:$ACK$36&lt;&gt;""),COLUMN(指数走势!$F$36:$ACK$36))-COLUMN(指数走势!$F$36)+1-760+258)),NA(),IF(INDEX(指数走势!$F$36:$ACK$36,1,LOOKUP(2,1/(指数走势!$F$36:$ACK$36&lt;&gt;""),COLUMN(指数走势!$F$36:$ACK$36))-COLUMN(指数走势!$F$36)+1-760+258)=0,NA(),INDEX(指数走势!$F$36:$ACK$36,1,LOOKUP(2,1/(指数走势!$F$36:$ACK$36&lt;&gt;""),COLUMN(指数走势!$F$36:$ACK$36))-COLUMN(指数走势!$F$36)+1-760+258)))</f>
        <v>27.3876991271973</v>
      </c>
      <c r="IZ100">
        <f>IF(ISERROR(INDEX(指数走势!$F$36:$ACK$36,1,LOOKUP(2,1/(指数走势!$F$36:$ACK$36&lt;&gt;""),COLUMN(指数走势!$F$36:$ACK$36))-COLUMN(指数走势!$F$36)+1-760+259)),NA(),IF(INDEX(指数走势!$F$36:$ACK$36,1,LOOKUP(2,1/(指数走势!$F$36:$ACK$36&lt;&gt;""),COLUMN(指数走势!$F$36:$ACK$36))-COLUMN(指数走势!$F$36)+1-760+259)=0,NA(),INDEX(指数走势!$F$36:$ACK$36,1,LOOKUP(2,1/(指数走势!$F$36:$ACK$36&lt;&gt;""),COLUMN(指数走势!$F$36:$ACK$36))-COLUMN(指数走势!$F$36)+1-760+259)))</f>
        <v>27.5062999725342</v>
      </c>
      <c r="JA100">
        <f>IF(ISERROR(INDEX(指数走势!$F$36:$ACK$36,1,LOOKUP(2,1/(指数走势!$F$36:$ACK$36&lt;&gt;""),COLUMN(指数走势!$F$36:$ACK$36))-COLUMN(指数走势!$F$36)+1-760+260)),NA(),IF(INDEX(指数走势!$F$36:$ACK$36,1,LOOKUP(2,1/(指数走势!$F$36:$ACK$36&lt;&gt;""),COLUMN(指数走势!$F$36:$ACK$36))-COLUMN(指数走势!$F$36)+1-760+260)=0,NA(),INDEX(指数走势!$F$36:$ACK$36,1,LOOKUP(2,1/(指数走势!$F$36:$ACK$36&lt;&gt;""),COLUMN(指数走势!$F$36:$ACK$36))-COLUMN(指数走势!$F$36)+1-760+260)))</f>
        <v>27.3820991516113</v>
      </c>
      <c r="JB100">
        <f>IF(ISERROR(INDEX(指数走势!$F$36:$ACK$36,1,LOOKUP(2,1/(指数走势!$F$36:$ACK$36&lt;&gt;""),COLUMN(指数走势!$F$36:$ACK$36))-COLUMN(指数走势!$F$36)+1-760+261)),NA(),IF(INDEX(指数走势!$F$36:$ACK$36,1,LOOKUP(2,1/(指数走势!$F$36:$ACK$36&lt;&gt;""),COLUMN(指数走势!$F$36:$ACK$36))-COLUMN(指数走势!$F$36)+1-760+261)=0,NA(),INDEX(指数走势!$F$36:$ACK$36,1,LOOKUP(2,1/(指数走势!$F$36:$ACK$36&lt;&gt;""),COLUMN(指数走势!$F$36:$ACK$36))-COLUMN(指数走势!$F$36)+1-760+261)))</f>
        <v>27.335599899292</v>
      </c>
      <c r="JC100">
        <f>IF(ISERROR(INDEX(指数走势!$F$36:$ACK$36,1,LOOKUP(2,1/(指数走势!$F$36:$ACK$36&lt;&gt;""),COLUMN(指数走势!$F$36:$ACK$36))-COLUMN(指数走势!$F$36)+1-760+262)),NA(),IF(INDEX(指数走势!$F$36:$ACK$36,1,LOOKUP(2,1/(指数走势!$F$36:$ACK$36&lt;&gt;""),COLUMN(指数走势!$F$36:$ACK$36))-COLUMN(指数走势!$F$36)+1-760+262)=0,NA(),INDEX(指数走势!$F$36:$ACK$36,1,LOOKUP(2,1/(指数走势!$F$36:$ACK$36&lt;&gt;""),COLUMN(指数走势!$F$36:$ACK$36))-COLUMN(指数走势!$F$36)+1-760+262)))</f>
        <v>27.4724998474121</v>
      </c>
      <c r="JD100">
        <f>IF(ISERROR(INDEX(指数走势!$F$36:$ACK$36,1,LOOKUP(2,1/(指数走势!$F$36:$ACK$36&lt;&gt;""),COLUMN(指数走势!$F$36:$ACK$36))-COLUMN(指数走势!$F$36)+1-760+263)),NA(),IF(INDEX(指数走势!$F$36:$ACK$36,1,LOOKUP(2,1/(指数走势!$F$36:$ACK$36&lt;&gt;""),COLUMN(指数走势!$F$36:$ACK$36))-COLUMN(指数走势!$F$36)+1-760+263)=0,NA(),INDEX(指数走势!$F$36:$ACK$36,1,LOOKUP(2,1/(指数走势!$F$36:$ACK$36&lt;&gt;""),COLUMN(指数走势!$F$36:$ACK$36))-COLUMN(指数走势!$F$36)+1-760+263)))</f>
        <v>27.7150001525879</v>
      </c>
      <c r="JE100">
        <f>IF(ISERROR(INDEX(指数走势!$F$36:$ACK$36,1,LOOKUP(2,1/(指数走势!$F$36:$ACK$36&lt;&gt;""),COLUMN(指数走势!$F$36:$ACK$36))-COLUMN(指数走势!$F$36)+1-760+264)),NA(),IF(INDEX(指数走势!$F$36:$ACK$36,1,LOOKUP(2,1/(指数走势!$F$36:$ACK$36&lt;&gt;""),COLUMN(指数走势!$F$36:$ACK$36))-COLUMN(指数走势!$F$36)+1-760+264)=0,NA(),INDEX(指数走势!$F$36:$ACK$36,1,LOOKUP(2,1/(指数走势!$F$36:$ACK$36&lt;&gt;""),COLUMN(指数走势!$F$36:$ACK$36))-COLUMN(指数走势!$F$36)+1-760+264)))</f>
        <v>27.75950050354</v>
      </c>
      <c r="JF100">
        <f>IF(ISERROR(INDEX(指数走势!$F$36:$ACK$36,1,LOOKUP(2,1/(指数走势!$F$36:$ACK$36&lt;&gt;""),COLUMN(指数走势!$F$36:$ACK$36))-COLUMN(指数走势!$F$36)+1-760+265)),NA(),IF(INDEX(指数走势!$F$36:$ACK$36,1,LOOKUP(2,1/(指数走势!$F$36:$ACK$36&lt;&gt;""),COLUMN(指数走势!$F$36:$ACK$36))-COLUMN(指数走势!$F$36)+1-760+265)=0,NA(),INDEX(指数走势!$F$36:$ACK$36,1,LOOKUP(2,1/(指数走势!$F$36:$ACK$36&lt;&gt;""),COLUMN(指数走势!$F$36:$ACK$36))-COLUMN(指数走势!$F$36)+1-760+265)))</f>
        <v>27.4381999969482</v>
      </c>
      <c r="JG100">
        <f>IF(ISERROR(INDEX(指数走势!$F$36:$ACK$36,1,LOOKUP(2,1/(指数走势!$F$36:$ACK$36&lt;&gt;""),COLUMN(指数走势!$F$36:$ACK$36))-COLUMN(指数走势!$F$36)+1-760+266)),NA(),IF(INDEX(指数走势!$F$36:$ACK$36,1,LOOKUP(2,1/(指数走势!$F$36:$ACK$36&lt;&gt;""),COLUMN(指数走势!$F$36:$ACK$36))-COLUMN(指数走势!$F$36)+1-760+266)=0,NA(),INDEX(指数走势!$F$36:$ACK$36,1,LOOKUP(2,1/(指数走势!$F$36:$ACK$36&lt;&gt;""),COLUMN(指数走势!$F$36:$ACK$36))-COLUMN(指数走势!$F$36)+1-760+266)))</f>
        <v>27.0583000183105</v>
      </c>
      <c r="JH100">
        <f>IF(ISERROR(INDEX(指数走势!$F$36:$ACK$36,1,LOOKUP(2,1/(指数走势!$F$36:$ACK$36&lt;&gt;""),COLUMN(指数走势!$F$36:$ACK$36))-COLUMN(指数走势!$F$36)+1-760+267)),NA(),IF(INDEX(指数走势!$F$36:$ACK$36,1,LOOKUP(2,1/(指数走势!$F$36:$ACK$36&lt;&gt;""),COLUMN(指数走势!$F$36:$ACK$36))-COLUMN(指数走势!$F$36)+1-760+267)=0,NA(),INDEX(指数走势!$F$36:$ACK$36,1,LOOKUP(2,1/(指数走势!$F$36:$ACK$36&lt;&gt;""),COLUMN(指数走势!$F$36:$ACK$36))-COLUMN(指数走势!$F$36)+1-760+267)))</f>
        <v>26.9479007720947</v>
      </c>
      <c r="JI100">
        <f>IF(ISERROR(INDEX(指数走势!$F$36:$ACK$36,1,LOOKUP(2,1/(指数走势!$F$36:$ACK$36&lt;&gt;""),COLUMN(指数走势!$F$36:$ACK$36))-COLUMN(指数走势!$F$36)+1-760+268)),NA(),IF(INDEX(指数走势!$F$36:$ACK$36,1,LOOKUP(2,1/(指数走势!$F$36:$ACK$36&lt;&gt;""),COLUMN(指数走势!$F$36:$ACK$36))-COLUMN(指数走势!$F$36)+1-760+268)=0,NA(),INDEX(指数走势!$F$36:$ACK$36,1,LOOKUP(2,1/(指数走势!$F$36:$ACK$36&lt;&gt;""),COLUMN(指数走势!$F$36:$ACK$36))-COLUMN(指数走势!$F$36)+1-760+268)))</f>
        <v>26.5741004943848</v>
      </c>
      <c r="JJ100">
        <f>IF(ISERROR(INDEX(指数走势!$F$36:$ACK$36,1,LOOKUP(2,1/(指数走势!$F$36:$ACK$36&lt;&gt;""),COLUMN(指数走势!$F$36:$ACK$36))-COLUMN(指数走势!$F$36)+1-760+269)),NA(),IF(INDEX(指数走势!$F$36:$ACK$36,1,LOOKUP(2,1/(指数走势!$F$36:$ACK$36&lt;&gt;""),COLUMN(指数走势!$F$36:$ACK$36))-COLUMN(指数走势!$F$36)+1-760+269)=0,NA(),INDEX(指数走势!$F$36:$ACK$36,1,LOOKUP(2,1/(指数走势!$F$36:$ACK$36&lt;&gt;""),COLUMN(指数走势!$F$36:$ACK$36))-COLUMN(指数走势!$F$36)+1-760+269)))</f>
        <v>26.11669921875</v>
      </c>
      <c r="JK100">
        <f>IF(ISERROR(INDEX(指数走势!$F$36:$ACK$36,1,LOOKUP(2,1/(指数走势!$F$36:$ACK$36&lt;&gt;""),COLUMN(指数走势!$F$36:$ACK$36))-COLUMN(指数走势!$F$36)+1-760+270)),NA(),IF(INDEX(指数走势!$F$36:$ACK$36,1,LOOKUP(2,1/(指数走势!$F$36:$ACK$36&lt;&gt;""),COLUMN(指数走势!$F$36:$ACK$36))-COLUMN(指数走势!$F$36)+1-760+270)=0,NA(),INDEX(指数走势!$F$36:$ACK$36,1,LOOKUP(2,1/(指数走势!$F$36:$ACK$36&lt;&gt;""),COLUMN(指数走势!$F$36:$ACK$36))-COLUMN(指数走势!$F$36)+1-760+270)))</f>
        <v>26.584400177002</v>
      </c>
      <c r="JL100">
        <f>IF(ISERROR(INDEX(指数走势!$F$36:$ACK$36,1,LOOKUP(2,1/(指数走势!$F$36:$ACK$36&lt;&gt;""),COLUMN(指数走势!$F$36:$ACK$36))-COLUMN(指数走势!$F$36)+1-760+271)),NA(),IF(INDEX(指数走势!$F$36:$ACK$36,1,LOOKUP(2,1/(指数走势!$F$36:$ACK$36&lt;&gt;""),COLUMN(指数走势!$F$36:$ACK$36))-COLUMN(指数走势!$F$36)+1-760+271)=0,NA(),INDEX(指数走势!$F$36:$ACK$36,1,LOOKUP(2,1/(指数走势!$F$36:$ACK$36&lt;&gt;""),COLUMN(指数走势!$F$36:$ACK$36))-COLUMN(指数走势!$F$36)+1-760+271)))</f>
        <v>26.1805992126465</v>
      </c>
      <c r="JM100">
        <f>IF(ISERROR(INDEX(指数走势!$F$36:$ACK$36,1,LOOKUP(2,1/(指数走势!$F$36:$ACK$36&lt;&gt;""),COLUMN(指数走势!$F$36:$ACK$36))-COLUMN(指数走势!$F$36)+1-760+272)),NA(),IF(INDEX(指数走势!$F$36:$ACK$36,1,LOOKUP(2,1/(指数走势!$F$36:$ACK$36&lt;&gt;""),COLUMN(指数走势!$F$36:$ACK$36))-COLUMN(指数走势!$F$36)+1-760+272)=0,NA(),INDEX(指数走势!$F$36:$ACK$36,1,LOOKUP(2,1/(指数走势!$F$36:$ACK$36&lt;&gt;""),COLUMN(指数走势!$F$36:$ACK$36))-COLUMN(指数走势!$F$36)+1-760+272)))</f>
        <v>25.8757991790771</v>
      </c>
      <c r="JN100">
        <f>IF(ISERROR(INDEX(指数走势!$F$36:$ACK$36,1,LOOKUP(2,1/(指数走势!$F$36:$ACK$36&lt;&gt;""),COLUMN(指数走势!$F$36:$ACK$36))-COLUMN(指数走势!$F$36)+1-760+273)),NA(),IF(INDEX(指数走势!$F$36:$ACK$36,1,LOOKUP(2,1/(指数走势!$F$36:$ACK$36&lt;&gt;""),COLUMN(指数走势!$F$36:$ACK$36))-COLUMN(指数走势!$F$36)+1-760+273)=0,NA(),INDEX(指数走势!$F$36:$ACK$36,1,LOOKUP(2,1/(指数走势!$F$36:$ACK$36&lt;&gt;""),COLUMN(指数走势!$F$36:$ACK$36))-COLUMN(指数走势!$F$36)+1-760+273)))</f>
        <v>25.8414993286133</v>
      </c>
      <c r="JO100">
        <f>IF(ISERROR(INDEX(指数走势!$F$36:$ACK$36,1,LOOKUP(2,1/(指数走势!$F$36:$ACK$36&lt;&gt;""),COLUMN(指数走势!$F$36:$ACK$36))-COLUMN(指数走势!$F$36)+1-760+274)),NA(),IF(INDEX(指数走势!$F$36:$ACK$36,1,LOOKUP(2,1/(指数走势!$F$36:$ACK$36&lt;&gt;""),COLUMN(指数走势!$F$36:$ACK$36))-COLUMN(指数走势!$F$36)+1-760+274)=0,NA(),INDEX(指数走势!$F$36:$ACK$36,1,LOOKUP(2,1/(指数走势!$F$36:$ACK$36&lt;&gt;""),COLUMN(指数走势!$F$36:$ACK$36))-COLUMN(指数走势!$F$36)+1-760+274)))</f>
        <v>25.5522003173828</v>
      </c>
      <c r="JP100">
        <f>IF(ISERROR(INDEX(指数走势!$F$36:$ACK$36,1,LOOKUP(2,1/(指数走势!$F$36:$ACK$36&lt;&gt;""),COLUMN(指数走势!$F$36:$ACK$36))-COLUMN(指数走势!$F$36)+1-760+275)),NA(),IF(INDEX(指数走势!$F$36:$ACK$36,1,LOOKUP(2,1/(指数走势!$F$36:$ACK$36&lt;&gt;""),COLUMN(指数走势!$F$36:$ACK$36))-COLUMN(指数走势!$F$36)+1-760+275)=0,NA(),INDEX(指数走势!$F$36:$ACK$36,1,LOOKUP(2,1/(指数走势!$F$36:$ACK$36&lt;&gt;""),COLUMN(指数走势!$F$36:$ACK$36))-COLUMN(指数走势!$F$36)+1-760+275)))</f>
        <v>25.4755992889404</v>
      </c>
      <c r="JQ100">
        <f>IF(ISERROR(INDEX(指数走势!$F$36:$ACK$36,1,LOOKUP(2,1/(指数走势!$F$36:$ACK$36&lt;&gt;""),COLUMN(指数走势!$F$36:$ACK$36))-COLUMN(指数走势!$F$36)+1-760+276)),NA(),IF(INDEX(指数走势!$F$36:$ACK$36,1,LOOKUP(2,1/(指数走势!$F$36:$ACK$36&lt;&gt;""),COLUMN(指数走势!$F$36:$ACK$36))-COLUMN(指数走势!$F$36)+1-760+276)=0,NA(),INDEX(指数走势!$F$36:$ACK$36,1,LOOKUP(2,1/(指数走势!$F$36:$ACK$36&lt;&gt;""),COLUMN(指数走势!$F$36:$ACK$36))-COLUMN(指数走势!$F$36)+1-760+276)))</f>
        <v>25.2567005157471</v>
      </c>
      <c r="JR100">
        <f>IF(ISERROR(INDEX(指数走势!$F$36:$ACK$36,1,LOOKUP(2,1/(指数走势!$F$36:$ACK$36&lt;&gt;""),COLUMN(指数走势!$F$36:$ACK$36))-COLUMN(指数走势!$F$36)+1-760+277)),NA(),IF(INDEX(指数走势!$F$36:$ACK$36,1,LOOKUP(2,1/(指数走势!$F$36:$ACK$36&lt;&gt;""),COLUMN(指数走势!$F$36:$ACK$36))-COLUMN(指数走势!$F$36)+1-760+277)=0,NA(),INDEX(指数走势!$F$36:$ACK$36,1,LOOKUP(2,1/(指数走势!$F$36:$ACK$36&lt;&gt;""),COLUMN(指数走势!$F$36:$ACK$36))-COLUMN(指数走势!$F$36)+1-760+277)))</f>
        <v>25.3994007110596</v>
      </c>
      <c r="JS100">
        <f>IF(ISERROR(INDEX(指数走势!$F$36:$ACK$36,1,LOOKUP(2,1/(指数走势!$F$36:$ACK$36&lt;&gt;""),COLUMN(指数走势!$F$36:$ACK$36))-COLUMN(指数走势!$F$36)+1-760+278)),NA(),IF(INDEX(指数走势!$F$36:$ACK$36,1,LOOKUP(2,1/(指数走势!$F$36:$ACK$36&lt;&gt;""),COLUMN(指数走势!$F$36:$ACK$36))-COLUMN(指数走势!$F$36)+1-760+278)=0,NA(),INDEX(指数走势!$F$36:$ACK$36,1,LOOKUP(2,1/(指数走势!$F$36:$ACK$36&lt;&gt;""),COLUMN(指数走势!$F$36:$ACK$36))-COLUMN(指数走势!$F$36)+1-760+278)))</f>
        <v>24.9860992431641</v>
      </c>
      <c r="JT100">
        <f>IF(ISERROR(INDEX(指数走势!$F$36:$ACK$36,1,LOOKUP(2,1/(指数走势!$F$36:$ACK$36&lt;&gt;""),COLUMN(指数走势!$F$36:$ACK$36))-COLUMN(指数走势!$F$36)+1-760+279)),NA(),IF(INDEX(指数走势!$F$36:$ACK$36,1,LOOKUP(2,1/(指数走势!$F$36:$ACK$36&lt;&gt;""),COLUMN(指数走势!$F$36:$ACK$36))-COLUMN(指数走势!$F$36)+1-760+279)=0,NA(),INDEX(指数走势!$F$36:$ACK$36,1,LOOKUP(2,1/(指数走势!$F$36:$ACK$36&lt;&gt;""),COLUMN(指数走势!$F$36:$ACK$36))-COLUMN(指数走势!$F$36)+1-760+279)))</f>
        <v>25.3075008392334</v>
      </c>
      <c r="JU100">
        <f>IF(ISERROR(INDEX(指数走势!$F$36:$ACK$36,1,LOOKUP(2,1/(指数走势!$F$36:$ACK$36&lt;&gt;""),COLUMN(指数走势!$F$36:$ACK$36))-COLUMN(指数走势!$F$36)+1-760+280)),NA(),IF(INDEX(指数走势!$F$36:$ACK$36,1,LOOKUP(2,1/(指数走势!$F$36:$ACK$36&lt;&gt;""),COLUMN(指数走势!$F$36:$ACK$36))-COLUMN(指数走势!$F$36)+1-760+280)=0,NA(),INDEX(指数走势!$F$36:$ACK$36,1,LOOKUP(2,1/(指数走势!$F$36:$ACK$36&lt;&gt;""),COLUMN(指数走势!$F$36:$ACK$36))-COLUMN(指数走势!$F$36)+1-760+280)))</f>
        <v>25.2341995239258</v>
      </c>
      <c r="JV100">
        <f>IF(ISERROR(INDEX(指数走势!$F$36:$ACK$36,1,LOOKUP(2,1/(指数走势!$F$36:$ACK$36&lt;&gt;""),COLUMN(指数走势!$F$36:$ACK$36))-COLUMN(指数走势!$F$36)+1-760+281)),NA(),IF(INDEX(指数走势!$F$36:$ACK$36,1,LOOKUP(2,1/(指数走势!$F$36:$ACK$36&lt;&gt;""),COLUMN(指数走势!$F$36:$ACK$36))-COLUMN(指数走势!$F$36)+1-760+281)=0,NA(),INDEX(指数走势!$F$36:$ACK$36,1,LOOKUP(2,1/(指数走势!$F$36:$ACK$36&lt;&gt;""),COLUMN(指数走势!$F$36:$ACK$36))-COLUMN(指数走势!$F$36)+1-760+281)))</f>
        <v>25.785400390625</v>
      </c>
      <c r="JW100">
        <f>IF(ISERROR(INDEX(指数走势!$F$36:$ACK$36,1,LOOKUP(2,1/(指数走势!$F$36:$ACK$36&lt;&gt;""),COLUMN(指数走势!$F$36:$ACK$36))-COLUMN(指数走势!$F$36)+1-760+282)),NA(),IF(INDEX(指数走势!$F$36:$ACK$36,1,LOOKUP(2,1/(指数走势!$F$36:$ACK$36&lt;&gt;""),COLUMN(指数走势!$F$36:$ACK$36))-COLUMN(指数走势!$F$36)+1-760+282)=0,NA(),INDEX(指数走势!$F$36:$ACK$36,1,LOOKUP(2,1/(指数走势!$F$36:$ACK$36&lt;&gt;""),COLUMN(指数走势!$F$36:$ACK$36))-COLUMN(指数走势!$F$36)+1-760+282)))</f>
        <v>25.7835998535156</v>
      </c>
      <c r="JX100">
        <f>IF(ISERROR(INDEX(指数走势!$F$36:$ACK$36,1,LOOKUP(2,1/(指数走势!$F$36:$ACK$36&lt;&gt;""),COLUMN(指数走势!$F$36:$ACK$36))-COLUMN(指数走势!$F$36)+1-760+283)),NA(),IF(INDEX(指数走势!$F$36:$ACK$36,1,LOOKUP(2,1/(指数走势!$F$36:$ACK$36&lt;&gt;""),COLUMN(指数走势!$F$36:$ACK$36))-COLUMN(指数走势!$F$36)+1-760+283)=0,NA(),INDEX(指数走势!$F$36:$ACK$36,1,LOOKUP(2,1/(指数走势!$F$36:$ACK$36&lt;&gt;""),COLUMN(指数走势!$F$36:$ACK$36))-COLUMN(指数走势!$F$36)+1-760+283)))</f>
        <v>25.5886993408203</v>
      </c>
      <c r="JY100">
        <f>IF(ISERROR(INDEX(指数走势!$F$36:$ACK$36,1,LOOKUP(2,1/(指数走势!$F$36:$ACK$36&lt;&gt;""),COLUMN(指数走势!$F$36:$ACK$36))-COLUMN(指数走势!$F$36)+1-760+284)),NA(),IF(INDEX(指数走势!$F$36:$ACK$36,1,LOOKUP(2,1/(指数走势!$F$36:$ACK$36&lt;&gt;""),COLUMN(指数走势!$F$36:$ACK$36))-COLUMN(指数走势!$F$36)+1-760+284)=0,NA(),INDEX(指数走势!$F$36:$ACK$36,1,LOOKUP(2,1/(指数走势!$F$36:$ACK$36&lt;&gt;""),COLUMN(指数走势!$F$36:$ACK$36))-COLUMN(指数走势!$F$36)+1-760+284)))</f>
        <v>25.9062995910645</v>
      </c>
      <c r="JZ100">
        <f>IF(ISERROR(INDEX(指数走势!$F$36:$ACK$36,1,LOOKUP(2,1/(指数走势!$F$36:$ACK$36&lt;&gt;""),COLUMN(指数走势!$F$36:$ACK$36))-COLUMN(指数走势!$F$36)+1-760+285)),NA(),IF(INDEX(指数走势!$F$36:$ACK$36,1,LOOKUP(2,1/(指数走势!$F$36:$ACK$36&lt;&gt;""),COLUMN(指数走势!$F$36:$ACK$36))-COLUMN(指数走势!$F$36)+1-760+285)=0,NA(),INDEX(指数走势!$F$36:$ACK$36,1,LOOKUP(2,1/(指数走势!$F$36:$ACK$36&lt;&gt;""),COLUMN(指数走势!$F$36:$ACK$36))-COLUMN(指数走势!$F$36)+1-760+285)))</f>
        <v>25.956600189209</v>
      </c>
      <c r="KA100">
        <f>IF(ISERROR(INDEX(指数走势!$F$36:$ACK$36,1,LOOKUP(2,1/(指数走势!$F$36:$ACK$36&lt;&gt;""),COLUMN(指数走势!$F$36:$ACK$36))-COLUMN(指数走势!$F$36)+1-760+286)),NA(),IF(INDEX(指数走势!$F$36:$ACK$36,1,LOOKUP(2,1/(指数走势!$F$36:$ACK$36&lt;&gt;""),COLUMN(指数走势!$F$36:$ACK$36))-COLUMN(指数走势!$F$36)+1-760+286)=0,NA(),INDEX(指数走势!$F$36:$ACK$36,1,LOOKUP(2,1/(指数走势!$F$36:$ACK$36&lt;&gt;""),COLUMN(指数走势!$F$36:$ACK$36))-COLUMN(指数走势!$F$36)+1-760+286)))</f>
        <v>26.2926006317139</v>
      </c>
      <c r="KB100">
        <f>IF(ISERROR(INDEX(指数走势!$F$36:$ACK$36,1,LOOKUP(2,1/(指数走势!$F$36:$ACK$36&lt;&gt;""),COLUMN(指数走势!$F$36:$ACK$36))-COLUMN(指数走势!$F$36)+1-760+287)),NA(),IF(INDEX(指数走势!$F$36:$ACK$36,1,LOOKUP(2,1/(指数走势!$F$36:$ACK$36&lt;&gt;""),COLUMN(指数走势!$F$36:$ACK$36))-COLUMN(指数走势!$F$36)+1-760+287)=0,NA(),INDEX(指数走势!$F$36:$ACK$36,1,LOOKUP(2,1/(指数走势!$F$36:$ACK$36&lt;&gt;""),COLUMN(指数走势!$F$36:$ACK$36))-COLUMN(指数走势!$F$36)+1-760+287)))</f>
        <v>26.4069995880127</v>
      </c>
      <c r="KC100">
        <f>IF(ISERROR(INDEX(指数走势!$F$36:$ACK$36,1,LOOKUP(2,1/(指数走势!$F$36:$ACK$36&lt;&gt;""),COLUMN(指数走势!$F$36:$ACK$36))-COLUMN(指数走势!$F$36)+1-760+288)),NA(),IF(INDEX(指数走势!$F$36:$ACK$36,1,LOOKUP(2,1/(指数走势!$F$36:$ACK$36&lt;&gt;""),COLUMN(指数走势!$F$36:$ACK$36))-COLUMN(指数走势!$F$36)+1-760+288)=0,NA(),INDEX(指数走势!$F$36:$ACK$36,1,LOOKUP(2,1/(指数走势!$F$36:$ACK$36&lt;&gt;""),COLUMN(指数走势!$F$36:$ACK$36))-COLUMN(指数走势!$F$36)+1-760+288)))</f>
        <v>26.359899520874</v>
      </c>
      <c r="KD100">
        <f>IF(ISERROR(INDEX(指数走势!$F$36:$ACK$36,1,LOOKUP(2,1/(指数走势!$F$36:$ACK$36&lt;&gt;""),COLUMN(指数走势!$F$36:$ACK$36))-COLUMN(指数走势!$F$36)+1-760+289)),NA(),IF(INDEX(指数走势!$F$36:$ACK$36,1,LOOKUP(2,1/(指数走势!$F$36:$ACK$36&lt;&gt;""),COLUMN(指数走势!$F$36:$ACK$36))-COLUMN(指数走势!$F$36)+1-760+289)=0,NA(),INDEX(指数走势!$F$36:$ACK$36,1,LOOKUP(2,1/(指数走势!$F$36:$ACK$36&lt;&gt;""),COLUMN(指数走势!$F$36:$ACK$36))-COLUMN(指数走势!$F$36)+1-760+289)))</f>
        <v>25.5387992858887</v>
      </c>
      <c r="KE100">
        <f>IF(ISERROR(INDEX(指数走势!$F$36:$ACK$36,1,LOOKUP(2,1/(指数走势!$F$36:$ACK$36&lt;&gt;""),COLUMN(指数走势!$F$36:$ACK$36))-COLUMN(指数走势!$F$36)+1-760+290)),NA(),IF(INDEX(指数走势!$F$36:$ACK$36,1,LOOKUP(2,1/(指数走势!$F$36:$ACK$36&lt;&gt;""),COLUMN(指数走势!$F$36:$ACK$36))-COLUMN(指数走势!$F$36)+1-760+290)=0,NA(),INDEX(指数走势!$F$36:$ACK$36,1,LOOKUP(2,1/(指数走势!$F$36:$ACK$36&lt;&gt;""),COLUMN(指数走势!$F$36:$ACK$36))-COLUMN(指数走势!$F$36)+1-760+290)))</f>
        <v>25.2334003448486</v>
      </c>
      <c r="KF100">
        <f>IF(ISERROR(INDEX(指数走势!$F$36:$ACK$36,1,LOOKUP(2,1/(指数走势!$F$36:$ACK$36&lt;&gt;""),COLUMN(指数走势!$F$36:$ACK$36))-COLUMN(指数走势!$F$36)+1-760+291)),NA(),IF(INDEX(指数走势!$F$36:$ACK$36,1,LOOKUP(2,1/(指数走势!$F$36:$ACK$36&lt;&gt;""),COLUMN(指数走势!$F$36:$ACK$36))-COLUMN(指数走势!$F$36)+1-760+291)=0,NA(),INDEX(指数走势!$F$36:$ACK$36,1,LOOKUP(2,1/(指数走势!$F$36:$ACK$36&lt;&gt;""),COLUMN(指数走势!$F$36:$ACK$36))-COLUMN(指数走势!$F$36)+1-760+291)))</f>
        <v>25.1868991851807</v>
      </c>
      <c r="KG100">
        <f>IF(ISERROR(INDEX(指数走势!$F$36:$ACK$36,1,LOOKUP(2,1/(指数走势!$F$36:$ACK$36&lt;&gt;""),COLUMN(指数走势!$F$36:$ACK$36))-COLUMN(指数走势!$F$36)+1-760+292)),NA(),IF(INDEX(指数走势!$F$36:$ACK$36,1,LOOKUP(2,1/(指数走势!$F$36:$ACK$36&lt;&gt;""),COLUMN(指数走势!$F$36:$ACK$36))-COLUMN(指数走势!$F$36)+1-760+292)=0,NA(),INDEX(指数走势!$F$36:$ACK$36,1,LOOKUP(2,1/(指数走势!$F$36:$ACK$36&lt;&gt;""),COLUMN(指数走势!$F$36:$ACK$36))-COLUMN(指数走势!$F$36)+1-760+292)))</f>
        <v>25.3950004577637</v>
      </c>
      <c r="KH100">
        <f>IF(ISERROR(INDEX(指数走势!$F$36:$ACK$36,1,LOOKUP(2,1/(指数走势!$F$36:$ACK$36&lt;&gt;""),COLUMN(指数走势!$F$36:$ACK$36))-COLUMN(指数走势!$F$36)+1-760+293)),NA(),IF(INDEX(指数走势!$F$36:$ACK$36,1,LOOKUP(2,1/(指数走势!$F$36:$ACK$36&lt;&gt;""),COLUMN(指数走势!$F$36:$ACK$36))-COLUMN(指数走势!$F$36)+1-760+293)=0,NA(),INDEX(指数走势!$F$36:$ACK$36,1,LOOKUP(2,1/(指数走势!$F$36:$ACK$36&lt;&gt;""),COLUMN(指数走势!$F$36:$ACK$36))-COLUMN(指数走势!$F$36)+1-760+293)))</f>
        <v>24.7998008728027</v>
      </c>
      <c r="KI100">
        <f>IF(ISERROR(INDEX(指数走势!$F$36:$ACK$36,1,LOOKUP(2,1/(指数走势!$F$36:$ACK$36&lt;&gt;""),COLUMN(指数走势!$F$36:$ACK$36))-COLUMN(指数走势!$F$36)+1-760+294)),NA(),IF(INDEX(指数走势!$F$36:$ACK$36,1,LOOKUP(2,1/(指数走势!$F$36:$ACK$36&lt;&gt;""),COLUMN(指数走势!$F$36:$ACK$36))-COLUMN(指数走势!$F$36)+1-760+294)=0,NA(),INDEX(指数走势!$F$36:$ACK$36,1,LOOKUP(2,1/(指数走势!$F$36:$ACK$36&lt;&gt;""),COLUMN(指数走势!$F$36:$ACK$36))-COLUMN(指数走势!$F$36)+1-760+294)))</f>
        <v>24.7145004272461</v>
      </c>
      <c r="KJ100">
        <f>IF(ISERROR(INDEX(指数走势!$F$36:$ACK$36,1,LOOKUP(2,1/(指数走势!$F$36:$ACK$36&lt;&gt;""),COLUMN(指数走势!$F$36:$ACK$36))-COLUMN(指数走势!$F$36)+1-760+295)),NA(),IF(INDEX(指数走势!$F$36:$ACK$36,1,LOOKUP(2,1/(指数走势!$F$36:$ACK$36&lt;&gt;""),COLUMN(指数走势!$F$36:$ACK$36))-COLUMN(指数走势!$F$36)+1-760+295)=0,NA(),INDEX(指数走势!$F$36:$ACK$36,1,LOOKUP(2,1/(指数走势!$F$36:$ACK$36&lt;&gt;""),COLUMN(指数走势!$F$36:$ACK$36))-COLUMN(指数走势!$F$36)+1-760+295)))</f>
        <v>25.6065998077393</v>
      </c>
      <c r="KK100">
        <f>IF(ISERROR(INDEX(指数走势!$F$36:$ACK$36,1,LOOKUP(2,1/(指数走势!$F$36:$ACK$36&lt;&gt;""),COLUMN(指数走势!$F$36:$ACK$36))-COLUMN(指数走势!$F$36)+1-760+296)),NA(),IF(INDEX(指数走势!$F$36:$ACK$36,1,LOOKUP(2,1/(指数走势!$F$36:$ACK$36&lt;&gt;""),COLUMN(指数走势!$F$36:$ACK$36))-COLUMN(指数走势!$F$36)+1-760+296)=0,NA(),INDEX(指数走势!$F$36:$ACK$36,1,LOOKUP(2,1/(指数走势!$F$36:$ACK$36&lt;&gt;""),COLUMN(指数走势!$F$36:$ACK$36))-COLUMN(指数走势!$F$36)+1-760+296)))</f>
        <v>25.2600994110107</v>
      </c>
      <c r="KL100">
        <f>IF(ISERROR(INDEX(指数走势!$F$36:$ACK$36,1,LOOKUP(2,1/(指数走势!$F$36:$ACK$36&lt;&gt;""),COLUMN(指数走势!$F$36:$ACK$36))-COLUMN(指数走势!$F$36)+1-760+297)),NA(),IF(INDEX(指数走势!$F$36:$ACK$36,1,LOOKUP(2,1/(指数走势!$F$36:$ACK$36&lt;&gt;""),COLUMN(指数走势!$F$36:$ACK$36))-COLUMN(指数走势!$F$36)+1-760+297)=0,NA(),INDEX(指数走势!$F$36:$ACK$36,1,LOOKUP(2,1/(指数走势!$F$36:$ACK$36&lt;&gt;""),COLUMN(指数走势!$F$36:$ACK$36))-COLUMN(指数走势!$F$36)+1-760+297)))</f>
        <v>24.9179992675781</v>
      </c>
      <c r="KM100">
        <f>IF(ISERROR(INDEX(指数走势!$F$36:$ACK$36,1,LOOKUP(2,1/(指数走势!$F$36:$ACK$36&lt;&gt;""),COLUMN(指数走势!$F$36:$ACK$36))-COLUMN(指数走势!$F$36)+1-760+298)),NA(),IF(INDEX(指数走势!$F$36:$ACK$36,1,LOOKUP(2,1/(指数走势!$F$36:$ACK$36&lt;&gt;""),COLUMN(指数走势!$F$36:$ACK$36))-COLUMN(指数走势!$F$36)+1-760+298)=0,NA(),INDEX(指数走势!$F$36:$ACK$36,1,LOOKUP(2,1/(指数走势!$F$36:$ACK$36&lt;&gt;""),COLUMN(指数走势!$F$36:$ACK$36))-COLUMN(指数走势!$F$36)+1-760+298)))</f>
        <v>24.4645004272461</v>
      </c>
      <c r="KN100">
        <f>IF(ISERROR(INDEX(指数走势!$F$36:$ACK$36,1,LOOKUP(2,1/(指数走势!$F$36:$ACK$36&lt;&gt;""),COLUMN(指数走势!$F$36:$ACK$36))-COLUMN(指数走势!$F$36)+1-760+299)),NA(),IF(INDEX(指数走势!$F$36:$ACK$36,1,LOOKUP(2,1/(指数走势!$F$36:$ACK$36&lt;&gt;""),COLUMN(指数走势!$F$36:$ACK$36))-COLUMN(指数走势!$F$36)+1-760+299)=0,NA(),INDEX(指数走势!$F$36:$ACK$36,1,LOOKUP(2,1/(指数走势!$F$36:$ACK$36&lt;&gt;""),COLUMN(指数走势!$F$36:$ACK$36))-COLUMN(指数走势!$F$36)+1-760+299)))</f>
        <v>24.7954998016357</v>
      </c>
      <c r="KO100">
        <f>IF(ISERROR(INDEX(指数走势!$F$36:$ACK$36,1,LOOKUP(2,1/(指数走势!$F$36:$ACK$36&lt;&gt;""),COLUMN(指数走势!$F$36:$ACK$36))-COLUMN(指数走势!$F$36)+1-760+300)),NA(),IF(INDEX(指数走势!$F$36:$ACK$36,1,LOOKUP(2,1/(指数走势!$F$36:$ACK$36&lt;&gt;""),COLUMN(指数走势!$F$36:$ACK$36))-COLUMN(指数走势!$F$36)+1-760+300)=0,NA(),INDEX(指数走势!$F$36:$ACK$36,1,LOOKUP(2,1/(指数走势!$F$36:$ACK$36&lt;&gt;""),COLUMN(指数走势!$F$36:$ACK$36))-COLUMN(指数走势!$F$36)+1-760+300)))</f>
        <v>24.7108001708984</v>
      </c>
      <c r="KP100">
        <f>IF(ISERROR(INDEX(指数走势!$F$36:$ACK$36,1,LOOKUP(2,1/(指数走势!$F$36:$ACK$36&lt;&gt;""),COLUMN(指数走势!$F$36:$ACK$36))-COLUMN(指数走势!$F$36)+1-760+301)),NA(),IF(INDEX(指数走势!$F$36:$ACK$36,1,LOOKUP(2,1/(指数走势!$F$36:$ACK$36&lt;&gt;""),COLUMN(指数走势!$F$36:$ACK$36))-COLUMN(指数走势!$F$36)+1-760+301)=0,NA(),INDEX(指数走势!$F$36:$ACK$36,1,LOOKUP(2,1/(指数走势!$F$36:$ACK$36&lt;&gt;""),COLUMN(指数走势!$F$36:$ACK$36))-COLUMN(指数走势!$F$36)+1-760+301)))</f>
        <v>24.5972995758057</v>
      </c>
      <c r="KQ100">
        <f>IF(ISERROR(INDEX(指数走势!$F$36:$ACK$36,1,LOOKUP(2,1/(指数走势!$F$36:$ACK$36&lt;&gt;""),COLUMN(指数走势!$F$36:$ACK$36))-COLUMN(指数走势!$F$36)+1-760+302)),NA(),IF(INDEX(指数走势!$F$36:$ACK$36,1,LOOKUP(2,1/(指数走势!$F$36:$ACK$36&lt;&gt;""),COLUMN(指数走势!$F$36:$ACK$36))-COLUMN(指数走势!$F$36)+1-760+302)=0,NA(),INDEX(指数走势!$F$36:$ACK$36,1,LOOKUP(2,1/(指数走势!$F$36:$ACK$36&lt;&gt;""),COLUMN(指数走势!$F$36:$ACK$36))-COLUMN(指数走势!$F$36)+1-760+302)))</f>
        <v>24.3374004364014</v>
      </c>
      <c r="KR100">
        <f>IF(ISERROR(INDEX(指数走势!$F$36:$ACK$36,1,LOOKUP(2,1/(指数走势!$F$36:$ACK$36&lt;&gt;""),COLUMN(指数走势!$F$36:$ACK$36))-COLUMN(指数走势!$F$36)+1-760+303)),NA(),IF(INDEX(指数走势!$F$36:$ACK$36,1,LOOKUP(2,1/(指数走势!$F$36:$ACK$36&lt;&gt;""),COLUMN(指数走势!$F$36:$ACK$36))-COLUMN(指数走势!$F$36)+1-760+303)=0,NA(),INDEX(指数走势!$F$36:$ACK$36,1,LOOKUP(2,1/(指数走势!$F$36:$ACK$36&lt;&gt;""),COLUMN(指数走势!$F$36:$ACK$36))-COLUMN(指数走势!$F$36)+1-760+303)))</f>
        <v>24.691499710083</v>
      </c>
      <c r="KS100">
        <f>IF(ISERROR(INDEX(指数走势!$F$36:$ACK$36,1,LOOKUP(2,1/(指数走势!$F$36:$ACK$36&lt;&gt;""),COLUMN(指数走势!$F$36:$ACK$36))-COLUMN(指数走势!$F$36)+1-760+304)),NA(),IF(INDEX(指数走势!$F$36:$ACK$36,1,LOOKUP(2,1/(指数走势!$F$36:$ACK$36&lt;&gt;""),COLUMN(指数走势!$F$36:$ACK$36))-COLUMN(指数走势!$F$36)+1-760+304)=0,NA(),INDEX(指数走势!$F$36:$ACK$36,1,LOOKUP(2,1/(指数走势!$F$36:$ACK$36&lt;&gt;""),COLUMN(指数走势!$F$36:$ACK$36))-COLUMN(指数走势!$F$36)+1-760+304)))</f>
        <v>24.8759002685547</v>
      </c>
      <c r="KT100">
        <f>IF(ISERROR(INDEX(指数走势!$F$36:$ACK$36,1,LOOKUP(2,1/(指数走势!$F$36:$ACK$36&lt;&gt;""),COLUMN(指数走势!$F$36:$ACK$36))-COLUMN(指数走势!$F$36)+1-760+305)),NA(),IF(INDEX(指数走势!$F$36:$ACK$36,1,LOOKUP(2,1/(指数走势!$F$36:$ACK$36&lt;&gt;""),COLUMN(指数走势!$F$36:$ACK$36))-COLUMN(指数走势!$F$36)+1-760+305)=0,NA(),INDEX(指数走势!$F$36:$ACK$36,1,LOOKUP(2,1/(指数走势!$F$36:$ACK$36&lt;&gt;""),COLUMN(指数走势!$F$36:$ACK$36))-COLUMN(指数走势!$F$36)+1-760+305)))</f>
        <v>24.4895000457764</v>
      </c>
      <c r="KU100">
        <f>IF(ISERROR(INDEX(指数走势!$F$36:$ACK$36,1,LOOKUP(2,1/(指数走势!$F$36:$ACK$36&lt;&gt;""),COLUMN(指数走势!$F$36:$ACK$36))-COLUMN(指数走势!$F$36)+1-760+306)),NA(),IF(INDEX(指数走势!$F$36:$ACK$36,1,LOOKUP(2,1/(指数走势!$F$36:$ACK$36&lt;&gt;""),COLUMN(指数走势!$F$36:$ACK$36))-COLUMN(指数走势!$F$36)+1-760+306)=0,NA(),INDEX(指数走势!$F$36:$ACK$36,1,LOOKUP(2,1/(指数走势!$F$36:$ACK$36&lt;&gt;""),COLUMN(指数走势!$F$36:$ACK$36))-COLUMN(指数走势!$F$36)+1-760+306)))</f>
        <v>24.6289005279541</v>
      </c>
      <c r="KV100">
        <f>IF(ISERROR(INDEX(指数走势!$F$36:$ACK$36,1,LOOKUP(2,1/(指数走势!$F$36:$ACK$36&lt;&gt;""),COLUMN(指数走势!$F$36:$ACK$36))-COLUMN(指数走势!$F$36)+1-760+307)),NA(),IF(INDEX(指数走势!$F$36:$ACK$36,1,LOOKUP(2,1/(指数走势!$F$36:$ACK$36&lt;&gt;""),COLUMN(指数走势!$F$36:$ACK$36))-COLUMN(指数走势!$F$36)+1-760+307)=0,NA(),INDEX(指数走势!$F$36:$ACK$36,1,LOOKUP(2,1/(指数走势!$F$36:$ACK$36&lt;&gt;""),COLUMN(指数走势!$F$36:$ACK$36))-COLUMN(指数走势!$F$36)+1-760+307)))</f>
        <v>24.5956001281738</v>
      </c>
      <c r="KW100">
        <f>IF(ISERROR(INDEX(指数走势!$F$36:$ACK$36,1,LOOKUP(2,1/(指数走势!$F$36:$ACK$36&lt;&gt;""),COLUMN(指数走势!$F$36:$ACK$36))-COLUMN(指数走势!$F$36)+1-760+308)),NA(),IF(INDEX(指数走势!$F$36:$ACK$36,1,LOOKUP(2,1/(指数走势!$F$36:$ACK$36&lt;&gt;""),COLUMN(指数走势!$F$36:$ACK$36))-COLUMN(指数走势!$F$36)+1-760+308)=0,NA(),INDEX(指数走势!$F$36:$ACK$36,1,LOOKUP(2,1/(指数走势!$F$36:$ACK$36&lt;&gt;""),COLUMN(指数走势!$F$36:$ACK$36))-COLUMN(指数走势!$F$36)+1-760+308)))</f>
        <v>24.5960998535156</v>
      </c>
      <c r="KX100">
        <f>IF(ISERROR(INDEX(指数走势!$F$36:$ACK$36,1,LOOKUP(2,1/(指数走势!$F$36:$ACK$36&lt;&gt;""),COLUMN(指数走势!$F$36:$ACK$36))-COLUMN(指数走势!$F$36)+1-760+309)),NA(),IF(INDEX(指数走势!$F$36:$ACK$36,1,LOOKUP(2,1/(指数走势!$F$36:$ACK$36&lt;&gt;""),COLUMN(指数走势!$F$36:$ACK$36))-COLUMN(指数走势!$F$36)+1-760+309)=0,NA(),INDEX(指数走势!$F$36:$ACK$36,1,LOOKUP(2,1/(指数走势!$F$36:$ACK$36&lt;&gt;""),COLUMN(指数走势!$F$36:$ACK$36))-COLUMN(指数走势!$F$36)+1-760+309)))</f>
        <v>24.2609996795654</v>
      </c>
      <c r="KY100">
        <f>IF(ISERROR(INDEX(指数走势!$F$36:$ACK$36,1,LOOKUP(2,1/(指数走势!$F$36:$ACK$36&lt;&gt;""),COLUMN(指数走势!$F$36:$ACK$36))-COLUMN(指数走势!$F$36)+1-760+310)),NA(),IF(INDEX(指数走势!$F$36:$ACK$36,1,LOOKUP(2,1/(指数走势!$F$36:$ACK$36&lt;&gt;""),COLUMN(指数走势!$F$36:$ACK$36))-COLUMN(指数走势!$F$36)+1-760+310)=0,NA(),INDEX(指数走势!$F$36:$ACK$36,1,LOOKUP(2,1/(指数走势!$F$36:$ACK$36&lt;&gt;""),COLUMN(指数走势!$F$36:$ACK$36))-COLUMN(指数走势!$F$36)+1-760+310)))</f>
        <v>24.1623001098633</v>
      </c>
      <c r="KZ100">
        <f>IF(ISERROR(INDEX(指数走势!$F$36:$ACK$36,1,LOOKUP(2,1/(指数走势!$F$36:$ACK$36&lt;&gt;""),COLUMN(指数走势!$F$36:$ACK$36))-COLUMN(指数走势!$F$36)+1-760+311)),NA(),IF(INDEX(指数走势!$F$36:$ACK$36,1,LOOKUP(2,1/(指数走势!$F$36:$ACK$36&lt;&gt;""),COLUMN(指数走势!$F$36:$ACK$36))-COLUMN(指数走势!$F$36)+1-760+311)=0,NA(),INDEX(指数走势!$F$36:$ACK$36,1,LOOKUP(2,1/(指数走势!$F$36:$ACK$36&lt;&gt;""),COLUMN(指数走势!$F$36:$ACK$36))-COLUMN(指数走势!$F$36)+1-760+311)))</f>
        <v>23.9454002380371</v>
      </c>
      <c r="LA100">
        <f>IF(ISERROR(INDEX(指数走势!$F$36:$ACK$36,1,LOOKUP(2,1/(指数走势!$F$36:$ACK$36&lt;&gt;""),COLUMN(指数走势!$F$36:$ACK$36))-COLUMN(指数走势!$F$36)+1-760+312)),NA(),IF(INDEX(指数走势!$F$36:$ACK$36,1,LOOKUP(2,1/(指数走势!$F$36:$ACK$36&lt;&gt;""),COLUMN(指数走势!$F$36:$ACK$36))-COLUMN(指数走势!$F$36)+1-760+312)=0,NA(),INDEX(指数走势!$F$36:$ACK$36,1,LOOKUP(2,1/(指数走势!$F$36:$ACK$36&lt;&gt;""),COLUMN(指数走势!$F$36:$ACK$36))-COLUMN(指数走势!$F$36)+1-760+312)))</f>
        <v>23.8852005004883</v>
      </c>
      <c r="LB100">
        <f>IF(ISERROR(INDEX(指数走势!$F$36:$ACK$36,1,LOOKUP(2,1/(指数走势!$F$36:$ACK$36&lt;&gt;""),COLUMN(指数走势!$F$36:$ACK$36))-COLUMN(指数走势!$F$36)+1-760+313)),NA(),IF(INDEX(指数走势!$F$36:$ACK$36,1,LOOKUP(2,1/(指数走势!$F$36:$ACK$36&lt;&gt;""),COLUMN(指数走势!$F$36:$ACK$36))-COLUMN(指数走势!$F$36)+1-760+313)=0,NA(),INDEX(指数走势!$F$36:$ACK$36,1,LOOKUP(2,1/(指数走势!$F$36:$ACK$36&lt;&gt;""),COLUMN(指数走势!$F$36:$ACK$36))-COLUMN(指数走势!$F$36)+1-760+313)))</f>
        <v>23.7994003295898</v>
      </c>
      <c r="LC100">
        <f>IF(ISERROR(INDEX(指数走势!$F$36:$ACK$36,1,LOOKUP(2,1/(指数走势!$F$36:$ACK$36&lt;&gt;""),COLUMN(指数走势!$F$36:$ACK$36))-COLUMN(指数走势!$F$36)+1-760+314)),NA(),IF(INDEX(指数走势!$F$36:$ACK$36,1,LOOKUP(2,1/(指数走势!$F$36:$ACK$36&lt;&gt;""),COLUMN(指数走势!$F$36:$ACK$36))-COLUMN(指数走势!$F$36)+1-760+314)=0,NA(),INDEX(指数走势!$F$36:$ACK$36,1,LOOKUP(2,1/(指数走势!$F$36:$ACK$36&lt;&gt;""),COLUMN(指数走势!$F$36:$ACK$36))-COLUMN(指数走势!$F$36)+1-760+314)))</f>
        <v>23.1553001403809</v>
      </c>
      <c r="LD100">
        <f>IF(ISERROR(INDEX(指数走势!$F$36:$ACK$36,1,LOOKUP(2,1/(指数走势!$F$36:$ACK$36&lt;&gt;""),COLUMN(指数走势!$F$36:$ACK$36))-COLUMN(指数走势!$F$36)+1-760+315)),NA(),IF(INDEX(指数走势!$F$36:$ACK$36,1,LOOKUP(2,1/(指数走势!$F$36:$ACK$36&lt;&gt;""),COLUMN(指数走势!$F$36:$ACK$36))-COLUMN(指数走势!$F$36)+1-760+315)=0,NA(),INDEX(指数走势!$F$36:$ACK$36,1,LOOKUP(2,1/(指数走势!$F$36:$ACK$36&lt;&gt;""),COLUMN(指数走势!$F$36:$ACK$36))-COLUMN(指数走势!$F$36)+1-760+315)))</f>
        <v>23.1474990844727</v>
      </c>
      <c r="LE100">
        <f>IF(ISERROR(INDEX(指数走势!$F$36:$ACK$36,1,LOOKUP(2,1/(指数走势!$F$36:$ACK$36&lt;&gt;""),COLUMN(指数走势!$F$36:$ACK$36))-COLUMN(指数走势!$F$36)+1-760+316)),NA(),IF(INDEX(指数走势!$F$36:$ACK$36,1,LOOKUP(2,1/(指数走势!$F$36:$ACK$36&lt;&gt;""),COLUMN(指数走势!$F$36:$ACK$36))-COLUMN(指数走势!$F$36)+1-760+316)=0,NA(),INDEX(指数走势!$F$36:$ACK$36,1,LOOKUP(2,1/(指数走势!$F$36:$ACK$36&lt;&gt;""),COLUMN(指数走势!$F$36:$ACK$36))-COLUMN(指数走势!$F$36)+1-760+316)))</f>
        <v>23.5769996643066</v>
      </c>
      <c r="LF100">
        <f>IF(ISERROR(INDEX(指数走势!$F$36:$ACK$36,1,LOOKUP(2,1/(指数走势!$F$36:$ACK$36&lt;&gt;""),COLUMN(指数走势!$F$36:$ACK$36))-COLUMN(指数走势!$F$36)+1-760+317)),NA(),IF(INDEX(指数走势!$F$36:$ACK$36,1,LOOKUP(2,1/(指数走势!$F$36:$ACK$36&lt;&gt;""),COLUMN(指数走势!$F$36:$ACK$36))-COLUMN(指数走势!$F$36)+1-760+317)=0,NA(),INDEX(指数走势!$F$36:$ACK$36,1,LOOKUP(2,1/(指数走势!$F$36:$ACK$36&lt;&gt;""),COLUMN(指数走势!$F$36:$ACK$36))-COLUMN(指数走势!$F$36)+1-760+317)))</f>
        <v>24.3493003845215</v>
      </c>
      <c r="LG100">
        <f>IF(ISERROR(INDEX(指数走势!$F$36:$ACK$36,1,LOOKUP(2,1/(指数走势!$F$36:$ACK$36&lt;&gt;""),COLUMN(指数走势!$F$36:$ACK$36))-COLUMN(指数走势!$F$36)+1-760+318)),NA(),IF(INDEX(指数走势!$F$36:$ACK$36,1,LOOKUP(2,1/(指数走势!$F$36:$ACK$36&lt;&gt;""),COLUMN(指数走势!$F$36:$ACK$36))-COLUMN(指数走势!$F$36)+1-760+318)=0,NA(),INDEX(指数走势!$F$36:$ACK$36,1,LOOKUP(2,1/(指数走势!$F$36:$ACK$36&lt;&gt;""),COLUMN(指数走势!$F$36:$ACK$36))-COLUMN(指数走势!$F$36)+1-760+318)))</f>
        <v>23.7045001983643</v>
      </c>
      <c r="LH100">
        <f>IF(ISERROR(INDEX(指数走势!$F$36:$ACK$36,1,LOOKUP(2,1/(指数走势!$F$36:$ACK$36&lt;&gt;""),COLUMN(指数走势!$F$36:$ACK$36))-COLUMN(指数走势!$F$36)+1-760+319)),NA(),IF(INDEX(指数走势!$F$36:$ACK$36,1,LOOKUP(2,1/(指数走势!$F$36:$ACK$36&lt;&gt;""),COLUMN(指数走势!$F$36:$ACK$36))-COLUMN(指数走势!$F$36)+1-760+319)=0,NA(),INDEX(指数走势!$F$36:$ACK$36,1,LOOKUP(2,1/(指数走势!$F$36:$ACK$36&lt;&gt;""),COLUMN(指数走势!$F$36:$ACK$36))-COLUMN(指数走势!$F$36)+1-760+319)))</f>
        <v>23.9990997314453</v>
      </c>
      <c r="LI100">
        <f>IF(ISERROR(INDEX(指数走势!$F$36:$ACK$36,1,LOOKUP(2,1/(指数走势!$F$36:$ACK$36&lt;&gt;""),COLUMN(指数走势!$F$36:$ACK$36))-COLUMN(指数走势!$F$36)+1-760+320)),NA(),IF(INDEX(指数走势!$F$36:$ACK$36,1,LOOKUP(2,1/(指数走势!$F$36:$ACK$36&lt;&gt;""),COLUMN(指数走势!$F$36:$ACK$36))-COLUMN(指数走势!$F$36)+1-760+320)=0,NA(),INDEX(指数走势!$F$36:$ACK$36,1,LOOKUP(2,1/(指数走势!$F$36:$ACK$36&lt;&gt;""),COLUMN(指数走势!$F$36:$ACK$36))-COLUMN(指数走势!$F$36)+1-760+320)))</f>
        <v>23.9740009307861</v>
      </c>
      <c r="LJ100">
        <f>IF(ISERROR(INDEX(指数走势!$F$36:$ACK$36,1,LOOKUP(2,1/(指数走势!$F$36:$ACK$36&lt;&gt;""),COLUMN(指数走势!$F$36:$ACK$36))-COLUMN(指数走势!$F$36)+1-760+321)),NA(),IF(INDEX(指数走势!$F$36:$ACK$36,1,LOOKUP(2,1/(指数走势!$F$36:$ACK$36&lt;&gt;""),COLUMN(指数走势!$F$36:$ACK$36))-COLUMN(指数走势!$F$36)+1-760+321)=0,NA(),INDEX(指数走势!$F$36:$ACK$36,1,LOOKUP(2,1/(指数走势!$F$36:$ACK$36&lt;&gt;""),COLUMN(指数走势!$F$36:$ACK$36))-COLUMN(指数走势!$F$36)+1-760+321)))</f>
        <v>24.1235008239746</v>
      </c>
      <c r="LK100">
        <f>IF(ISERROR(INDEX(指数走势!$F$36:$ACK$36,1,LOOKUP(2,1/(指数走势!$F$36:$ACK$36&lt;&gt;""),COLUMN(指数走势!$F$36:$ACK$36))-COLUMN(指数走势!$F$36)+1-760+322)),NA(),IF(INDEX(指数走势!$F$36:$ACK$36,1,LOOKUP(2,1/(指数走势!$F$36:$ACK$36&lt;&gt;""),COLUMN(指数走势!$F$36:$ACK$36))-COLUMN(指数走势!$F$36)+1-760+322)=0,NA(),INDEX(指数走势!$F$36:$ACK$36,1,LOOKUP(2,1/(指数走势!$F$36:$ACK$36&lt;&gt;""),COLUMN(指数走势!$F$36:$ACK$36))-COLUMN(指数走势!$F$36)+1-760+322)))</f>
        <v>23.7008991241455</v>
      </c>
      <c r="LL100">
        <f>IF(ISERROR(INDEX(指数走势!$F$36:$ACK$36,1,LOOKUP(2,1/(指数走势!$F$36:$ACK$36&lt;&gt;""),COLUMN(指数走势!$F$36:$ACK$36))-COLUMN(指数走势!$F$36)+1-760+323)),NA(),IF(INDEX(指数走势!$F$36:$ACK$36,1,LOOKUP(2,1/(指数走势!$F$36:$ACK$36&lt;&gt;""),COLUMN(指数走势!$F$36:$ACK$36))-COLUMN(指数走势!$F$36)+1-760+323)=0,NA(),INDEX(指数走势!$F$36:$ACK$36,1,LOOKUP(2,1/(指数走势!$F$36:$ACK$36&lt;&gt;""),COLUMN(指数走势!$F$36:$ACK$36))-COLUMN(指数走势!$F$36)+1-760+323)))</f>
        <v>23.7098999023438</v>
      </c>
      <c r="LM100">
        <f>IF(ISERROR(INDEX(指数走势!$F$36:$ACK$36,1,LOOKUP(2,1/(指数走势!$F$36:$ACK$36&lt;&gt;""),COLUMN(指数走势!$F$36:$ACK$36))-COLUMN(指数走势!$F$36)+1-760+324)),NA(),IF(INDEX(指数走势!$F$36:$ACK$36,1,LOOKUP(2,1/(指数走势!$F$36:$ACK$36&lt;&gt;""),COLUMN(指数走势!$F$36:$ACK$36))-COLUMN(指数走势!$F$36)+1-760+324)=0,NA(),INDEX(指数走势!$F$36:$ACK$36,1,LOOKUP(2,1/(指数走势!$F$36:$ACK$36&lt;&gt;""),COLUMN(指数走势!$F$36:$ACK$36))-COLUMN(指数走势!$F$36)+1-760+324)))</f>
        <v>23.7234992980957</v>
      </c>
      <c r="LN100">
        <f>IF(ISERROR(INDEX(指数走势!$F$36:$ACK$36,1,LOOKUP(2,1/(指数走势!$F$36:$ACK$36&lt;&gt;""),COLUMN(指数走势!$F$36:$ACK$36))-COLUMN(指数走势!$F$36)+1-760+325)),NA(),IF(INDEX(指数走势!$F$36:$ACK$36,1,LOOKUP(2,1/(指数走势!$F$36:$ACK$36&lt;&gt;""),COLUMN(指数走势!$F$36:$ACK$36))-COLUMN(指数走势!$F$36)+1-760+325)=0,NA(),INDEX(指数走势!$F$36:$ACK$36,1,LOOKUP(2,1/(指数走势!$F$36:$ACK$36&lt;&gt;""),COLUMN(指数走势!$F$36:$ACK$36))-COLUMN(指数走势!$F$36)+1-760+325)))</f>
        <v>23.9885997772217</v>
      </c>
      <c r="LO100">
        <f>IF(ISERROR(INDEX(指数走势!$F$36:$ACK$36,1,LOOKUP(2,1/(指数走势!$F$36:$ACK$36&lt;&gt;""),COLUMN(指数走势!$F$36:$ACK$36))-COLUMN(指数走势!$F$36)+1-760+326)),NA(),IF(INDEX(指数走势!$F$36:$ACK$36,1,LOOKUP(2,1/(指数走势!$F$36:$ACK$36&lt;&gt;""),COLUMN(指数走势!$F$36:$ACK$36))-COLUMN(指数走势!$F$36)+1-760+326)=0,NA(),INDEX(指数走势!$F$36:$ACK$36,1,LOOKUP(2,1/(指数走势!$F$36:$ACK$36&lt;&gt;""),COLUMN(指数走势!$F$36:$ACK$36))-COLUMN(指数走势!$F$36)+1-760+326)))</f>
        <v>23.8768997192383</v>
      </c>
      <c r="LP100">
        <f>IF(ISERROR(INDEX(指数走势!$F$36:$ACK$36,1,LOOKUP(2,1/(指数走势!$F$36:$ACK$36&lt;&gt;""),COLUMN(指数走势!$F$36:$ACK$36))-COLUMN(指数走势!$F$36)+1-760+327)),NA(),IF(INDEX(指数走势!$F$36:$ACK$36,1,LOOKUP(2,1/(指数走势!$F$36:$ACK$36&lt;&gt;""),COLUMN(指数走势!$F$36:$ACK$36))-COLUMN(指数走势!$F$36)+1-760+327)=0,NA(),INDEX(指数走势!$F$36:$ACK$36,1,LOOKUP(2,1/(指数走势!$F$36:$ACK$36&lt;&gt;""),COLUMN(指数走势!$F$36:$ACK$36))-COLUMN(指数走势!$F$36)+1-760+327)))</f>
        <v>23.5946998596191</v>
      </c>
      <c r="LQ100">
        <f>IF(ISERROR(INDEX(指数走势!$F$36:$ACK$36,1,LOOKUP(2,1/(指数走势!$F$36:$ACK$36&lt;&gt;""),COLUMN(指数走势!$F$36:$ACK$36))-COLUMN(指数走势!$F$36)+1-760+328)),NA(),IF(INDEX(指数走势!$F$36:$ACK$36,1,LOOKUP(2,1/(指数走势!$F$36:$ACK$36&lt;&gt;""),COLUMN(指数走势!$F$36:$ACK$36))-COLUMN(指数走势!$F$36)+1-760+328)=0,NA(),INDEX(指数走势!$F$36:$ACK$36,1,LOOKUP(2,1/(指数走势!$F$36:$ACK$36&lt;&gt;""),COLUMN(指数走势!$F$36:$ACK$36))-COLUMN(指数走势!$F$36)+1-760+328)))</f>
        <v>23.5828990936279</v>
      </c>
      <c r="LR100">
        <f>IF(ISERROR(INDEX(指数走势!$F$36:$ACK$36,1,LOOKUP(2,1/(指数走势!$F$36:$ACK$36&lt;&gt;""),COLUMN(指数走势!$F$36:$ACK$36))-COLUMN(指数走势!$F$36)+1-760+329)),NA(),IF(INDEX(指数走势!$F$36:$ACK$36,1,LOOKUP(2,1/(指数走势!$F$36:$ACK$36&lt;&gt;""),COLUMN(指数走势!$F$36:$ACK$36))-COLUMN(指数走势!$F$36)+1-760+329)=0,NA(),INDEX(指数走势!$F$36:$ACK$36,1,LOOKUP(2,1/(指数走势!$F$36:$ACK$36&lt;&gt;""),COLUMN(指数走势!$F$36:$ACK$36))-COLUMN(指数走势!$F$36)+1-760+329)))</f>
        <v>23.7978992462158</v>
      </c>
      <c r="LS100">
        <f>IF(ISERROR(INDEX(指数走势!$F$36:$ACK$36,1,LOOKUP(2,1/(指数走势!$F$36:$ACK$36&lt;&gt;""),COLUMN(指数走势!$F$36:$ACK$36))-COLUMN(指数走势!$F$36)+1-760+330)),NA(),IF(INDEX(指数走势!$F$36:$ACK$36,1,LOOKUP(2,1/(指数走势!$F$36:$ACK$36&lt;&gt;""),COLUMN(指数走势!$F$36:$ACK$36))-COLUMN(指数走势!$F$36)+1-760+330)=0,NA(),INDEX(指数走势!$F$36:$ACK$36,1,LOOKUP(2,1/(指数走势!$F$36:$ACK$36&lt;&gt;""),COLUMN(指数走势!$F$36:$ACK$36))-COLUMN(指数走势!$F$36)+1-760+330)))</f>
        <v>23.648099899292</v>
      </c>
      <c r="LT100">
        <f>IF(ISERROR(INDEX(指数走势!$F$36:$ACK$36,1,LOOKUP(2,1/(指数走势!$F$36:$ACK$36&lt;&gt;""),COLUMN(指数走势!$F$36:$ACK$36))-COLUMN(指数走势!$F$36)+1-760+331)),NA(),IF(INDEX(指数走势!$F$36:$ACK$36,1,LOOKUP(2,1/(指数走势!$F$36:$ACK$36&lt;&gt;""),COLUMN(指数走势!$F$36:$ACK$36))-COLUMN(指数走势!$F$36)+1-760+331)=0,NA(),INDEX(指数走势!$F$36:$ACK$36,1,LOOKUP(2,1/(指数走势!$F$36:$ACK$36&lt;&gt;""),COLUMN(指数走势!$F$36:$ACK$36))-COLUMN(指数走势!$F$36)+1-760+331)))</f>
        <v>23.5345001220703</v>
      </c>
      <c r="LU100">
        <f>IF(ISERROR(INDEX(指数走势!$F$36:$ACK$36,1,LOOKUP(2,1/(指数走势!$F$36:$ACK$36&lt;&gt;""),COLUMN(指数走势!$F$36:$ACK$36))-COLUMN(指数走势!$F$36)+1-760+332)),NA(),IF(INDEX(指数走势!$F$36:$ACK$36,1,LOOKUP(2,1/(指数走势!$F$36:$ACK$36&lt;&gt;""),COLUMN(指数走势!$F$36:$ACK$36))-COLUMN(指数走势!$F$36)+1-760+332)=0,NA(),INDEX(指数走势!$F$36:$ACK$36,1,LOOKUP(2,1/(指数走势!$F$36:$ACK$36&lt;&gt;""),COLUMN(指数走势!$F$36:$ACK$36))-COLUMN(指数走势!$F$36)+1-760+332)))</f>
        <v>24.7565994262695</v>
      </c>
      <c r="LV100">
        <f>IF(ISERROR(INDEX(指数走势!$F$36:$ACK$36,1,LOOKUP(2,1/(指数走势!$F$36:$ACK$36&lt;&gt;""),COLUMN(指数走势!$F$36:$ACK$36))-COLUMN(指数走势!$F$36)+1-760+333)),NA(),IF(INDEX(指数走势!$F$36:$ACK$36,1,LOOKUP(2,1/(指数走势!$F$36:$ACK$36&lt;&gt;""),COLUMN(指数走势!$F$36:$ACK$36))-COLUMN(指数走势!$F$36)+1-760+333)=0,NA(),INDEX(指数走势!$F$36:$ACK$36,1,LOOKUP(2,1/(指数走势!$F$36:$ACK$36&lt;&gt;""),COLUMN(指数走势!$F$36:$ACK$36))-COLUMN(指数走势!$F$36)+1-760+333)))</f>
        <v>25.1525001525879</v>
      </c>
      <c r="LW100">
        <f>IF(ISERROR(INDEX(指数走势!$F$36:$ACK$36,1,LOOKUP(2,1/(指数走势!$F$36:$ACK$36&lt;&gt;""),COLUMN(指数走势!$F$36:$ACK$36))-COLUMN(指数走势!$F$36)+1-760+334)),NA(),IF(INDEX(指数走势!$F$36:$ACK$36,1,LOOKUP(2,1/(指数走势!$F$36:$ACK$36&lt;&gt;""),COLUMN(指数走势!$F$36:$ACK$36))-COLUMN(指数走势!$F$36)+1-760+334)=0,NA(),INDEX(指数走势!$F$36:$ACK$36,1,LOOKUP(2,1/(指数走势!$F$36:$ACK$36&lt;&gt;""),COLUMN(指数走势!$F$36:$ACK$36))-COLUMN(指数走势!$F$36)+1-760+334)))</f>
        <v>26.243200302124</v>
      </c>
      <c r="LX100">
        <f>IF(ISERROR(INDEX(指数走势!$F$36:$ACK$36,1,LOOKUP(2,1/(指数走势!$F$36:$ACK$36&lt;&gt;""),COLUMN(指数走势!$F$36:$ACK$36))-COLUMN(指数走势!$F$36)+1-760+335)),NA(),IF(INDEX(指数走势!$F$36:$ACK$36,1,LOOKUP(2,1/(指数走势!$F$36:$ACK$36&lt;&gt;""),COLUMN(指数走势!$F$36:$ACK$36))-COLUMN(指数走势!$F$36)+1-760+335)=0,NA(),INDEX(指数走势!$F$36:$ACK$36,1,LOOKUP(2,1/(指数走势!$F$36:$ACK$36&lt;&gt;""),COLUMN(指数走势!$F$36:$ACK$36))-COLUMN(指数走势!$F$36)+1-760+335)))</f>
        <v>28.823299407959</v>
      </c>
      <c r="LY100">
        <f>IF(ISERROR(INDEX(指数走势!$F$36:$ACK$36,1,LOOKUP(2,1/(指数走势!$F$36:$ACK$36&lt;&gt;""),COLUMN(指数走势!$F$36:$ACK$36))-COLUMN(指数走势!$F$36)+1-760+336)),NA(),IF(INDEX(指数走势!$F$36:$ACK$36,1,LOOKUP(2,1/(指数走势!$F$36:$ACK$36&lt;&gt;""),COLUMN(指数走势!$F$36:$ACK$36))-COLUMN(指数走势!$F$36)+1-760+336)=0,NA(),INDEX(指数走势!$F$36:$ACK$36,1,LOOKUP(2,1/(指数走势!$F$36:$ACK$36&lt;&gt;""),COLUMN(指数走势!$F$36:$ACK$36))-COLUMN(指数走势!$F$36)+1-760+336)))</f>
        <v>33.2154006958008</v>
      </c>
      <c r="LZ100">
        <f>IF(ISERROR(INDEX(指数走势!$F$36:$ACK$36,1,LOOKUP(2,1/(指数走势!$F$36:$ACK$36&lt;&gt;""),COLUMN(指数走势!$F$36:$ACK$36))-COLUMN(指数走势!$F$36)+1-760+337)),NA(),IF(INDEX(指数走势!$F$36:$ACK$36,1,LOOKUP(2,1/(指数走势!$F$36:$ACK$36&lt;&gt;""),COLUMN(指数走势!$F$36:$ACK$36))-COLUMN(指数走势!$F$36)+1-760+337)=0,NA(),INDEX(指数走势!$F$36:$ACK$36,1,LOOKUP(2,1/(指数走势!$F$36:$ACK$36&lt;&gt;""),COLUMN(指数走势!$F$36:$ACK$36))-COLUMN(指数走势!$F$36)+1-760+337)))</f>
        <v>38.8358993530273</v>
      </c>
      <c r="MA100">
        <f>IF(ISERROR(INDEX(指数走势!$F$36:$ACK$36,1,LOOKUP(2,1/(指数走势!$F$36:$ACK$36&lt;&gt;""),COLUMN(指数走势!$F$36:$ACK$36))-COLUMN(指数走势!$F$36)+1-760+338)),NA(),IF(INDEX(指数走势!$F$36:$ACK$36,1,LOOKUP(2,1/(指数走势!$F$36:$ACK$36&lt;&gt;""),COLUMN(指数走势!$F$36:$ACK$36))-COLUMN(指数走势!$F$36)+1-760+338)=0,NA(),INDEX(指数走势!$F$36:$ACK$36,1,LOOKUP(2,1/(指数走势!$F$36:$ACK$36&lt;&gt;""),COLUMN(指数走势!$F$36:$ACK$36))-COLUMN(指数走势!$F$36)+1-760+338)))</f>
        <v>34.5971984863281</v>
      </c>
      <c r="MB100">
        <f>IF(ISERROR(INDEX(指数走势!$F$36:$ACK$36,1,LOOKUP(2,1/(指数走势!$F$36:$ACK$36&lt;&gt;""),COLUMN(指数走势!$F$36:$ACK$36))-COLUMN(指数走势!$F$36)+1-760+339)),NA(),IF(INDEX(指数走势!$F$36:$ACK$36,1,LOOKUP(2,1/(指数走势!$F$36:$ACK$36&lt;&gt;""),COLUMN(指数走势!$F$36:$ACK$36))-COLUMN(指数走势!$F$36)+1-760+339)=0,NA(),INDEX(指数走势!$F$36:$ACK$36,1,LOOKUP(2,1/(指数走势!$F$36:$ACK$36&lt;&gt;""),COLUMN(指数走势!$F$36:$ACK$36))-COLUMN(指数走势!$F$36)+1-760+339)))</f>
        <v>33.7094993591309</v>
      </c>
      <c r="MC100">
        <f>IF(ISERROR(INDEX(指数走势!$F$36:$ACK$36,1,LOOKUP(2,1/(指数走势!$F$36:$ACK$36&lt;&gt;""),COLUMN(指数走势!$F$36:$ACK$36))-COLUMN(指数走势!$F$36)+1-760+340)),NA(),IF(INDEX(指数走势!$F$36:$ACK$36,1,LOOKUP(2,1/(指数走势!$F$36:$ACK$36&lt;&gt;""),COLUMN(指数走势!$F$36:$ACK$36))-COLUMN(指数走势!$F$36)+1-760+340)=0,NA(),INDEX(指数走势!$F$36:$ACK$36,1,LOOKUP(2,1/(指数走势!$F$36:$ACK$36&lt;&gt;""),COLUMN(指数走势!$F$36:$ACK$36))-COLUMN(指数走势!$F$36)+1-760+340)))</f>
        <v>31.9344005584717</v>
      </c>
      <c r="MD100">
        <f>IF(ISERROR(INDEX(指数走势!$F$36:$ACK$36,1,LOOKUP(2,1/(指数走势!$F$36:$ACK$36&lt;&gt;""),COLUMN(指数走势!$F$36:$ACK$36))-COLUMN(指数走势!$F$36)+1-760+341)),NA(),IF(INDEX(指数走势!$F$36:$ACK$36,1,LOOKUP(2,1/(指数走势!$F$36:$ACK$36&lt;&gt;""),COLUMN(指数走势!$F$36:$ACK$36))-COLUMN(指数走势!$F$36)+1-760+341)=0,NA(),INDEX(指数走势!$F$36:$ACK$36,1,LOOKUP(2,1/(指数走势!$F$36:$ACK$36&lt;&gt;""),COLUMN(指数走势!$F$36:$ACK$36))-COLUMN(指数走势!$F$36)+1-760+341)))</f>
        <v>32.7341003417969</v>
      </c>
      <c r="ME100">
        <f>IF(ISERROR(INDEX(指数走势!$F$36:$ACK$36,1,LOOKUP(2,1/(指数走势!$F$36:$ACK$36&lt;&gt;""),COLUMN(指数走势!$F$36:$ACK$36))-COLUMN(指数走势!$F$36)+1-760+342)),NA(),IF(INDEX(指数走势!$F$36:$ACK$36,1,LOOKUP(2,1/(指数走势!$F$36:$ACK$36&lt;&gt;""),COLUMN(指数走势!$F$36:$ACK$36))-COLUMN(指数走势!$F$36)+1-760+342)=0,NA(),INDEX(指数走势!$F$36:$ACK$36,1,LOOKUP(2,1/(指数走势!$F$36:$ACK$36&lt;&gt;""),COLUMN(指数走势!$F$36:$ACK$36))-COLUMN(指数走势!$F$36)+1-760+342)))</f>
        <v>31.6905002593994</v>
      </c>
      <c r="MF100">
        <f>IF(ISERROR(INDEX(指数走势!$F$36:$ACK$36,1,LOOKUP(2,1/(指数走势!$F$36:$ACK$36&lt;&gt;""),COLUMN(指数走势!$F$36:$ACK$36))-COLUMN(指数走势!$F$36)+1-760+343)),NA(),IF(INDEX(指数走势!$F$36:$ACK$36,1,LOOKUP(2,1/(指数走势!$F$36:$ACK$36&lt;&gt;""),COLUMN(指数走势!$F$36:$ACK$36))-COLUMN(指数走势!$F$36)+1-760+343)=0,NA(),INDEX(指数走势!$F$36:$ACK$36,1,LOOKUP(2,1/(指数走势!$F$36:$ACK$36&lt;&gt;""),COLUMN(指数走势!$F$36:$ACK$36))-COLUMN(指数走势!$F$36)+1-760+343)))</f>
        <v>31.0014991760254</v>
      </c>
      <c r="MG100">
        <f>IF(ISERROR(INDEX(指数走势!$F$36:$ACK$36,1,LOOKUP(2,1/(指数走势!$F$36:$ACK$36&lt;&gt;""),COLUMN(指数走势!$F$36:$ACK$36))-COLUMN(指数走势!$F$36)+1-760+344)),NA(),IF(INDEX(指数走势!$F$36:$ACK$36,1,LOOKUP(2,1/(指数走势!$F$36:$ACK$36&lt;&gt;""),COLUMN(指数走势!$F$36:$ACK$36))-COLUMN(指数走势!$F$36)+1-760+344)=0,NA(),INDEX(指数走势!$F$36:$ACK$36,1,LOOKUP(2,1/(指数走势!$F$36:$ACK$36&lt;&gt;""),COLUMN(指数走势!$F$36:$ACK$36))-COLUMN(指数走势!$F$36)+1-760+344)))</f>
        <v>30.9046001434326</v>
      </c>
      <c r="MH100">
        <f>IF(ISERROR(INDEX(指数走势!$F$36:$ACK$36,1,LOOKUP(2,1/(指数走势!$F$36:$ACK$36&lt;&gt;""),COLUMN(指数走势!$F$36:$ACK$36))-COLUMN(指数走势!$F$36)+1-760+345)),NA(),IF(INDEX(指数走势!$F$36:$ACK$36,1,LOOKUP(2,1/(指数走势!$F$36:$ACK$36&lt;&gt;""),COLUMN(指数走势!$F$36:$ACK$36))-COLUMN(指数走势!$F$36)+1-760+345)=0,NA(),INDEX(指数走势!$F$36:$ACK$36,1,LOOKUP(2,1/(指数走势!$F$36:$ACK$36&lt;&gt;""),COLUMN(指数走势!$F$36:$ACK$36))-COLUMN(指数走势!$F$36)+1-760+345)))</f>
        <v>33.2557983398438</v>
      </c>
      <c r="MI100">
        <f>IF(ISERROR(INDEX(指数走势!$F$36:$ACK$36,1,LOOKUP(2,1/(指数走势!$F$36:$ACK$36&lt;&gt;""),COLUMN(指数走势!$F$36:$ACK$36))-COLUMN(指数走势!$F$36)+1-760+346)),NA(),IF(INDEX(指数走势!$F$36:$ACK$36,1,LOOKUP(2,1/(指数走势!$F$36:$ACK$36&lt;&gt;""),COLUMN(指数走势!$F$36:$ACK$36))-COLUMN(指数走势!$F$36)+1-760+346)=0,NA(),INDEX(指数走势!$F$36:$ACK$36,1,LOOKUP(2,1/(指数走势!$F$36:$ACK$36&lt;&gt;""),COLUMN(指数走势!$F$36:$ACK$36))-COLUMN(指数走势!$F$36)+1-760+346)))</f>
        <v>32.9034996032715</v>
      </c>
      <c r="MJ100">
        <f>IF(ISERROR(INDEX(指数走势!$F$36:$ACK$36,1,LOOKUP(2,1/(指数走势!$F$36:$ACK$36&lt;&gt;""),COLUMN(指数走势!$F$36:$ACK$36))-COLUMN(指数走势!$F$36)+1-760+347)),NA(),IF(INDEX(指数走势!$F$36:$ACK$36,1,LOOKUP(2,1/(指数走势!$F$36:$ACK$36&lt;&gt;""),COLUMN(指数走势!$F$36:$ACK$36))-COLUMN(指数走势!$F$36)+1-760+347)=0,NA(),INDEX(指数走势!$F$36:$ACK$36,1,LOOKUP(2,1/(指数走势!$F$36:$ACK$36&lt;&gt;""),COLUMN(指数走势!$F$36:$ACK$36))-COLUMN(指数走势!$F$36)+1-760+347)))</f>
        <v>32.9936981201172</v>
      </c>
      <c r="MK100">
        <f>IF(ISERROR(INDEX(指数走势!$F$36:$ACK$36,1,LOOKUP(2,1/(指数走势!$F$36:$ACK$36&lt;&gt;""),COLUMN(指数走势!$F$36:$ACK$36))-COLUMN(指数走势!$F$36)+1-760+348)),NA(),IF(INDEX(指数走势!$F$36:$ACK$36,1,LOOKUP(2,1/(指数走势!$F$36:$ACK$36&lt;&gt;""),COLUMN(指数走势!$F$36:$ACK$36))-COLUMN(指数走势!$F$36)+1-760+348)=0,NA(),INDEX(指数走势!$F$36:$ACK$36,1,LOOKUP(2,1/(指数走势!$F$36:$ACK$36&lt;&gt;""),COLUMN(指数走势!$F$36:$ACK$36))-COLUMN(指数走势!$F$36)+1-760+348)))</f>
        <v>31.7978000640869</v>
      </c>
      <c r="ML100">
        <f>IF(ISERROR(INDEX(指数走势!$F$36:$ACK$36,1,LOOKUP(2,1/(指数走势!$F$36:$ACK$36&lt;&gt;""),COLUMN(指数走势!$F$36:$ACK$36))-COLUMN(指数走势!$F$36)+1-760+349)),NA(),IF(INDEX(指数走势!$F$36:$ACK$36,1,LOOKUP(2,1/(指数走势!$F$36:$ACK$36&lt;&gt;""),COLUMN(指数走势!$F$36:$ACK$36))-COLUMN(指数走势!$F$36)+1-760+349)=0,NA(),INDEX(指数走势!$F$36:$ACK$36,1,LOOKUP(2,1/(指数走势!$F$36:$ACK$36&lt;&gt;""),COLUMN(指数走势!$F$36:$ACK$36))-COLUMN(指数走势!$F$36)+1-760+349)))</f>
        <v>31.3700008392334</v>
      </c>
      <c r="MM100">
        <f>IF(ISERROR(INDEX(指数走势!$F$36:$ACK$36,1,LOOKUP(2,1/(指数走势!$F$36:$ACK$36&lt;&gt;""),COLUMN(指数走势!$F$36:$ACK$36))-COLUMN(指数走势!$F$36)+1-760+350)),NA(),IF(INDEX(指数走势!$F$36:$ACK$36,1,LOOKUP(2,1/(指数走势!$F$36:$ACK$36&lt;&gt;""),COLUMN(指数走势!$F$36:$ACK$36))-COLUMN(指数走势!$F$36)+1-760+350)=0,NA(),INDEX(指数走势!$F$36:$ACK$36,1,LOOKUP(2,1/(指数走势!$F$36:$ACK$36&lt;&gt;""),COLUMN(指数走势!$F$36:$ACK$36))-COLUMN(指数走势!$F$36)+1-760+350)))</f>
        <v>32.4226989746094</v>
      </c>
      <c r="MN100">
        <f>IF(ISERROR(INDEX(指数走势!$F$36:$ACK$36,1,LOOKUP(2,1/(指数走势!$F$36:$ACK$36&lt;&gt;""),COLUMN(指数走势!$F$36:$ACK$36))-COLUMN(指数走势!$F$36)+1-760+351)),NA(),IF(INDEX(指数走势!$F$36:$ACK$36,1,LOOKUP(2,1/(指数走势!$F$36:$ACK$36&lt;&gt;""),COLUMN(指数走势!$F$36:$ACK$36))-COLUMN(指数走势!$F$36)+1-760+351)=0,NA(),INDEX(指数走势!$F$36:$ACK$36,1,LOOKUP(2,1/(指数走势!$F$36:$ACK$36&lt;&gt;""),COLUMN(指数走势!$F$36:$ACK$36))-COLUMN(指数走势!$F$36)+1-760+351)))</f>
        <v>33.1152000427246</v>
      </c>
      <c r="MO100">
        <f>IF(ISERROR(INDEX(指数走势!$F$36:$ACK$36,1,LOOKUP(2,1/(指数走势!$F$36:$ACK$36&lt;&gt;""),COLUMN(指数走势!$F$36:$ACK$36))-COLUMN(指数走势!$F$36)+1-760+352)),NA(),IF(INDEX(指数走势!$F$36:$ACK$36,1,LOOKUP(2,1/(指数走势!$F$36:$ACK$36&lt;&gt;""),COLUMN(指数走势!$F$36:$ACK$36))-COLUMN(指数走势!$F$36)+1-760+352)=0,NA(),INDEX(指数走势!$F$36:$ACK$36,1,LOOKUP(2,1/(指数走势!$F$36:$ACK$36&lt;&gt;""),COLUMN(指数走势!$F$36:$ACK$36))-COLUMN(指数走势!$F$36)+1-760+352)))</f>
        <v>32.6829986572266</v>
      </c>
      <c r="MP100">
        <f>IF(ISERROR(INDEX(指数走势!$F$36:$ACK$36,1,LOOKUP(2,1/(指数走势!$F$36:$ACK$36&lt;&gt;""),COLUMN(指数走势!$F$36:$ACK$36))-COLUMN(指数走势!$F$36)+1-760+353)),NA(),IF(INDEX(指数走势!$F$36:$ACK$36,1,LOOKUP(2,1/(指数走势!$F$36:$ACK$36&lt;&gt;""),COLUMN(指数走势!$F$36:$ACK$36))-COLUMN(指数走势!$F$36)+1-760+353)=0,NA(),INDEX(指数走势!$F$36:$ACK$36,1,LOOKUP(2,1/(指数走势!$F$36:$ACK$36&lt;&gt;""),COLUMN(指数走势!$F$36:$ACK$36))-COLUMN(指数走势!$F$36)+1-760+353)))</f>
        <v>32.8322982788086</v>
      </c>
      <c r="MQ100">
        <f>IF(ISERROR(INDEX(指数走势!$F$36:$ACK$36,1,LOOKUP(2,1/(指数走势!$F$36:$ACK$36&lt;&gt;""),COLUMN(指数走势!$F$36:$ACK$36))-COLUMN(指数走势!$F$36)+1-760+354)),NA(),IF(INDEX(指数走势!$F$36:$ACK$36,1,LOOKUP(2,1/(指数走势!$F$36:$ACK$36&lt;&gt;""),COLUMN(指数走势!$F$36:$ACK$36))-COLUMN(指数走势!$F$36)+1-760+354)=0,NA(),INDEX(指数走势!$F$36:$ACK$36,1,LOOKUP(2,1/(指数走势!$F$36:$ACK$36&lt;&gt;""),COLUMN(指数走势!$F$36:$ACK$36))-COLUMN(指数走势!$F$36)+1-760+354)))</f>
        <v>33.1132011413574</v>
      </c>
      <c r="MR100">
        <f>IF(ISERROR(INDEX(指数走势!$F$36:$ACK$36,1,LOOKUP(2,1/(指数走势!$F$36:$ACK$36&lt;&gt;""),COLUMN(指数走势!$F$36:$ACK$36))-COLUMN(指数走势!$F$36)+1-760+355)),NA(),IF(INDEX(指数走势!$F$36:$ACK$36,1,LOOKUP(2,1/(指数走势!$F$36:$ACK$36&lt;&gt;""),COLUMN(指数走势!$F$36:$ACK$36))-COLUMN(指数走势!$F$36)+1-760+355)=0,NA(),INDEX(指数走势!$F$36:$ACK$36,1,LOOKUP(2,1/(指数走势!$F$36:$ACK$36&lt;&gt;""),COLUMN(指数走势!$F$36:$ACK$36))-COLUMN(指数走势!$F$36)+1-760+355)))</f>
        <v>32.5660018920898</v>
      </c>
      <c r="MS100">
        <f>IF(ISERROR(INDEX(指数走势!$F$36:$ACK$36,1,LOOKUP(2,1/(指数走势!$F$36:$ACK$36&lt;&gt;""),COLUMN(指数走势!$F$36:$ACK$36))-COLUMN(指数走势!$F$36)+1-760+356)),NA(),IF(INDEX(指数走势!$F$36:$ACK$36,1,LOOKUP(2,1/(指数走势!$F$36:$ACK$36&lt;&gt;""),COLUMN(指数走势!$F$36:$ACK$36))-COLUMN(指数走势!$F$36)+1-760+356)=0,NA(),INDEX(指数走势!$F$36:$ACK$36,1,LOOKUP(2,1/(指数走势!$F$36:$ACK$36&lt;&gt;""),COLUMN(指数走势!$F$36:$ACK$36))-COLUMN(指数走势!$F$36)+1-760+356)))</f>
        <v>33.510799407959</v>
      </c>
      <c r="MT100">
        <f>IF(ISERROR(INDEX(指数走势!$F$36:$ACK$36,1,LOOKUP(2,1/(指数走势!$F$36:$ACK$36&lt;&gt;""),COLUMN(指数走势!$F$36:$ACK$36))-COLUMN(指数走势!$F$36)+1-760+357)),NA(),IF(INDEX(指数走势!$F$36:$ACK$36,1,LOOKUP(2,1/(指数走势!$F$36:$ACK$36&lt;&gt;""),COLUMN(指数走势!$F$36:$ACK$36))-COLUMN(指数走势!$F$36)+1-760+357)=0,NA(),INDEX(指数走势!$F$36:$ACK$36,1,LOOKUP(2,1/(指数走势!$F$36:$ACK$36&lt;&gt;""),COLUMN(指数走势!$F$36:$ACK$36))-COLUMN(指数走势!$F$36)+1-760+357)))</f>
        <v>35.0746002197266</v>
      </c>
      <c r="MU100">
        <f>IF(ISERROR(INDEX(指数走势!$F$36:$ACK$36,1,LOOKUP(2,1/(指数走势!$F$36:$ACK$36&lt;&gt;""),COLUMN(指数走势!$F$36:$ACK$36))-COLUMN(指数走势!$F$36)+1-760+358)),NA(),IF(INDEX(指数走势!$F$36:$ACK$36,1,LOOKUP(2,1/(指数走势!$F$36:$ACK$36&lt;&gt;""),COLUMN(指数走势!$F$36:$ACK$36))-COLUMN(指数走势!$F$36)+1-760+358)=0,NA(),INDEX(指数走势!$F$36:$ACK$36,1,LOOKUP(2,1/(指数走势!$F$36:$ACK$36&lt;&gt;""),COLUMN(指数走势!$F$36:$ACK$36))-COLUMN(指数走势!$F$36)+1-760+358)))</f>
        <v>34.7507019042969</v>
      </c>
      <c r="MV100">
        <f>IF(ISERROR(INDEX(指数走势!$F$36:$ACK$36,1,LOOKUP(2,1/(指数走势!$F$36:$ACK$36&lt;&gt;""),COLUMN(指数走势!$F$36:$ACK$36))-COLUMN(指数走势!$F$36)+1-760+359)),NA(),IF(INDEX(指数走势!$F$36:$ACK$36,1,LOOKUP(2,1/(指数走势!$F$36:$ACK$36&lt;&gt;""),COLUMN(指数走势!$F$36:$ACK$36))-COLUMN(指数走势!$F$36)+1-760+359)=0,NA(),INDEX(指数走势!$F$36:$ACK$36,1,LOOKUP(2,1/(指数走势!$F$36:$ACK$36&lt;&gt;""),COLUMN(指数走势!$F$36:$ACK$36))-COLUMN(指数走势!$F$36)+1-760+359)))</f>
        <v>36.0988006591797</v>
      </c>
      <c r="MW100">
        <f>IF(ISERROR(INDEX(指数走势!$F$36:$ACK$36,1,LOOKUP(2,1/(指数走势!$F$36:$ACK$36&lt;&gt;""),COLUMN(指数走势!$F$36:$ACK$36))-COLUMN(指数走势!$F$36)+1-760+360)),NA(),IF(INDEX(指数走势!$F$36:$ACK$36,1,LOOKUP(2,1/(指数走势!$F$36:$ACK$36&lt;&gt;""),COLUMN(指数走势!$F$36:$ACK$36))-COLUMN(指数走势!$F$36)+1-760+360)=0,NA(),INDEX(指数走势!$F$36:$ACK$36,1,LOOKUP(2,1/(指数走势!$F$36:$ACK$36&lt;&gt;""),COLUMN(指数走势!$F$36:$ACK$36))-COLUMN(指数走势!$F$36)+1-760+360)))</f>
        <v>35.7285003662109</v>
      </c>
      <c r="MX100">
        <f>IF(ISERROR(INDEX(指数走势!$F$36:$ACK$36,1,LOOKUP(2,1/(指数走势!$F$36:$ACK$36&lt;&gt;""),COLUMN(指数走势!$F$36:$ACK$36))-COLUMN(指数走势!$F$36)+1-760+361)),NA(),IF(INDEX(指数走势!$F$36:$ACK$36,1,LOOKUP(2,1/(指数走势!$F$36:$ACK$36&lt;&gt;""),COLUMN(指数走势!$F$36:$ACK$36))-COLUMN(指数走势!$F$36)+1-760+361)=0,NA(),INDEX(指数走势!$F$36:$ACK$36,1,LOOKUP(2,1/(指数走势!$F$36:$ACK$36&lt;&gt;""),COLUMN(指数走势!$F$36:$ACK$36))-COLUMN(指数走势!$F$36)+1-760+361)))</f>
        <v>36.7644996643066</v>
      </c>
      <c r="MY100">
        <f>IF(ISERROR(INDEX(指数走势!$F$36:$ACK$36,1,LOOKUP(2,1/(指数走势!$F$36:$ACK$36&lt;&gt;""),COLUMN(指数走势!$F$36:$ACK$36))-COLUMN(指数走势!$F$36)+1-760+362)),NA(),IF(INDEX(指数走势!$F$36:$ACK$36,1,LOOKUP(2,1/(指数走势!$F$36:$ACK$36&lt;&gt;""),COLUMN(指数走势!$F$36:$ACK$36))-COLUMN(指数走势!$F$36)+1-760+362)=0,NA(),INDEX(指数走势!$F$36:$ACK$36,1,LOOKUP(2,1/(指数走势!$F$36:$ACK$36&lt;&gt;""),COLUMN(指数走势!$F$36:$ACK$36))-COLUMN(指数走势!$F$36)+1-760+362)))</f>
        <v>36.7783012390137</v>
      </c>
      <c r="MZ100">
        <f>IF(ISERROR(INDEX(指数走势!$F$36:$ACK$36,1,LOOKUP(2,1/(指数走势!$F$36:$ACK$36&lt;&gt;""),COLUMN(指数走势!$F$36:$ACK$36))-COLUMN(指数走势!$F$36)+1-760+363)),NA(),IF(INDEX(指数走势!$F$36:$ACK$36,1,LOOKUP(2,1/(指数走势!$F$36:$ACK$36&lt;&gt;""),COLUMN(指数走势!$F$36:$ACK$36))-COLUMN(指数走势!$F$36)+1-760+363)=0,NA(),INDEX(指数走势!$F$36:$ACK$36,1,LOOKUP(2,1/(指数走势!$F$36:$ACK$36&lt;&gt;""),COLUMN(指数走势!$F$36:$ACK$36))-COLUMN(指数走势!$F$36)+1-760+363)))</f>
        <v>37.1101989746094</v>
      </c>
      <c r="NA100">
        <f>IF(ISERROR(INDEX(指数走势!$F$36:$ACK$36,1,LOOKUP(2,1/(指数走势!$F$36:$ACK$36&lt;&gt;""),COLUMN(指数走势!$F$36:$ACK$36))-COLUMN(指数走势!$F$36)+1-760+364)),NA(),IF(INDEX(指数走势!$F$36:$ACK$36,1,LOOKUP(2,1/(指数走势!$F$36:$ACK$36&lt;&gt;""),COLUMN(指数走势!$F$36:$ACK$36))-COLUMN(指数走势!$F$36)+1-760+364)=0,NA(),INDEX(指数走势!$F$36:$ACK$36,1,LOOKUP(2,1/(指数走势!$F$36:$ACK$36&lt;&gt;""),COLUMN(指数走势!$F$36:$ACK$36))-COLUMN(指数走势!$F$36)+1-760+364)))</f>
        <v>35.8704986572266</v>
      </c>
      <c r="NB100">
        <f>IF(ISERROR(INDEX(指数走势!$F$36:$ACK$36,1,LOOKUP(2,1/(指数走势!$F$36:$ACK$36&lt;&gt;""),COLUMN(指数走势!$F$36:$ACK$36))-COLUMN(指数走势!$F$36)+1-760+365)),NA(),IF(INDEX(指数走势!$F$36:$ACK$36,1,LOOKUP(2,1/(指数走势!$F$36:$ACK$36&lt;&gt;""),COLUMN(指数走势!$F$36:$ACK$36))-COLUMN(指数走势!$F$36)+1-760+365)=0,NA(),INDEX(指数走势!$F$36:$ACK$36,1,LOOKUP(2,1/(指数走势!$F$36:$ACK$36&lt;&gt;""),COLUMN(指数走势!$F$36:$ACK$36))-COLUMN(指数走势!$F$36)+1-760+365)))</f>
        <v>34.4962005615234</v>
      </c>
      <c r="NC100">
        <f>IF(ISERROR(INDEX(指数走势!$F$36:$ACK$36,1,LOOKUP(2,1/(指数走势!$F$36:$ACK$36&lt;&gt;""),COLUMN(指数走势!$F$36:$ACK$36))-COLUMN(指数走势!$F$36)+1-760+366)),NA(),IF(INDEX(指数走势!$F$36:$ACK$36,1,LOOKUP(2,1/(指数走势!$F$36:$ACK$36&lt;&gt;""),COLUMN(指数走势!$F$36:$ACK$36))-COLUMN(指数走势!$F$36)+1-760+366)=0,NA(),INDEX(指数走势!$F$36:$ACK$36,1,LOOKUP(2,1/(指数走势!$F$36:$ACK$36&lt;&gt;""),COLUMN(指数走势!$F$36:$ACK$36))-COLUMN(指数走势!$F$36)+1-760+366)))</f>
        <v>33.6897010803223</v>
      </c>
      <c r="ND100">
        <f>IF(ISERROR(INDEX(指数走势!$F$36:$ACK$36,1,LOOKUP(2,1/(指数走势!$F$36:$ACK$36&lt;&gt;""),COLUMN(指数走势!$F$36:$ACK$36))-COLUMN(指数走势!$F$36)+1-760+367)),NA(),IF(INDEX(指数走势!$F$36:$ACK$36,1,LOOKUP(2,1/(指数走势!$F$36:$ACK$36&lt;&gt;""),COLUMN(指数走势!$F$36:$ACK$36))-COLUMN(指数走势!$F$36)+1-760+367)=0,NA(),INDEX(指数走势!$F$36:$ACK$36,1,LOOKUP(2,1/(指数走势!$F$36:$ACK$36&lt;&gt;""),COLUMN(指数走势!$F$36:$ACK$36))-COLUMN(指数走势!$F$36)+1-760+367)))</f>
        <v>34.671501159668</v>
      </c>
      <c r="NE100">
        <f>IF(ISERROR(INDEX(指数走势!$F$36:$ACK$36,1,LOOKUP(2,1/(指数走势!$F$36:$ACK$36&lt;&gt;""),COLUMN(指数走势!$F$36:$ACK$36))-COLUMN(指数走势!$F$36)+1-760+368)),NA(),IF(INDEX(指数走势!$F$36:$ACK$36,1,LOOKUP(2,1/(指数走势!$F$36:$ACK$36&lt;&gt;""),COLUMN(指数走势!$F$36:$ACK$36))-COLUMN(指数走势!$F$36)+1-760+368)=0,NA(),INDEX(指数走势!$F$36:$ACK$36,1,LOOKUP(2,1/(指数走势!$F$36:$ACK$36&lt;&gt;""),COLUMN(指数走势!$F$36:$ACK$36))-COLUMN(指数走势!$F$36)+1-760+368)))</f>
        <v>34.8517990112305</v>
      </c>
      <c r="NF100">
        <f>IF(ISERROR(INDEX(指数走势!$F$36:$ACK$36,1,LOOKUP(2,1/(指数走势!$F$36:$ACK$36&lt;&gt;""),COLUMN(指数走势!$F$36:$ACK$36))-COLUMN(指数走势!$F$36)+1-760+369)),NA(),IF(INDEX(指数走势!$F$36:$ACK$36,1,LOOKUP(2,1/(指数走势!$F$36:$ACK$36&lt;&gt;""),COLUMN(指数走势!$F$36:$ACK$36))-COLUMN(指数走势!$F$36)+1-760+369)=0,NA(),INDEX(指数走势!$F$36:$ACK$36,1,LOOKUP(2,1/(指数走势!$F$36:$ACK$36&lt;&gt;""),COLUMN(指数走势!$F$36:$ACK$36))-COLUMN(指数走势!$F$36)+1-760+369)))</f>
        <v>34.8210983276367</v>
      </c>
      <c r="NG100">
        <f>IF(ISERROR(INDEX(指数走势!$F$36:$ACK$36,1,LOOKUP(2,1/(指数走势!$F$36:$ACK$36&lt;&gt;""),COLUMN(指数走势!$F$36:$ACK$36))-COLUMN(指数走势!$F$36)+1-760+370)),NA(),IF(INDEX(指数走势!$F$36:$ACK$36,1,LOOKUP(2,1/(指数走势!$F$36:$ACK$36&lt;&gt;""),COLUMN(指数走势!$F$36:$ACK$36))-COLUMN(指数走势!$F$36)+1-760+370)=0,NA(),INDEX(指数走势!$F$36:$ACK$36,1,LOOKUP(2,1/(指数走势!$F$36:$ACK$36&lt;&gt;""),COLUMN(指数走势!$F$36:$ACK$36))-COLUMN(指数走势!$F$36)+1-760+370)))</f>
        <v>33.4550018310547</v>
      </c>
      <c r="NH100">
        <f>IF(ISERROR(INDEX(指数走势!$F$36:$ACK$36,1,LOOKUP(2,1/(指数走势!$F$36:$ACK$36&lt;&gt;""),COLUMN(指数走势!$F$36:$ACK$36))-COLUMN(指数走势!$F$36)+1-760+371)),NA(),IF(INDEX(指数走势!$F$36:$ACK$36,1,LOOKUP(2,1/(指数走势!$F$36:$ACK$36&lt;&gt;""),COLUMN(指数走势!$F$36:$ACK$36))-COLUMN(指数走势!$F$36)+1-760+371)=0,NA(),INDEX(指数走势!$F$36:$ACK$36,1,LOOKUP(2,1/(指数走势!$F$36:$ACK$36&lt;&gt;""),COLUMN(指数走势!$F$36:$ACK$36))-COLUMN(指数走势!$F$36)+1-760+371)))</f>
        <v>33.4966011047363</v>
      </c>
      <c r="NI100">
        <f>IF(ISERROR(INDEX(指数走势!$F$36:$ACK$36,1,LOOKUP(2,1/(指数走势!$F$36:$ACK$36&lt;&gt;""),COLUMN(指数走势!$F$36:$ACK$36))-COLUMN(指数走势!$F$36)+1-760+372)),NA(),IF(INDEX(指数走势!$F$36:$ACK$36,1,LOOKUP(2,1/(指数走势!$F$36:$ACK$36&lt;&gt;""),COLUMN(指数走势!$F$36:$ACK$36))-COLUMN(指数走势!$F$36)+1-760+372)=0,NA(),INDEX(指数走势!$F$36:$ACK$36,1,LOOKUP(2,1/(指数走势!$F$36:$ACK$36&lt;&gt;""),COLUMN(指数走势!$F$36:$ACK$36))-COLUMN(指数走势!$F$36)+1-760+372)))</f>
        <v>33.1528015136719</v>
      </c>
      <c r="NJ100">
        <f>IF(ISERROR(INDEX(指数走势!$F$36:$ACK$36,1,LOOKUP(2,1/(指数走势!$F$36:$ACK$36&lt;&gt;""),COLUMN(指数走势!$F$36:$ACK$36))-COLUMN(指数走势!$F$36)+1-760+373)),NA(),IF(INDEX(指数走势!$F$36:$ACK$36,1,LOOKUP(2,1/(指数走势!$F$36:$ACK$36&lt;&gt;""),COLUMN(指数走势!$F$36:$ACK$36))-COLUMN(指数走势!$F$36)+1-760+373)=0,NA(),INDEX(指数走势!$F$36:$ACK$36,1,LOOKUP(2,1/(指数走势!$F$36:$ACK$36&lt;&gt;""),COLUMN(指数走势!$F$36:$ACK$36))-COLUMN(指数走势!$F$36)+1-760+373)))</f>
        <v>34.086799621582</v>
      </c>
      <c r="NK100">
        <f>IF(ISERROR(INDEX(指数走势!$F$36:$ACK$36,1,LOOKUP(2,1/(指数走势!$F$36:$ACK$36&lt;&gt;""),COLUMN(指数走势!$F$36:$ACK$36))-COLUMN(指数走势!$F$36)+1-760+374)),NA(),IF(INDEX(指数走势!$F$36:$ACK$36,1,LOOKUP(2,1/(指数走势!$F$36:$ACK$36&lt;&gt;""),COLUMN(指数走势!$F$36:$ACK$36))-COLUMN(指数走势!$F$36)+1-760+374)=0,NA(),INDEX(指数走势!$F$36:$ACK$36,1,LOOKUP(2,1/(指数走势!$F$36:$ACK$36&lt;&gt;""),COLUMN(指数走势!$F$36:$ACK$36))-COLUMN(指数走势!$F$36)+1-760+374)))</f>
        <v>33.4943008422852</v>
      </c>
      <c r="NL100">
        <f>IF(ISERROR(INDEX(指数走势!$F$36:$ACK$36,1,LOOKUP(2,1/(指数走势!$F$36:$ACK$36&lt;&gt;""),COLUMN(指数走势!$F$36:$ACK$36))-COLUMN(指数走势!$F$36)+1-760+375)),NA(),IF(INDEX(指数走势!$F$36:$ACK$36,1,LOOKUP(2,1/(指数走势!$F$36:$ACK$36&lt;&gt;""),COLUMN(指数走势!$F$36:$ACK$36))-COLUMN(指数走势!$F$36)+1-760+375)=0,NA(),INDEX(指数走势!$F$36:$ACK$36,1,LOOKUP(2,1/(指数走势!$F$36:$ACK$36&lt;&gt;""),COLUMN(指数走势!$F$36:$ACK$36))-COLUMN(指数走势!$F$36)+1-760+375)))</f>
        <v>34.3065986633301</v>
      </c>
      <c r="NM100">
        <f>IF(ISERROR(INDEX(指数走势!$F$36:$ACK$36,1,LOOKUP(2,1/(指数走势!$F$36:$ACK$36&lt;&gt;""),COLUMN(指数走势!$F$36:$ACK$36))-COLUMN(指数走势!$F$36)+1-760+376)),NA(),IF(INDEX(指数走势!$F$36:$ACK$36,1,LOOKUP(2,1/(指数走势!$F$36:$ACK$36&lt;&gt;""),COLUMN(指数走势!$F$36:$ACK$36))-COLUMN(指数走势!$F$36)+1-760+376)=0,NA(),INDEX(指数走势!$F$36:$ACK$36,1,LOOKUP(2,1/(指数走势!$F$36:$ACK$36&lt;&gt;""),COLUMN(指数走势!$F$36:$ACK$36))-COLUMN(指数走势!$F$36)+1-760+376)))</f>
        <v>34.7939987182617</v>
      </c>
      <c r="NN100">
        <f>IF(ISERROR(INDEX(指数走势!$F$36:$ACK$36,1,LOOKUP(2,1/(指数走势!$F$36:$ACK$36&lt;&gt;""),COLUMN(指数走势!$F$36:$ACK$36))-COLUMN(指数走势!$F$36)+1-760+377)),NA(),IF(INDEX(指数走势!$F$36:$ACK$36,1,LOOKUP(2,1/(指数走势!$F$36:$ACK$36&lt;&gt;""),COLUMN(指数走势!$F$36:$ACK$36))-COLUMN(指数走势!$F$36)+1-760+377)=0,NA(),INDEX(指数走势!$F$36:$ACK$36,1,LOOKUP(2,1/(指数走势!$F$36:$ACK$36&lt;&gt;""),COLUMN(指数走势!$F$36:$ACK$36))-COLUMN(指数走势!$F$36)+1-760+377)))</f>
        <v>34.6455993652344</v>
      </c>
      <c r="NO100">
        <f>IF(ISERROR(INDEX(指数走势!$F$36:$ACK$36,1,LOOKUP(2,1/(指数走势!$F$36:$ACK$36&lt;&gt;""),COLUMN(指数走势!$F$36:$ACK$36))-COLUMN(指数走势!$F$36)+1-760+378)),NA(),IF(INDEX(指数走势!$F$36:$ACK$36,1,LOOKUP(2,1/(指数走势!$F$36:$ACK$36&lt;&gt;""),COLUMN(指数走势!$F$36:$ACK$36))-COLUMN(指数走势!$F$36)+1-760+378)=0,NA(),INDEX(指数走势!$F$36:$ACK$36,1,LOOKUP(2,1/(指数走势!$F$36:$ACK$36&lt;&gt;""),COLUMN(指数走势!$F$36:$ACK$36))-COLUMN(指数走势!$F$36)+1-760+378)))</f>
        <v>34.1841011047363</v>
      </c>
      <c r="NP100">
        <f>IF(ISERROR(INDEX(指数走势!$F$36:$ACK$36,1,LOOKUP(2,1/(指数走势!$F$36:$ACK$36&lt;&gt;""),COLUMN(指数走势!$F$36:$ACK$36))-COLUMN(指数走势!$F$36)+1-760+379)),NA(),IF(INDEX(指数走势!$F$36:$ACK$36,1,LOOKUP(2,1/(指数走势!$F$36:$ACK$36&lt;&gt;""),COLUMN(指数走势!$F$36:$ACK$36))-COLUMN(指数走势!$F$36)+1-760+379)=0,NA(),INDEX(指数走势!$F$36:$ACK$36,1,LOOKUP(2,1/(指数走势!$F$36:$ACK$36&lt;&gt;""),COLUMN(指数走势!$F$36:$ACK$36))-COLUMN(指数走势!$F$36)+1-760+379)))</f>
        <v>34.263801574707</v>
      </c>
      <c r="NQ100">
        <f>IF(ISERROR(INDEX(指数走势!$F$36:$ACK$36,1,LOOKUP(2,1/(指数走势!$F$36:$ACK$36&lt;&gt;""),COLUMN(指数走势!$F$36:$ACK$36))-COLUMN(指数走势!$F$36)+1-760+380)),NA(),IF(INDEX(指数走势!$F$36:$ACK$36,1,LOOKUP(2,1/(指数走势!$F$36:$ACK$36&lt;&gt;""),COLUMN(指数走势!$F$36:$ACK$36))-COLUMN(指数走势!$F$36)+1-760+380)=0,NA(),INDEX(指数走势!$F$36:$ACK$36,1,LOOKUP(2,1/(指数走势!$F$36:$ACK$36&lt;&gt;""),COLUMN(指数走势!$F$36:$ACK$36))-COLUMN(指数走势!$F$36)+1-760+380)))</f>
        <v>34.9618988037109</v>
      </c>
      <c r="NR100">
        <f>IF(ISERROR(INDEX(指数走势!$F$36:$ACK$36,1,LOOKUP(2,1/(指数走势!$F$36:$ACK$36&lt;&gt;""),COLUMN(指数走势!$F$36:$ACK$36))-COLUMN(指数走势!$F$36)+1-760+381)),NA(),IF(INDEX(指数走势!$F$36:$ACK$36,1,LOOKUP(2,1/(指数走势!$F$36:$ACK$36&lt;&gt;""),COLUMN(指数走势!$F$36:$ACK$36))-COLUMN(指数走势!$F$36)+1-760+381)=0,NA(),INDEX(指数走势!$F$36:$ACK$36,1,LOOKUP(2,1/(指数走势!$F$36:$ACK$36&lt;&gt;""),COLUMN(指数走势!$F$36:$ACK$36))-COLUMN(指数走势!$F$36)+1-760+381)))</f>
        <v>34.7127990722656</v>
      </c>
      <c r="NS100">
        <f>IF(ISERROR(INDEX(指数走势!$F$36:$ACK$36,1,LOOKUP(2,1/(指数走势!$F$36:$ACK$36&lt;&gt;""),COLUMN(指数走势!$F$36:$ACK$36))-COLUMN(指数走势!$F$36)+1-760+382)),NA(),IF(INDEX(指数走势!$F$36:$ACK$36,1,LOOKUP(2,1/(指数走势!$F$36:$ACK$36&lt;&gt;""),COLUMN(指数走势!$F$36:$ACK$36))-COLUMN(指数走势!$F$36)+1-760+382)=0,NA(),INDEX(指数走势!$F$36:$ACK$36,1,LOOKUP(2,1/(指数走势!$F$36:$ACK$36&lt;&gt;""),COLUMN(指数走势!$F$36:$ACK$36))-COLUMN(指数走势!$F$36)+1-760+382)))</f>
        <v>34.9709014892578</v>
      </c>
      <c r="NT100">
        <f>IF(ISERROR(INDEX(指数走势!$F$36:$ACK$36,1,LOOKUP(2,1/(指数走势!$F$36:$ACK$36&lt;&gt;""),COLUMN(指数走势!$F$36:$ACK$36))-COLUMN(指数走势!$F$36)+1-760+383)),NA(),IF(INDEX(指数走势!$F$36:$ACK$36,1,LOOKUP(2,1/(指数走势!$F$36:$ACK$36&lt;&gt;""),COLUMN(指数走势!$F$36:$ACK$36))-COLUMN(指数走势!$F$36)+1-760+383)=0,NA(),INDEX(指数走势!$F$36:$ACK$36,1,LOOKUP(2,1/(指数走势!$F$36:$ACK$36&lt;&gt;""),COLUMN(指数走势!$F$36:$ACK$36))-COLUMN(指数走势!$F$36)+1-760+383)))</f>
        <v>34.9576988220215</v>
      </c>
      <c r="NU100">
        <f>IF(ISERROR(INDEX(指数走势!$F$36:$ACK$36,1,LOOKUP(2,1/(指数走势!$F$36:$ACK$36&lt;&gt;""),COLUMN(指数走势!$F$36:$ACK$36))-COLUMN(指数走势!$F$36)+1-760+384)),NA(),IF(INDEX(指数走势!$F$36:$ACK$36,1,LOOKUP(2,1/(指数走势!$F$36:$ACK$36&lt;&gt;""),COLUMN(指数走势!$F$36:$ACK$36))-COLUMN(指数走势!$F$36)+1-760+384)=0,NA(),INDEX(指数走势!$F$36:$ACK$36,1,LOOKUP(2,1/(指数走势!$F$36:$ACK$36&lt;&gt;""),COLUMN(指数走势!$F$36:$ACK$36))-COLUMN(指数走势!$F$36)+1-760+384)))</f>
        <v>35.4485015869141</v>
      </c>
      <c r="NV100">
        <f>IF(ISERROR(INDEX(指数走势!$F$36:$ACK$36,1,LOOKUP(2,1/(指数走势!$F$36:$ACK$36&lt;&gt;""),COLUMN(指数走势!$F$36:$ACK$36))-COLUMN(指数走势!$F$36)+1-760+385)),NA(),IF(INDEX(指数走势!$F$36:$ACK$36,1,LOOKUP(2,1/(指数走势!$F$36:$ACK$36&lt;&gt;""),COLUMN(指数走势!$F$36:$ACK$36))-COLUMN(指数走势!$F$36)+1-760+385)=0,NA(),INDEX(指数走势!$F$36:$ACK$36,1,LOOKUP(2,1/(指数走势!$F$36:$ACK$36&lt;&gt;""),COLUMN(指数走势!$F$36:$ACK$36))-COLUMN(指数走势!$F$36)+1-760+385)))</f>
        <v>34.5942993164063</v>
      </c>
      <c r="NW100">
        <f>IF(ISERROR(INDEX(指数走势!$F$36:$ACK$36,1,LOOKUP(2,1/(指数走势!$F$36:$ACK$36&lt;&gt;""),COLUMN(指数走势!$F$36:$ACK$36))-COLUMN(指数走势!$F$36)+1-760+386)),NA(),IF(INDEX(指数走势!$F$36:$ACK$36,1,LOOKUP(2,1/(指数走势!$F$36:$ACK$36&lt;&gt;""),COLUMN(指数走势!$F$36:$ACK$36))-COLUMN(指数走势!$F$36)+1-760+386)=0,NA(),INDEX(指数走势!$F$36:$ACK$36,1,LOOKUP(2,1/(指数走势!$F$36:$ACK$36&lt;&gt;""),COLUMN(指数走势!$F$36:$ACK$36))-COLUMN(指数走势!$F$36)+1-760+386)))</f>
        <v>34.122200012207</v>
      </c>
      <c r="NX100">
        <f>IF(ISERROR(INDEX(指数走势!$F$36:$ACK$36,1,LOOKUP(2,1/(指数走势!$F$36:$ACK$36&lt;&gt;""),COLUMN(指数走势!$F$36:$ACK$36))-COLUMN(指数走势!$F$36)+1-760+387)),NA(),IF(INDEX(指数走势!$F$36:$ACK$36,1,LOOKUP(2,1/(指数走势!$F$36:$ACK$36&lt;&gt;""),COLUMN(指数走势!$F$36:$ACK$36))-COLUMN(指数走势!$F$36)+1-760+387)=0,NA(),INDEX(指数走势!$F$36:$ACK$36,1,LOOKUP(2,1/(指数走势!$F$36:$ACK$36&lt;&gt;""),COLUMN(指数走势!$F$36:$ACK$36))-COLUMN(指数走势!$F$36)+1-760+387)))</f>
        <v>34.1076011657715</v>
      </c>
      <c r="NY100">
        <f>IF(ISERROR(INDEX(指数走势!$F$36:$ACK$36,1,LOOKUP(2,1/(指数走势!$F$36:$ACK$36&lt;&gt;""),COLUMN(指数走势!$F$36:$ACK$36))-COLUMN(指数走势!$F$36)+1-760+388)),NA(),IF(INDEX(指数走势!$F$36:$ACK$36,1,LOOKUP(2,1/(指数走势!$F$36:$ACK$36&lt;&gt;""),COLUMN(指数走势!$F$36:$ACK$36))-COLUMN(指数走势!$F$36)+1-760+388)=0,NA(),INDEX(指数走势!$F$36:$ACK$36,1,LOOKUP(2,1/(指数走势!$F$36:$ACK$36&lt;&gt;""),COLUMN(指数走势!$F$36:$ACK$36))-COLUMN(指数走势!$F$36)+1-760+388)))</f>
        <v>34.1587982177734</v>
      </c>
      <c r="NZ100">
        <f>IF(ISERROR(INDEX(指数走势!$F$36:$ACK$36,1,LOOKUP(2,1/(指数走势!$F$36:$ACK$36&lt;&gt;""),COLUMN(指数走势!$F$36:$ACK$36))-COLUMN(指数走势!$F$36)+1-760+389)),NA(),IF(INDEX(指数走势!$F$36:$ACK$36,1,LOOKUP(2,1/(指数走势!$F$36:$ACK$36&lt;&gt;""),COLUMN(指数走势!$F$36:$ACK$36))-COLUMN(指数走势!$F$36)+1-760+389)=0,NA(),INDEX(指数走势!$F$36:$ACK$36,1,LOOKUP(2,1/(指数走势!$F$36:$ACK$36&lt;&gt;""),COLUMN(指数走势!$F$36:$ACK$36))-COLUMN(指数走势!$F$36)+1-760+389)))</f>
        <v>34.3474998474121</v>
      </c>
      <c r="OA100">
        <f>IF(ISERROR(INDEX(指数走势!$F$36:$ACK$36,1,LOOKUP(2,1/(指数走势!$F$36:$ACK$36&lt;&gt;""),COLUMN(指数走势!$F$36:$ACK$36))-COLUMN(指数走势!$F$36)+1-760+390)),NA(),IF(INDEX(指数走势!$F$36:$ACK$36,1,LOOKUP(2,1/(指数走势!$F$36:$ACK$36&lt;&gt;""),COLUMN(指数走势!$F$36:$ACK$36))-COLUMN(指数走势!$F$36)+1-760+390)=0,NA(),INDEX(指数走势!$F$36:$ACK$36,1,LOOKUP(2,1/(指数走势!$F$36:$ACK$36&lt;&gt;""),COLUMN(指数走势!$F$36:$ACK$36))-COLUMN(指数走势!$F$36)+1-760+390)))</f>
        <v>34.2957992553711</v>
      </c>
      <c r="OB100">
        <f>IF(ISERROR(INDEX(指数走势!$F$36:$ACK$36,1,LOOKUP(2,1/(指数走势!$F$36:$ACK$36&lt;&gt;""),COLUMN(指数走势!$F$36:$ACK$36))-COLUMN(指数走势!$F$36)+1-760+391)),NA(),IF(INDEX(指数走势!$F$36:$ACK$36,1,LOOKUP(2,1/(指数走势!$F$36:$ACK$36&lt;&gt;""),COLUMN(指数走势!$F$36:$ACK$36))-COLUMN(指数走势!$F$36)+1-760+391)=0,NA(),INDEX(指数走势!$F$36:$ACK$36,1,LOOKUP(2,1/(指数走势!$F$36:$ACK$36&lt;&gt;""),COLUMN(指数走势!$F$36:$ACK$36))-COLUMN(指数走势!$F$36)+1-760+391)))</f>
        <v>33.980598449707</v>
      </c>
      <c r="OC100">
        <f>IF(ISERROR(INDEX(指数走势!$F$36:$ACK$36,1,LOOKUP(2,1/(指数走势!$F$36:$ACK$36&lt;&gt;""),COLUMN(指数走势!$F$36:$ACK$36))-COLUMN(指数走势!$F$36)+1-760+392)),NA(),IF(INDEX(指数走势!$F$36:$ACK$36,1,LOOKUP(2,1/(指数走势!$F$36:$ACK$36&lt;&gt;""),COLUMN(指数走势!$F$36:$ACK$36))-COLUMN(指数走势!$F$36)+1-760+392)=0,NA(),INDEX(指数走势!$F$36:$ACK$36,1,LOOKUP(2,1/(指数走势!$F$36:$ACK$36&lt;&gt;""),COLUMN(指数走势!$F$36:$ACK$36))-COLUMN(指数走势!$F$36)+1-760+392)))</f>
        <v>34.3843994140625</v>
      </c>
      <c r="OD100">
        <f>IF(ISERROR(INDEX(指数走势!$F$36:$ACK$36,1,LOOKUP(2,1/(指数走势!$F$36:$ACK$36&lt;&gt;""),COLUMN(指数走势!$F$36:$ACK$36))-COLUMN(指数走势!$F$36)+1-760+393)),NA(),IF(INDEX(指数走势!$F$36:$ACK$36,1,LOOKUP(2,1/(指数走势!$F$36:$ACK$36&lt;&gt;""),COLUMN(指数走势!$F$36:$ACK$36))-COLUMN(指数走势!$F$36)+1-760+393)=0,NA(),INDEX(指数走势!$F$36:$ACK$36,1,LOOKUP(2,1/(指数走势!$F$36:$ACK$36&lt;&gt;""),COLUMN(指数走势!$F$36:$ACK$36))-COLUMN(指数走势!$F$36)+1-760+393)))</f>
        <v>34.1992988586426</v>
      </c>
      <c r="OE100">
        <f>IF(ISERROR(INDEX(指数走势!$F$36:$ACK$36,1,LOOKUP(2,1/(指数走势!$F$36:$ACK$36&lt;&gt;""),COLUMN(指数走势!$F$36:$ACK$36))-COLUMN(指数走势!$F$36)+1-760+394)),NA(),IF(INDEX(指数走势!$F$36:$ACK$36,1,LOOKUP(2,1/(指数走势!$F$36:$ACK$36&lt;&gt;""),COLUMN(指数走势!$F$36:$ACK$36))-COLUMN(指数走势!$F$36)+1-760+394)=0,NA(),INDEX(指数走势!$F$36:$ACK$36,1,LOOKUP(2,1/(指数走势!$F$36:$ACK$36&lt;&gt;""),COLUMN(指数走势!$F$36:$ACK$36))-COLUMN(指数走势!$F$36)+1-760+394)))</f>
        <v>34.2841987609863</v>
      </c>
      <c r="OF100">
        <f>IF(ISERROR(INDEX(指数走势!$F$36:$ACK$36,1,LOOKUP(2,1/(指数走势!$F$36:$ACK$36&lt;&gt;""),COLUMN(指数走势!$F$36:$ACK$36))-COLUMN(指数走势!$F$36)+1-760+395)),NA(),IF(INDEX(指数走势!$F$36:$ACK$36,1,LOOKUP(2,1/(指数走势!$F$36:$ACK$36&lt;&gt;""),COLUMN(指数走势!$F$36:$ACK$36))-COLUMN(指数走势!$F$36)+1-760+395)=0,NA(),INDEX(指数走势!$F$36:$ACK$36,1,LOOKUP(2,1/(指数走势!$F$36:$ACK$36&lt;&gt;""),COLUMN(指数走势!$F$36:$ACK$36))-COLUMN(指数走势!$F$36)+1-760+395)))</f>
        <v>34.1973991394043</v>
      </c>
      <c r="OG100">
        <f>IF(ISERROR(INDEX(指数走势!$F$36:$ACK$36,1,LOOKUP(2,1/(指数走势!$F$36:$ACK$36&lt;&gt;""),COLUMN(指数走势!$F$36:$ACK$36))-COLUMN(指数走势!$F$36)+1-760+396)),NA(),IF(INDEX(指数走势!$F$36:$ACK$36,1,LOOKUP(2,1/(指数走势!$F$36:$ACK$36&lt;&gt;""),COLUMN(指数走势!$F$36:$ACK$36))-COLUMN(指数走势!$F$36)+1-760+396)=0,NA(),INDEX(指数走势!$F$36:$ACK$36,1,LOOKUP(2,1/(指数走势!$F$36:$ACK$36&lt;&gt;""),COLUMN(指数走势!$F$36:$ACK$36))-COLUMN(指数走势!$F$36)+1-760+396)))</f>
        <v>34.206600189209</v>
      </c>
      <c r="OH100">
        <f>IF(ISERROR(INDEX(指数走势!$F$36:$ACK$36,1,LOOKUP(2,1/(指数走势!$F$36:$ACK$36&lt;&gt;""),COLUMN(指数走势!$F$36:$ACK$36))-COLUMN(指数走势!$F$36)+1-760+397)),NA(),IF(INDEX(指数走势!$F$36:$ACK$36,1,LOOKUP(2,1/(指数走势!$F$36:$ACK$36&lt;&gt;""),COLUMN(指数走势!$F$36:$ACK$36))-COLUMN(指数走势!$F$36)+1-760+397)=0,NA(),INDEX(指数走势!$F$36:$ACK$36,1,LOOKUP(2,1/(指数走势!$F$36:$ACK$36&lt;&gt;""),COLUMN(指数走势!$F$36:$ACK$36))-COLUMN(指数走势!$F$36)+1-760+397)))</f>
        <v>33.2579002380371</v>
      </c>
      <c r="OI100">
        <f>IF(ISERROR(INDEX(指数走势!$F$36:$ACK$36,1,LOOKUP(2,1/(指数走势!$F$36:$ACK$36&lt;&gt;""),COLUMN(指数走势!$F$36:$ACK$36))-COLUMN(指数走势!$F$36)+1-760+398)),NA(),IF(INDEX(指数走势!$F$36:$ACK$36,1,LOOKUP(2,1/(指数走势!$F$36:$ACK$36&lt;&gt;""),COLUMN(指数走势!$F$36:$ACK$36))-COLUMN(指数走势!$F$36)+1-760+398)=0,NA(),INDEX(指数走势!$F$36:$ACK$36,1,LOOKUP(2,1/(指数走势!$F$36:$ACK$36&lt;&gt;""),COLUMN(指数走势!$F$36:$ACK$36))-COLUMN(指数走势!$F$36)+1-760+398)))</f>
        <v>32.0297012329102</v>
      </c>
      <c r="OJ100">
        <f>IF(ISERROR(INDEX(指数走势!$F$36:$ACK$36,1,LOOKUP(2,1/(指数走势!$F$36:$ACK$36&lt;&gt;""),COLUMN(指数走势!$F$36:$ACK$36))-COLUMN(指数走势!$F$36)+1-760+399)),NA(),IF(INDEX(指数走势!$F$36:$ACK$36,1,LOOKUP(2,1/(指数走势!$F$36:$ACK$36&lt;&gt;""),COLUMN(指数走势!$F$36:$ACK$36))-COLUMN(指数走势!$F$36)+1-760+399)=0,NA(),INDEX(指数走势!$F$36:$ACK$36,1,LOOKUP(2,1/(指数走势!$F$36:$ACK$36&lt;&gt;""),COLUMN(指数走势!$F$36:$ACK$36))-COLUMN(指数走势!$F$36)+1-760+399)))</f>
        <v>31.3470993041992</v>
      </c>
      <c r="OK100">
        <f>IF(ISERROR(INDEX(指数走势!$F$36:$ACK$36,1,LOOKUP(2,1/(指数走势!$F$36:$ACK$36&lt;&gt;""),COLUMN(指数走势!$F$36:$ACK$36))-COLUMN(指数走势!$F$36)+1-760+400)),NA(),IF(INDEX(指数走势!$F$36:$ACK$36,1,LOOKUP(2,1/(指数走势!$F$36:$ACK$36&lt;&gt;""),COLUMN(指数走势!$F$36:$ACK$36))-COLUMN(指数走势!$F$36)+1-760+400)=0,NA(),INDEX(指数走势!$F$36:$ACK$36,1,LOOKUP(2,1/(指数走势!$F$36:$ACK$36&lt;&gt;""),COLUMN(指数走势!$F$36:$ACK$36))-COLUMN(指数走势!$F$36)+1-760+400)))</f>
        <v>31.2926998138428</v>
      </c>
      <c r="OL100">
        <f>IF(ISERROR(INDEX(指数走势!$F$36:$ACK$36,1,LOOKUP(2,1/(指数走势!$F$36:$ACK$36&lt;&gt;""),COLUMN(指数走势!$F$36:$ACK$36))-COLUMN(指数走势!$F$36)+1-760+401)),NA(),IF(INDEX(指数走势!$F$36:$ACK$36,1,LOOKUP(2,1/(指数走势!$F$36:$ACK$36&lt;&gt;""),COLUMN(指数走势!$F$36:$ACK$36))-COLUMN(指数走势!$F$36)+1-760+401)=0,NA(),INDEX(指数走势!$F$36:$ACK$36,1,LOOKUP(2,1/(指数走势!$F$36:$ACK$36&lt;&gt;""),COLUMN(指数走势!$F$36:$ACK$36))-COLUMN(指数走势!$F$36)+1-760+401)))</f>
        <v>31.4974002838135</v>
      </c>
      <c r="OM100">
        <f>IF(ISERROR(INDEX(指数走势!$F$36:$ACK$36,1,LOOKUP(2,1/(指数走势!$F$36:$ACK$36&lt;&gt;""),COLUMN(指数走势!$F$36:$ACK$36))-COLUMN(指数走势!$F$36)+1-760+402)),NA(),IF(INDEX(指数走势!$F$36:$ACK$36,1,LOOKUP(2,1/(指数走势!$F$36:$ACK$36&lt;&gt;""),COLUMN(指数走势!$F$36:$ACK$36))-COLUMN(指数走势!$F$36)+1-760+402)=0,NA(),INDEX(指数走势!$F$36:$ACK$36,1,LOOKUP(2,1/(指数走势!$F$36:$ACK$36&lt;&gt;""),COLUMN(指数走势!$F$36:$ACK$36))-COLUMN(指数走势!$F$36)+1-760+402)))</f>
        <v>31.2292995452881</v>
      </c>
      <c r="ON100">
        <f>IF(ISERROR(INDEX(指数走势!$F$36:$ACK$36,1,LOOKUP(2,1/(指数走势!$F$36:$ACK$36&lt;&gt;""),COLUMN(指数走势!$F$36:$ACK$36))-COLUMN(指数走势!$F$36)+1-760+403)),NA(),IF(INDEX(指数走势!$F$36:$ACK$36,1,LOOKUP(2,1/(指数走势!$F$36:$ACK$36&lt;&gt;""),COLUMN(指数走势!$F$36:$ACK$36))-COLUMN(指数走势!$F$36)+1-760+403)=0,NA(),INDEX(指数走势!$F$36:$ACK$36,1,LOOKUP(2,1/(指数走势!$F$36:$ACK$36&lt;&gt;""),COLUMN(指数走势!$F$36:$ACK$36))-COLUMN(指数走势!$F$36)+1-760+403)))</f>
        <v>31.255199432373</v>
      </c>
      <c r="OO100">
        <f>IF(ISERROR(INDEX(指数走势!$F$36:$ACK$36,1,LOOKUP(2,1/(指数走势!$F$36:$ACK$36&lt;&gt;""),COLUMN(指数走势!$F$36:$ACK$36))-COLUMN(指数走势!$F$36)+1-760+404)),NA(),IF(INDEX(指数走势!$F$36:$ACK$36,1,LOOKUP(2,1/(指数走势!$F$36:$ACK$36&lt;&gt;""),COLUMN(指数走势!$F$36:$ACK$36))-COLUMN(指数走势!$F$36)+1-760+404)=0,NA(),INDEX(指数走势!$F$36:$ACK$36,1,LOOKUP(2,1/(指数走势!$F$36:$ACK$36&lt;&gt;""),COLUMN(指数走势!$F$36:$ACK$36))-COLUMN(指数走势!$F$36)+1-760+404)))</f>
        <v>30.7427005767822</v>
      </c>
      <c r="OP100">
        <f>IF(ISERROR(INDEX(指数走势!$F$36:$ACK$36,1,LOOKUP(2,1/(指数走势!$F$36:$ACK$36&lt;&gt;""),COLUMN(指数走势!$F$36:$ACK$36))-COLUMN(指数走势!$F$36)+1-760+405)),NA(),IF(INDEX(指数走势!$F$36:$ACK$36,1,LOOKUP(2,1/(指数走势!$F$36:$ACK$36&lt;&gt;""),COLUMN(指数走势!$F$36:$ACK$36))-COLUMN(指数走势!$F$36)+1-760+405)=0,NA(),INDEX(指数走势!$F$36:$ACK$36,1,LOOKUP(2,1/(指数走势!$F$36:$ACK$36&lt;&gt;""),COLUMN(指数走势!$F$36:$ACK$36))-COLUMN(指数走势!$F$36)+1-760+405)))</f>
        <v>30.8633003234863</v>
      </c>
      <c r="OQ100">
        <f>IF(ISERROR(INDEX(指数走势!$F$36:$ACK$36,1,LOOKUP(2,1/(指数走势!$F$36:$ACK$36&lt;&gt;""),COLUMN(指数走势!$F$36:$ACK$36))-COLUMN(指数走势!$F$36)+1-760+406)),NA(),IF(INDEX(指数走势!$F$36:$ACK$36,1,LOOKUP(2,1/(指数走势!$F$36:$ACK$36&lt;&gt;""),COLUMN(指数走势!$F$36:$ACK$36))-COLUMN(指数走势!$F$36)+1-760+406)=0,NA(),INDEX(指数走势!$F$36:$ACK$36,1,LOOKUP(2,1/(指数走势!$F$36:$ACK$36&lt;&gt;""),COLUMN(指数走势!$F$36:$ACK$36))-COLUMN(指数走势!$F$36)+1-760+406)))</f>
        <v>32.2921981811523</v>
      </c>
      <c r="OR100">
        <f>IF(ISERROR(INDEX(指数走势!$F$36:$ACK$36,1,LOOKUP(2,1/(指数走势!$F$36:$ACK$36&lt;&gt;""),COLUMN(指数走势!$F$36:$ACK$36))-COLUMN(指数走势!$F$36)+1-760+407)),NA(),IF(INDEX(指数走势!$F$36:$ACK$36,1,LOOKUP(2,1/(指数走势!$F$36:$ACK$36&lt;&gt;""),COLUMN(指数走势!$F$36:$ACK$36))-COLUMN(指数走势!$F$36)+1-760+407)=0,NA(),INDEX(指数走势!$F$36:$ACK$36,1,LOOKUP(2,1/(指数走势!$F$36:$ACK$36&lt;&gt;""),COLUMN(指数走势!$F$36:$ACK$36))-COLUMN(指数走势!$F$36)+1-760+407)))</f>
        <v>31.7019004821777</v>
      </c>
      <c r="OS100">
        <f>IF(ISERROR(INDEX(指数走势!$F$36:$ACK$36,1,LOOKUP(2,1/(指数走势!$F$36:$ACK$36&lt;&gt;""),COLUMN(指数走势!$F$36:$ACK$36))-COLUMN(指数走势!$F$36)+1-760+408)),NA(),IF(INDEX(指数走势!$F$36:$ACK$36,1,LOOKUP(2,1/(指数走势!$F$36:$ACK$36&lt;&gt;""),COLUMN(指数走势!$F$36:$ACK$36))-COLUMN(指数走势!$F$36)+1-760+408)=0,NA(),INDEX(指数走势!$F$36:$ACK$36,1,LOOKUP(2,1/(指数走势!$F$36:$ACK$36&lt;&gt;""),COLUMN(指数走势!$F$36:$ACK$36))-COLUMN(指数走势!$F$36)+1-760+408)))</f>
        <v>31.869800567627</v>
      </c>
      <c r="OT100">
        <f>IF(ISERROR(INDEX(指数走势!$F$36:$ACK$36,1,LOOKUP(2,1/(指数走势!$F$36:$ACK$36&lt;&gt;""),COLUMN(指数走势!$F$36:$ACK$36))-COLUMN(指数走势!$F$36)+1-760+409)),NA(),IF(INDEX(指数走势!$F$36:$ACK$36,1,LOOKUP(2,1/(指数走势!$F$36:$ACK$36&lt;&gt;""),COLUMN(指数走势!$F$36:$ACK$36))-COLUMN(指数走势!$F$36)+1-760+409)=0,NA(),INDEX(指数走势!$F$36:$ACK$36,1,LOOKUP(2,1/(指数走势!$F$36:$ACK$36&lt;&gt;""),COLUMN(指数走势!$F$36:$ACK$36))-COLUMN(指数走势!$F$36)+1-760+409)))</f>
        <v>32.1161994934082</v>
      </c>
      <c r="OU100">
        <f>IF(ISERROR(INDEX(指数走势!$F$36:$ACK$36,1,LOOKUP(2,1/(指数走势!$F$36:$ACK$36&lt;&gt;""),COLUMN(指数走势!$F$36:$ACK$36))-COLUMN(指数走势!$F$36)+1-760+410)),NA(),IF(INDEX(指数走势!$F$36:$ACK$36,1,LOOKUP(2,1/(指数走势!$F$36:$ACK$36&lt;&gt;""),COLUMN(指数走势!$F$36:$ACK$36))-COLUMN(指数走势!$F$36)+1-760+410)=0,NA(),INDEX(指数走势!$F$36:$ACK$36,1,LOOKUP(2,1/(指数走势!$F$36:$ACK$36&lt;&gt;""),COLUMN(指数走势!$F$36:$ACK$36))-COLUMN(指数走势!$F$36)+1-760+410)))</f>
        <v>32.6722984313965</v>
      </c>
      <c r="OV100">
        <f>IF(ISERROR(INDEX(指数走势!$F$36:$ACK$36,1,LOOKUP(2,1/(指数走势!$F$36:$ACK$36&lt;&gt;""),COLUMN(指数走势!$F$36:$ACK$36))-COLUMN(指数走势!$F$36)+1-760+411)),NA(),IF(INDEX(指数走势!$F$36:$ACK$36,1,LOOKUP(2,1/(指数走势!$F$36:$ACK$36&lt;&gt;""),COLUMN(指数走势!$F$36:$ACK$36))-COLUMN(指数走势!$F$36)+1-760+411)=0,NA(),INDEX(指数走势!$F$36:$ACK$36,1,LOOKUP(2,1/(指数走势!$F$36:$ACK$36&lt;&gt;""),COLUMN(指数走势!$F$36:$ACK$36))-COLUMN(指数走势!$F$36)+1-760+411)))</f>
        <v>32.7849006652832</v>
      </c>
      <c r="OW100">
        <f>IF(ISERROR(INDEX(指数走势!$F$36:$ACK$36,1,LOOKUP(2,1/(指数走势!$F$36:$ACK$36&lt;&gt;""),COLUMN(指数走势!$F$36:$ACK$36))-COLUMN(指数走势!$F$36)+1-760+412)),NA(),IF(INDEX(指数走势!$F$36:$ACK$36,1,LOOKUP(2,1/(指数走势!$F$36:$ACK$36&lt;&gt;""),COLUMN(指数走势!$F$36:$ACK$36))-COLUMN(指数走势!$F$36)+1-760+412)=0,NA(),INDEX(指数走势!$F$36:$ACK$36,1,LOOKUP(2,1/(指数走势!$F$36:$ACK$36&lt;&gt;""),COLUMN(指数走势!$F$36:$ACK$36))-COLUMN(指数走势!$F$36)+1-760+412)))</f>
        <v>33.4015007019043</v>
      </c>
      <c r="OX100">
        <f>IF(ISERROR(INDEX(指数走势!$F$36:$ACK$36,1,LOOKUP(2,1/(指数走势!$F$36:$ACK$36&lt;&gt;""),COLUMN(指数走势!$F$36:$ACK$36))-COLUMN(指数走势!$F$36)+1-760+413)),NA(),IF(INDEX(指数走势!$F$36:$ACK$36,1,LOOKUP(2,1/(指数走势!$F$36:$ACK$36&lt;&gt;""),COLUMN(指数走势!$F$36:$ACK$36))-COLUMN(指数走势!$F$36)+1-760+413)=0,NA(),INDEX(指数走势!$F$36:$ACK$36,1,LOOKUP(2,1/(指数走势!$F$36:$ACK$36&lt;&gt;""),COLUMN(指数走势!$F$36:$ACK$36))-COLUMN(指数走势!$F$36)+1-760+413)))</f>
        <v>33.2593002319336</v>
      </c>
      <c r="OY100">
        <f>IF(ISERROR(INDEX(指数走势!$F$36:$ACK$36,1,LOOKUP(2,1/(指数走势!$F$36:$ACK$36&lt;&gt;""),COLUMN(指数走势!$F$36:$ACK$36))-COLUMN(指数走势!$F$36)+1-760+414)),NA(),IF(INDEX(指数走势!$F$36:$ACK$36,1,LOOKUP(2,1/(指数走势!$F$36:$ACK$36&lt;&gt;""),COLUMN(指数走势!$F$36:$ACK$36))-COLUMN(指数走势!$F$36)+1-760+414)=0,NA(),INDEX(指数走势!$F$36:$ACK$36,1,LOOKUP(2,1/(指数走势!$F$36:$ACK$36&lt;&gt;""),COLUMN(指数走势!$F$36:$ACK$36))-COLUMN(指数走势!$F$36)+1-760+414)))</f>
        <v>33.7401008605957</v>
      </c>
      <c r="OZ100">
        <f>IF(ISERROR(INDEX(指数走势!$F$36:$ACK$36,1,LOOKUP(2,1/(指数走势!$F$36:$ACK$36&lt;&gt;""),COLUMN(指数走势!$F$36:$ACK$36))-COLUMN(指数走势!$F$36)+1-760+415)),NA(),IF(INDEX(指数走势!$F$36:$ACK$36,1,LOOKUP(2,1/(指数走势!$F$36:$ACK$36&lt;&gt;""),COLUMN(指数走势!$F$36:$ACK$36))-COLUMN(指数走势!$F$36)+1-760+415)=0,NA(),INDEX(指数走势!$F$36:$ACK$36,1,LOOKUP(2,1/(指数走势!$F$36:$ACK$36&lt;&gt;""),COLUMN(指数走势!$F$36:$ACK$36))-COLUMN(指数走势!$F$36)+1-760+415)))</f>
        <v>32.9001998901367</v>
      </c>
      <c r="PA100">
        <f>IF(ISERROR(INDEX(指数走势!$F$36:$ACK$36,1,LOOKUP(2,1/(指数走势!$F$36:$ACK$36&lt;&gt;""),COLUMN(指数走势!$F$36:$ACK$36))-COLUMN(指数走势!$F$36)+1-760+416)),NA(),IF(INDEX(指数走势!$F$36:$ACK$36,1,LOOKUP(2,1/(指数走势!$F$36:$ACK$36&lt;&gt;""),COLUMN(指数走势!$F$36:$ACK$36))-COLUMN(指数走势!$F$36)+1-760+416)=0,NA(),INDEX(指数走势!$F$36:$ACK$36,1,LOOKUP(2,1/(指数走势!$F$36:$ACK$36&lt;&gt;""),COLUMN(指数走势!$F$36:$ACK$36))-COLUMN(指数走势!$F$36)+1-760+416)))</f>
        <v>32.9296989440918</v>
      </c>
      <c r="PB100">
        <f>IF(ISERROR(INDEX(指数走势!$F$36:$ACK$36,1,LOOKUP(2,1/(指数走势!$F$36:$ACK$36&lt;&gt;""),COLUMN(指数走势!$F$36:$ACK$36))-COLUMN(指数走势!$F$36)+1-760+417)),NA(),IF(INDEX(指数走势!$F$36:$ACK$36,1,LOOKUP(2,1/(指数走势!$F$36:$ACK$36&lt;&gt;""),COLUMN(指数走势!$F$36:$ACK$36))-COLUMN(指数走势!$F$36)+1-760+417)=0,NA(),INDEX(指数走势!$F$36:$ACK$36,1,LOOKUP(2,1/(指数走势!$F$36:$ACK$36&lt;&gt;""),COLUMN(指数走势!$F$36:$ACK$36))-COLUMN(指数走势!$F$36)+1-760+417)))</f>
        <v>33.8394012451172</v>
      </c>
      <c r="PC100">
        <f>IF(ISERROR(INDEX(指数走势!$F$36:$ACK$36,1,LOOKUP(2,1/(指数走势!$F$36:$ACK$36&lt;&gt;""),COLUMN(指数走势!$F$36:$ACK$36))-COLUMN(指数走势!$F$36)+1-760+418)),NA(),IF(INDEX(指数走势!$F$36:$ACK$36,1,LOOKUP(2,1/(指数走势!$F$36:$ACK$36&lt;&gt;""),COLUMN(指数走势!$F$36:$ACK$36))-COLUMN(指数走势!$F$36)+1-760+418)=0,NA(),INDEX(指数走势!$F$36:$ACK$36,1,LOOKUP(2,1/(指数走势!$F$36:$ACK$36&lt;&gt;""),COLUMN(指数走势!$F$36:$ACK$36))-COLUMN(指数走势!$F$36)+1-760+418)))</f>
        <v>34.6176986694336</v>
      </c>
      <c r="PD100">
        <f>IF(ISERROR(INDEX(指数走势!$F$36:$ACK$36,1,LOOKUP(2,1/(指数走势!$F$36:$ACK$36&lt;&gt;""),COLUMN(指数走势!$F$36:$ACK$36))-COLUMN(指数走势!$F$36)+1-760+419)),NA(),IF(INDEX(指数走势!$F$36:$ACK$36,1,LOOKUP(2,1/(指数走势!$F$36:$ACK$36&lt;&gt;""),COLUMN(指数走势!$F$36:$ACK$36))-COLUMN(指数走势!$F$36)+1-760+419)=0,NA(),INDEX(指数走势!$F$36:$ACK$36,1,LOOKUP(2,1/(指数走势!$F$36:$ACK$36&lt;&gt;""),COLUMN(指数走势!$F$36:$ACK$36))-COLUMN(指数走势!$F$36)+1-760+419)))</f>
        <v>34.7775993347168</v>
      </c>
      <c r="PE100">
        <f>IF(ISERROR(INDEX(指数走势!$F$36:$ACK$36,1,LOOKUP(2,1/(指数走势!$F$36:$ACK$36&lt;&gt;""),COLUMN(指数走势!$F$36:$ACK$36))-COLUMN(指数走势!$F$36)+1-760+420)),NA(),IF(INDEX(指数走势!$F$36:$ACK$36,1,LOOKUP(2,1/(指数走势!$F$36:$ACK$36&lt;&gt;""),COLUMN(指数走势!$F$36:$ACK$36))-COLUMN(指数走势!$F$36)+1-760+420)=0,NA(),INDEX(指数走势!$F$36:$ACK$36,1,LOOKUP(2,1/(指数走势!$F$36:$ACK$36&lt;&gt;""),COLUMN(指数走势!$F$36:$ACK$36))-COLUMN(指数走势!$F$36)+1-760+420)))</f>
        <v>34.3193016052246</v>
      </c>
      <c r="PF100">
        <f>IF(ISERROR(INDEX(指数走势!$F$36:$ACK$36,1,LOOKUP(2,1/(指数走势!$F$36:$ACK$36&lt;&gt;""),COLUMN(指数走势!$F$36:$ACK$36))-COLUMN(指数走势!$F$36)+1-760+421)),NA(),IF(INDEX(指数走势!$F$36:$ACK$36,1,LOOKUP(2,1/(指数走势!$F$36:$ACK$36&lt;&gt;""),COLUMN(指数走势!$F$36:$ACK$36))-COLUMN(指数走势!$F$36)+1-760+421)=0,NA(),INDEX(指数走势!$F$36:$ACK$36,1,LOOKUP(2,1/(指数走势!$F$36:$ACK$36&lt;&gt;""),COLUMN(指数走势!$F$36:$ACK$36))-COLUMN(指数走势!$F$36)+1-760+421)))</f>
        <v>34.9155006408691</v>
      </c>
      <c r="PG100">
        <f>IF(ISERROR(INDEX(指数走势!$F$36:$ACK$36,1,LOOKUP(2,1/(指数走势!$F$36:$ACK$36&lt;&gt;""),COLUMN(指数走势!$F$36:$ACK$36))-COLUMN(指数走势!$F$36)+1-760+422)),NA(),IF(INDEX(指数走势!$F$36:$ACK$36,1,LOOKUP(2,1/(指数走势!$F$36:$ACK$36&lt;&gt;""),COLUMN(指数走势!$F$36:$ACK$36))-COLUMN(指数走势!$F$36)+1-760+422)=0,NA(),INDEX(指数走势!$F$36:$ACK$36,1,LOOKUP(2,1/(指数走势!$F$36:$ACK$36&lt;&gt;""),COLUMN(指数走势!$F$36:$ACK$36))-COLUMN(指数走势!$F$36)+1-760+422)))</f>
        <v>34.7205009460449</v>
      </c>
      <c r="PH100">
        <f>IF(ISERROR(INDEX(指数走势!$F$36:$ACK$36,1,LOOKUP(2,1/(指数走势!$F$36:$ACK$36&lt;&gt;""),COLUMN(指数走势!$F$36:$ACK$36))-COLUMN(指数走势!$F$36)+1-760+423)),NA(),IF(INDEX(指数走势!$F$36:$ACK$36,1,LOOKUP(2,1/(指数走势!$F$36:$ACK$36&lt;&gt;""),COLUMN(指数走势!$F$36:$ACK$36))-COLUMN(指数走势!$F$36)+1-760+423)=0,NA(),INDEX(指数走势!$F$36:$ACK$36,1,LOOKUP(2,1/(指数走势!$F$36:$ACK$36&lt;&gt;""),COLUMN(指数走势!$F$36:$ACK$36))-COLUMN(指数走势!$F$36)+1-760+423)))</f>
        <v>34.2759017944336</v>
      </c>
      <c r="PI100">
        <f>IF(ISERROR(INDEX(指数走势!$F$36:$ACK$36,1,LOOKUP(2,1/(指数走势!$F$36:$ACK$36&lt;&gt;""),COLUMN(指数走势!$F$36:$ACK$36))-COLUMN(指数走势!$F$36)+1-760+424)),NA(),IF(INDEX(指数走势!$F$36:$ACK$36,1,LOOKUP(2,1/(指数走势!$F$36:$ACK$36&lt;&gt;""),COLUMN(指数走势!$F$36:$ACK$36))-COLUMN(指数走势!$F$36)+1-760+424)=0,NA(),INDEX(指数走势!$F$36:$ACK$36,1,LOOKUP(2,1/(指数走势!$F$36:$ACK$36&lt;&gt;""),COLUMN(指数走势!$F$36:$ACK$36))-COLUMN(指数走势!$F$36)+1-760+424)))</f>
        <v>35.4062004089355</v>
      </c>
      <c r="PJ100">
        <f>IF(ISERROR(INDEX(指数走势!$F$36:$ACK$36,1,LOOKUP(2,1/(指数走势!$F$36:$ACK$36&lt;&gt;""),COLUMN(指数走势!$F$36:$ACK$36))-COLUMN(指数走势!$F$36)+1-760+425)),NA(),IF(INDEX(指数走势!$F$36:$ACK$36,1,LOOKUP(2,1/(指数走势!$F$36:$ACK$36&lt;&gt;""),COLUMN(指数走势!$F$36:$ACK$36))-COLUMN(指数走势!$F$36)+1-760+425)=0,NA(),INDEX(指数走势!$F$36:$ACK$36,1,LOOKUP(2,1/(指数走势!$F$36:$ACK$36&lt;&gt;""),COLUMN(指数走势!$F$36:$ACK$36))-COLUMN(指数走势!$F$36)+1-760+425)))</f>
        <v>34.6549987792969</v>
      </c>
      <c r="PK100">
        <f>IF(ISERROR(INDEX(指数走势!$F$36:$ACK$36,1,LOOKUP(2,1/(指数走势!$F$36:$ACK$36&lt;&gt;""),COLUMN(指数走势!$F$36:$ACK$36))-COLUMN(指数走势!$F$36)+1-760+426)),NA(),IF(INDEX(指数走势!$F$36:$ACK$36,1,LOOKUP(2,1/(指数走势!$F$36:$ACK$36&lt;&gt;""),COLUMN(指数走势!$F$36:$ACK$36))-COLUMN(指数走势!$F$36)+1-760+426)=0,NA(),INDEX(指数走势!$F$36:$ACK$36,1,LOOKUP(2,1/(指数走势!$F$36:$ACK$36&lt;&gt;""),COLUMN(指数走势!$F$36:$ACK$36))-COLUMN(指数走势!$F$36)+1-760+426)))</f>
        <v>35.372200012207</v>
      </c>
      <c r="PL100">
        <f>IF(ISERROR(INDEX(指数走势!$F$36:$ACK$36,1,LOOKUP(2,1/(指数走势!$F$36:$ACK$36&lt;&gt;""),COLUMN(指数走势!$F$36:$ACK$36))-COLUMN(指数走势!$F$36)+1-760+427)),NA(),IF(INDEX(指数走势!$F$36:$ACK$36,1,LOOKUP(2,1/(指数走势!$F$36:$ACK$36&lt;&gt;""),COLUMN(指数走势!$F$36:$ACK$36))-COLUMN(指数走势!$F$36)+1-760+427)=0,NA(),INDEX(指数走势!$F$36:$ACK$36,1,LOOKUP(2,1/(指数走势!$F$36:$ACK$36&lt;&gt;""),COLUMN(指数走势!$F$36:$ACK$36))-COLUMN(指数走势!$F$36)+1-760+427)))</f>
        <v>35.3620986938477</v>
      </c>
      <c r="PM100">
        <f>IF(ISERROR(INDEX(指数走势!$F$36:$ACK$36,1,LOOKUP(2,1/(指数走势!$F$36:$ACK$36&lt;&gt;""),COLUMN(指数走势!$F$36:$ACK$36))-COLUMN(指数走势!$F$36)+1-760+428)),NA(),IF(INDEX(指数走势!$F$36:$ACK$36,1,LOOKUP(2,1/(指数走势!$F$36:$ACK$36&lt;&gt;""),COLUMN(指数走势!$F$36:$ACK$36))-COLUMN(指数走势!$F$36)+1-760+428)=0,NA(),INDEX(指数走势!$F$36:$ACK$36,1,LOOKUP(2,1/(指数走势!$F$36:$ACK$36&lt;&gt;""),COLUMN(指数走势!$F$36:$ACK$36))-COLUMN(指数走势!$F$36)+1-760+428)))</f>
        <v>35.195499420166</v>
      </c>
      <c r="PN100">
        <f>IF(ISERROR(INDEX(指数走势!$F$36:$ACK$36,1,LOOKUP(2,1/(指数走势!$F$36:$ACK$36&lt;&gt;""),COLUMN(指数走势!$F$36:$ACK$36))-COLUMN(指数走势!$F$36)+1-760+429)),NA(),IF(INDEX(指数走势!$F$36:$ACK$36,1,LOOKUP(2,1/(指数走势!$F$36:$ACK$36&lt;&gt;""),COLUMN(指数走势!$F$36:$ACK$36))-COLUMN(指数走势!$F$36)+1-760+429)=0,NA(),INDEX(指数走势!$F$36:$ACK$36,1,LOOKUP(2,1/(指数走势!$F$36:$ACK$36&lt;&gt;""),COLUMN(指数走势!$F$36:$ACK$36))-COLUMN(指数走势!$F$36)+1-760+429)))</f>
        <v>35.0912017822266</v>
      </c>
      <c r="PO100">
        <f>IF(ISERROR(INDEX(指数走势!$F$36:$ACK$36,1,LOOKUP(2,1/(指数走势!$F$36:$ACK$36&lt;&gt;""),COLUMN(指数走势!$F$36:$ACK$36))-COLUMN(指数走势!$F$36)+1-760+430)),NA(),IF(INDEX(指数走势!$F$36:$ACK$36,1,LOOKUP(2,1/(指数走势!$F$36:$ACK$36&lt;&gt;""),COLUMN(指数走势!$F$36:$ACK$36))-COLUMN(指数走势!$F$36)+1-760+430)=0,NA(),INDEX(指数走势!$F$36:$ACK$36,1,LOOKUP(2,1/(指数走势!$F$36:$ACK$36&lt;&gt;""),COLUMN(指数走势!$F$36:$ACK$36))-COLUMN(指数走势!$F$36)+1-760+430)))</f>
        <v>34.5624008178711</v>
      </c>
      <c r="PP100">
        <f>IF(ISERROR(INDEX(指数走势!$F$36:$ACK$36,1,LOOKUP(2,1/(指数走势!$F$36:$ACK$36&lt;&gt;""),COLUMN(指数走势!$F$36:$ACK$36))-COLUMN(指数走势!$F$36)+1-760+431)),NA(),IF(INDEX(指数走势!$F$36:$ACK$36,1,LOOKUP(2,1/(指数走势!$F$36:$ACK$36&lt;&gt;""),COLUMN(指数走势!$F$36:$ACK$36))-COLUMN(指数走势!$F$36)+1-760+431)=0,NA(),INDEX(指数走势!$F$36:$ACK$36,1,LOOKUP(2,1/(指数走势!$F$36:$ACK$36&lt;&gt;""),COLUMN(指数走势!$F$36:$ACK$36))-COLUMN(指数走势!$F$36)+1-760+431)))</f>
        <v>34.9561996459961</v>
      </c>
      <c r="PQ100">
        <f>IF(ISERROR(INDEX(指数走势!$F$36:$ACK$36,1,LOOKUP(2,1/(指数走势!$F$36:$ACK$36&lt;&gt;""),COLUMN(指数走势!$F$36:$ACK$36))-COLUMN(指数走势!$F$36)+1-760+432)),NA(),IF(INDEX(指数走势!$F$36:$ACK$36,1,LOOKUP(2,1/(指数走势!$F$36:$ACK$36&lt;&gt;""),COLUMN(指数走势!$F$36:$ACK$36))-COLUMN(指数走势!$F$36)+1-760+432)=0,NA(),INDEX(指数走势!$F$36:$ACK$36,1,LOOKUP(2,1/(指数走势!$F$36:$ACK$36&lt;&gt;""),COLUMN(指数走势!$F$36:$ACK$36))-COLUMN(指数走势!$F$36)+1-760+432)))</f>
        <v>34.7865982055664</v>
      </c>
      <c r="PR100">
        <f>IF(ISERROR(INDEX(指数走势!$F$36:$ACK$36,1,LOOKUP(2,1/(指数走势!$F$36:$ACK$36&lt;&gt;""),COLUMN(指数走势!$F$36:$ACK$36))-COLUMN(指数走势!$F$36)+1-760+433)),NA(),IF(INDEX(指数走势!$F$36:$ACK$36,1,LOOKUP(2,1/(指数走势!$F$36:$ACK$36&lt;&gt;""),COLUMN(指数走势!$F$36:$ACK$36))-COLUMN(指数走势!$F$36)+1-760+433)=0,NA(),INDEX(指数走势!$F$36:$ACK$36,1,LOOKUP(2,1/(指数走势!$F$36:$ACK$36&lt;&gt;""),COLUMN(指数走势!$F$36:$ACK$36))-COLUMN(指数走势!$F$36)+1-760+433)))</f>
        <v>33.5448989868164</v>
      </c>
      <c r="PS100">
        <f>IF(ISERROR(INDEX(指数走势!$F$36:$ACK$36,1,LOOKUP(2,1/(指数走势!$F$36:$ACK$36&lt;&gt;""),COLUMN(指数走势!$F$36:$ACK$36))-COLUMN(指数走势!$F$36)+1-760+434)),NA(),IF(INDEX(指数走势!$F$36:$ACK$36,1,LOOKUP(2,1/(指数走势!$F$36:$ACK$36&lt;&gt;""),COLUMN(指数走势!$F$36:$ACK$36))-COLUMN(指数走势!$F$36)+1-760+434)=0,NA(),INDEX(指数走势!$F$36:$ACK$36,1,LOOKUP(2,1/(指数走势!$F$36:$ACK$36&lt;&gt;""),COLUMN(指数走势!$F$36:$ACK$36))-COLUMN(指数走势!$F$36)+1-760+434)))</f>
        <v>33.7486991882324</v>
      </c>
      <c r="PT100">
        <f>IF(ISERROR(INDEX(指数走势!$F$36:$ACK$36,1,LOOKUP(2,1/(指数走势!$F$36:$ACK$36&lt;&gt;""),COLUMN(指数走势!$F$36:$ACK$36))-COLUMN(指数走势!$F$36)+1-760+435)),NA(),IF(INDEX(指数走势!$F$36:$ACK$36,1,LOOKUP(2,1/(指数走势!$F$36:$ACK$36&lt;&gt;""),COLUMN(指数走势!$F$36:$ACK$36))-COLUMN(指数走势!$F$36)+1-760+435)=0,NA(),INDEX(指数走势!$F$36:$ACK$36,1,LOOKUP(2,1/(指数走势!$F$36:$ACK$36&lt;&gt;""),COLUMN(指数走势!$F$36:$ACK$36))-COLUMN(指数走势!$F$36)+1-760+435)))</f>
        <v>33.7058982849121</v>
      </c>
      <c r="PU100">
        <f>IF(ISERROR(INDEX(指数走势!$F$36:$ACK$36,1,LOOKUP(2,1/(指数走势!$F$36:$ACK$36&lt;&gt;""),COLUMN(指数走势!$F$36:$ACK$36))-COLUMN(指数走势!$F$36)+1-760+436)),NA(),IF(INDEX(指数走势!$F$36:$ACK$36,1,LOOKUP(2,1/(指数走势!$F$36:$ACK$36&lt;&gt;""),COLUMN(指数走势!$F$36:$ACK$36))-COLUMN(指数走势!$F$36)+1-760+436)=0,NA(),INDEX(指数走势!$F$36:$ACK$36,1,LOOKUP(2,1/(指数走势!$F$36:$ACK$36&lt;&gt;""),COLUMN(指数走势!$F$36:$ACK$36))-COLUMN(指数走势!$F$36)+1-760+436)))</f>
        <v>33.7061004638672</v>
      </c>
      <c r="PV100">
        <f>IF(ISERROR(INDEX(指数走势!$F$36:$ACK$36,1,LOOKUP(2,1/(指数走势!$F$36:$ACK$36&lt;&gt;""),COLUMN(指数走势!$F$36:$ACK$36))-COLUMN(指数走势!$F$36)+1-760+437)),NA(),IF(INDEX(指数走势!$F$36:$ACK$36,1,LOOKUP(2,1/(指数走势!$F$36:$ACK$36&lt;&gt;""),COLUMN(指数走势!$F$36:$ACK$36))-COLUMN(指数走势!$F$36)+1-760+437)=0,NA(),INDEX(指数走势!$F$36:$ACK$36,1,LOOKUP(2,1/(指数走势!$F$36:$ACK$36&lt;&gt;""),COLUMN(指数走势!$F$36:$ACK$36))-COLUMN(指数走势!$F$36)+1-760+437)))</f>
        <v>34.3717002868652</v>
      </c>
      <c r="PW100">
        <f>IF(ISERROR(INDEX(指数走势!$F$36:$ACK$36,1,LOOKUP(2,1/(指数走势!$F$36:$ACK$36&lt;&gt;""),COLUMN(指数走势!$F$36:$ACK$36))-COLUMN(指数走势!$F$36)+1-760+438)),NA(),IF(INDEX(指数走势!$F$36:$ACK$36,1,LOOKUP(2,1/(指数走势!$F$36:$ACK$36&lt;&gt;""),COLUMN(指数走势!$F$36:$ACK$36))-COLUMN(指数走势!$F$36)+1-760+438)=0,NA(),INDEX(指数走势!$F$36:$ACK$36,1,LOOKUP(2,1/(指数走势!$F$36:$ACK$36&lt;&gt;""),COLUMN(指数走势!$F$36:$ACK$36))-COLUMN(指数走势!$F$36)+1-760+438)))</f>
        <v>33.9281005859375</v>
      </c>
      <c r="PX100">
        <f>IF(ISERROR(INDEX(指数走势!$F$36:$ACK$36,1,LOOKUP(2,1/(指数走势!$F$36:$ACK$36&lt;&gt;""),COLUMN(指数走势!$F$36:$ACK$36))-COLUMN(指数走势!$F$36)+1-760+439)),NA(),IF(INDEX(指数走势!$F$36:$ACK$36,1,LOOKUP(2,1/(指数走势!$F$36:$ACK$36&lt;&gt;""),COLUMN(指数走势!$F$36:$ACK$36))-COLUMN(指数走势!$F$36)+1-760+439)=0,NA(),INDEX(指数走势!$F$36:$ACK$36,1,LOOKUP(2,1/(指数走势!$F$36:$ACK$36&lt;&gt;""),COLUMN(指数走势!$F$36:$ACK$36))-COLUMN(指数走势!$F$36)+1-760+439)))</f>
        <v>33.8513984680176</v>
      </c>
      <c r="PY100">
        <f>IF(ISERROR(INDEX(指数走势!$F$36:$ACK$36,1,LOOKUP(2,1/(指数走势!$F$36:$ACK$36&lt;&gt;""),COLUMN(指数走势!$F$36:$ACK$36))-COLUMN(指数走势!$F$36)+1-760+440)),NA(),IF(INDEX(指数走势!$F$36:$ACK$36,1,LOOKUP(2,1/(指数走势!$F$36:$ACK$36&lt;&gt;""),COLUMN(指数走势!$F$36:$ACK$36))-COLUMN(指数走势!$F$36)+1-760+440)=0,NA(),INDEX(指数走势!$F$36:$ACK$36,1,LOOKUP(2,1/(指数走势!$F$36:$ACK$36&lt;&gt;""),COLUMN(指数走势!$F$36:$ACK$36))-COLUMN(指数走势!$F$36)+1-760+440)))</f>
        <v>33.8650016784668</v>
      </c>
      <c r="PZ100">
        <f>IF(ISERROR(INDEX(指数走势!$F$36:$ACK$36,1,LOOKUP(2,1/(指数走势!$F$36:$ACK$36&lt;&gt;""),COLUMN(指数走势!$F$36:$ACK$36))-COLUMN(指数走势!$F$36)+1-760+441)),NA(),IF(INDEX(指数走势!$F$36:$ACK$36,1,LOOKUP(2,1/(指数走势!$F$36:$ACK$36&lt;&gt;""),COLUMN(指数走势!$F$36:$ACK$36))-COLUMN(指数走势!$F$36)+1-760+441)=0,NA(),INDEX(指数走势!$F$36:$ACK$36,1,LOOKUP(2,1/(指数走势!$F$36:$ACK$36&lt;&gt;""),COLUMN(指数走势!$F$36:$ACK$36))-COLUMN(指数走势!$F$36)+1-760+441)))</f>
        <v>33.6232986450195</v>
      </c>
      <c r="QA100">
        <f>IF(ISERROR(INDEX(指数走势!$F$36:$ACK$36,1,LOOKUP(2,1/(指数走势!$F$36:$ACK$36&lt;&gt;""),COLUMN(指数走势!$F$36:$ACK$36))-COLUMN(指数走势!$F$36)+1-760+442)),NA(),IF(INDEX(指数走势!$F$36:$ACK$36,1,LOOKUP(2,1/(指数走势!$F$36:$ACK$36&lt;&gt;""),COLUMN(指数走势!$F$36:$ACK$36))-COLUMN(指数走势!$F$36)+1-760+442)=0,NA(),INDEX(指数走势!$F$36:$ACK$36,1,LOOKUP(2,1/(指数走势!$F$36:$ACK$36&lt;&gt;""),COLUMN(指数走势!$F$36:$ACK$36))-COLUMN(指数走势!$F$36)+1-760+442)))</f>
        <v>33.217098236084</v>
      </c>
      <c r="QB100">
        <f>IF(ISERROR(INDEX(指数走势!$F$36:$ACK$36,1,LOOKUP(2,1/(指数走势!$F$36:$ACK$36&lt;&gt;""),COLUMN(指数走势!$F$36:$ACK$36))-COLUMN(指数走势!$F$36)+1-760+443)),NA(),IF(INDEX(指数走势!$F$36:$ACK$36,1,LOOKUP(2,1/(指数走势!$F$36:$ACK$36&lt;&gt;""),COLUMN(指数走势!$F$36:$ACK$36))-COLUMN(指数走势!$F$36)+1-760+443)=0,NA(),INDEX(指数走势!$F$36:$ACK$36,1,LOOKUP(2,1/(指数走势!$F$36:$ACK$36&lt;&gt;""),COLUMN(指数走势!$F$36:$ACK$36))-COLUMN(指数走势!$F$36)+1-760+443)))</f>
        <v>34.1254997253418</v>
      </c>
      <c r="QC100">
        <f>IF(ISERROR(INDEX(指数走势!$F$36:$ACK$36,1,LOOKUP(2,1/(指数走势!$F$36:$ACK$36&lt;&gt;""),COLUMN(指数走势!$F$36:$ACK$36))-COLUMN(指数走势!$F$36)+1-760+444)),NA(),IF(INDEX(指数走势!$F$36:$ACK$36,1,LOOKUP(2,1/(指数走势!$F$36:$ACK$36&lt;&gt;""),COLUMN(指数走势!$F$36:$ACK$36))-COLUMN(指数走势!$F$36)+1-760+444)=0,NA(),INDEX(指数走势!$F$36:$ACK$36,1,LOOKUP(2,1/(指数走势!$F$36:$ACK$36&lt;&gt;""),COLUMN(指数走势!$F$36:$ACK$36))-COLUMN(指数走势!$F$36)+1-760+444)))</f>
        <v>33.3237991333008</v>
      </c>
      <c r="QD100">
        <f>IF(ISERROR(INDEX(指数走势!$F$36:$ACK$36,1,LOOKUP(2,1/(指数走势!$F$36:$ACK$36&lt;&gt;""),COLUMN(指数走势!$F$36:$ACK$36))-COLUMN(指数走势!$F$36)+1-760+445)),NA(),IF(INDEX(指数走势!$F$36:$ACK$36,1,LOOKUP(2,1/(指数走势!$F$36:$ACK$36&lt;&gt;""),COLUMN(指数走势!$F$36:$ACK$36))-COLUMN(指数走势!$F$36)+1-760+445)=0,NA(),INDEX(指数走势!$F$36:$ACK$36,1,LOOKUP(2,1/(指数走势!$F$36:$ACK$36&lt;&gt;""),COLUMN(指数走势!$F$36:$ACK$36))-COLUMN(指数走势!$F$36)+1-760+445)))</f>
        <v>33.4906997680664</v>
      </c>
      <c r="QE100">
        <f>IF(ISERROR(INDEX(指数走势!$F$36:$ACK$36,1,LOOKUP(2,1/(指数走势!$F$36:$ACK$36&lt;&gt;""),COLUMN(指数走势!$F$36:$ACK$36))-COLUMN(指数走势!$F$36)+1-760+446)),NA(),IF(INDEX(指数走势!$F$36:$ACK$36,1,LOOKUP(2,1/(指数走势!$F$36:$ACK$36&lt;&gt;""),COLUMN(指数走势!$F$36:$ACK$36))-COLUMN(指数走势!$F$36)+1-760+446)=0,NA(),INDEX(指数走势!$F$36:$ACK$36,1,LOOKUP(2,1/(指数走势!$F$36:$ACK$36&lt;&gt;""),COLUMN(指数走势!$F$36:$ACK$36))-COLUMN(指数走势!$F$36)+1-760+446)))</f>
        <v>33.3552017211914</v>
      </c>
      <c r="QF100">
        <f>IF(ISERROR(INDEX(指数走势!$F$36:$ACK$36,1,LOOKUP(2,1/(指数走势!$F$36:$ACK$36&lt;&gt;""),COLUMN(指数走势!$F$36:$ACK$36))-COLUMN(指数走势!$F$36)+1-760+447)),NA(),IF(INDEX(指数走势!$F$36:$ACK$36,1,LOOKUP(2,1/(指数走势!$F$36:$ACK$36&lt;&gt;""),COLUMN(指数走势!$F$36:$ACK$36))-COLUMN(指数走势!$F$36)+1-760+447)=0,NA(),INDEX(指数走势!$F$36:$ACK$36,1,LOOKUP(2,1/(指数走势!$F$36:$ACK$36&lt;&gt;""),COLUMN(指数走势!$F$36:$ACK$36))-COLUMN(指数走势!$F$36)+1-760+447)))</f>
        <v>33.0407981872559</v>
      </c>
      <c r="QG100">
        <f>IF(ISERROR(INDEX(指数走势!$F$36:$ACK$36,1,LOOKUP(2,1/(指数走势!$F$36:$ACK$36&lt;&gt;""),COLUMN(指数走势!$F$36:$ACK$36))-COLUMN(指数走势!$F$36)+1-760+448)),NA(),IF(INDEX(指数走势!$F$36:$ACK$36,1,LOOKUP(2,1/(指数走势!$F$36:$ACK$36&lt;&gt;""),COLUMN(指数走势!$F$36:$ACK$36))-COLUMN(指数走势!$F$36)+1-760+448)=0,NA(),INDEX(指数走势!$F$36:$ACK$36,1,LOOKUP(2,1/(指数走势!$F$36:$ACK$36&lt;&gt;""),COLUMN(指数走势!$F$36:$ACK$36))-COLUMN(指数走势!$F$36)+1-760+448)))</f>
        <v>32.4165000915527</v>
      </c>
      <c r="QH100">
        <f>IF(ISERROR(INDEX(指数走势!$F$36:$ACK$36,1,LOOKUP(2,1/(指数走势!$F$36:$ACK$36&lt;&gt;""),COLUMN(指数走势!$F$36:$ACK$36))-COLUMN(指数走势!$F$36)+1-760+449)),NA(),IF(INDEX(指数走势!$F$36:$ACK$36,1,LOOKUP(2,1/(指数走势!$F$36:$ACK$36&lt;&gt;""),COLUMN(指数走势!$F$36:$ACK$36))-COLUMN(指数走势!$F$36)+1-760+449)=0,NA(),INDEX(指数走势!$F$36:$ACK$36,1,LOOKUP(2,1/(指数走势!$F$36:$ACK$36&lt;&gt;""),COLUMN(指数走势!$F$36:$ACK$36))-COLUMN(指数走势!$F$36)+1-760+449)))</f>
        <v>32.4230995178223</v>
      </c>
      <c r="QI100">
        <f>IF(ISERROR(INDEX(指数走势!$F$36:$ACK$36,1,LOOKUP(2,1/(指数走势!$F$36:$ACK$36&lt;&gt;""),COLUMN(指数走势!$F$36:$ACK$36))-COLUMN(指数走势!$F$36)+1-760+450)),NA(),IF(INDEX(指数走势!$F$36:$ACK$36,1,LOOKUP(2,1/(指数走势!$F$36:$ACK$36&lt;&gt;""),COLUMN(指数走势!$F$36:$ACK$36))-COLUMN(指数走势!$F$36)+1-760+450)=0,NA(),INDEX(指数走势!$F$36:$ACK$36,1,LOOKUP(2,1/(指数走势!$F$36:$ACK$36&lt;&gt;""),COLUMN(指数走势!$F$36:$ACK$36))-COLUMN(指数走势!$F$36)+1-760+450)))</f>
        <v>32.3218994140625</v>
      </c>
      <c r="QJ100">
        <f>IF(ISERROR(INDEX(指数走势!$F$36:$ACK$36,1,LOOKUP(2,1/(指数走势!$F$36:$ACK$36&lt;&gt;""),COLUMN(指数走势!$F$36:$ACK$36))-COLUMN(指数走势!$F$36)+1-760+451)),NA(),IF(INDEX(指数走势!$F$36:$ACK$36,1,LOOKUP(2,1/(指数走势!$F$36:$ACK$36&lt;&gt;""),COLUMN(指数走势!$F$36:$ACK$36))-COLUMN(指数走势!$F$36)+1-760+451)=0,NA(),INDEX(指数走势!$F$36:$ACK$36,1,LOOKUP(2,1/(指数走势!$F$36:$ACK$36&lt;&gt;""),COLUMN(指数走势!$F$36:$ACK$36))-COLUMN(指数走势!$F$36)+1-760+451)))</f>
        <v>32.2449989318848</v>
      </c>
      <c r="QK100">
        <f>IF(ISERROR(INDEX(指数走势!$F$36:$ACK$36,1,LOOKUP(2,1/(指数走势!$F$36:$ACK$36&lt;&gt;""),COLUMN(指数走势!$F$36:$ACK$36))-COLUMN(指数走势!$F$36)+1-760+452)),NA(),IF(INDEX(指数走势!$F$36:$ACK$36,1,LOOKUP(2,1/(指数走势!$F$36:$ACK$36&lt;&gt;""),COLUMN(指数走势!$F$36:$ACK$36))-COLUMN(指数走势!$F$36)+1-760+452)=0,NA(),INDEX(指数走势!$F$36:$ACK$36,1,LOOKUP(2,1/(指数走势!$F$36:$ACK$36&lt;&gt;""),COLUMN(指数走势!$F$36:$ACK$36))-COLUMN(指数走势!$F$36)+1-760+452)))</f>
        <v>32.3498001098633</v>
      </c>
      <c r="QL100">
        <f>IF(ISERROR(INDEX(指数走势!$F$36:$ACK$36,1,LOOKUP(2,1/(指数走势!$F$36:$ACK$36&lt;&gt;""),COLUMN(指数走势!$F$36:$ACK$36))-COLUMN(指数走势!$F$36)+1-760+453)),NA(),IF(INDEX(指数走势!$F$36:$ACK$36,1,LOOKUP(2,1/(指数走势!$F$36:$ACK$36&lt;&gt;""),COLUMN(指数走势!$F$36:$ACK$36))-COLUMN(指数走势!$F$36)+1-760+453)=0,NA(),INDEX(指数走势!$F$36:$ACK$36,1,LOOKUP(2,1/(指数走势!$F$36:$ACK$36&lt;&gt;""),COLUMN(指数走势!$F$36:$ACK$36))-COLUMN(指数走势!$F$36)+1-760+453)))</f>
        <v>32.2206001281738</v>
      </c>
      <c r="QM100">
        <f>IF(ISERROR(INDEX(指数走势!$F$36:$ACK$36,1,LOOKUP(2,1/(指数走势!$F$36:$ACK$36&lt;&gt;""),COLUMN(指数走势!$F$36:$ACK$36))-COLUMN(指数走势!$F$36)+1-760+454)),NA(),IF(INDEX(指数走势!$F$36:$ACK$36,1,LOOKUP(2,1/(指数走势!$F$36:$ACK$36&lt;&gt;""),COLUMN(指数走势!$F$36:$ACK$36))-COLUMN(指数走势!$F$36)+1-760+454)=0,NA(),INDEX(指数走势!$F$36:$ACK$36,1,LOOKUP(2,1/(指数走势!$F$36:$ACK$36&lt;&gt;""),COLUMN(指数走势!$F$36:$ACK$36))-COLUMN(指数走势!$F$36)+1-760+454)))</f>
        <v>31.8551006317139</v>
      </c>
      <c r="QN100">
        <f>IF(ISERROR(INDEX(指数走势!$F$36:$ACK$36,1,LOOKUP(2,1/(指数走势!$F$36:$ACK$36&lt;&gt;""),COLUMN(指数走势!$F$36:$ACK$36))-COLUMN(指数走势!$F$36)+1-760+455)),NA(),IF(INDEX(指数走势!$F$36:$ACK$36,1,LOOKUP(2,1/(指数走势!$F$36:$ACK$36&lt;&gt;""),COLUMN(指数走势!$F$36:$ACK$36))-COLUMN(指数走势!$F$36)+1-760+455)=0,NA(),INDEX(指数走势!$F$36:$ACK$36,1,LOOKUP(2,1/(指数走势!$F$36:$ACK$36&lt;&gt;""),COLUMN(指数走势!$F$36:$ACK$36))-COLUMN(指数走势!$F$36)+1-760+455)))</f>
        <v>31.9339008331299</v>
      </c>
      <c r="QO100">
        <f>IF(ISERROR(INDEX(指数走势!$F$36:$ACK$36,1,LOOKUP(2,1/(指数走势!$F$36:$ACK$36&lt;&gt;""),COLUMN(指数走势!$F$36:$ACK$36))-COLUMN(指数走势!$F$36)+1-760+456)),NA(),IF(INDEX(指数走势!$F$36:$ACK$36,1,LOOKUP(2,1/(指数走势!$F$36:$ACK$36&lt;&gt;""),COLUMN(指数走势!$F$36:$ACK$36))-COLUMN(指数走势!$F$36)+1-760+456)=0,NA(),INDEX(指数走势!$F$36:$ACK$36,1,LOOKUP(2,1/(指数走势!$F$36:$ACK$36&lt;&gt;""),COLUMN(指数走势!$F$36:$ACK$36))-COLUMN(指数走势!$F$36)+1-760+456)))</f>
        <v>31.9505004882813</v>
      </c>
      <c r="QP100">
        <f>IF(ISERROR(INDEX(指数走势!$F$36:$ACK$36,1,LOOKUP(2,1/(指数走势!$F$36:$ACK$36&lt;&gt;""),COLUMN(指数走势!$F$36:$ACK$36))-COLUMN(指数走势!$F$36)+1-760+457)),NA(),IF(INDEX(指数走势!$F$36:$ACK$36,1,LOOKUP(2,1/(指数走势!$F$36:$ACK$36&lt;&gt;""),COLUMN(指数走势!$F$36:$ACK$36))-COLUMN(指数走势!$F$36)+1-760+457)=0,NA(),INDEX(指数走势!$F$36:$ACK$36,1,LOOKUP(2,1/(指数走势!$F$36:$ACK$36&lt;&gt;""),COLUMN(指数走势!$F$36:$ACK$36))-COLUMN(指数走势!$F$36)+1-760+457)))</f>
        <v>31.3365993499756</v>
      </c>
      <c r="QQ100">
        <f>IF(ISERROR(INDEX(指数走势!$F$36:$ACK$36,1,LOOKUP(2,1/(指数走势!$F$36:$ACK$36&lt;&gt;""),COLUMN(指数走势!$F$36:$ACK$36))-COLUMN(指数走势!$F$36)+1-760+458)),NA(),IF(INDEX(指数走势!$F$36:$ACK$36,1,LOOKUP(2,1/(指数走势!$F$36:$ACK$36&lt;&gt;""),COLUMN(指数走势!$F$36:$ACK$36))-COLUMN(指数走势!$F$36)+1-760+458)=0,NA(),INDEX(指数走势!$F$36:$ACK$36,1,LOOKUP(2,1/(指数走势!$F$36:$ACK$36&lt;&gt;""),COLUMN(指数走势!$F$36:$ACK$36))-COLUMN(指数走势!$F$36)+1-760+458)))</f>
        <v>27.5436992645264</v>
      </c>
      <c r="QR100">
        <f>IF(ISERROR(INDEX(指数走势!$F$36:$ACK$36,1,LOOKUP(2,1/(指数走势!$F$36:$ACK$36&lt;&gt;""),COLUMN(指数走势!$F$36:$ACK$36))-COLUMN(指数走势!$F$36)+1-760+459)),NA(),IF(INDEX(指数走势!$F$36:$ACK$36,1,LOOKUP(2,1/(指数走势!$F$36:$ACK$36&lt;&gt;""),COLUMN(指数走势!$F$36:$ACK$36))-COLUMN(指数走势!$F$36)+1-760+459)=0,NA(),INDEX(指数走势!$F$36:$ACK$36,1,LOOKUP(2,1/(指数走势!$F$36:$ACK$36&lt;&gt;""),COLUMN(指数走势!$F$36:$ACK$36))-COLUMN(指数走势!$F$36)+1-760+459)))</f>
        <v>28.1329002380371</v>
      </c>
      <c r="QS100">
        <f>IF(ISERROR(INDEX(指数走势!$F$36:$ACK$36,1,LOOKUP(2,1/(指数走势!$F$36:$ACK$36&lt;&gt;""),COLUMN(指数走势!$F$36:$ACK$36))-COLUMN(指数走势!$F$36)+1-760+460)),NA(),IF(INDEX(指数走势!$F$36:$ACK$36,1,LOOKUP(2,1/(指数走势!$F$36:$ACK$36&lt;&gt;""),COLUMN(指数走势!$F$36:$ACK$36))-COLUMN(指数走势!$F$36)+1-760+460)=0,NA(),INDEX(指数走势!$F$36:$ACK$36,1,LOOKUP(2,1/(指数走势!$F$36:$ACK$36&lt;&gt;""),COLUMN(指数走势!$F$36:$ACK$36))-COLUMN(指数走势!$F$36)+1-760+460)))</f>
        <v>28.4515991210938</v>
      </c>
      <c r="QT100">
        <f>IF(ISERROR(INDEX(指数走势!$F$36:$ACK$36,1,LOOKUP(2,1/(指数走势!$F$36:$ACK$36&lt;&gt;""),COLUMN(指数走势!$F$36:$ACK$36))-COLUMN(指数走势!$F$36)+1-760+461)),NA(),IF(INDEX(指数走势!$F$36:$ACK$36,1,LOOKUP(2,1/(指数走势!$F$36:$ACK$36&lt;&gt;""),COLUMN(指数走势!$F$36:$ACK$36))-COLUMN(指数走势!$F$36)+1-760+461)=0,NA(),INDEX(指数走势!$F$36:$ACK$36,1,LOOKUP(2,1/(指数走势!$F$36:$ACK$36&lt;&gt;""),COLUMN(指数走势!$F$36:$ACK$36))-COLUMN(指数走势!$F$36)+1-760+461)))</f>
        <v>29.0951995849609</v>
      </c>
      <c r="QU100">
        <f>IF(ISERROR(INDEX(指数走势!$F$36:$ACK$36,1,LOOKUP(2,1/(指数走势!$F$36:$ACK$36&lt;&gt;""),COLUMN(指数走势!$F$36:$ACK$36))-COLUMN(指数走势!$F$36)+1-760+462)),NA(),IF(INDEX(指数走势!$F$36:$ACK$36,1,LOOKUP(2,1/(指数走势!$F$36:$ACK$36&lt;&gt;""),COLUMN(指数走势!$F$36:$ACK$36))-COLUMN(指数走势!$F$36)+1-760+462)=0,NA(),INDEX(指数走势!$F$36:$ACK$36,1,LOOKUP(2,1/(指数走势!$F$36:$ACK$36&lt;&gt;""),COLUMN(指数走势!$F$36:$ACK$36))-COLUMN(指数走势!$F$36)+1-760+462)))</f>
        <v>29.5004997253418</v>
      </c>
      <c r="QV100">
        <f>IF(ISERROR(INDEX(指数走势!$F$36:$ACK$36,1,LOOKUP(2,1/(指数走势!$F$36:$ACK$36&lt;&gt;""),COLUMN(指数走势!$F$36:$ACK$36))-COLUMN(指数走势!$F$36)+1-760+463)),NA(),IF(INDEX(指数走势!$F$36:$ACK$36,1,LOOKUP(2,1/(指数走势!$F$36:$ACK$36&lt;&gt;""),COLUMN(指数走势!$F$36:$ACK$36))-COLUMN(指数走势!$F$36)+1-760+463)=0,NA(),INDEX(指数走势!$F$36:$ACK$36,1,LOOKUP(2,1/(指数走势!$F$36:$ACK$36&lt;&gt;""),COLUMN(指数走势!$F$36:$ACK$36))-COLUMN(指数走势!$F$36)+1-760+463)))</f>
        <v>29.6786994934082</v>
      </c>
      <c r="QW100">
        <f>IF(ISERROR(INDEX(指数走势!$F$36:$ACK$36,1,LOOKUP(2,1/(指数走势!$F$36:$ACK$36&lt;&gt;""),COLUMN(指数走势!$F$36:$ACK$36))-COLUMN(指数走势!$F$36)+1-760+464)),NA(),IF(INDEX(指数走势!$F$36:$ACK$36,1,LOOKUP(2,1/(指数走势!$F$36:$ACK$36&lt;&gt;""),COLUMN(指数走势!$F$36:$ACK$36))-COLUMN(指数走势!$F$36)+1-760+464)=0,NA(),INDEX(指数走势!$F$36:$ACK$36,1,LOOKUP(2,1/(指数走势!$F$36:$ACK$36&lt;&gt;""),COLUMN(指数走势!$F$36:$ACK$36))-COLUMN(指数走势!$F$36)+1-760+464)))</f>
        <v>29.0757007598877</v>
      </c>
      <c r="QX100">
        <f>IF(ISERROR(INDEX(指数走势!$F$36:$ACK$36,1,LOOKUP(2,1/(指数走势!$F$36:$ACK$36&lt;&gt;""),COLUMN(指数走势!$F$36:$ACK$36))-COLUMN(指数走势!$F$36)+1-760+465)),NA(),IF(INDEX(指数走势!$F$36:$ACK$36,1,LOOKUP(2,1/(指数走势!$F$36:$ACK$36&lt;&gt;""),COLUMN(指数走势!$F$36:$ACK$36))-COLUMN(指数走势!$F$36)+1-760+465)=0,NA(),INDEX(指数走势!$F$36:$ACK$36,1,LOOKUP(2,1/(指数走势!$F$36:$ACK$36&lt;&gt;""),COLUMN(指数走势!$F$36:$ACK$36))-COLUMN(指数走势!$F$36)+1-760+465)))</f>
        <v>28.7399005889893</v>
      </c>
      <c r="QY100">
        <f>IF(ISERROR(INDEX(指数走势!$F$36:$ACK$36,1,LOOKUP(2,1/(指数走势!$F$36:$ACK$36&lt;&gt;""),COLUMN(指数走势!$F$36:$ACK$36))-COLUMN(指数走势!$F$36)+1-760+466)),NA(),IF(INDEX(指数走势!$F$36:$ACK$36,1,LOOKUP(2,1/(指数走势!$F$36:$ACK$36&lt;&gt;""),COLUMN(指数走势!$F$36:$ACK$36))-COLUMN(指数走势!$F$36)+1-760+466)=0,NA(),INDEX(指数走势!$F$36:$ACK$36,1,LOOKUP(2,1/(指数走势!$F$36:$ACK$36&lt;&gt;""),COLUMN(指数走势!$F$36:$ACK$36))-COLUMN(指数走势!$F$36)+1-760+466)))</f>
        <v>28.7733993530273</v>
      </c>
      <c r="QZ100">
        <f>IF(ISERROR(INDEX(指数走势!$F$36:$ACK$36,1,LOOKUP(2,1/(指数走势!$F$36:$ACK$36&lt;&gt;""),COLUMN(指数走势!$F$36:$ACK$36))-COLUMN(指数走势!$F$36)+1-760+467)),NA(),IF(INDEX(指数走势!$F$36:$ACK$36,1,LOOKUP(2,1/(指数走势!$F$36:$ACK$36&lt;&gt;""),COLUMN(指数走势!$F$36:$ACK$36))-COLUMN(指数走势!$F$36)+1-760+467)=0,NA(),INDEX(指数走势!$F$36:$ACK$36,1,LOOKUP(2,1/(指数走势!$F$36:$ACK$36&lt;&gt;""),COLUMN(指数走势!$F$36:$ACK$36))-COLUMN(指数走势!$F$36)+1-760+467)))</f>
        <v>28.9062004089355</v>
      </c>
      <c r="RA100">
        <f>IF(ISERROR(INDEX(指数走势!$F$36:$ACK$36,1,LOOKUP(2,1/(指数走势!$F$36:$ACK$36&lt;&gt;""),COLUMN(指数走势!$F$36:$ACK$36))-COLUMN(指数走势!$F$36)+1-760+468)),NA(),IF(INDEX(指数走势!$F$36:$ACK$36,1,LOOKUP(2,1/(指数走势!$F$36:$ACK$36&lt;&gt;""),COLUMN(指数走势!$F$36:$ACK$36))-COLUMN(指数走势!$F$36)+1-760+468)=0,NA(),INDEX(指数走势!$F$36:$ACK$36,1,LOOKUP(2,1/(指数走势!$F$36:$ACK$36&lt;&gt;""),COLUMN(指数走势!$F$36:$ACK$36))-COLUMN(指数走势!$F$36)+1-760+468)))</f>
        <v>29.7395992279053</v>
      </c>
      <c r="RB100">
        <f>IF(ISERROR(INDEX(指数走势!$F$36:$ACK$36,1,LOOKUP(2,1/(指数走势!$F$36:$ACK$36&lt;&gt;""),COLUMN(指数走势!$F$36:$ACK$36))-COLUMN(指数走势!$F$36)+1-760+469)),NA(),IF(INDEX(指数走势!$F$36:$ACK$36,1,LOOKUP(2,1/(指数走势!$F$36:$ACK$36&lt;&gt;""),COLUMN(指数走势!$F$36:$ACK$36))-COLUMN(指数走势!$F$36)+1-760+469)=0,NA(),INDEX(指数走势!$F$36:$ACK$36,1,LOOKUP(2,1/(指数走势!$F$36:$ACK$36&lt;&gt;""),COLUMN(指数走势!$F$36:$ACK$36))-COLUMN(指数走势!$F$36)+1-760+469)))</f>
        <v>29.6044006347656</v>
      </c>
      <c r="RC100">
        <f>IF(ISERROR(INDEX(指数走势!$F$36:$ACK$36,1,LOOKUP(2,1/(指数走势!$F$36:$ACK$36&lt;&gt;""),COLUMN(指数走势!$F$36:$ACK$36))-COLUMN(指数走势!$F$36)+1-760+470)),NA(),IF(INDEX(指数走势!$F$36:$ACK$36,1,LOOKUP(2,1/(指数走势!$F$36:$ACK$36&lt;&gt;""),COLUMN(指数走势!$F$36:$ACK$36))-COLUMN(指数走势!$F$36)+1-760+470)=0,NA(),INDEX(指数走势!$F$36:$ACK$36,1,LOOKUP(2,1/(指数走势!$F$36:$ACK$36&lt;&gt;""),COLUMN(指数走势!$F$36:$ACK$36))-COLUMN(指数走势!$F$36)+1-760+470)))</f>
        <v>29.7616996765137</v>
      </c>
      <c r="RD100">
        <f>IF(ISERROR(INDEX(指数走势!$F$36:$ACK$36,1,LOOKUP(2,1/(指数走势!$F$36:$ACK$36&lt;&gt;""),COLUMN(指数走势!$F$36:$ACK$36))-COLUMN(指数走势!$F$36)+1-760+471)),NA(),IF(INDEX(指数走势!$F$36:$ACK$36,1,LOOKUP(2,1/(指数走势!$F$36:$ACK$36&lt;&gt;""),COLUMN(指数走势!$F$36:$ACK$36))-COLUMN(指数走势!$F$36)+1-760+471)=0,NA(),INDEX(指数走势!$F$36:$ACK$36,1,LOOKUP(2,1/(指数走势!$F$36:$ACK$36&lt;&gt;""),COLUMN(指数走势!$F$36:$ACK$36))-COLUMN(指数走势!$F$36)+1-760+471)))</f>
        <v>28.974100112915</v>
      </c>
      <c r="RE100">
        <f>IF(ISERROR(INDEX(指数走势!$F$36:$ACK$36,1,LOOKUP(2,1/(指数走势!$F$36:$ACK$36&lt;&gt;""),COLUMN(指数走势!$F$36:$ACK$36))-COLUMN(指数走势!$F$36)+1-760+472)),NA(),IF(INDEX(指数走势!$F$36:$ACK$36,1,LOOKUP(2,1/(指数走势!$F$36:$ACK$36&lt;&gt;""),COLUMN(指数走势!$F$36:$ACK$36))-COLUMN(指数走势!$F$36)+1-760+472)=0,NA(),INDEX(指数走势!$F$36:$ACK$36,1,LOOKUP(2,1/(指数走势!$F$36:$ACK$36&lt;&gt;""),COLUMN(指数走势!$F$36:$ACK$36))-COLUMN(指数走势!$F$36)+1-760+472)))</f>
        <v>29.0056991577148</v>
      </c>
      <c r="RF100">
        <f>IF(ISERROR(INDEX(指数走势!$F$36:$ACK$36,1,LOOKUP(2,1/(指数走势!$F$36:$ACK$36&lt;&gt;""),COLUMN(指数走势!$F$36:$ACK$36))-COLUMN(指数走势!$F$36)+1-760+473)),NA(),IF(INDEX(指数走势!$F$36:$ACK$36,1,LOOKUP(2,1/(指数走势!$F$36:$ACK$36&lt;&gt;""),COLUMN(指数走势!$F$36:$ACK$36))-COLUMN(指数走势!$F$36)+1-760+473)=0,NA(),INDEX(指数走势!$F$36:$ACK$36,1,LOOKUP(2,1/(指数走势!$F$36:$ACK$36&lt;&gt;""),COLUMN(指数走势!$F$36:$ACK$36))-COLUMN(指数走势!$F$36)+1-760+473)))</f>
        <v>29.1380996704102</v>
      </c>
      <c r="RG100">
        <f>IF(ISERROR(INDEX(指数走势!$F$36:$ACK$36,1,LOOKUP(2,1/(指数走势!$F$36:$ACK$36&lt;&gt;""),COLUMN(指数走势!$F$36:$ACK$36))-COLUMN(指数走势!$F$36)+1-760+474)),NA(),IF(INDEX(指数走势!$F$36:$ACK$36,1,LOOKUP(2,1/(指数走势!$F$36:$ACK$36&lt;&gt;""),COLUMN(指数走势!$F$36:$ACK$36))-COLUMN(指数走势!$F$36)+1-760+474)=0,NA(),INDEX(指数走势!$F$36:$ACK$36,1,LOOKUP(2,1/(指数走势!$F$36:$ACK$36&lt;&gt;""),COLUMN(指数走势!$F$36:$ACK$36))-COLUMN(指数走势!$F$36)+1-760+474)))</f>
        <v>28.9403991699219</v>
      </c>
      <c r="RH100">
        <f>IF(ISERROR(INDEX(指数走势!$F$36:$ACK$36,1,LOOKUP(2,1/(指数走势!$F$36:$ACK$36&lt;&gt;""),COLUMN(指数走势!$F$36:$ACK$36))-COLUMN(指数走势!$F$36)+1-760+475)),NA(),IF(INDEX(指数走势!$F$36:$ACK$36,1,LOOKUP(2,1/(指数走势!$F$36:$ACK$36&lt;&gt;""),COLUMN(指数走势!$F$36:$ACK$36))-COLUMN(指数走势!$F$36)+1-760+475)=0,NA(),INDEX(指数走势!$F$36:$ACK$36,1,LOOKUP(2,1/(指数走势!$F$36:$ACK$36&lt;&gt;""),COLUMN(指数走势!$F$36:$ACK$36))-COLUMN(指数走势!$F$36)+1-760+475)))</f>
        <v>29.1770000457764</v>
      </c>
      <c r="RI100">
        <f>IF(ISERROR(INDEX(指数走势!$F$36:$ACK$36,1,LOOKUP(2,1/(指数走势!$F$36:$ACK$36&lt;&gt;""),COLUMN(指数走势!$F$36:$ACK$36))-COLUMN(指数走势!$F$36)+1-760+476)),NA(),IF(INDEX(指数走势!$F$36:$ACK$36,1,LOOKUP(2,1/(指数走势!$F$36:$ACK$36&lt;&gt;""),COLUMN(指数走势!$F$36:$ACK$36))-COLUMN(指数走势!$F$36)+1-760+476)=0,NA(),INDEX(指数走势!$F$36:$ACK$36,1,LOOKUP(2,1/(指数走势!$F$36:$ACK$36&lt;&gt;""),COLUMN(指数走势!$F$36:$ACK$36))-COLUMN(指数走势!$F$36)+1-760+476)))</f>
        <v>29.6856002807617</v>
      </c>
      <c r="RJ100">
        <f>IF(ISERROR(INDEX(指数走势!$F$36:$ACK$36,1,LOOKUP(2,1/(指数走势!$F$36:$ACK$36&lt;&gt;""),COLUMN(指数走势!$F$36:$ACK$36))-COLUMN(指数走势!$F$36)+1-760+477)),NA(),IF(INDEX(指数走势!$F$36:$ACK$36,1,LOOKUP(2,1/(指数走势!$F$36:$ACK$36&lt;&gt;""),COLUMN(指数走势!$F$36:$ACK$36))-COLUMN(指数走势!$F$36)+1-760+477)=0,NA(),INDEX(指数走势!$F$36:$ACK$36,1,LOOKUP(2,1/(指数走势!$F$36:$ACK$36&lt;&gt;""),COLUMN(指数走势!$F$36:$ACK$36))-COLUMN(指数走势!$F$36)+1-760+477)))</f>
        <v>29.9447994232178</v>
      </c>
      <c r="RK100">
        <f>IF(ISERROR(INDEX(指数走势!$F$36:$ACK$36,1,LOOKUP(2,1/(指数走势!$F$36:$ACK$36&lt;&gt;""),COLUMN(指数走势!$F$36:$ACK$36))-COLUMN(指数走势!$F$36)+1-760+478)),NA(),IF(INDEX(指数走势!$F$36:$ACK$36,1,LOOKUP(2,1/(指数走势!$F$36:$ACK$36&lt;&gt;""),COLUMN(指数走势!$F$36:$ACK$36))-COLUMN(指数走势!$F$36)+1-760+478)=0,NA(),INDEX(指数走势!$F$36:$ACK$36,1,LOOKUP(2,1/(指数走势!$F$36:$ACK$36&lt;&gt;""),COLUMN(指数走势!$F$36:$ACK$36))-COLUMN(指数走势!$F$36)+1-760+478)))</f>
        <v>30.5308990478516</v>
      </c>
      <c r="RL100">
        <f>IF(ISERROR(INDEX(指数走势!$F$36:$ACK$36,1,LOOKUP(2,1/(指数走势!$F$36:$ACK$36&lt;&gt;""),COLUMN(指数走势!$F$36:$ACK$36))-COLUMN(指数走势!$F$36)+1-760+479)),NA(),IF(INDEX(指数走势!$F$36:$ACK$36,1,LOOKUP(2,1/(指数走势!$F$36:$ACK$36&lt;&gt;""),COLUMN(指数走势!$F$36:$ACK$36))-COLUMN(指数走势!$F$36)+1-760+479)=0,NA(),INDEX(指数走势!$F$36:$ACK$36,1,LOOKUP(2,1/(指数走势!$F$36:$ACK$36&lt;&gt;""),COLUMN(指数走势!$F$36:$ACK$36))-COLUMN(指数走势!$F$36)+1-760+479)))</f>
        <v>30.2525997161865</v>
      </c>
      <c r="RM100">
        <f>IF(ISERROR(INDEX(指数走势!$F$36:$ACK$36,1,LOOKUP(2,1/(指数走势!$F$36:$ACK$36&lt;&gt;""),COLUMN(指数走势!$F$36:$ACK$36))-COLUMN(指数走势!$F$36)+1-760+480)),NA(),IF(INDEX(指数走势!$F$36:$ACK$36,1,LOOKUP(2,1/(指数走势!$F$36:$ACK$36&lt;&gt;""),COLUMN(指数走势!$F$36:$ACK$36))-COLUMN(指数走势!$F$36)+1-760+480)=0,NA(),INDEX(指数走势!$F$36:$ACK$36,1,LOOKUP(2,1/(指数走势!$F$36:$ACK$36&lt;&gt;""),COLUMN(指数走势!$F$36:$ACK$36))-COLUMN(指数走势!$F$36)+1-760+480)))</f>
        <v>31.191499710083</v>
      </c>
      <c r="RN100">
        <f>IF(ISERROR(INDEX(指数走势!$F$36:$ACK$36,1,LOOKUP(2,1/(指数走势!$F$36:$ACK$36&lt;&gt;""),COLUMN(指数走势!$F$36:$ACK$36))-COLUMN(指数走势!$F$36)+1-760+481)),NA(),IF(INDEX(指数走势!$F$36:$ACK$36,1,LOOKUP(2,1/(指数走势!$F$36:$ACK$36&lt;&gt;""),COLUMN(指数走势!$F$36:$ACK$36))-COLUMN(指数走势!$F$36)+1-760+481)=0,NA(),INDEX(指数走势!$F$36:$ACK$36,1,LOOKUP(2,1/(指数走势!$F$36:$ACK$36&lt;&gt;""),COLUMN(指数走势!$F$36:$ACK$36))-COLUMN(指数走势!$F$36)+1-760+481)))</f>
        <v>31.0701007843018</v>
      </c>
      <c r="RO100">
        <f>IF(ISERROR(INDEX(指数走势!$F$36:$ACK$36,1,LOOKUP(2,1/(指数走势!$F$36:$ACK$36&lt;&gt;""),COLUMN(指数走势!$F$36:$ACK$36))-COLUMN(指数走势!$F$36)+1-760+482)),NA(),IF(INDEX(指数走势!$F$36:$ACK$36,1,LOOKUP(2,1/(指数走势!$F$36:$ACK$36&lt;&gt;""),COLUMN(指数走势!$F$36:$ACK$36))-COLUMN(指数走势!$F$36)+1-760+482)=0,NA(),INDEX(指数走势!$F$36:$ACK$36,1,LOOKUP(2,1/(指数走势!$F$36:$ACK$36&lt;&gt;""),COLUMN(指数走势!$F$36:$ACK$36))-COLUMN(指数走势!$F$36)+1-760+482)))</f>
        <v>31.3577003479004</v>
      </c>
      <c r="RP100">
        <f>IF(ISERROR(INDEX(指数走势!$F$36:$ACK$36,1,LOOKUP(2,1/(指数走势!$F$36:$ACK$36&lt;&gt;""),COLUMN(指数走势!$F$36:$ACK$36))-COLUMN(指数走势!$F$36)+1-760+483)),NA(),IF(INDEX(指数走势!$F$36:$ACK$36,1,LOOKUP(2,1/(指数走势!$F$36:$ACK$36&lt;&gt;""),COLUMN(指数走势!$F$36:$ACK$36))-COLUMN(指数走势!$F$36)+1-760+483)=0,NA(),INDEX(指数走势!$F$36:$ACK$36,1,LOOKUP(2,1/(指数走势!$F$36:$ACK$36&lt;&gt;""),COLUMN(指数走势!$F$36:$ACK$36))-COLUMN(指数走势!$F$36)+1-760+483)))</f>
        <v>30.7919998168945</v>
      </c>
      <c r="RQ100">
        <f>IF(ISERROR(INDEX(指数走势!$F$36:$ACK$36,1,LOOKUP(2,1/(指数走势!$F$36:$ACK$36&lt;&gt;""),COLUMN(指数走势!$F$36:$ACK$36))-COLUMN(指数走势!$F$36)+1-760+484)),NA(),IF(INDEX(指数走势!$F$36:$ACK$36,1,LOOKUP(2,1/(指数走势!$F$36:$ACK$36&lt;&gt;""),COLUMN(指数走势!$F$36:$ACK$36))-COLUMN(指数走势!$F$36)+1-760+484)=0,NA(),INDEX(指数走势!$F$36:$ACK$36,1,LOOKUP(2,1/(指数走势!$F$36:$ACK$36&lt;&gt;""),COLUMN(指数走势!$F$36:$ACK$36))-COLUMN(指数走势!$F$36)+1-760+484)))</f>
        <v>30.7063007354736</v>
      </c>
      <c r="RR100">
        <f>IF(ISERROR(INDEX(指数走势!$F$36:$ACK$36,1,LOOKUP(2,1/(指数走势!$F$36:$ACK$36&lt;&gt;""),COLUMN(指数走势!$F$36:$ACK$36))-COLUMN(指数走势!$F$36)+1-760+485)),NA(),IF(INDEX(指数走势!$F$36:$ACK$36,1,LOOKUP(2,1/(指数走势!$F$36:$ACK$36&lt;&gt;""),COLUMN(指数走势!$F$36:$ACK$36))-COLUMN(指数走势!$F$36)+1-760+485)=0,NA(),INDEX(指数走势!$F$36:$ACK$36,1,LOOKUP(2,1/(指数走势!$F$36:$ACK$36&lt;&gt;""),COLUMN(指数走势!$F$36:$ACK$36))-COLUMN(指数走势!$F$36)+1-760+485)))</f>
        <v>30.6424007415771</v>
      </c>
      <c r="RS100">
        <f>IF(ISERROR(INDEX(指数走势!$F$36:$ACK$36,1,LOOKUP(2,1/(指数走势!$F$36:$ACK$36&lt;&gt;""),COLUMN(指数走势!$F$36:$ACK$36))-COLUMN(指数走势!$F$36)+1-760+486)),NA(),IF(INDEX(指数走势!$F$36:$ACK$36,1,LOOKUP(2,1/(指数走势!$F$36:$ACK$36&lt;&gt;""),COLUMN(指数走势!$F$36:$ACK$36))-COLUMN(指数走势!$F$36)+1-760+486)=0,NA(),INDEX(指数走势!$F$36:$ACK$36,1,LOOKUP(2,1/(指数走势!$F$36:$ACK$36&lt;&gt;""),COLUMN(指数走势!$F$36:$ACK$36))-COLUMN(指数走势!$F$36)+1-760+486)))</f>
        <v>31.0118007659912</v>
      </c>
      <c r="RT100">
        <f>IF(ISERROR(INDEX(指数走势!$F$36:$ACK$36,1,LOOKUP(2,1/(指数走势!$F$36:$ACK$36&lt;&gt;""),COLUMN(指数走势!$F$36:$ACK$36))-COLUMN(指数走势!$F$36)+1-760+487)),NA(),IF(INDEX(指数走势!$F$36:$ACK$36,1,LOOKUP(2,1/(指数走势!$F$36:$ACK$36&lt;&gt;""),COLUMN(指数走势!$F$36:$ACK$36))-COLUMN(指数走势!$F$36)+1-760+487)=0,NA(),INDEX(指数走势!$F$36:$ACK$36,1,LOOKUP(2,1/(指数走势!$F$36:$ACK$36&lt;&gt;""),COLUMN(指数走势!$F$36:$ACK$36))-COLUMN(指数走势!$F$36)+1-760+487)))</f>
        <v>31.2679996490479</v>
      </c>
      <c r="RU100">
        <f>IF(ISERROR(INDEX(指数走势!$F$36:$ACK$36,1,LOOKUP(2,1/(指数走势!$F$36:$ACK$36&lt;&gt;""),COLUMN(指数走势!$F$36:$ACK$36))-COLUMN(指数走势!$F$36)+1-760+488)),NA(),IF(INDEX(指数走势!$F$36:$ACK$36,1,LOOKUP(2,1/(指数走势!$F$36:$ACK$36&lt;&gt;""),COLUMN(指数走势!$F$36:$ACK$36))-COLUMN(指数走势!$F$36)+1-760+488)=0,NA(),INDEX(指数走势!$F$36:$ACK$36,1,LOOKUP(2,1/(指数走势!$F$36:$ACK$36&lt;&gt;""),COLUMN(指数走势!$F$36:$ACK$36))-COLUMN(指数走势!$F$36)+1-760+488)))</f>
        <v>30.9698009490967</v>
      </c>
      <c r="RV100">
        <f>IF(ISERROR(INDEX(指数走势!$F$36:$ACK$36,1,LOOKUP(2,1/(指数走势!$F$36:$ACK$36&lt;&gt;""),COLUMN(指数走势!$F$36:$ACK$36))-COLUMN(指数走势!$F$36)+1-760+489)),NA(),IF(INDEX(指数走势!$F$36:$ACK$36,1,LOOKUP(2,1/(指数走势!$F$36:$ACK$36&lt;&gt;""),COLUMN(指数走势!$F$36:$ACK$36))-COLUMN(指数走势!$F$36)+1-760+489)=0,NA(),INDEX(指数走势!$F$36:$ACK$36,1,LOOKUP(2,1/(指数走势!$F$36:$ACK$36&lt;&gt;""),COLUMN(指数走势!$F$36:$ACK$36))-COLUMN(指数走势!$F$36)+1-760+489)))</f>
        <v>30.6798000335693</v>
      </c>
      <c r="RW100">
        <f>IF(ISERROR(INDEX(指数走势!$F$36:$ACK$36,1,LOOKUP(2,1/(指数走势!$F$36:$ACK$36&lt;&gt;""),COLUMN(指数走势!$F$36:$ACK$36))-COLUMN(指数走势!$F$36)+1-760+490)),NA(),IF(INDEX(指数走势!$F$36:$ACK$36,1,LOOKUP(2,1/(指数走势!$F$36:$ACK$36&lt;&gt;""),COLUMN(指数走势!$F$36:$ACK$36))-COLUMN(指数走势!$F$36)+1-760+490)=0,NA(),INDEX(指数走势!$F$36:$ACK$36,1,LOOKUP(2,1/(指数走势!$F$36:$ACK$36&lt;&gt;""),COLUMN(指数走势!$F$36:$ACK$36))-COLUMN(指数走势!$F$36)+1-760+490)))</f>
        <v>30.3985004425049</v>
      </c>
      <c r="RX100">
        <f>IF(ISERROR(INDEX(指数走势!$F$36:$ACK$36,1,LOOKUP(2,1/(指数走势!$F$36:$ACK$36&lt;&gt;""),COLUMN(指数走势!$F$36:$ACK$36))-COLUMN(指数走势!$F$36)+1-760+491)),NA(),IF(INDEX(指数走势!$F$36:$ACK$36,1,LOOKUP(2,1/(指数走势!$F$36:$ACK$36&lt;&gt;""),COLUMN(指数走势!$F$36:$ACK$36))-COLUMN(指数走势!$F$36)+1-760+491)=0,NA(),INDEX(指数走势!$F$36:$ACK$36,1,LOOKUP(2,1/(指数走势!$F$36:$ACK$36&lt;&gt;""),COLUMN(指数走势!$F$36:$ACK$36))-COLUMN(指数走势!$F$36)+1-760+491)))</f>
        <v>30.2294006347656</v>
      </c>
      <c r="RY100">
        <f>IF(ISERROR(INDEX(指数走势!$F$36:$ACK$36,1,LOOKUP(2,1/(指数走势!$F$36:$ACK$36&lt;&gt;""),COLUMN(指数走势!$F$36:$ACK$36))-COLUMN(指数走势!$F$36)+1-760+492)),NA(),IF(INDEX(指数走势!$F$36:$ACK$36,1,LOOKUP(2,1/(指数走势!$F$36:$ACK$36&lt;&gt;""),COLUMN(指数走势!$F$36:$ACK$36))-COLUMN(指数走势!$F$36)+1-760+492)=0,NA(),INDEX(指数走势!$F$36:$ACK$36,1,LOOKUP(2,1/(指数走势!$F$36:$ACK$36&lt;&gt;""),COLUMN(指数走势!$F$36:$ACK$36))-COLUMN(指数走势!$F$36)+1-760+492)))</f>
        <v>30.1210994720459</v>
      </c>
      <c r="RZ100">
        <f>IF(ISERROR(INDEX(指数走势!$F$36:$ACK$36,1,LOOKUP(2,1/(指数走势!$F$36:$ACK$36&lt;&gt;""),COLUMN(指数走势!$F$36:$ACK$36))-COLUMN(指数走势!$F$36)+1-760+493)),NA(),IF(INDEX(指数走势!$F$36:$ACK$36,1,LOOKUP(2,1/(指数走势!$F$36:$ACK$36&lt;&gt;""),COLUMN(指数走势!$F$36:$ACK$36))-COLUMN(指数走势!$F$36)+1-760+493)=0,NA(),INDEX(指数走势!$F$36:$ACK$36,1,LOOKUP(2,1/(指数走势!$F$36:$ACK$36&lt;&gt;""),COLUMN(指数走势!$F$36:$ACK$36))-COLUMN(指数走势!$F$36)+1-760+493)))</f>
        <v>30.5266990661621</v>
      </c>
      <c r="SA100">
        <f>IF(ISERROR(INDEX(指数走势!$F$36:$ACK$36,1,LOOKUP(2,1/(指数走势!$F$36:$ACK$36&lt;&gt;""),COLUMN(指数走势!$F$36:$ACK$36))-COLUMN(指数走势!$F$36)+1-760+494)),NA(),IF(INDEX(指数走势!$F$36:$ACK$36,1,LOOKUP(2,1/(指数走势!$F$36:$ACK$36&lt;&gt;""),COLUMN(指数走势!$F$36:$ACK$36))-COLUMN(指数走势!$F$36)+1-760+494)=0,NA(),INDEX(指数走势!$F$36:$ACK$36,1,LOOKUP(2,1/(指数走势!$F$36:$ACK$36&lt;&gt;""),COLUMN(指数走势!$F$36:$ACK$36))-COLUMN(指数走势!$F$36)+1-760+494)))</f>
        <v>30.2021007537842</v>
      </c>
      <c r="SB100">
        <f>IF(ISERROR(INDEX(指数走势!$F$36:$ACK$36,1,LOOKUP(2,1/(指数走势!$F$36:$ACK$36&lt;&gt;""),COLUMN(指数走势!$F$36:$ACK$36))-COLUMN(指数走势!$F$36)+1-760+495)),NA(),IF(INDEX(指数走势!$F$36:$ACK$36,1,LOOKUP(2,1/(指数走势!$F$36:$ACK$36&lt;&gt;""),COLUMN(指数走势!$F$36:$ACK$36))-COLUMN(指数走势!$F$36)+1-760+495)=0,NA(),INDEX(指数走势!$F$36:$ACK$36,1,LOOKUP(2,1/(指数走势!$F$36:$ACK$36&lt;&gt;""),COLUMN(指数走势!$F$36:$ACK$36))-COLUMN(指数走势!$F$36)+1-760+495)))</f>
        <v>30.3861999511719</v>
      </c>
      <c r="SC100">
        <f>IF(ISERROR(INDEX(指数走势!$F$36:$ACK$36,1,LOOKUP(2,1/(指数走势!$F$36:$ACK$36&lt;&gt;""),COLUMN(指数走势!$F$36:$ACK$36))-COLUMN(指数走势!$F$36)+1-760+496)),NA(),IF(INDEX(指数走势!$F$36:$ACK$36,1,LOOKUP(2,1/(指数走势!$F$36:$ACK$36&lt;&gt;""),COLUMN(指数走势!$F$36:$ACK$36))-COLUMN(指数走势!$F$36)+1-760+496)=0,NA(),INDEX(指数走势!$F$36:$ACK$36,1,LOOKUP(2,1/(指数走势!$F$36:$ACK$36&lt;&gt;""),COLUMN(指数走势!$F$36:$ACK$36))-COLUMN(指数走势!$F$36)+1-760+496)))</f>
        <v>30.6553993225098</v>
      </c>
      <c r="SD100">
        <f>IF(ISERROR(INDEX(指数走势!$F$36:$ACK$36,1,LOOKUP(2,1/(指数走势!$F$36:$ACK$36&lt;&gt;""),COLUMN(指数走势!$F$36:$ACK$36))-COLUMN(指数走势!$F$36)+1-760+497)),NA(),IF(INDEX(指数走势!$F$36:$ACK$36,1,LOOKUP(2,1/(指数走势!$F$36:$ACK$36&lt;&gt;""),COLUMN(指数走势!$F$36:$ACK$36))-COLUMN(指数走势!$F$36)+1-760+497)=0,NA(),INDEX(指数走势!$F$36:$ACK$36,1,LOOKUP(2,1/(指数走势!$F$36:$ACK$36&lt;&gt;""),COLUMN(指数走势!$F$36:$ACK$36))-COLUMN(指数走势!$F$36)+1-760+497)))</f>
        <v>30.9890995025635</v>
      </c>
      <c r="SE100">
        <f>IF(ISERROR(INDEX(指数走势!$F$36:$ACK$36,1,LOOKUP(2,1/(指数走势!$F$36:$ACK$36&lt;&gt;""),COLUMN(指数走势!$F$36:$ACK$36))-COLUMN(指数走势!$F$36)+1-760+498)),NA(),IF(INDEX(指数走势!$F$36:$ACK$36,1,LOOKUP(2,1/(指数走势!$F$36:$ACK$36&lt;&gt;""),COLUMN(指数走势!$F$36:$ACK$36))-COLUMN(指数走势!$F$36)+1-760+498)=0,NA(),INDEX(指数走势!$F$36:$ACK$36,1,LOOKUP(2,1/(指数走势!$F$36:$ACK$36&lt;&gt;""),COLUMN(指数走势!$F$36:$ACK$36))-COLUMN(指数走势!$F$36)+1-760+498)))</f>
        <v>30.9202003479004</v>
      </c>
      <c r="SF100">
        <f>IF(ISERROR(INDEX(指数走势!$F$36:$ACK$36,1,LOOKUP(2,1/(指数走势!$F$36:$ACK$36&lt;&gt;""),COLUMN(指数走势!$F$36:$ACK$36))-COLUMN(指数走势!$F$36)+1-760+499)),NA(),IF(INDEX(指数走势!$F$36:$ACK$36,1,LOOKUP(2,1/(指数走势!$F$36:$ACK$36&lt;&gt;""),COLUMN(指数走势!$F$36:$ACK$36))-COLUMN(指数走势!$F$36)+1-760+499)=0,NA(),INDEX(指数走势!$F$36:$ACK$36,1,LOOKUP(2,1/(指数走势!$F$36:$ACK$36&lt;&gt;""),COLUMN(指数走势!$F$36:$ACK$36))-COLUMN(指数走势!$F$36)+1-760+499)))</f>
        <v>31.2196006774902</v>
      </c>
      <c r="SG100">
        <f>IF(ISERROR(INDEX(指数走势!$F$36:$ACK$36,1,LOOKUP(2,1/(指数走势!$F$36:$ACK$36&lt;&gt;""),COLUMN(指数走势!$F$36:$ACK$36))-COLUMN(指数走势!$F$36)+1-760+500)),NA(),IF(INDEX(指数走势!$F$36:$ACK$36,1,LOOKUP(2,1/(指数走势!$F$36:$ACK$36&lt;&gt;""),COLUMN(指数走势!$F$36:$ACK$36))-COLUMN(指数走势!$F$36)+1-760+500)=0,NA(),INDEX(指数走势!$F$36:$ACK$36,1,LOOKUP(2,1/(指数走势!$F$36:$ACK$36&lt;&gt;""),COLUMN(指数走势!$F$36:$ACK$36))-COLUMN(指数走势!$F$36)+1-760+500)))</f>
        <v>30.8421001434326</v>
      </c>
      <c r="SH100">
        <f>IF(ISERROR(INDEX(指数走势!$F$36:$ACK$36,1,LOOKUP(2,1/(指数走势!$F$36:$ACK$36&lt;&gt;""),COLUMN(指数走势!$F$36:$ACK$36))-COLUMN(指数走势!$F$36)+1-760+501)),NA(),IF(INDEX(指数走势!$F$36:$ACK$36,1,LOOKUP(2,1/(指数走势!$F$36:$ACK$36&lt;&gt;""),COLUMN(指数走势!$F$36:$ACK$36))-COLUMN(指数走势!$F$36)+1-760+501)=0,NA(),INDEX(指数走势!$F$36:$ACK$36,1,LOOKUP(2,1/(指数走势!$F$36:$ACK$36&lt;&gt;""),COLUMN(指数走势!$F$36:$ACK$36))-COLUMN(指数走势!$F$36)+1-760+501)))</f>
        <v>31.1956996917725</v>
      </c>
      <c r="SI100">
        <f>IF(ISERROR(INDEX(指数走势!$F$36:$ACK$36,1,LOOKUP(2,1/(指数走势!$F$36:$ACK$36&lt;&gt;""),COLUMN(指数走势!$F$36:$ACK$36))-COLUMN(指数走势!$F$36)+1-760+502)),NA(),IF(INDEX(指数走势!$F$36:$ACK$36,1,LOOKUP(2,1/(指数走势!$F$36:$ACK$36&lt;&gt;""),COLUMN(指数走势!$F$36:$ACK$36))-COLUMN(指数走势!$F$36)+1-760+502)=0,NA(),INDEX(指数走势!$F$36:$ACK$36,1,LOOKUP(2,1/(指数走势!$F$36:$ACK$36&lt;&gt;""),COLUMN(指数走势!$F$36:$ACK$36))-COLUMN(指数走势!$F$36)+1-760+502)))</f>
        <v>31.2556991577148</v>
      </c>
      <c r="SJ100">
        <f>IF(ISERROR(INDEX(指数走势!$F$36:$ACK$36,1,LOOKUP(2,1/(指数走势!$F$36:$ACK$36&lt;&gt;""),COLUMN(指数走势!$F$36:$ACK$36))-COLUMN(指数走势!$F$36)+1-760+503)),NA(),IF(INDEX(指数走势!$F$36:$ACK$36,1,LOOKUP(2,1/(指数走势!$F$36:$ACK$36&lt;&gt;""),COLUMN(指数走势!$F$36:$ACK$36))-COLUMN(指数走势!$F$36)+1-760+503)=0,NA(),INDEX(指数走势!$F$36:$ACK$36,1,LOOKUP(2,1/(指数走势!$F$36:$ACK$36&lt;&gt;""),COLUMN(指数走势!$F$36:$ACK$36))-COLUMN(指数走势!$F$36)+1-760+503)))</f>
        <v>30.994800567627</v>
      </c>
      <c r="SK100">
        <f>IF(ISERROR(INDEX(指数走势!$F$36:$ACK$36,1,LOOKUP(2,1/(指数走势!$F$36:$ACK$36&lt;&gt;""),COLUMN(指数走势!$F$36:$ACK$36))-COLUMN(指数走势!$F$36)+1-760+504)),NA(),IF(INDEX(指数走势!$F$36:$ACK$36,1,LOOKUP(2,1/(指数走势!$F$36:$ACK$36&lt;&gt;""),COLUMN(指数走势!$F$36:$ACK$36))-COLUMN(指数走势!$F$36)+1-760+504)=0,NA(),INDEX(指数走势!$F$36:$ACK$36,1,LOOKUP(2,1/(指数走势!$F$36:$ACK$36&lt;&gt;""),COLUMN(指数走势!$F$36:$ACK$36))-COLUMN(指数走势!$F$36)+1-760+504)))</f>
        <v>31.1741008758545</v>
      </c>
      <c r="SL100">
        <f>IF(ISERROR(INDEX(指数走势!$F$36:$ACK$36,1,LOOKUP(2,1/(指数走势!$F$36:$ACK$36&lt;&gt;""),COLUMN(指数走势!$F$36:$ACK$36))-COLUMN(指数走势!$F$36)+1-760+505)),NA(),IF(INDEX(指数走势!$F$36:$ACK$36,1,LOOKUP(2,1/(指数走势!$F$36:$ACK$36&lt;&gt;""),COLUMN(指数走势!$F$36:$ACK$36))-COLUMN(指数走势!$F$36)+1-760+505)=0,NA(),INDEX(指数走势!$F$36:$ACK$36,1,LOOKUP(2,1/(指数走势!$F$36:$ACK$36&lt;&gt;""),COLUMN(指数走势!$F$36:$ACK$36))-COLUMN(指数走势!$F$36)+1-760+505)))</f>
        <v>31.0237007141113</v>
      </c>
      <c r="SM100">
        <f>IF(ISERROR(INDEX(指数走势!$F$36:$ACK$36,1,LOOKUP(2,1/(指数走势!$F$36:$ACK$36&lt;&gt;""),COLUMN(指数走势!$F$36:$ACK$36))-COLUMN(指数走势!$F$36)+1-760+506)),NA(),IF(INDEX(指数走势!$F$36:$ACK$36,1,LOOKUP(2,1/(指数走势!$F$36:$ACK$36&lt;&gt;""),COLUMN(指数走势!$F$36:$ACK$36))-COLUMN(指数走势!$F$36)+1-760+506)=0,NA(),INDEX(指数走势!$F$36:$ACK$36,1,LOOKUP(2,1/(指数走势!$F$36:$ACK$36&lt;&gt;""),COLUMN(指数走势!$F$36:$ACK$36))-COLUMN(指数走势!$F$36)+1-760+506)))</f>
        <v>31.0993003845215</v>
      </c>
      <c r="SN100">
        <f>IF(ISERROR(INDEX(指数走势!$F$36:$ACK$36,1,LOOKUP(2,1/(指数走势!$F$36:$ACK$36&lt;&gt;""),COLUMN(指数走势!$F$36:$ACK$36))-COLUMN(指数走势!$F$36)+1-760+507)),NA(),IF(INDEX(指数走势!$F$36:$ACK$36,1,LOOKUP(2,1/(指数走势!$F$36:$ACK$36&lt;&gt;""),COLUMN(指数走势!$F$36:$ACK$36))-COLUMN(指数走势!$F$36)+1-760+507)=0,NA(),INDEX(指数走势!$F$36:$ACK$36,1,LOOKUP(2,1/(指数走势!$F$36:$ACK$36&lt;&gt;""),COLUMN(指数走势!$F$36:$ACK$36))-COLUMN(指数走势!$F$36)+1-760+507)))</f>
        <v>30.6487007141113</v>
      </c>
      <c r="SO100">
        <f>IF(ISERROR(INDEX(指数走势!$F$36:$ACK$36,1,LOOKUP(2,1/(指数走势!$F$36:$ACK$36&lt;&gt;""),COLUMN(指数走势!$F$36:$ACK$36))-COLUMN(指数走势!$F$36)+1-760+508)),NA(),IF(INDEX(指数走势!$F$36:$ACK$36,1,LOOKUP(2,1/(指数走势!$F$36:$ACK$36&lt;&gt;""),COLUMN(指数走势!$F$36:$ACK$36))-COLUMN(指数走势!$F$36)+1-760+508)=0,NA(),INDEX(指数走势!$F$36:$ACK$36,1,LOOKUP(2,1/(指数走势!$F$36:$ACK$36&lt;&gt;""),COLUMN(指数走势!$F$36:$ACK$36))-COLUMN(指数走势!$F$36)+1-760+508)))</f>
        <v>30.3771991729736</v>
      </c>
      <c r="SP100">
        <f>IF(ISERROR(INDEX(指数走势!$F$36:$ACK$36,1,LOOKUP(2,1/(指数走势!$F$36:$ACK$36&lt;&gt;""),COLUMN(指数走势!$F$36:$ACK$36))-COLUMN(指数走势!$F$36)+1-760+509)),NA(),IF(INDEX(指数走势!$F$36:$ACK$36,1,LOOKUP(2,1/(指数走势!$F$36:$ACK$36&lt;&gt;""),COLUMN(指数走势!$F$36:$ACK$36))-COLUMN(指数走势!$F$36)+1-760+509)=0,NA(),INDEX(指数走势!$F$36:$ACK$36,1,LOOKUP(2,1/(指数走势!$F$36:$ACK$36&lt;&gt;""),COLUMN(指数走势!$F$36:$ACK$36))-COLUMN(指数走势!$F$36)+1-760+509)))</f>
        <v>30.4855003356934</v>
      </c>
      <c r="SQ100">
        <f>IF(ISERROR(INDEX(指数走势!$F$36:$ACK$36,1,LOOKUP(2,1/(指数走势!$F$36:$ACK$36&lt;&gt;""),COLUMN(指数走势!$F$36:$ACK$36))-COLUMN(指数走势!$F$36)+1-760+510)),NA(),IF(INDEX(指数走势!$F$36:$ACK$36,1,LOOKUP(2,1/(指数走势!$F$36:$ACK$36&lt;&gt;""),COLUMN(指数走势!$F$36:$ACK$36))-COLUMN(指数走势!$F$36)+1-760+510)=0,NA(),INDEX(指数走势!$F$36:$ACK$36,1,LOOKUP(2,1/(指数走势!$F$36:$ACK$36&lt;&gt;""),COLUMN(指数走势!$F$36:$ACK$36))-COLUMN(指数走势!$F$36)+1-760+510)))</f>
        <v>31.1088008880615</v>
      </c>
      <c r="SR100">
        <f>IF(ISERROR(INDEX(指数走势!$F$36:$ACK$36,1,LOOKUP(2,1/(指数走势!$F$36:$ACK$36&lt;&gt;""),COLUMN(指数走势!$F$36:$ACK$36))-COLUMN(指数走势!$F$36)+1-760+511)),NA(),IF(INDEX(指数走势!$F$36:$ACK$36,1,LOOKUP(2,1/(指数走势!$F$36:$ACK$36&lt;&gt;""),COLUMN(指数走势!$F$36:$ACK$36))-COLUMN(指数走势!$F$36)+1-760+511)=0,NA(),INDEX(指数走势!$F$36:$ACK$36,1,LOOKUP(2,1/(指数走势!$F$36:$ACK$36&lt;&gt;""),COLUMN(指数走势!$F$36:$ACK$36))-COLUMN(指数走势!$F$36)+1-760+511)))</f>
        <v>32.0091018676758</v>
      </c>
      <c r="SS100">
        <f>IF(ISERROR(INDEX(指数走势!$F$36:$ACK$36,1,LOOKUP(2,1/(指数走势!$F$36:$ACK$36&lt;&gt;""),COLUMN(指数走势!$F$36:$ACK$36))-COLUMN(指数走势!$F$36)+1-760+512)),NA(),IF(INDEX(指数走势!$F$36:$ACK$36,1,LOOKUP(2,1/(指数走势!$F$36:$ACK$36&lt;&gt;""),COLUMN(指数走势!$F$36:$ACK$36))-COLUMN(指数走势!$F$36)+1-760+512)=0,NA(),INDEX(指数走势!$F$36:$ACK$36,1,LOOKUP(2,1/(指数走势!$F$36:$ACK$36&lt;&gt;""),COLUMN(指数走势!$F$36:$ACK$36))-COLUMN(指数走势!$F$36)+1-760+512)))</f>
        <v>31.7975006103516</v>
      </c>
      <c r="ST100">
        <f>IF(ISERROR(INDEX(指数走势!$F$36:$ACK$36,1,LOOKUP(2,1/(指数走势!$F$36:$ACK$36&lt;&gt;""),COLUMN(指数走势!$F$36:$ACK$36))-COLUMN(指数走势!$F$36)+1-760+513)),NA(),IF(INDEX(指数走势!$F$36:$ACK$36,1,LOOKUP(2,1/(指数走势!$F$36:$ACK$36&lt;&gt;""),COLUMN(指数走势!$F$36:$ACK$36))-COLUMN(指数走势!$F$36)+1-760+513)=0,NA(),INDEX(指数走势!$F$36:$ACK$36,1,LOOKUP(2,1/(指数走势!$F$36:$ACK$36&lt;&gt;""),COLUMN(指数走势!$F$36:$ACK$36))-COLUMN(指数走势!$F$36)+1-760+513)))</f>
        <v>31.9094009399414</v>
      </c>
      <c r="SU100">
        <f>IF(ISERROR(INDEX(指数走势!$F$36:$ACK$36,1,LOOKUP(2,1/(指数走势!$F$36:$ACK$36&lt;&gt;""),COLUMN(指数走势!$F$36:$ACK$36))-COLUMN(指数走势!$F$36)+1-760+514)),NA(),IF(INDEX(指数走势!$F$36:$ACK$36,1,LOOKUP(2,1/(指数走势!$F$36:$ACK$36&lt;&gt;""),COLUMN(指数走势!$F$36:$ACK$36))-COLUMN(指数走势!$F$36)+1-760+514)=0,NA(),INDEX(指数走势!$F$36:$ACK$36,1,LOOKUP(2,1/(指数走势!$F$36:$ACK$36&lt;&gt;""),COLUMN(指数走势!$F$36:$ACK$36))-COLUMN(指数走势!$F$36)+1-760+514)))</f>
        <v>32.3630981445313</v>
      </c>
      <c r="SV100">
        <f>IF(ISERROR(INDEX(指数走势!$F$36:$ACK$36,1,LOOKUP(2,1/(指数走势!$F$36:$ACK$36&lt;&gt;""),COLUMN(指数走势!$F$36:$ACK$36))-COLUMN(指数走势!$F$36)+1-760+515)),NA(),IF(INDEX(指数走势!$F$36:$ACK$36,1,LOOKUP(2,1/(指数走势!$F$36:$ACK$36&lt;&gt;""),COLUMN(指数走势!$F$36:$ACK$36))-COLUMN(指数走势!$F$36)+1-760+515)=0,NA(),INDEX(指数走势!$F$36:$ACK$36,1,LOOKUP(2,1/(指数走势!$F$36:$ACK$36&lt;&gt;""),COLUMN(指数走势!$F$36:$ACK$36))-COLUMN(指数走势!$F$36)+1-760+515)))</f>
        <v>32.2649993896484</v>
      </c>
      <c r="SW100">
        <f>IF(ISERROR(INDEX(指数走势!$F$36:$ACK$36,1,LOOKUP(2,1/(指数走势!$F$36:$ACK$36&lt;&gt;""),COLUMN(指数走势!$F$36:$ACK$36))-COLUMN(指数走势!$F$36)+1-760+516)),NA(),IF(INDEX(指数走势!$F$36:$ACK$36,1,LOOKUP(2,1/(指数走势!$F$36:$ACK$36&lt;&gt;""),COLUMN(指数走势!$F$36:$ACK$36))-COLUMN(指数走势!$F$36)+1-760+516)=0,NA(),INDEX(指数走势!$F$36:$ACK$36,1,LOOKUP(2,1/(指数走势!$F$36:$ACK$36&lt;&gt;""),COLUMN(指数走势!$F$36:$ACK$36))-COLUMN(指数走势!$F$36)+1-760+516)))</f>
        <v>31.8946990966797</v>
      </c>
      <c r="SX100">
        <f>IF(ISERROR(INDEX(指数走势!$F$36:$ACK$36,1,LOOKUP(2,1/(指数走势!$F$36:$ACK$36&lt;&gt;""),COLUMN(指数走势!$F$36:$ACK$36))-COLUMN(指数走势!$F$36)+1-760+517)),NA(),IF(INDEX(指数走势!$F$36:$ACK$36,1,LOOKUP(2,1/(指数走势!$F$36:$ACK$36&lt;&gt;""),COLUMN(指数走势!$F$36:$ACK$36))-COLUMN(指数走势!$F$36)+1-760+517)=0,NA(),INDEX(指数走势!$F$36:$ACK$36,1,LOOKUP(2,1/(指数走势!$F$36:$ACK$36&lt;&gt;""),COLUMN(指数走势!$F$36:$ACK$36))-COLUMN(指数走势!$F$36)+1-760+517)))</f>
        <v>32.4711990356445</v>
      </c>
      <c r="SY100">
        <f>IF(ISERROR(INDEX(指数走势!$F$36:$ACK$36,1,LOOKUP(2,1/(指数走势!$F$36:$ACK$36&lt;&gt;""),COLUMN(指数走势!$F$36:$ACK$36))-COLUMN(指数走势!$F$36)+1-760+518)),NA(),IF(INDEX(指数走势!$F$36:$ACK$36,1,LOOKUP(2,1/(指数走势!$F$36:$ACK$36&lt;&gt;""),COLUMN(指数走势!$F$36:$ACK$36))-COLUMN(指数走势!$F$36)+1-760+518)=0,NA(),INDEX(指数走势!$F$36:$ACK$36,1,LOOKUP(2,1/(指数走势!$F$36:$ACK$36&lt;&gt;""),COLUMN(指数走势!$F$36:$ACK$36))-COLUMN(指数走势!$F$36)+1-760+518)))</f>
        <v>32.3765983581543</v>
      </c>
      <c r="SZ100">
        <f>IF(ISERROR(INDEX(指数走势!$F$36:$ACK$36,1,LOOKUP(2,1/(指数走势!$F$36:$ACK$36&lt;&gt;""),COLUMN(指数走势!$F$36:$ACK$36))-COLUMN(指数走势!$F$36)+1-760+519)),NA(),IF(INDEX(指数走势!$F$36:$ACK$36,1,LOOKUP(2,1/(指数走势!$F$36:$ACK$36&lt;&gt;""),COLUMN(指数走势!$F$36:$ACK$36))-COLUMN(指数走势!$F$36)+1-760+519)=0,NA(),INDEX(指数走势!$F$36:$ACK$36,1,LOOKUP(2,1/(指数走势!$F$36:$ACK$36&lt;&gt;""),COLUMN(指数走势!$F$36:$ACK$36))-COLUMN(指数走势!$F$36)+1-760+519)))</f>
        <v>31.9853000640869</v>
      </c>
      <c r="TA100">
        <f>IF(ISERROR(INDEX(指数走势!$F$36:$ACK$36,1,LOOKUP(2,1/(指数走势!$F$36:$ACK$36&lt;&gt;""),COLUMN(指数走势!$F$36:$ACK$36))-COLUMN(指数走势!$F$36)+1-760+520)),NA(),IF(INDEX(指数走势!$F$36:$ACK$36,1,LOOKUP(2,1/(指数走势!$F$36:$ACK$36&lt;&gt;""),COLUMN(指数走势!$F$36:$ACK$36))-COLUMN(指数走势!$F$36)+1-760+520)=0,NA(),INDEX(指数走势!$F$36:$ACK$36,1,LOOKUP(2,1/(指数走势!$F$36:$ACK$36&lt;&gt;""),COLUMN(指数走势!$F$36:$ACK$36))-COLUMN(指数走势!$F$36)+1-760+520)))</f>
        <v>32.6580009460449</v>
      </c>
      <c r="TB100">
        <f>IF(ISERROR(INDEX(指数走势!$F$36:$ACK$36,1,LOOKUP(2,1/(指数走势!$F$36:$ACK$36&lt;&gt;""),COLUMN(指数走势!$F$36:$ACK$36))-COLUMN(指数走势!$F$36)+1-760+521)),NA(),IF(INDEX(指数走势!$F$36:$ACK$36,1,LOOKUP(2,1/(指数走势!$F$36:$ACK$36&lt;&gt;""),COLUMN(指数走势!$F$36:$ACK$36))-COLUMN(指数走势!$F$36)+1-760+521)=0,NA(),INDEX(指数走势!$F$36:$ACK$36,1,LOOKUP(2,1/(指数走势!$F$36:$ACK$36&lt;&gt;""),COLUMN(指数走势!$F$36:$ACK$36))-COLUMN(指数走势!$F$36)+1-760+521)))</f>
        <v>32.7158012390137</v>
      </c>
      <c r="TC100">
        <f>IF(ISERROR(INDEX(指数走势!$F$36:$ACK$36,1,LOOKUP(2,1/(指数走势!$F$36:$ACK$36&lt;&gt;""),COLUMN(指数走势!$F$36:$ACK$36))-COLUMN(指数走势!$F$36)+1-760+522)),NA(),IF(INDEX(指数走势!$F$36:$ACK$36,1,LOOKUP(2,1/(指数走势!$F$36:$ACK$36&lt;&gt;""),COLUMN(指数走势!$F$36:$ACK$36))-COLUMN(指数走势!$F$36)+1-760+522)=0,NA(),INDEX(指数走势!$F$36:$ACK$36,1,LOOKUP(2,1/(指数走势!$F$36:$ACK$36&lt;&gt;""),COLUMN(指数走势!$F$36:$ACK$36))-COLUMN(指数走势!$F$36)+1-760+522)))</f>
        <v>32.7928009033203</v>
      </c>
      <c r="TD100">
        <f>IF(ISERROR(INDEX(指数走势!$F$36:$ACK$36,1,LOOKUP(2,1/(指数走势!$F$36:$ACK$36&lt;&gt;""),COLUMN(指数走势!$F$36:$ACK$36))-COLUMN(指数走势!$F$36)+1-760+523)),NA(),IF(INDEX(指数走势!$F$36:$ACK$36,1,LOOKUP(2,1/(指数走势!$F$36:$ACK$36&lt;&gt;""),COLUMN(指数走势!$F$36:$ACK$36))-COLUMN(指数走势!$F$36)+1-760+523)=0,NA(),INDEX(指数走势!$F$36:$ACK$36,1,LOOKUP(2,1/(指数走势!$F$36:$ACK$36&lt;&gt;""),COLUMN(指数走势!$F$36:$ACK$36))-COLUMN(指数走势!$F$36)+1-760+523)))</f>
        <v>33.0588989257813</v>
      </c>
      <c r="TE100">
        <f>IF(ISERROR(INDEX(指数走势!$F$36:$ACK$36,1,LOOKUP(2,1/(指数走势!$F$36:$ACK$36&lt;&gt;""),COLUMN(指数走势!$F$36:$ACK$36))-COLUMN(指数走势!$F$36)+1-760+524)),NA(),IF(INDEX(指数走势!$F$36:$ACK$36,1,LOOKUP(2,1/(指数走势!$F$36:$ACK$36&lt;&gt;""),COLUMN(指数走势!$F$36:$ACK$36))-COLUMN(指数走势!$F$36)+1-760+524)=0,NA(),INDEX(指数走势!$F$36:$ACK$36,1,LOOKUP(2,1/(指数走势!$F$36:$ACK$36&lt;&gt;""),COLUMN(指数走势!$F$36:$ACK$36))-COLUMN(指数走势!$F$36)+1-760+524)))</f>
        <v>32.890998840332</v>
      </c>
      <c r="TF100">
        <f>IF(ISERROR(INDEX(指数走势!$F$36:$ACK$36,1,LOOKUP(2,1/(指数走势!$F$36:$ACK$36&lt;&gt;""),COLUMN(指数走势!$F$36:$ACK$36))-COLUMN(指数走势!$F$36)+1-760+525)),NA(),IF(INDEX(指数走势!$F$36:$ACK$36,1,LOOKUP(2,1/(指数走势!$F$36:$ACK$36&lt;&gt;""),COLUMN(指数走势!$F$36:$ACK$36))-COLUMN(指数走势!$F$36)+1-760+525)=0,NA(),INDEX(指数走势!$F$36:$ACK$36,1,LOOKUP(2,1/(指数走势!$F$36:$ACK$36&lt;&gt;""),COLUMN(指数走势!$F$36:$ACK$36))-COLUMN(指数走势!$F$36)+1-760+525)))</f>
        <v>33.2958984375</v>
      </c>
      <c r="TG100">
        <f>IF(ISERROR(INDEX(指数走势!$F$36:$ACK$36,1,LOOKUP(2,1/(指数走势!$F$36:$ACK$36&lt;&gt;""),COLUMN(指数走势!$F$36:$ACK$36))-COLUMN(指数走势!$F$36)+1-760+526)),NA(),IF(INDEX(指数走势!$F$36:$ACK$36,1,LOOKUP(2,1/(指数走势!$F$36:$ACK$36&lt;&gt;""),COLUMN(指数走势!$F$36:$ACK$36))-COLUMN(指数走势!$F$36)+1-760+526)=0,NA(),INDEX(指数走势!$F$36:$ACK$36,1,LOOKUP(2,1/(指数走势!$F$36:$ACK$36&lt;&gt;""),COLUMN(指数走势!$F$36:$ACK$36))-COLUMN(指数走势!$F$36)+1-760+526)))</f>
        <v>33.2122001647949</v>
      </c>
      <c r="TH100">
        <f>IF(ISERROR(INDEX(指数走势!$F$36:$ACK$36,1,LOOKUP(2,1/(指数走势!$F$36:$ACK$36&lt;&gt;""),COLUMN(指数走势!$F$36:$ACK$36))-COLUMN(指数走势!$F$36)+1-760+527)),NA(),IF(INDEX(指数走势!$F$36:$ACK$36,1,LOOKUP(2,1/(指数走势!$F$36:$ACK$36&lt;&gt;""),COLUMN(指数走势!$F$36:$ACK$36))-COLUMN(指数走势!$F$36)+1-760+527)=0,NA(),INDEX(指数走势!$F$36:$ACK$36,1,LOOKUP(2,1/(指数走势!$F$36:$ACK$36&lt;&gt;""),COLUMN(指数走势!$F$36:$ACK$36))-COLUMN(指数走势!$F$36)+1-760+527)))</f>
        <v>33.7421989440918</v>
      </c>
      <c r="TI100">
        <f>IF(ISERROR(INDEX(指数走势!$F$36:$ACK$36,1,LOOKUP(2,1/(指数走势!$F$36:$ACK$36&lt;&gt;""),COLUMN(指数走势!$F$36:$ACK$36))-COLUMN(指数走势!$F$36)+1-760+528)),NA(),IF(INDEX(指数走势!$F$36:$ACK$36,1,LOOKUP(2,1/(指数走势!$F$36:$ACK$36&lt;&gt;""),COLUMN(指数走势!$F$36:$ACK$36))-COLUMN(指数走势!$F$36)+1-760+528)=0,NA(),INDEX(指数走势!$F$36:$ACK$36,1,LOOKUP(2,1/(指数走势!$F$36:$ACK$36&lt;&gt;""),COLUMN(指数走势!$F$36:$ACK$36))-COLUMN(指数走势!$F$36)+1-760+528)))</f>
        <v>33.8907012939453</v>
      </c>
      <c r="TJ100">
        <f>IF(ISERROR(INDEX(指数走势!$F$36:$ACK$36,1,LOOKUP(2,1/(指数走势!$F$36:$ACK$36&lt;&gt;""),COLUMN(指数走势!$F$36:$ACK$36))-COLUMN(指数走势!$F$36)+1-760+529)),NA(),IF(INDEX(指数走势!$F$36:$ACK$36,1,LOOKUP(2,1/(指数走势!$F$36:$ACK$36&lt;&gt;""),COLUMN(指数走势!$F$36:$ACK$36))-COLUMN(指数走势!$F$36)+1-760+529)=0,NA(),INDEX(指数走势!$F$36:$ACK$36,1,LOOKUP(2,1/(指数走势!$F$36:$ACK$36&lt;&gt;""),COLUMN(指数走势!$F$36:$ACK$36))-COLUMN(指数走势!$F$36)+1-760+529)))</f>
        <v>34.1819000244141</v>
      </c>
      <c r="TK100">
        <f>IF(ISERROR(INDEX(指数走势!$F$36:$ACK$36,1,LOOKUP(2,1/(指数走势!$F$36:$ACK$36&lt;&gt;""),COLUMN(指数走势!$F$36:$ACK$36))-COLUMN(指数走势!$F$36)+1-760+530)),NA(),IF(INDEX(指数走势!$F$36:$ACK$36,1,LOOKUP(2,1/(指数走势!$F$36:$ACK$36&lt;&gt;""),COLUMN(指数走势!$F$36:$ACK$36))-COLUMN(指数走势!$F$36)+1-760+530)=0,NA(),INDEX(指数走势!$F$36:$ACK$36,1,LOOKUP(2,1/(指数走势!$F$36:$ACK$36&lt;&gt;""),COLUMN(指数走势!$F$36:$ACK$36))-COLUMN(指数走势!$F$36)+1-760+530)))</f>
        <v>34.3819999694824</v>
      </c>
      <c r="TL100">
        <f>IF(ISERROR(INDEX(指数走势!$F$36:$ACK$36,1,LOOKUP(2,1/(指数走势!$F$36:$ACK$36&lt;&gt;""),COLUMN(指数走势!$F$36:$ACK$36))-COLUMN(指数走势!$F$36)+1-760+531)),NA(),IF(INDEX(指数走势!$F$36:$ACK$36,1,LOOKUP(2,1/(指数走势!$F$36:$ACK$36&lt;&gt;""),COLUMN(指数走势!$F$36:$ACK$36))-COLUMN(指数走势!$F$36)+1-760+531)=0,NA(),INDEX(指数走势!$F$36:$ACK$36,1,LOOKUP(2,1/(指数走势!$F$36:$ACK$36&lt;&gt;""),COLUMN(指数走势!$F$36:$ACK$36))-COLUMN(指数走势!$F$36)+1-760+531)))</f>
        <v>34.3889007568359</v>
      </c>
      <c r="TM100">
        <f>IF(ISERROR(INDEX(指数走势!$F$36:$ACK$36,1,LOOKUP(2,1/(指数走势!$F$36:$ACK$36&lt;&gt;""),COLUMN(指数走势!$F$36:$ACK$36))-COLUMN(指数走势!$F$36)+1-760+532)),NA(),IF(INDEX(指数走势!$F$36:$ACK$36,1,LOOKUP(2,1/(指数走势!$F$36:$ACK$36&lt;&gt;""),COLUMN(指数走势!$F$36:$ACK$36))-COLUMN(指数走势!$F$36)+1-760+532)=0,NA(),INDEX(指数走势!$F$36:$ACK$36,1,LOOKUP(2,1/(指数走势!$F$36:$ACK$36&lt;&gt;""),COLUMN(指数走势!$F$36:$ACK$36))-COLUMN(指数走势!$F$36)+1-760+532)))</f>
        <v>34.8899993896484</v>
      </c>
      <c r="TN100">
        <f>IF(ISERROR(INDEX(指数走势!$F$36:$ACK$36,1,LOOKUP(2,1/(指数走势!$F$36:$ACK$36&lt;&gt;""),COLUMN(指数走势!$F$36:$ACK$36))-COLUMN(指数走势!$F$36)+1-760+533)),NA(),IF(INDEX(指数走势!$F$36:$ACK$36,1,LOOKUP(2,1/(指数走势!$F$36:$ACK$36&lt;&gt;""),COLUMN(指数走势!$F$36:$ACK$36))-COLUMN(指数走势!$F$36)+1-760+533)=0,NA(),INDEX(指数走势!$F$36:$ACK$36,1,LOOKUP(2,1/(指数走势!$F$36:$ACK$36&lt;&gt;""),COLUMN(指数走势!$F$36:$ACK$36))-COLUMN(指数走势!$F$36)+1-760+533)))</f>
        <v>34.810001373291</v>
      </c>
      <c r="TO100">
        <f>IF(ISERROR(INDEX(指数走势!$F$36:$ACK$36,1,LOOKUP(2,1/(指数走势!$F$36:$ACK$36&lt;&gt;""),COLUMN(指数走势!$F$36:$ACK$36))-COLUMN(指数走势!$F$36)+1-760+534)),NA(),IF(INDEX(指数走势!$F$36:$ACK$36,1,LOOKUP(2,1/(指数走势!$F$36:$ACK$36&lt;&gt;""),COLUMN(指数走势!$F$36:$ACK$36))-COLUMN(指数走势!$F$36)+1-760+534)=0,NA(),INDEX(指数走势!$F$36:$ACK$36,1,LOOKUP(2,1/(指数走势!$F$36:$ACK$36&lt;&gt;""),COLUMN(指数走势!$F$36:$ACK$36))-COLUMN(指数走势!$F$36)+1-760+534)))</f>
        <v>35.0814018249512</v>
      </c>
      <c r="TP100">
        <f>IF(ISERROR(INDEX(指数走势!$F$36:$ACK$36,1,LOOKUP(2,1/(指数走势!$F$36:$ACK$36&lt;&gt;""),COLUMN(指数走势!$F$36:$ACK$36))-COLUMN(指数走势!$F$36)+1-760+535)),NA(),IF(INDEX(指数走势!$F$36:$ACK$36,1,LOOKUP(2,1/(指数走势!$F$36:$ACK$36&lt;&gt;""),COLUMN(指数走势!$F$36:$ACK$36))-COLUMN(指数走势!$F$36)+1-760+535)=0,NA(),INDEX(指数走势!$F$36:$ACK$36,1,LOOKUP(2,1/(指数走势!$F$36:$ACK$36&lt;&gt;""),COLUMN(指数走势!$F$36:$ACK$36))-COLUMN(指数走势!$F$36)+1-760+535)))</f>
        <v>35.6814002990723</v>
      </c>
      <c r="TQ100">
        <f>IF(ISERROR(INDEX(指数走势!$F$36:$ACK$36,1,LOOKUP(2,1/(指数走势!$F$36:$ACK$36&lt;&gt;""),COLUMN(指数走势!$F$36:$ACK$36))-COLUMN(指数走势!$F$36)+1-760+536)),NA(),IF(INDEX(指数走势!$F$36:$ACK$36,1,LOOKUP(2,1/(指数走势!$F$36:$ACK$36&lt;&gt;""),COLUMN(指数走势!$F$36:$ACK$36))-COLUMN(指数走势!$F$36)+1-760+536)=0,NA(),INDEX(指数走势!$F$36:$ACK$36,1,LOOKUP(2,1/(指数走势!$F$36:$ACK$36&lt;&gt;""),COLUMN(指数走势!$F$36:$ACK$36))-COLUMN(指数走势!$F$36)+1-760+536)))</f>
        <v>35.1063995361328</v>
      </c>
      <c r="TR100">
        <f>IF(ISERROR(INDEX(指数走势!$F$36:$ACK$36,1,LOOKUP(2,1/(指数走势!$F$36:$ACK$36&lt;&gt;""),COLUMN(指数走势!$F$36:$ACK$36))-COLUMN(指数走势!$F$36)+1-760+537)),NA(),IF(INDEX(指数走势!$F$36:$ACK$36,1,LOOKUP(2,1/(指数走势!$F$36:$ACK$36&lt;&gt;""),COLUMN(指数走势!$F$36:$ACK$36))-COLUMN(指数走势!$F$36)+1-760+537)=0,NA(),INDEX(指数走势!$F$36:$ACK$36,1,LOOKUP(2,1/(指数走势!$F$36:$ACK$36&lt;&gt;""),COLUMN(指数走势!$F$36:$ACK$36))-COLUMN(指数走势!$F$36)+1-760+537)))</f>
        <v>33.7215995788574</v>
      </c>
      <c r="TS100">
        <f>IF(ISERROR(INDEX(指数走势!$F$36:$ACK$36,1,LOOKUP(2,1/(指数走势!$F$36:$ACK$36&lt;&gt;""),COLUMN(指数走势!$F$36:$ACK$36))-COLUMN(指数走势!$F$36)+1-760+538)),NA(),IF(INDEX(指数走势!$F$36:$ACK$36,1,LOOKUP(2,1/(指数走势!$F$36:$ACK$36&lt;&gt;""),COLUMN(指数走势!$F$36:$ACK$36))-COLUMN(指数走势!$F$36)+1-760+538)=0,NA(),INDEX(指数走势!$F$36:$ACK$36,1,LOOKUP(2,1/(指数走势!$F$36:$ACK$36&lt;&gt;""),COLUMN(指数走势!$F$36:$ACK$36))-COLUMN(指数走势!$F$36)+1-760+538)))</f>
        <v>33.6189002990723</v>
      </c>
      <c r="TT100">
        <f>IF(ISERROR(INDEX(指数走势!$F$36:$ACK$36,1,LOOKUP(2,1/(指数走势!$F$36:$ACK$36&lt;&gt;""),COLUMN(指数走势!$F$36:$ACK$36))-COLUMN(指数走势!$F$36)+1-760+539)),NA(),IF(INDEX(指数走势!$F$36:$ACK$36,1,LOOKUP(2,1/(指数走势!$F$36:$ACK$36&lt;&gt;""),COLUMN(指数走势!$F$36:$ACK$36))-COLUMN(指数走势!$F$36)+1-760+539)=0,NA(),INDEX(指数走势!$F$36:$ACK$36,1,LOOKUP(2,1/(指数走势!$F$36:$ACK$36&lt;&gt;""),COLUMN(指数走势!$F$36:$ACK$36))-COLUMN(指数走势!$F$36)+1-760+539)))</f>
        <v>33.7919006347656</v>
      </c>
      <c r="TU100">
        <f>IF(ISERROR(INDEX(指数走势!$F$36:$ACK$36,1,LOOKUP(2,1/(指数走势!$F$36:$ACK$36&lt;&gt;""),COLUMN(指数走势!$F$36:$ACK$36))-COLUMN(指数走势!$F$36)+1-760+540)),NA(),IF(INDEX(指数走势!$F$36:$ACK$36,1,LOOKUP(2,1/(指数走势!$F$36:$ACK$36&lt;&gt;""),COLUMN(指数走势!$F$36:$ACK$36))-COLUMN(指数走势!$F$36)+1-760+540)=0,NA(),INDEX(指数走势!$F$36:$ACK$36,1,LOOKUP(2,1/(指数走势!$F$36:$ACK$36&lt;&gt;""),COLUMN(指数走势!$F$36:$ACK$36))-COLUMN(指数走势!$F$36)+1-760+540)))</f>
        <v>33.9141998291016</v>
      </c>
      <c r="TV100">
        <f>IF(ISERROR(INDEX(指数走势!$F$36:$ACK$36,1,LOOKUP(2,1/(指数走势!$F$36:$ACK$36&lt;&gt;""),COLUMN(指数走势!$F$36:$ACK$36))-COLUMN(指数走势!$F$36)+1-760+541)),NA(),IF(INDEX(指数走势!$F$36:$ACK$36,1,LOOKUP(2,1/(指数走势!$F$36:$ACK$36&lt;&gt;""),COLUMN(指数走势!$F$36:$ACK$36))-COLUMN(指数走势!$F$36)+1-760+541)=0,NA(),INDEX(指数走势!$F$36:$ACK$36,1,LOOKUP(2,1/(指数走势!$F$36:$ACK$36&lt;&gt;""),COLUMN(指数走势!$F$36:$ACK$36))-COLUMN(指数走势!$F$36)+1-760+541)))</f>
        <v>34.163200378418</v>
      </c>
      <c r="TW100">
        <f>IF(ISERROR(INDEX(指数走势!$F$36:$ACK$36,1,LOOKUP(2,1/(指数走势!$F$36:$ACK$36&lt;&gt;""),COLUMN(指数走势!$F$36:$ACK$36))-COLUMN(指数走势!$F$36)+1-760+542)),NA(),IF(INDEX(指数走势!$F$36:$ACK$36,1,LOOKUP(2,1/(指数走势!$F$36:$ACK$36&lt;&gt;""),COLUMN(指数走势!$F$36:$ACK$36))-COLUMN(指数走势!$F$36)+1-760+542)=0,NA(),INDEX(指数走势!$F$36:$ACK$36,1,LOOKUP(2,1/(指数走势!$F$36:$ACK$36&lt;&gt;""),COLUMN(指数走势!$F$36:$ACK$36))-COLUMN(指数走势!$F$36)+1-760+542)))</f>
        <v>33.9458999633789</v>
      </c>
      <c r="TX100">
        <f>IF(ISERROR(INDEX(指数走势!$F$36:$ACK$36,1,LOOKUP(2,1/(指数走势!$F$36:$ACK$36&lt;&gt;""),COLUMN(指数走势!$F$36:$ACK$36))-COLUMN(指数走势!$F$36)+1-760+543)),NA(),IF(INDEX(指数走势!$F$36:$ACK$36,1,LOOKUP(2,1/(指数走势!$F$36:$ACK$36&lt;&gt;""),COLUMN(指数走势!$F$36:$ACK$36))-COLUMN(指数走势!$F$36)+1-760+543)=0,NA(),INDEX(指数走势!$F$36:$ACK$36,1,LOOKUP(2,1/(指数走势!$F$36:$ACK$36&lt;&gt;""),COLUMN(指数走势!$F$36:$ACK$36))-COLUMN(指数走势!$F$36)+1-760+543)))</f>
        <v>33.7947998046875</v>
      </c>
      <c r="TY100">
        <f>IF(ISERROR(INDEX(指数走势!$F$36:$ACK$36,1,LOOKUP(2,1/(指数走势!$F$36:$ACK$36&lt;&gt;""),COLUMN(指数走势!$F$36:$ACK$36))-COLUMN(指数走势!$F$36)+1-760+544)),NA(),IF(INDEX(指数走势!$F$36:$ACK$36,1,LOOKUP(2,1/(指数走势!$F$36:$ACK$36&lt;&gt;""),COLUMN(指数走势!$F$36:$ACK$36))-COLUMN(指数走势!$F$36)+1-760+544)=0,NA(),INDEX(指数走势!$F$36:$ACK$36,1,LOOKUP(2,1/(指数走势!$F$36:$ACK$36&lt;&gt;""),COLUMN(指数走势!$F$36:$ACK$36))-COLUMN(指数走势!$F$36)+1-760+544)))</f>
        <v>34.4310989379883</v>
      </c>
      <c r="TZ100">
        <f>IF(ISERROR(INDEX(指数走势!$F$36:$ACK$36,1,LOOKUP(2,1/(指数走势!$F$36:$ACK$36&lt;&gt;""),COLUMN(指数走势!$F$36:$ACK$36))-COLUMN(指数走势!$F$36)+1-760+545)),NA(),IF(INDEX(指数走势!$F$36:$ACK$36,1,LOOKUP(2,1/(指数走势!$F$36:$ACK$36&lt;&gt;""),COLUMN(指数走势!$F$36:$ACK$36))-COLUMN(指数走势!$F$36)+1-760+545)=0,NA(),INDEX(指数走势!$F$36:$ACK$36,1,LOOKUP(2,1/(指数走势!$F$36:$ACK$36&lt;&gt;""),COLUMN(指数走势!$F$36:$ACK$36))-COLUMN(指数走势!$F$36)+1-760+545)))</f>
        <v>34.7631988525391</v>
      </c>
      <c r="UA100">
        <f>IF(ISERROR(INDEX(指数走势!$F$36:$ACK$36,1,LOOKUP(2,1/(指数走势!$F$36:$ACK$36&lt;&gt;""),COLUMN(指数走势!$F$36:$ACK$36))-COLUMN(指数走势!$F$36)+1-760+546)),NA(),IF(INDEX(指数走势!$F$36:$ACK$36,1,LOOKUP(2,1/(指数走势!$F$36:$ACK$36&lt;&gt;""),COLUMN(指数走势!$F$36:$ACK$36))-COLUMN(指数走势!$F$36)+1-760+546)=0,NA(),INDEX(指数走势!$F$36:$ACK$36,1,LOOKUP(2,1/(指数走势!$F$36:$ACK$36&lt;&gt;""),COLUMN(指数走势!$F$36:$ACK$36))-COLUMN(指数走势!$F$36)+1-760+546)))</f>
        <v>35.7294998168945</v>
      </c>
      <c r="UB100">
        <f>IF(ISERROR(INDEX(指数走势!$F$36:$ACK$36,1,LOOKUP(2,1/(指数走势!$F$36:$ACK$36&lt;&gt;""),COLUMN(指数走势!$F$36:$ACK$36))-COLUMN(指数走势!$F$36)+1-760+547)),NA(),IF(INDEX(指数走势!$F$36:$ACK$36,1,LOOKUP(2,1/(指数走势!$F$36:$ACK$36&lt;&gt;""),COLUMN(指数走势!$F$36:$ACK$36))-COLUMN(指数走势!$F$36)+1-760+547)=0,NA(),INDEX(指数走势!$F$36:$ACK$36,1,LOOKUP(2,1/(指数走势!$F$36:$ACK$36&lt;&gt;""),COLUMN(指数走势!$F$36:$ACK$36))-COLUMN(指数走势!$F$36)+1-760+547)))</f>
        <v>35.3863983154297</v>
      </c>
      <c r="UC100">
        <f>IF(ISERROR(INDEX(指数走势!$F$36:$ACK$36,1,LOOKUP(2,1/(指数走势!$F$36:$ACK$36&lt;&gt;""),COLUMN(指数走势!$F$36:$ACK$36))-COLUMN(指数走势!$F$36)+1-760+548)),NA(),IF(INDEX(指数走势!$F$36:$ACK$36,1,LOOKUP(2,1/(指数走势!$F$36:$ACK$36&lt;&gt;""),COLUMN(指数走势!$F$36:$ACK$36))-COLUMN(指数走势!$F$36)+1-760+548)=0,NA(),INDEX(指数走势!$F$36:$ACK$36,1,LOOKUP(2,1/(指数走势!$F$36:$ACK$36&lt;&gt;""),COLUMN(指数走势!$F$36:$ACK$36))-COLUMN(指数走势!$F$36)+1-760+548)))</f>
        <v>36.206901550293</v>
      </c>
      <c r="UD100">
        <f>IF(ISERROR(INDEX(指数走势!$F$36:$ACK$36,1,LOOKUP(2,1/(指数走势!$F$36:$ACK$36&lt;&gt;""),COLUMN(指数走势!$F$36:$ACK$36))-COLUMN(指数走势!$F$36)+1-760+549)),NA(),IF(INDEX(指数走势!$F$36:$ACK$36,1,LOOKUP(2,1/(指数走势!$F$36:$ACK$36&lt;&gt;""),COLUMN(指数走势!$F$36:$ACK$36))-COLUMN(指数走势!$F$36)+1-760+549)=0,NA(),INDEX(指数走势!$F$36:$ACK$36,1,LOOKUP(2,1/(指数走势!$F$36:$ACK$36&lt;&gt;""),COLUMN(指数走势!$F$36:$ACK$36))-COLUMN(指数走势!$F$36)+1-760+549)))</f>
        <v>37.1021995544434</v>
      </c>
      <c r="UE100">
        <f>IF(ISERROR(INDEX(指数走势!$F$36:$ACK$36,1,LOOKUP(2,1/(指数走势!$F$36:$ACK$36&lt;&gt;""),COLUMN(指数走势!$F$36:$ACK$36))-COLUMN(指数走势!$F$36)+1-760+550)),NA(),IF(INDEX(指数走势!$F$36:$ACK$36,1,LOOKUP(2,1/(指数走势!$F$36:$ACK$36&lt;&gt;""),COLUMN(指数走势!$F$36:$ACK$36))-COLUMN(指数走势!$F$36)+1-760+550)=0,NA(),INDEX(指数走势!$F$36:$ACK$36,1,LOOKUP(2,1/(指数走势!$F$36:$ACK$36&lt;&gt;""),COLUMN(指数走势!$F$36:$ACK$36))-COLUMN(指数走势!$F$36)+1-760+550)))</f>
        <v>37.3513984680176</v>
      </c>
      <c r="UF100">
        <f>IF(ISERROR(INDEX(指数走势!$F$36:$ACK$36,1,LOOKUP(2,1/(指数走势!$F$36:$ACK$36&lt;&gt;""),COLUMN(指数走势!$F$36:$ACK$36))-COLUMN(指数走势!$F$36)+1-760+551)),NA(),IF(INDEX(指数走势!$F$36:$ACK$36,1,LOOKUP(2,1/(指数走势!$F$36:$ACK$36&lt;&gt;""),COLUMN(指数走势!$F$36:$ACK$36))-COLUMN(指数走势!$F$36)+1-760+551)=0,NA(),INDEX(指数走势!$F$36:$ACK$36,1,LOOKUP(2,1/(指数走势!$F$36:$ACK$36&lt;&gt;""),COLUMN(指数走势!$F$36:$ACK$36))-COLUMN(指数走势!$F$36)+1-760+551)))</f>
        <v>37.4911994934082</v>
      </c>
      <c r="UG100">
        <f>IF(ISERROR(INDEX(指数走势!$F$36:$ACK$36,1,LOOKUP(2,1/(指数走势!$F$36:$ACK$36&lt;&gt;""),COLUMN(指数走势!$F$36:$ACK$36))-COLUMN(指数走势!$F$36)+1-760+552)),NA(),IF(INDEX(指数走势!$F$36:$ACK$36,1,LOOKUP(2,1/(指数走势!$F$36:$ACK$36&lt;&gt;""),COLUMN(指数走势!$F$36:$ACK$36))-COLUMN(指数走势!$F$36)+1-760+552)=0,NA(),INDEX(指数走势!$F$36:$ACK$36,1,LOOKUP(2,1/(指数走势!$F$36:$ACK$36&lt;&gt;""),COLUMN(指数走势!$F$36:$ACK$36))-COLUMN(指数走势!$F$36)+1-760+552)))</f>
        <v>37.3983001708984</v>
      </c>
      <c r="UH100">
        <f>IF(ISERROR(INDEX(指数走势!$F$36:$ACK$36,1,LOOKUP(2,1/(指数走势!$F$36:$ACK$36&lt;&gt;""),COLUMN(指数走势!$F$36:$ACK$36))-COLUMN(指数走势!$F$36)+1-760+553)),NA(),IF(INDEX(指数走势!$F$36:$ACK$36,1,LOOKUP(2,1/(指数走势!$F$36:$ACK$36&lt;&gt;""),COLUMN(指数走势!$F$36:$ACK$36))-COLUMN(指数走势!$F$36)+1-760+553)=0,NA(),INDEX(指数走势!$F$36:$ACK$36,1,LOOKUP(2,1/(指数走势!$F$36:$ACK$36&lt;&gt;""),COLUMN(指数走势!$F$36:$ACK$36))-COLUMN(指数走势!$F$36)+1-760+553)))</f>
        <v>38.863899230957</v>
      </c>
      <c r="UI100">
        <f>IF(ISERROR(INDEX(指数走势!$F$36:$ACK$36,1,LOOKUP(2,1/(指数走势!$F$36:$ACK$36&lt;&gt;""),COLUMN(指数走势!$F$36:$ACK$36))-COLUMN(指数走势!$F$36)+1-760+554)),NA(),IF(INDEX(指数走势!$F$36:$ACK$36,1,LOOKUP(2,1/(指数走势!$F$36:$ACK$36&lt;&gt;""),COLUMN(指数走势!$F$36:$ACK$36))-COLUMN(指数走势!$F$36)+1-760+554)=0,NA(),INDEX(指数走势!$F$36:$ACK$36,1,LOOKUP(2,1/(指数走势!$F$36:$ACK$36&lt;&gt;""),COLUMN(指数走势!$F$36:$ACK$36))-COLUMN(指数走势!$F$36)+1-760+554)))</f>
        <v>40.0811996459961</v>
      </c>
      <c r="UJ100">
        <f>IF(ISERROR(INDEX(指数走势!$F$36:$ACK$36,1,LOOKUP(2,1/(指数走势!$F$36:$ACK$36&lt;&gt;""),COLUMN(指数走势!$F$36:$ACK$36))-COLUMN(指数走势!$F$36)+1-760+555)),NA(),IF(INDEX(指数走势!$F$36:$ACK$36,1,LOOKUP(2,1/(指数走势!$F$36:$ACK$36&lt;&gt;""),COLUMN(指数走势!$F$36:$ACK$36))-COLUMN(指数走势!$F$36)+1-760+555)=0,NA(),INDEX(指数走势!$F$36:$ACK$36,1,LOOKUP(2,1/(指数走势!$F$36:$ACK$36&lt;&gt;""),COLUMN(指数走势!$F$36:$ACK$36))-COLUMN(指数走势!$F$36)+1-760+555)))</f>
        <v>39.2443008422852</v>
      </c>
      <c r="UK100">
        <f>IF(ISERROR(INDEX(指数走势!$F$36:$ACK$36,1,LOOKUP(2,1/(指数走势!$F$36:$ACK$36&lt;&gt;""),COLUMN(指数走势!$F$36:$ACK$36))-COLUMN(指数走势!$F$36)+1-760+556)),NA(),IF(INDEX(指数走势!$F$36:$ACK$36,1,LOOKUP(2,1/(指数走势!$F$36:$ACK$36&lt;&gt;""),COLUMN(指数走势!$F$36:$ACK$36))-COLUMN(指数走势!$F$36)+1-760+556)=0,NA(),INDEX(指数走势!$F$36:$ACK$36,1,LOOKUP(2,1/(指数走势!$F$36:$ACK$36&lt;&gt;""),COLUMN(指数走势!$F$36:$ACK$36))-COLUMN(指数走势!$F$36)+1-760+556)))</f>
        <v>38.5485992431641</v>
      </c>
      <c r="UL100">
        <f>IF(ISERROR(INDEX(指数走势!$F$36:$ACK$36,1,LOOKUP(2,1/(指数走势!$F$36:$ACK$36&lt;&gt;""),COLUMN(指数走势!$F$36:$ACK$36))-COLUMN(指数走势!$F$36)+1-760+557)),NA(),IF(INDEX(指数走势!$F$36:$ACK$36,1,LOOKUP(2,1/(指数走势!$F$36:$ACK$36&lt;&gt;""),COLUMN(指数走势!$F$36:$ACK$36))-COLUMN(指数走势!$F$36)+1-760+557)=0,NA(),INDEX(指数走势!$F$36:$ACK$36,1,LOOKUP(2,1/(指数走势!$F$36:$ACK$36&lt;&gt;""),COLUMN(指数走势!$F$36:$ACK$36))-COLUMN(指数走势!$F$36)+1-760+557)))</f>
        <v>40.1664009094238</v>
      </c>
      <c r="UM100">
        <f>IF(ISERROR(INDEX(指数走势!$F$36:$ACK$36,1,LOOKUP(2,1/(指数走势!$F$36:$ACK$36&lt;&gt;""),COLUMN(指数走势!$F$36:$ACK$36))-COLUMN(指数走势!$F$36)+1-760+558)),NA(),IF(INDEX(指数走势!$F$36:$ACK$36,1,LOOKUP(2,1/(指数走势!$F$36:$ACK$36&lt;&gt;""),COLUMN(指数走势!$F$36:$ACK$36))-COLUMN(指数走势!$F$36)+1-760+558)=0,NA(),INDEX(指数走势!$F$36:$ACK$36,1,LOOKUP(2,1/(指数走势!$F$36:$ACK$36&lt;&gt;""),COLUMN(指数走势!$F$36:$ACK$36))-COLUMN(指数走势!$F$36)+1-760+558)))</f>
        <v>41.0129013061523</v>
      </c>
      <c r="UN100">
        <f>IF(ISERROR(INDEX(指数走势!$F$36:$ACK$36,1,LOOKUP(2,1/(指数走势!$F$36:$ACK$36&lt;&gt;""),COLUMN(指数走势!$F$36:$ACK$36))-COLUMN(指数走势!$F$36)+1-760+559)),NA(),IF(INDEX(指数走势!$F$36:$ACK$36,1,LOOKUP(2,1/(指数走势!$F$36:$ACK$36&lt;&gt;""),COLUMN(指数走势!$F$36:$ACK$36))-COLUMN(指数走势!$F$36)+1-760+559)=0,NA(),INDEX(指数走势!$F$36:$ACK$36,1,LOOKUP(2,1/(指数走势!$F$36:$ACK$36&lt;&gt;""),COLUMN(指数走势!$F$36:$ACK$36))-COLUMN(指数走势!$F$36)+1-760+559)))</f>
        <v>41.8670997619629</v>
      </c>
      <c r="UO100">
        <f>IF(ISERROR(INDEX(指数走势!$F$36:$ACK$36,1,LOOKUP(2,1/(指数走势!$F$36:$ACK$36&lt;&gt;""),COLUMN(指数走势!$F$36:$ACK$36))-COLUMN(指数走势!$F$36)+1-760+560)),NA(),IF(INDEX(指数走势!$F$36:$ACK$36,1,LOOKUP(2,1/(指数走势!$F$36:$ACK$36&lt;&gt;""),COLUMN(指数走势!$F$36:$ACK$36))-COLUMN(指数走势!$F$36)+1-760+560)=0,NA(),INDEX(指数走势!$F$36:$ACK$36,1,LOOKUP(2,1/(指数走势!$F$36:$ACK$36&lt;&gt;""),COLUMN(指数走势!$F$36:$ACK$36))-COLUMN(指数走势!$F$36)+1-760+560)))</f>
        <v>40.7462997436523</v>
      </c>
      <c r="UP100">
        <f>IF(ISERROR(INDEX(指数走势!$F$36:$ACK$36,1,LOOKUP(2,1/(指数走势!$F$36:$ACK$36&lt;&gt;""),COLUMN(指数走势!$F$36:$ACK$36))-COLUMN(指数走势!$F$36)+1-760+561)),NA(),IF(INDEX(指数走势!$F$36:$ACK$36,1,LOOKUP(2,1/(指数走势!$F$36:$ACK$36&lt;&gt;""),COLUMN(指数走势!$F$36:$ACK$36))-COLUMN(指数走势!$F$36)+1-760+561)=0,NA(),INDEX(指数走势!$F$36:$ACK$36,1,LOOKUP(2,1/(指数走势!$F$36:$ACK$36&lt;&gt;""),COLUMN(指数走势!$F$36:$ACK$36))-COLUMN(指数走势!$F$36)+1-760+561)))</f>
        <v>40.8140983581543</v>
      </c>
      <c r="UQ100">
        <f>IF(ISERROR(INDEX(指数走势!$F$36:$ACK$36,1,LOOKUP(2,1/(指数走势!$F$36:$ACK$36&lt;&gt;""),COLUMN(指数走势!$F$36:$ACK$36))-COLUMN(指数走势!$F$36)+1-760+562)),NA(),IF(INDEX(指数走势!$F$36:$ACK$36,1,LOOKUP(2,1/(指数走势!$F$36:$ACK$36&lt;&gt;""),COLUMN(指数走势!$F$36:$ACK$36))-COLUMN(指数走势!$F$36)+1-760+562)=0,NA(),INDEX(指数走势!$F$36:$ACK$36,1,LOOKUP(2,1/(指数走势!$F$36:$ACK$36&lt;&gt;""),COLUMN(指数走势!$F$36:$ACK$36))-COLUMN(指数走势!$F$36)+1-760+562)))</f>
        <v>39.2597999572754</v>
      </c>
      <c r="UR100">
        <f>IF(ISERROR(INDEX(指数走势!$F$36:$ACK$36,1,LOOKUP(2,1/(指数走势!$F$36:$ACK$36&lt;&gt;""),COLUMN(指数走势!$F$36:$ACK$36))-COLUMN(指数走势!$F$36)+1-760+563)),NA(),IF(INDEX(指数走势!$F$36:$ACK$36,1,LOOKUP(2,1/(指数走势!$F$36:$ACK$36&lt;&gt;""),COLUMN(指数走势!$F$36:$ACK$36))-COLUMN(指数走势!$F$36)+1-760+563)=0,NA(),INDEX(指数走势!$F$36:$ACK$36,1,LOOKUP(2,1/(指数走势!$F$36:$ACK$36&lt;&gt;""),COLUMN(指数走势!$F$36:$ACK$36))-COLUMN(指数走势!$F$36)+1-760+563)))</f>
        <v>41.5839004516602</v>
      </c>
      <c r="US100">
        <f>IF(ISERROR(INDEX(指数走势!$F$36:$ACK$36,1,LOOKUP(2,1/(指数走势!$F$36:$ACK$36&lt;&gt;""),COLUMN(指数走势!$F$36:$ACK$36))-COLUMN(指数走势!$F$36)+1-760+564)),NA(),IF(INDEX(指数走势!$F$36:$ACK$36,1,LOOKUP(2,1/(指数走势!$F$36:$ACK$36&lt;&gt;""),COLUMN(指数走势!$F$36:$ACK$36))-COLUMN(指数走势!$F$36)+1-760+564)=0,NA(),INDEX(指数走势!$F$36:$ACK$36,1,LOOKUP(2,1/(指数走势!$F$36:$ACK$36&lt;&gt;""),COLUMN(指数走势!$F$36:$ACK$36))-COLUMN(指数走势!$F$36)+1-760+564)))</f>
        <v>41.4058990478516</v>
      </c>
      <c r="UT100">
        <f>IF(ISERROR(INDEX(指数走势!$F$36:$ACK$36,1,LOOKUP(2,1/(指数走势!$F$36:$ACK$36&lt;&gt;""),COLUMN(指数走势!$F$36:$ACK$36))-COLUMN(指数走势!$F$36)+1-760+565)),NA(),IF(INDEX(指数走势!$F$36:$ACK$36,1,LOOKUP(2,1/(指数走势!$F$36:$ACK$36&lt;&gt;""),COLUMN(指数走势!$F$36:$ACK$36))-COLUMN(指数走势!$F$36)+1-760+565)=0,NA(),INDEX(指数走势!$F$36:$ACK$36,1,LOOKUP(2,1/(指数走势!$F$36:$ACK$36&lt;&gt;""),COLUMN(指数走势!$F$36:$ACK$36))-COLUMN(指数走势!$F$36)+1-760+565)))</f>
        <v>40.5014991760254</v>
      </c>
      <c r="UU100">
        <f>IF(ISERROR(INDEX(指数走势!$F$36:$ACK$36,1,LOOKUP(2,1/(指数走势!$F$36:$ACK$36&lt;&gt;""),COLUMN(指数走势!$F$36:$ACK$36))-COLUMN(指数走势!$F$36)+1-760+566)),NA(),IF(INDEX(指数走势!$F$36:$ACK$36,1,LOOKUP(2,1/(指数走势!$F$36:$ACK$36&lt;&gt;""),COLUMN(指数走势!$F$36:$ACK$36))-COLUMN(指数走势!$F$36)+1-760+566)=0,NA(),INDEX(指数走势!$F$36:$ACK$36,1,LOOKUP(2,1/(指数走势!$F$36:$ACK$36&lt;&gt;""),COLUMN(指数走势!$F$36:$ACK$36))-COLUMN(指数走势!$F$36)+1-760+566)))</f>
        <v>40.8625984191895</v>
      </c>
      <c r="UV100">
        <f>IF(ISERROR(INDEX(指数走势!$F$36:$ACK$36,1,LOOKUP(2,1/(指数走势!$F$36:$ACK$36&lt;&gt;""),COLUMN(指数走势!$F$36:$ACK$36))-COLUMN(指数走势!$F$36)+1-760+567)),NA(),IF(INDEX(指数走势!$F$36:$ACK$36,1,LOOKUP(2,1/(指数走势!$F$36:$ACK$36&lt;&gt;""),COLUMN(指数走势!$F$36:$ACK$36))-COLUMN(指数走势!$F$36)+1-760+567)=0,NA(),INDEX(指数走势!$F$36:$ACK$36,1,LOOKUP(2,1/(指数走势!$F$36:$ACK$36&lt;&gt;""),COLUMN(指数走势!$F$36:$ACK$36))-COLUMN(指数走势!$F$36)+1-760+567)))</f>
        <v>42.6841011047363</v>
      </c>
      <c r="UW100">
        <f>IF(ISERROR(INDEX(指数走势!$F$36:$ACK$36,1,LOOKUP(2,1/(指数走势!$F$36:$ACK$36&lt;&gt;""),COLUMN(指数走势!$F$36:$ACK$36))-COLUMN(指数走势!$F$36)+1-760+568)),NA(),IF(INDEX(指数走势!$F$36:$ACK$36,1,LOOKUP(2,1/(指数走势!$F$36:$ACK$36&lt;&gt;""),COLUMN(指数走势!$F$36:$ACK$36))-COLUMN(指数走势!$F$36)+1-760+568)=0,NA(),INDEX(指数走势!$F$36:$ACK$36,1,LOOKUP(2,1/(指数走势!$F$36:$ACK$36&lt;&gt;""),COLUMN(指数走势!$F$36:$ACK$36))-COLUMN(指数走势!$F$36)+1-760+568)))</f>
        <v>42.3163986206055</v>
      </c>
      <c r="UX100">
        <f>IF(ISERROR(INDEX(指数走势!$F$36:$ACK$36,1,LOOKUP(2,1/(指数走势!$F$36:$ACK$36&lt;&gt;""),COLUMN(指数走势!$F$36:$ACK$36))-COLUMN(指数走势!$F$36)+1-760+569)),NA(),IF(INDEX(指数走势!$F$36:$ACK$36,1,LOOKUP(2,1/(指数走势!$F$36:$ACK$36&lt;&gt;""),COLUMN(指数走势!$F$36:$ACK$36))-COLUMN(指数走势!$F$36)+1-760+569)=0,NA(),INDEX(指数走势!$F$36:$ACK$36,1,LOOKUP(2,1/(指数走势!$F$36:$ACK$36&lt;&gt;""),COLUMN(指数走势!$F$36:$ACK$36))-COLUMN(指数走势!$F$36)+1-760+569)))</f>
        <v>43.0116004943848</v>
      </c>
      <c r="UY100">
        <f>IF(ISERROR(INDEX(指数走势!$F$36:$ACK$36,1,LOOKUP(2,1/(指数走势!$F$36:$ACK$36&lt;&gt;""),COLUMN(指数走势!$F$36:$ACK$36))-COLUMN(指数走势!$F$36)+1-760+570)),NA(),IF(INDEX(指数走势!$F$36:$ACK$36,1,LOOKUP(2,1/(指数走势!$F$36:$ACK$36&lt;&gt;""),COLUMN(指数走势!$F$36:$ACK$36))-COLUMN(指数走势!$F$36)+1-760+570)=0,NA(),INDEX(指数走势!$F$36:$ACK$36,1,LOOKUP(2,1/(指数走势!$F$36:$ACK$36&lt;&gt;""),COLUMN(指数走势!$F$36:$ACK$36))-COLUMN(指数走势!$F$36)+1-760+570)))</f>
        <v>43.2428016662598</v>
      </c>
      <c r="UZ100">
        <f>IF(ISERROR(INDEX(指数走势!$F$36:$ACK$36,1,LOOKUP(2,1/(指数走势!$F$36:$ACK$36&lt;&gt;""),COLUMN(指数走势!$F$36:$ACK$36))-COLUMN(指数走势!$F$36)+1-760+571)),NA(),IF(INDEX(指数走势!$F$36:$ACK$36,1,LOOKUP(2,1/(指数走势!$F$36:$ACK$36&lt;&gt;""),COLUMN(指数走势!$F$36:$ACK$36))-COLUMN(指数走势!$F$36)+1-760+571)=0,NA(),INDEX(指数走势!$F$36:$ACK$36,1,LOOKUP(2,1/(指数走势!$F$36:$ACK$36&lt;&gt;""),COLUMN(指数走势!$F$36:$ACK$36))-COLUMN(指数走势!$F$36)+1-760+571)))</f>
        <v>44.1230010986328</v>
      </c>
      <c r="VA100">
        <f>IF(ISERROR(INDEX(指数走势!$F$36:$ACK$36,1,LOOKUP(2,1/(指数走势!$F$36:$ACK$36&lt;&gt;""),COLUMN(指数走势!$F$36:$ACK$36))-COLUMN(指数走势!$F$36)+1-760+572)),NA(),IF(INDEX(指数走势!$F$36:$ACK$36,1,LOOKUP(2,1/(指数走势!$F$36:$ACK$36&lt;&gt;""),COLUMN(指数走势!$F$36:$ACK$36))-COLUMN(指数走势!$F$36)+1-760+572)=0,NA(),INDEX(指数走势!$F$36:$ACK$36,1,LOOKUP(2,1/(指数走势!$F$36:$ACK$36&lt;&gt;""),COLUMN(指数走势!$F$36:$ACK$36))-COLUMN(指数走势!$F$36)+1-760+572)))</f>
        <v>43.4143981933594</v>
      </c>
      <c r="VB100">
        <f>IF(ISERROR(INDEX(指数走势!$F$36:$ACK$36,1,LOOKUP(2,1/(指数走势!$F$36:$ACK$36&lt;&gt;""),COLUMN(指数走势!$F$36:$ACK$36))-COLUMN(指数走势!$F$36)+1-760+573)),NA(),IF(INDEX(指数走势!$F$36:$ACK$36,1,LOOKUP(2,1/(指数走势!$F$36:$ACK$36&lt;&gt;""),COLUMN(指数走势!$F$36:$ACK$36))-COLUMN(指数走势!$F$36)+1-760+573)=0,NA(),INDEX(指数走势!$F$36:$ACK$36,1,LOOKUP(2,1/(指数走势!$F$36:$ACK$36&lt;&gt;""),COLUMN(指数走势!$F$36:$ACK$36))-COLUMN(指数走势!$F$36)+1-760+573)))</f>
        <v>43.4021987915039</v>
      </c>
      <c r="VC100">
        <f>IF(ISERROR(INDEX(指数走势!$F$36:$ACK$36,1,LOOKUP(2,1/(指数走势!$F$36:$ACK$36&lt;&gt;""),COLUMN(指数走势!$F$36:$ACK$36))-COLUMN(指数走势!$F$36)+1-760+574)),NA(),IF(INDEX(指数走势!$F$36:$ACK$36,1,LOOKUP(2,1/(指数走势!$F$36:$ACK$36&lt;&gt;""),COLUMN(指数走势!$F$36:$ACK$36))-COLUMN(指数走势!$F$36)+1-760+574)=0,NA(),INDEX(指数走势!$F$36:$ACK$36,1,LOOKUP(2,1/(指数走势!$F$36:$ACK$36&lt;&gt;""),COLUMN(指数走势!$F$36:$ACK$36))-COLUMN(指数走势!$F$36)+1-760+574)))</f>
        <v>43.6502990722656</v>
      </c>
      <c r="VD100">
        <f>IF(ISERROR(INDEX(指数走势!$F$36:$ACK$36,1,LOOKUP(2,1/(指数走势!$F$36:$ACK$36&lt;&gt;""),COLUMN(指数走势!$F$36:$ACK$36))-COLUMN(指数走势!$F$36)+1-760+575)),NA(),IF(INDEX(指数走势!$F$36:$ACK$36,1,LOOKUP(2,1/(指数走势!$F$36:$ACK$36&lt;&gt;""),COLUMN(指数走势!$F$36:$ACK$36))-COLUMN(指数走势!$F$36)+1-760+575)=0,NA(),INDEX(指数走势!$F$36:$ACK$36,1,LOOKUP(2,1/(指数走势!$F$36:$ACK$36&lt;&gt;""),COLUMN(指数走势!$F$36:$ACK$36))-COLUMN(指数走势!$F$36)+1-760+575)))</f>
        <v>43.6195983886719</v>
      </c>
      <c r="VE100">
        <f>IF(ISERROR(INDEX(指数走势!$F$36:$ACK$36,1,LOOKUP(2,1/(指数走势!$F$36:$ACK$36&lt;&gt;""),COLUMN(指数走势!$F$36:$ACK$36))-COLUMN(指数走势!$F$36)+1-760+576)),NA(),IF(INDEX(指数走势!$F$36:$ACK$36,1,LOOKUP(2,1/(指数走势!$F$36:$ACK$36&lt;&gt;""),COLUMN(指数走势!$F$36:$ACK$36))-COLUMN(指数走势!$F$36)+1-760+576)=0,NA(),INDEX(指数走势!$F$36:$ACK$36,1,LOOKUP(2,1/(指数走势!$F$36:$ACK$36&lt;&gt;""),COLUMN(指数走势!$F$36:$ACK$36))-COLUMN(指数走势!$F$36)+1-760+576)))</f>
        <v>44.6086006164551</v>
      </c>
      <c r="VF100">
        <f>IF(ISERROR(INDEX(指数走势!$F$36:$ACK$36,1,LOOKUP(2,1/(指数走势!$F$36:$ACK$36&lt;&gt;""),COLUMN(指数走势!$F$36:$ACK$36))-COLUMN(指数走势!$F$36)+1-760+577)),NA(),IF(INDEX(指数走势!$F$36:$ACK$36,1,LOOKUP(2,1/(指数走势!$F$36:$ACK$36&lt;&gt;""),COLUMN(指数走势!$F$36:$ACK$36))-COLUMN(指数走势!$F$36)+1-760+577)=0,NA(),INDEX(指数走势!$F$36:$ACK$36,1,LOOKUP(2,1/(指数走势!$F$36:$ACK$36&lt;&gt;""),COLUMN(指数走势!$F$36:$ACK$36))-COLUMN(指数走势!$F$36)+1-760+577)))</f>
        <v>45.276798248291</v>
      </c>
      <c r="VG100">
        <f>IF(ISERROR(INDEX(指数走势!$F$36:$ACK$36,1,LOOKUP(2,1/(指数走势!$F$36:$ACK$36&lt;&gt;""),COLUMN(指数走势!$F$36:$ACK$36))-COLUMN(指数走势!$F$36)+1-760+578)),NA(),IF(INDEX(指数走势!$F$36:$ACK$36,1,LOOKUP(2,1/(指数走势!$F$36:$ACK$36&lt;&gt;""),COLUMN(指数走势!$F$36:$ACK$36))-COLUMN(指数走势!$F$36)+1-760+578)=0,NA(),INDEX(指数走势!$F$36:$ACK$36,1,LOOKUP(2,1/(指数走势!$F$36:$ACK$36&lt;&gt;""),COLUMN(指数走势!$F$36:$ACK$36))-COLUMN(指数走势!$F$36)+1-760+578)))</f>
        <v>44.1685981750488</v>
      </c>
      <c r="VH100">
        <f>IF(ISERROR(INDEX(指数走势!$F$36:$ACK$36,1,LOOKUP(2,1/(指数走势!$F$36:$ACK$36&lt;&gt;""),COLUMN(指数走势!$F$36:$ACK$36))-COLUMN(指数走势!$F$36)+1-760+579)),NA(),IF(INDEX(指数走势!$F$36:$ACK$36,1,LOOKUP(2,1/(指数走势!$F$36:$ACK$36&lt;&gt;""),COLUMN(指数走势!$F$36:$ACK$36))-COLUMN(指数走势!$F$36)+1-760+579)=0,NA(),INDEX(指数走势!$F$36:$ACK$36,1,LOOKUP(2,1/(指数走势!$F$36:$ACK$36&lt;&gt;""),COLUMN(指数走势!$F$36:$ACK$36))-COLUMN(指数走势!$F$36)+1-760+579)))</f>
        <v>45.2657012939453</v>
      </c>
      <c r="VI100">
        <f>IF(ISERROR(INDEX(指数走势!$F$36:$ACK$36,1,LOOKUP(2,1/(指数走势!$F$36:$ACK$36&lt;&gt;""),COLUMN(指数走势!$F$36:$ACK$36))-COLUMN(指数走势!$F$36)+1-760+580)),NA(),IF(INDEX(指数走势!$F$36:$ACK$36,1,LOOKUP(2,1/(指数走势!$F$36:$ACK$36&lt;&gt;""),COLUMN(指数走势!$F$36:$ACK$36))-COLUMN(指数走势!$F$36)+1-760+580)=0,NA(),INDEX(指数走势!$F$36:$ACK$36,1,LOOKUP(2,1/(指数走势!$F$36:$ACK$36&lt;&gt;""),COLUMN(指数走势!$F$36:$ACK$36))-COLUMN(指数走势!$F$36)+1-760+580)))</f>
        <v>45.4435997009277</v>
      </c>
      <c r="VJ100">
        <f>IF(ISERROR(INDEX(指数走势!$F$36:$ACK$36,1,LOOKUP(2,1/(指数走势!$F$36:$ACK$36&lt;&gt;""),COLUMN(指数走势!$F$36:$ACK$36))-COLUMN(指数走势!$F$36)+1-760+581)),NA(),IF(INDEX(指数走势!$F$36:$ACK$36,1,LOOKUP(2,1/(指数走势!$F$36:$ACK$36&lt;&gt;""),COLUMN(指数走势!$F$36:$ACK$36))-COLUMN(指数走势!$F$36)+1-760+581)=0,NA(),INDEX(指数走势!$F$36:$ACK$36,1,LOOKUP(2,1/(指数走势!$F$36:$ACK$36&lt;&gt;""),COLUMN(指数走势!$F$36:$ACK$36))-COLUMN(指数走势!$F$36)+1-760+581)))</f>
        <v>45.834300994873</v>
      </c>
      <c r="VK100">
        <f>IF(ISERROR(INDEX(指数走势!$F$36:$ACK$36,1,LOOKUP(2,1/(指数走势!$F$36:$ACK$36&lt;&gt;""),COLUMN(指数走势!$F$36:$ACK$36))-COLUMN(指数走势!$F$36)+1-760+582)),NA(),IF(INDEX(指数走势!$F$36:$ACK$36,1,LOOKUP(2,1/(指数走势!$F$36:$ACK$36&lt;&gt;""),COLUMN(指数走势!$F$36:$ACK$36))-COLUMN(指数走势!$F$36)+1-760+582)=0,NA(),INDEX(指数走势!$F$36:$ACK$36,1,LOOKUP(2,1/(指数走势!$F$36:$ACK$36&lt;&gt;""),COLUMN(指数走势!$F$36:$ACK$36))-COLUMN(指数走势!$F$36)+1-760+582)))</f>
        <v>43.8331985473633</v>
      </c>
      <c r="VL100">
        <f>IF(ISERROR(INDEX(指数走势!$F$36:$ACK$36,1,LOOKUP(2,1/(指数走势!$F$36:$ACK$36&lt;&gt;""),COLUMN(指数走势!$F$36:$ACK$36))-COLUMN(指数走势!$F$36)+1-760+583)),NA(),IF(INDEX(指数走势!$F$36:$ACK$36,1,LOOKUP(2,1/(指数走势!$F$36:$ACK$36&lt;&gt;""),COLUMN(指数走势!$F$36:$ACK$36))-COLUMN(指数走势!$F$36)+1-760+583)=0,NA(),INDEX(指数走势!$F$36:$ACK$36,1,LOOKUP(2,1/(指数走势!$F$36:$ACK$36&lt;&gt;""),COLUMN(指数走势!$F$36:$ACK$36))-COLUMN(指数走势!$F$36)+1-760+583)))</f>
        <v>43.3478012084961</v>
      </c>
      <c r="VM100">
        <f>IF(ISERROR(INDEX(指数走势!$F$36:$ACK$36,1,LOOKUP(2,1/(指数走势!$F$36:$ACK$36&lt;&gt;""),COLUMN(指数走势!$F$36:$ACK$36))-COLUMN(指数走势!$F$36)+1-760+584)),NA(),IF(INDEX(指数走势!$F$36:$ACK$36,1,LOOKUP(2,1/(指数走势!$F$36:$ACK$36&lt;&gt;""),COLUMN(指数走势!$F$36:$ACK$36))-COLUMN(指数走势!$F$36)+1-760+584)=0,NA(),INDEX(指数走势!$F$36:$ACK$36,1,LOOKUP(2,1/(指数走势!$F$36:$ACK$36&lt;&gt;""),COLUMN(指数走势!$F$36:$ACK$36))-COLUMN(指数走势!$F$36)+1-760+584)))</f>
        <v>41.7249984741211</v>
      </c>
      <c r="VN100">
        <f>IF(ISERROR(INDEX(指数走势!$F$36:$ACK$36,1,LOOKUP(2,1/(指数走势!$F$36:$ACK$36&lt;&gt;""),COLUMN(指数走势!$F$36:$ACK$36))-COLUMN(指数走势!$F$36)+1-760+585)),NA(),IF(INDEX(指数走势!$F$36:$ACK$36,1,LOOKUP(2,1/(指数走势!$F$36:$ACK$36&lt;&gt;""),COLUMN(指数走势!$F$36:$ACK$36))-COLUMN(指数走势!$F$36)+1-760+585)=0,NA(),INDEX(指数走势!$F$36:$ACK$36,1,LOOKUP(2,1/(指数走势!$F$36:$ACK$36&lt;&gt;""),COLUMN(指数走势!$F$36:$ACK$36))-COLUMN(指数走势!$F$36)+1-760+585)))</f>
        <v>42.6323013305664</v>
      </c>
      <c r="VO100">
        <f>IF(ISERROR(INDEX(指数走势!$F$36:$ACK$36,1,LOOKUP(2,1/(指数走势!$F$36:$ACK$36&lt;&gt;""),COLUMN(指数走势!$F$36:$ACK$36))-COLUMN(指数走势!$F$36)+1-760+586)),NA(),IF(INDEX(指数走势!$F$36:$ACK$36,1,LOOKUP(2,1/(指数走势!$F$36:$ACK$36&lt;&gt;""),COLUMN(指数走势!$F$36:$ACK$36))-COLUMN(指数走势!$F$36)+1-760+586)=0,NA(),INDEX(指数走势!$F$36:$ACK$36,1,LOOKUP(2,1/(指数走势!$F$36:$ACK$36&lt;&gt;""),COLUMN(指数走势!$F$36:$ACK$36))-COLUMN(指数走势!$F$36)+1-760+586)))</f>
        <v>42.7608985900879</v>
      </c>
      <c r="VP100">
        <f>IF(ISERROR(INDEX(指数走势!$F$36:$ACK$36,1,LOOKUP(2,1/(指数走势!$F$36:$ACK$36&lt;&gt;""),COLUMN(指数走势!$F$36:$ACK$36))-COLUMN(指数走势!$F$36)+1-760+587)),NA(),IF(INDEX(指数走势!$F$36:$ACK$36,1,LOOKUP(2,1/(指数走势!$F$36:$ACK$36&lt;&gt;""),COLUMN(指数走势!$F$36:$ACK$36))-COLUMN(指数走势!$F$36)+1-760+587)=0,NA(),INDEX(指数走势!$F$36:$ACK$36,1,LOOKUP(2,1/(指数走势!$F$36:$ACK$36&lt;&gt;""),COLUMN(指数走势!$F$36:$ACK$36))-COLUMN(指数走势!$F$36)+1-760+587)))</f>
        <v>41.3460998535156</v>
      </c>
      <c r="VQ100">
        <f>IF(ISERROR(INDEX(指数走势!$F$36:$ACK$36,1,LOOKUP(2,1/(指数走势!$F$36:$ACK$36&lt;&gt;""),COLUMN(指数走势!$F$36:$ACK$36))-COLUMN(指数走势!$F$36)+1-760+588)),NA(),IF(INDEX(指数走势!$F$36:$ACK$36,1,LOOKUP(2,1/(指数走势!$F$36:$ACK$36&lt;&gt;""),COLUMN(指数走势!$F$36:$ACK$36))-COLUMN(指数走势!$F$36)+1-760+588)=0,NA(),INDEX(指数走势!$F$36:$ACK$36,1,LOOKUP(2,1/(指数走势!$F$36:$ACK$36&lt;&gt;""),COLUMN(指数走势!$F$36:$ACK$36))-COLUMN(指数走势!$F$36)+1-760+588)))</f>
        <v>42.0480995178223</v>
      </c>
      <c r="VR100">
        <f>IF(ISERROR(INDEX(指数走势!$F$36:$ACK$36,1,LOOKUP(2,1/(指数走势!$F$36:$ACK$36&lt;&gt;""),COLUMN(指数走势!$F$36:$ACK$36))-COLUMN(指数走势!$F$36)+1-760+589)),NA(),IF(INDEX(指数走势!$F$36:$ACK$36,1,LOOKUP(2,1/(指数走势!$F$36:$ACK$36&lt;&gt;""),COLUMN(指数走势!$F$36:$ACK$36))-COLUMN(指数走势!$F$36)+1-760+589)=0,NA(),INDEX(指数走势!$F$36:$ACK$36,1,LOOKUP(2,1/(指数走势!$F$36:$ACK$36&lt;&gt;""),COLUMN(指数走势!$F$36:$ACK$36))-COLUMN(指数走势!$F$36)+1-760+589)))</f>
        <v>41.9413986206055</v>
      </c>
      <c r="VS100">
        <f>IF(ISERROR(INDEX(指数走势!$F$36:$ACK$36,1,LOOKUP(2,1/(指数走势!$F$36:$ACK$36&lt;&gt;""),COLUMN(指数走势!$F$36:$ACK$36))-COLUMN(指数走势!$F$36)+1-760+590)),NA(),IF(INDEX(指数走势!$F$36:$ACK$36,1,LOOKUP(2,1/(指数走势!$F$36:$ACK$36&lt;&gt;""),COLUMN(指数走势!$F$36:$ACK$36))-COLUMN(指数走势!$F$36)+1-760+590)=0,NA(),INDEX(指数走势!$F$36:$ACK$36,1,LOOKUP(2,1/(指数走势!$F$36:$ACK$36&lt;&gt;""),COLUMN(指数走势!$F$36:$ACK$36))-COLUMN(指数走势!$F$36)+1-760+590)))</f>
        <v>42.2743988037109</v>
      </c>
      <c r="VT100">
        <f>IF(ISERROR(INDEX(指数走势!$F$36:$ACK$36,1,LOOKUP(2,1/(指数走势!$F$36:$ACK$36&lt;&gt;""),COLUMN(指数走势!$F$36:$ACK$36))-COLUMN(指数走势!$F$36)+1-760+591)),NA(),IF(INDEX(指数走势!$F$36:$ACK$36,1,LOOKUP(2,1/(指数走势!$F$36:$ACK$36&lt;&gt;""),COLUMN(指数走势!$F$36:$ACK$36))-COLUMN(指数走势!$F$36)+1-760+591)=0,NA(),INDEX(指数走势!$F$36:$ACK$36,1,LOOKUP(2,1/(指数走势!$F$36:$ACK$36&lt;&gt;""),COLUMN(指数走势!$F$36:$ACK$36))-COLUMN(指数走势!$F$36)+1-760+591)))</f>
        <v>42.2626991271973</v>
      </c>
      <c r="VU100">
        <f>IF(ISERROR(INDEX(指数走势!$F$36:$ACK$36,1,LOOKUP(2,1/(指数走势!$F$36:$ACK$36&lt;&gt;""),COLUMN(指数走势!$F$36:$ACK$36))-COLUMN(指数走势!$F$36)+1-760+592)),NA(),IF(INDEX(指数走势!$F$36:$ACK$36,1,LOOKUP(2,1/(指数走势!$F$36:$ACK$36&lt;&gt;""),COLUMN(指数走势!$F$36:$ACK$36))-COLUMN(指数走势!$F$36)+1-760+592)=0,NA(),INDEX(指数走势!$F$36:$ACK$36,1,LOOKUP(2,1/(指数走势!$F$36:$ACK$36&lt;&gt;""),COLUMN(指数走势!$F$36:$ACK$36))-COLUMN(指数走势!$F$36)+1-760+592)))</f>
        <v>43.5102996826172</v>
      </c>
      <c r="VV100">
        <f>IF(ISERROR(INDEX(指数走势!$F$36:$ACK$36,1,LOOKUP(2,1/(指数走势!$F$36:$ACK$36&lt;&gt;""),COLUMN(指数走势!$F$36:$ACK$36))-COLUMN(指数走势!$F$36)+1-760+593)),NA(),IF(INDEX(指数走势!$F$36:$ACK$36,1,LOOKUP(2,1/(指数走势!$F$36:$ACK$36&lt;&gt;""),COLUMN(指数走势!$F$36:$ACK$36))-COLUMN(指数走势!$F$36)+1-760+593)=0,NA(),INDEX(指数走势!$F$36:$ACK$36,1,LOOKUP(2,1/(指数走势!$F$36:$ACK$36&lt;&gt;""),COLUMN(指数走势!$F$36:$ACK$36))-COLUMN(指数走势!$F$36)+1-760+593)))</f>
        <v>43.9903984069824</v>
      </c>
      <c r="VW100">
        <f>IF(ISERROR(INDEX(指数走势!$F$36:$ACK$36,1,LOOKUP(2,1/(指数走势!$F$36:$ACK$36&lt;&gt;""),COLUMN(指数走势!$F$36:$ACK$36))-COLUMN(指数走势!$F$36)+1-760+594)),NA(),IF(INDEX(指数走势!$F$36:$ACK$36,1,LOOKUP(2,1/(指数走势!$F$36:$ACK$36&lt;&gt;""),COLUMN(指数走势!$F$36:$ACK$36))-COLUMN(指数走势!$F$36)+1-760+594)=0,NA(),INDEX(指数走势!$F$36:$ACK$36,1,LOOKUP(2,1/(指数走势!$F$36:$ACK$36&lt;&gt;""),COLUMN(指数走势!$F$36:$ACK$36))-COLUMN(指数走势!$F$36)+1-760+594)))</f>
        <v>43.9297981262207</v>
      </c>
      <c r="VX100">
        <f>IF(ISERROR(INDEX(指数走势!$F$36:$ACK$36,1,LOOKUP(2,1/(指数走势!$F$36:$ACK$36&lt;&gt;""),COLUMN(指数走势!$F$36:$ACK$36))-COLUMN(指数走势!$F$36)+1-760+595)),NA(),IF(INDEX(指数走势!$F$36:$ACK$36,1,LOOKUP(2,1/(指数走势!$F$36:$ACK$36&lt;&gt;""),COLUMN(指数走势!$F$36:$ACK$36))-COLUMN(指数走势!$F$36)+1-760+595)=0,NA(),INDEX(指数走势!$F$36:$ACK$36,1,LOOKUP(2,1/(指数走势!$F$36:$ACK$36&lt;&gt;""),COLUMN(指数走势!$F$36:$ACK$36))-COLUMN(指数走势!$F$36)+1-760+595)))</f>
        <v>44.4496994018555</v>
      </c>
      <c r="VY100">
        <f>IF(ISERROR(INDEX(指数走势!$F$36:$ACK$36,1,LOOKUP(2,1/(指数走势!$F$36:$ACK$36&lt;&gt;""),COLUMN(指数走势!$F$36:$ACK$36))-COLUMN(指数走势!$F$36)+1-760+596)),NA(),IF(INDEX(指数走势!$F$36:$ACK$36,1,LOOKUP(2,1/(指数走势!$F$36:$ACK$36&lt;&gt;""),COLUMN(指数走势!$F$36:$ACK$36))-COLUMN(指数走势!$F$36)+1-760+596)=0,NA(),INDEX(指数走势!$F$36:$ACK$36,1,LOOKUP(2,1/(指数走势!$F$36:$ACK$36&lt;&gt;""),COLUMN(指数走势!$F$36:$ACK$36))-COLUMN(指数走势!$F$36)+1-760+596)))</f>
        <v>42.3918991088867</v>
      </c>
      <c r="VZ100">
        <f>IF(ISERROR(INDEX(指数走势!$F$36:$ACK$36,1,LOOKUP(2,1/(指数走势!$F$36:$ACK$36&lt;&gt;""),COLUMN(指数走势!$F$36:$ACK$36))-COLUMN(指数走势!$F$36)+1-760+597)),NA(),IF(INDEX(指数走势!$F$36:$ACK$36,1,LOOKUP(2,1/(指数走势!$F$36:$ACK$36&lt;&gt;""),COLUMN(指数走势!$F$36:$ACK$36))-COLUMN(指数走势!$F$36)+1-760+597)=0,NA(),INDEX(指数走势!$F$36:$ACK$36,1,LOOKUP(2,1/(指数走势!$F$36:$ACK$36&lt;&gt;""),COLUMN(指数走势!$F$36:$ACK$36))-COLUMN(指数走势!$F$36)+1-760+597)))</f>
        <v>41.1057014465332</v>
      </c>
      <c r="WA100">
        <f>IF(ISERROR(INDEX(指数走势!$F$36:$ACK$36,1,LOOKUP(2,1/(指数走势!$F$36:$ACK$36&lt;&gt;""),COLUMN(指数走势!$F$36:$ACK$36))-COLUMN(指数走势!$F$36)+1-760+598)),NA(),IF(INDEX(指数走势!$F$36:$ACK$36,1,LOOKUP(2,1/(指数走势!$F$36:$ACK$36&lt;&gt;""),COLUMN(指数走势!$F$36:$ACK$36))-COLUMN(指数走势!$F$36)+1-760+598)=0,NA(),INDEX(指数走势!$F$36:$ACK$36,1,LOOKUP(2,1/(指数走势!$F$36:$ACK$36&lt;&gt;""),COLUMN(指数走势!$F$36:$ACK$36))-COLUMN(指数走势!$F$36)+1-760+598)))</f>
        <v>41.1892013549805</v>
      </c>
      <c r="WB100">
        <f>IF(ISERROR(INDEX(指数走势!$F$36:$ACK$36,1,LOOKUP(2,1/(指数走势!$F$36:$ACK$36&lt;&gt;""),COLUMN(指数走势!$F$36:$ACK$36))-COLUMN(指数走势!$F$36)+1-760+599)),NA(),IF(INDEX(指数走势!$F$36:$ACK$36,1,LOOKUP(2,1/(指数走势!$F$36:$ACK$36&lt;&gt;""),COLUMN(指数走势!$F$36:$ACK$36))-COLUMN(指数走势!$F$36)+1-760+599)=0,NA(),INDEX(指数走势!$F$36:$ACK$36,1,LOOKUP(2,1/(指数走势!$F$36:$ACK$36&lt;&gt;""),COLUMN(指数走势!$F$36:$ACK$36))-COLUMN(指数走势!$F$36)+1-760+599)))</f>
        <v>40.3496017456055</v>
      </c>
      <c r="WC100">
        <f>IF(ISERROR(INDEX(指数走势!$F$36:$ACK$36,1,LOOKUP(2,1/(指数走势!$F$36:$ACK$36&lt;&gt;""),COLUMN(指数走势!$F$36:$ACK$36))-COLUMN(指数走势!$F$36)+1-760+600)),NA(),IF(INDEX(指数走势!$F$36:$ACK$36,1,LOOKUP(2,1/(指数走势!$F$36:$ACK$36&lt;&gt;""),COLUMN(指数走势!$F$36:$ACK$36))-COLUMN(指数走势!$F$36)+1-760+600)=0,NA(),INDEX(指数走势!$F$36:$ACK$36,1,LOOKUP(2,1/(指数走势!$F$36:$ACK$36&lt;&gt;""),COLUMN(指数走势!$F$36:$ACK$36))-COLUMN(指数走势!$F$36)+1-760+600)))</f>
        <v>40.7238006591797</v>
      </c>
      <c r="WD100">
        <f>IF(ISERROR(INDEX(指数走势!$F$36:$ACK$36,1,LOOKUP(2,1/(指数走势!$F$36:$ACK$36&lt;&gt;""),COLUMN(指数走势!$F$36:$ACK$36))-COLUMN(指数走势!$F$36)+1-760+601)),NA(),IF(INDEX(指数走势!$F$36:$ACK$36,1,LOOKUP(2,1/(指数走势!$F$36:$ACK$36&lt;&gt;""),COLUMN(指数走势!$F$36:$ACK$36))-COLUMN(指数走势!$F$36)+1-760+601)=0,NA(),INDEX(指数走势!$F$36:$ACK$36,1,LOOKUP(2,1/(指数走势!$F$36:$ACK$36&lt;&gt;""),COLUMN(指数走势!$F$36:$ACK$36))-COLUMN(指数走势!$F$36)+1-760+601)))</f>
        <v>41.4296989440918</v>
      </c>
      <c r="WE100">
        <f>IF(ISERROR(INDEX(指数走势!$F$36:$ACK$36,1,LOOKUP(2,1/(指数走势!$F$36:$ACK$36&lt;&gt;""),COLUMN(指数走势!$F$36:$ACK$36))-COLUMN(指数走势!$F$36)+1-760+602)),NA(),IF(INDEX(指数走势!$F$36:$ACK$36,1,LOOKUP(2,1/(指数走势!$F$36:$ACK$36&lt;&gt;""),COLUMN(指数走势!$F$36:$ACK$36))-COLUMN(指数走势!$F$36)+1-760+602)=0,NA(),INDEX(指数走势!$F$36:$ACK$36,1,LOOKUP(2,1/(指数走势!$F$36:$ACK$36&lt;&gt;""),COLUMN(指数走势!$F$36:$ACK$36))-COLUMN(指数走势!$F$36)+1-760+602)))</f>
        <v>41.2728004455566</v>
      </c>
      <c r="WF100">
        <f>IF(ISERROR(INDEX(指数走势!$F$36:$ACK$36,1,LOOKUP(2,1/(指数走势!$F$36:$ACK$36&lt;&gt;""),COLUMN(指数走势!$F$36:$ACK$36))-COLUMN(指数走势!$F$36)+1-760+603)),NA(),IF(INDEX(指数走势!$F$36:$ACK$36,1,LOOKUP(2,1/(指数走势!$F$36:$ACK$36&lt;&gt;""),COLUMN(指数走势!$F$36:$ACK$36))-COLUMN(指数走势!$F$36)+1-760+603)=0,NA(),INDEX(指数走势!$F$36:$ACK$36,1,LOOKUP(2,1/(指数走势!$F$36:$ACK$36&lt;&gt;""),COLUMN(指数走势!$F$36:$ACK$36))-COLUMN(指数走势!$F$36)+1-760+603)))</f>
        <v>40.9945983886719</v>
      </c>
      <c r="WG100">
        <f>IF(ISERROR(INDEX(指数走势!$F$36:$ACK$36,1,LOOKUP(2,1/(指数走势!$F$36:$ACK$36&lt;&gt;""),COLUMN(指数走势!$F$36:$ACK$36))-COLUMN(指数走势!$F$36)+1-760+604)),NA(),IF(INDEX(指数走势!$F$36:$ACK$36,1,LOOKUP(2,1/(指数走势!$F$36:$ACK$36&lt;&gt;""),COLUMN(指数走势!$F$36:$ACK$36))-COLUMN(指数走势!$F$36)+1-760+604)=0,NA(),INDEX(指数走势!$F$36:$ACK$36,1,LOOKUP(2,1/(指数走势!$F$36:$ACK$36&lt;&gt;""),COLUMN(指数走势!$F$36:$ACK$36))-COLUMN(指数走势!$F$36)+1-760+604)))</f>
        <v>40.505298614502</v>
      </c>
      <c r="WH100">
        <f>IF(ISERROR(INDEX(指数走势!$F$36:$ACK$36,1,LOOKUP(2,1/(指数走势!$F$36:$ACK$36&lt;&gt;""),COLUMN(指数走势!$F$36:$ACK$36))-COLUMN(指数走势!$F$36)+1-760+605)),NA(),IF(INDEX(指数走势!$F$36:$ACK$36,1,LOOKUP(2,1/(指数走势!$F$36:$ACK$36&lt;&gt;""),COLUMN(指数走势!$F$36:$ACK$36))-COLUMN(指数走势!$F$36)+1-760+605)=0,NA(),INDEX(指数走势!$F$36:$ACK$36,1,LOOKUP(2,1/(指数走势!$F$36:$ACK$36&lt;&gt;""),COLUMN(指数走势!$F$36:$ACK$36))-COLUMN(指数走势!$F$36)+1-760+605)))</f>
        <v>40.3324012756348</v>
      </c>
      <c r="WI100">
        <f>IF(ISERROR(INDEX(指数走势!$F$36:$ACK$36,1,LOOKUP(2,1/(指数走势!$F$36:$ACK$36&lt;&gt;""),COLUMN(指数走势!$F$36:$ACK$36))-COLUMN(指数走势!$F$36)+1-760+606)),NA(),IF(INDEX(指数走势!$F$36:$ACK$36,1,LOOKUP(2,1/(指数走势!$F$36:$ACK$36&lt;&gt;""),COLUMN(指数走势!$F$36:$ACK$36))-COLUMN(指数走势!$F$36)+1-760+606)=0,NA(),INDEX(指数走势!$F$36:$ACK$36,1,LOOKUP(2,1/(指数走势!$F$36:$ACK$36&lt;&gt;""),COLUMN(指数走势!$F$36:$ACK$36))-COLUMN(指数走势!$F$36)+1-760+606)))</f>
        <v>41.3917007446289</v>
      </c>
      <c r="WJ100">
        <f>IF(ISERROR(INDEX(指数走势!$F$36:$ACK$36,1,LOOKUP(2,1/(指数走势!$F$36:$ACK$36&lt;&gt;""),COLUMN(指数走势!$F$36:$ACK$36))-COLUMN(指数走势!$F$36)+1-760+607)),NA(),IF(INDEX(指数走势!$F$36:$ACK$36,1,LOOKUP(2,1/(指数走势!$F$36:$ACK$36&lt;&gt;""),COLUMN(指数走势!$F$36:$ACK$36))-COLUMN(指数走势!$F$36)+1-760+607)=0,NA(),INDEX(指数走势!$F$36:$ACK$36,1,LOOKUP(2,1/(指数走势!$F$36:$ACK$36&lt;&gt;""),COLUMN(指数走势!$F$36:$ACK$36))-COLUMN(指数走势!$F$36)+1-760+607)))</f>
        <v>40.2948989868164</v>
      </c>
      <c r="WK100">
        <f>IF(ISERROR(INDEX(指数走势!$F$36:$ACK$36,1,LOOKUP(2,1/(指数走势!$F$36:$ACK$36&lt;&gt;""),COLUMN(指数走势!$F$36:$ACK$36))-COLUMN(指数走势!$F$36)+1-760+608)),NA(),IF(INDEX(指数走势!$F$36:$ACK$36,1,LOOKUP(2,1/(指数走势!$F$36:$ACK$36&lt;&gt;""),COLUMN(指数走势!$F$36:$ACK$36))-COLUMN(指数走势!$F$36)+1-760+608)=0,NA(),INDEX(指数走势!$F$36:$ACK$36,1,LOOKUP(2,1/(指数走势!$F$36:$ACK$36&lt;&gt;""),COLUMN(指数走势!$F$36:$ACK$36))-COLUMN(指数走势!$F$36)+1-760+608)))</f>
        <v>40.1558990478516</v>
      </c>
      <c r="WL100">
        <f>IF(ISERROR(INDEX(指数走势!$F$36:$ACK$36,1,LOOKUP(2,1/(指数走势!$F$36:$ACK$36&lt;&gt;""),COLUMN(指数走势!$F$36:$ACK$36))-COLUMN(指数走势!$F$36)+1-760+609)),NA(),IF(INDEX(指数走势!$F$36:$ACK$36,1,LOOKUP(2,1/(指数走势!$F$36:$ACK$36&lt;&gt;""),COLUMN(指数走势!$F$36:$ACK$36))-COLUMN(指数走势!$F$36)+1-760+609)=0,NA(),INDEX(指数走势!$F$36:$ACK$36,1,LOOKUP(2,1/(指数走势!$F$36:$ACK$36&lt;&gt;""),COLUMN(指数走势!$F$36:$ACK$36))-COLUMN(指数走势!$F$36)+1-760+609)))</f>
        <v>39.6503982543945</v>
      </c>
      <c r="WM100">
        <f>IF(ISERROR(INDEX(指数走势!$F$36:$ACK$36,1,LOOKUP(2,1/(指数走势!$F$36:$ACK$36&lt;&gt;""),COLUMN(指数走势!$F$36:$ACK$36))-COLUMN(指数走势!$F$36)+1-760+610)),NA(),IF(INDEX(指数走势!$F$36:$ACK$36,1,LOOKUP(2,1/(指数走势!$F$36:$ACK$36&lt;&gt;""),COLUMN(指数走势!$F$36:$ACK$36))-COLUMN(指数走势!$F$36)+1-760+610)=0,NA(),INDEX(指数走势!$F$36:$ACK$36,1,LOOKUP(2,1/(指数走势!$F$36:$ACK$36&lt;&gt;""),COLUMN(指数走势!$F$36:$ACK$36))-COLUMN(指数走势!$F$36)+1-760+610)))</f>
        <v>39.7163009643555</v>
      </c>
      <c r="WN100">
        <f>IF(ISERROR(INDEX(指数走势!$F$36:$ACK$36,1,LOOKUP(2,1/(指数走势!$F$36:$ACK$36&lt;&gt;""),COLUMN(指数走势!$F$36:$ACK$36))-COLUMN(指数走势!$F$36)+1-760+611)),NA(),IF(INDEX(指数走势!$F$36:$ACK$36,1,LOOKUP(2,1/(指数走势!$F$36:$ACK$36&lt;&gt;""),COLUMN(指数走势!$F$36:$ACK$36))-COLUMN(指数走势!$F$36)+1-760+611)=0,NA(),INDEX(指数走势!$F$36:$ACK$36,1,LOOKUP(2,1/(指数走势!$F$36:$ACK$36&lt;&gt;""),COLUMN(指数走势!$F$36:$ACK$36))-COLUMN(指数走势!$F$36)+1-760+611)))</f>
        <v>39.1960983276367</v>
      </c>
      <c r="WO100">
        <f>IF(ISERROR(INDEX(指数走势!$F$36:$ACK$36,1,LOOKUP(2,1/(指数走势!$F$36:$ACK$36&lt;&gt;""),COLUMN(指数走势!$F$36:$ACK$36))-COLUMN(指数走势!$F$36)+1-760+612)),NA(),IF(INDEX(指数走势!$F$36:$ACK$36,1,LOOKUP(2,1/(指数走势!$F$36:$ACK$36&lt;&gt;""),COLUMN(指数走势!$F$36:$ACK$36))-COLUMN(指数走势!$F$36)+1-760+612)=0,NA(),INDEX(指数走势!$F$36:$ACK$36,1,LOOKUP(2,1/(指数走势!$F$36:$ACK$36&lt;&gt;""),COLUMN(指数走势!$F$36:$ACK$36))-COLUMN(指数走势!$F$36)+1-760+612)))</f>
        <v>37.7239990234375</v>
      </c>
      <c r="WP100">
        <f>IF(ISERROR(INDEX(指数走势!$F$36:$ACK$36,1,LOOKUP(2,1/(指数走势!$F$36:$ACK$36&lt;&gt;""),COLUMN(指数走势!$F$36:$ACK$36))-COLUMN(指数走势!$F$36)+1-760+613)),NA(),IF(INDEX(指数走势!$F$36:$ACK$36,1,LOOKUP(2,1/(指数走势!$F$36:$ACK$36&lt;&gt;""),COLUMN(指数走势!$F$36:$ACK$36))-COLUMN(指数走势!$F$36)+1-760+613)=0,NA(),INDEX(指数走势!$F$36:$ACK$36,1,LOOKUP(2,1/(指数走势!$F$36:$ACK$36&lt;&gt;""),COLUMN(指数走势!$F$36:$ACK$36))-COLUMN(指数走势!$F$36)+1-760+613)))</f>
        <v>37.8773002624512</v>
      </c>
      <c r="WQ100">
        <f>IF(ISERROR(INDEX(指数走势!$F$36:$ACK$36,1,LOOKUP(2,1/(指数走势!$F$36:$ACK$36&lt;&gt;""),COLUMN(指数走势!$F$36:$ACK$36))-COLUMN(指数走势!$F$36)+1-760+614)),NA(),IF(INDEX(指数走势!$F$36:$ACK$36,1,LOOKUP(2,1/(指数走势!$F$36:$ACK$36&lt;&gt;""),COLUMN(指数走势!$F$36:$ACK$36))-COLUMN(指数走势!$F$36)+1-760+614)=0,NA(),INDEX(指数走势!$F$36:$ACK$36,1,LOOKUP(2,1/(指数走势!$F$36:$ACK$36&lt;&gt;""),COLUMN(指数走势!$F$36:$ACK$36))-COLUMN(指数走势!$F$36)+1-760+614)))</f>
        <v>38.4348983764648</v>
      </c>
      <c r="WR100">
        <f>IF(ISERROR(INDEX(指数走势!$F$36:$ACK$36,1,LOOKUP(2,1/(指数走势!$F$36:$ACK$36&lt;&gt;""),COLUMN(指数走势!$F$36:$ACK$36))-COLUMN(指数走势!$F$36)+1-760+615)),NA(),IF(INDEX(指数走势!$F$36:$ACK$36,1,LOOKUP(2,1/(指数走势!$F$36:$ACK$36&lt;&gt;""),COLUMN(指数走势!$F$36:$ACK$36))-COLUMN(指数走势!$F$36)+1-760+615)=0,NA(),INDEX(指数走势!$F$36:$ACK$36,1,LOOKUP(2,1/(指数走势!$F$36:$ACK$36&lt;&gt;""),COLUMN(指数走势!$F$36:$ACK$36))-COLUMN(指数走势!$F$36)+1-760+615)))</f>
        <v>39.0533981323242</v>
      </c>
      <c r="WS100">
        <f>IF(ISERROR(INDEX(指数走势!$F$36:$ACK$36,1,LOOKUP(2,1/(指数走势!$F$36:$ACK$36&lt;&gt;""),COLUMN(指数走势!$F$36:$ACK$36))-COLUMN(指数走势!$F$36)+1-760+616)),NA(),IF(INDEX(指数走势!$F$36:$ACK$36,1,LOOKUP(2,1/(指数走势!$F$36:$ACK$36&lt;&gt;""),COLUMN(指数走势!$F$36:$ACK$36))-COLUMN(指数走势!$F$36)+1-760+616)=0,NA(),INDEX(指数走势!$F$36:$ACK$36,1,LOOKUP(2,1/(指数走势!$F$36:$ACK$36&lt;&gt;""),COLUMN(指数走势!$F$36:$ACK$36))-COLUMN(指数走势!$F$36)+1-760+616)))</f>
        <v>38.9025993347168</v>
      </c>
      <c r="WT100">
        <f>IF(ISERROR(INDEX(指数走势!$F$36:$ACK$36,1,LOOKUP(2,1/(指数走势!$F$36:$ACK$36&lt;&gt;""),COLUMN(指数走势!$F$36:$ACK$36))-COLUMN(指数走势!$F$36)+1-760+617)),NA(),IF(INDEX(指数走势!$F$36:$ACK$36,1,LOOKUP(2,1/(指数走势!$F$36:$ACK$36&lt;&gt;""),COLUMN(指数走势!$F$36:$ACK$36))-COLUMN(指数走势!$F$36)+1-760+617)=0,NA(),INDEX(指数走势!$F$36:$ACK$36,1,LOOKUP(2,1/(指数走势!$F$36:$ACK$36&lt;&gt;""),COLUMN(指数走势!$F$36:$ACK$36))-COLUMN(指数走势!$F$36)+1-760+617)))</f>
        <v>39.2009010314941</v>
      </c>
      <c r="WU100">
        <f>IF(ISERROR(INDEX(指数走势!$F$36:$ACK$36,1,LOOKUP(2,1/(指数走势!$F$36:$ACK$36&lt;&gt;""),COLUMN(指数走势!$F$36:$ACK$36))-COLUMN(指数走势!$F$36)+1-760+618)),NA(),IF(INDEX(指数走势!$F$36:$ACK$36,1,LOOKUP(2,1/(指数走势!$F$36:$ACK$36&lt;&gt;""),COLUMN(指数走势!$F$36:$ACK$36))-COLUMN(指数走势!$F$36)+1-760+618)=0,NA(),INDEX(指数走势!$F$36:$ACK$36,1,LOOKUP(2,1/(指数走势!$F$36:$ACK$36&lt;&gt;""),COLUMN(指数走势!$F$36:$ACK$36))-COLUMN(指数走势!$F$36)+1-760+618)))</f>
        <v>39.7155990600586</v>
      </c>
      <c r="WV100">
        <f>IF(ISERROR(INDEX(指数走势!$F$36:$ACK$36,1,LOOKUP(2,1/(指数走势!$F$36:$ACK$36&lt;&gt;""),COLUMN(指数走势!$F$36:$ACK$36))-COLUMN(指数走势!$F$36)+1-760+619)),NA(),IF(INDEX(指数走势!$F$36:$ACK$36,1,LOOKUP(2,1/(指数走势!$F$36:$ACK$36&lt;&gt;""),COLUMN(指数走势!$F$36:$ACK$36))-COLUMN(指数走势!$F$36)+1-760+619)=0,NA(),INDEX(指数走势!$F$36:$ACK$36,1,LOOKUP(2,1/(指数走势!$F$36:$ACK$36&lt;&gt;""),COLUMN(指数走势!$F$36:$ACK$36))-COLUMN(指数走势!$F$36)+1-760+619)))</f>
        <v>39.410099029541</v>
      </c>
      <c r="WW100">
        <f>IF(ISERROR(INDEX(指数走势!$F$36:$ACK$36,1,LOOKUP(2,1/(指数走势!$F$36:$ACK$36&lt;&gt;""),COLUMN(指数走势!$F$36:$ACK$36))-COLUMN(指数走势!$F$36)+1-760+620)),NA(),IF(INDEX(指数走势!$F$36:$ACK$36,1,LOOKUP(2,1/(指数走势!$F$36:$ACK$36&lt;&gt;""),COLUMN(指数走势!$F$36:$ACK$36))-COLUMN(指数走势!$F$36)+1-760+620)=0,NA(),INDEX(指数走势!$F$36:$ACK$36,1,LOOKUP(2,1/(指数走势!$F$36:$ACK$36&lt;&gt;""),COLUMN(指数走势!$F$36:$ACK$36))-COLUMN(指数走势!$F$36)+1-760+620)))</f>
        <v>38.9550018310547</v>
      </c>
      <c r="WX100">
        <f>IF(ISERROR(INDEX(指数走势!$F$36:$ACK$36,1,LOOKUP(2,1/(指数走势!$F$36:$ACK$36&lt;&gt;""),COLUMN(指数走势!$F$36:$ACK$36))-COLUMN(指数走势!$F$36)+1-760+621)),NA(),IF(INDEX(指数走势!$F$36:$ACK$36,1,LOOKUP(2,1/(指数走势!$F$36:$ACK$36&lt;&gt;""),COLUMN(指数走势!$F$36:$ACK$36))-COLUMN(指数走势!$F$36)+1-760+621)=0,NA(),INDEX(指数走势!$F$36:$ACK$36,1,LOOKUP(2,1/(指数走势!$F$36:$ACK$36&lt;&gt;""),COLUMN(指数走势!$F$36:$ACK$36))-COLUMN(指数走势!$F$36)+1-760+621)))</f>
        <v>39.3049011230469</v>
      </c>
      <c r="WY100">
        <f>IF(ISERROR(INDEX(指数走势!$F$36:$ACK$36,1,LOOKUP(2,1/(指数走势!$F$36:$ACK$36&lt;&gt;""),COLUMN(指数走势!$F$36:$ACK$36))-COLUMN(指数走势!$F$36)+1-760+622)),NA(),IF(INDEX(指数走势!$F$36:$ACK$36,1,LOOKUP(2,1/(指数走势!$F$36:$ACK$36&lt;&gt;""),COLUMN(指数走势!$F$36:$ACK$36))-COLUMN(指数走势!$F$36)+1-760+622)=0,NA(),INDEX(指数走势!$F$36:$ACK$36,1,LOOKUP(2,1/(指数走势!$F$36:$ACK$36&lt;&gt;""),COLUMN(指数走势!$F$36:$ACK$36))-COLUMN(指数走势!$F$36)+1-760+622)))</f>
        <v>39.8154983520508</v>
      </c>
      <c r="WZ100">
        <f>IF(ISERROR(INDEX(指数走势!$F$36:$ACK$36,1,LOOKUP(2,1/(指数走势!$F$36:$ACK$36&lt;&gt;""),COLUMN(指数走势!$F$36:$ACK$36))-COLUMN(指数走势!$F$36)+1-760+623)),NA(),IF(INDEX(指数走势!$F$36:$ACK$36,1,LOOKUP(2,1/(指数走势!$F$36:$ACK$36&lt;&gt;""),COLUMN(指数走势!$F$36:$ACK$36))-COLUMN(指数走势!$F$36)+1-760+623)=0,NA(),INDEX(指数走势!$F$36:$ACK$36,1,LOOKUP(2,1/(指数走势!$F$36:$ACK$36&lt;&gt;""),COLUMN(指数走势!$F$36:$ACK$36))-COLUMN(指数走势!$F$36)+1-760+623)))</f>
        <v>40.7550010681152</v>
      </c>
      <c r="XA100">
        <f>IF(ISERROR(INDEX(指数走势!$F$36:$ACK$36,1,LOOKUP(2,1/(指数走势!$F$36:$ACK$36&lt;&gt;""),COLUMN(指数走势!$F$36:$ACK$36))-COLUMN(指数走势!$F$36)+1-760+624)),NA(),IF(INDEX(指数走势!$F$36:$ACK$36,1,LOOKUP(2,1/(指数走势!$F$36:$ACK$36&lt;&gt;""),COLUMN(指数走势!$F$36:$ACK$36))-COLUMN(指数走势!$F$36)+1-760+624)=0,NA(),INDEX(指数走势!$F$36:$ACK$36,1,LOOKUP(2,1/(指数走势!$F$36:$ACK$36&lt;&gt;""),COLUMN(指数走势!$F$36:$ACK$36))-COLUMN(指数走势!$F$36)+1-760+624)))</f>
        <v>40.898998260498</v>
      </c>
      <c r="XB100">
        <f>IF(ISERROR(INDEX(指数走势!$F$36:$ACK$36,1,LOOKUP(2,1/(指数走势!$F$36:$ACK$36&lt;&gt;""),COLUMN(指数走势!$F$36:$ACK$36))-COLUMN(指数走势!$F$36)+1-760+625)),NA(),IF(INDEX(指数走势!$F$36:$ACK$36,1,LOOKUP(2,1/(指数走势!$F$36:$ACK$36&lt;&gt;""),COLUMN(指数走势!$F$36:$ACK$36))-COLUMN(指数走势!$F$36)+1-760+625)=0,NA(),INDEX(指数走势!$F$36:$ACK$36,1,LOOKUP(2,1/(指数走势!$F$36:$ACK$36&lt;&gt;""),COLUMN(指数走势!$F$36:$ACK$36))-COLUMN(指数走势!$F$36)+1-760+625)))</f>
        <v>40.8571014404297</v>
      </c>
      <c r="XC100">
        <f>IF(ISERROR(INDEX(指数走势!$F$36:$ACK$36,1,LOOKUP(2,1/(指数走势!$F$36:$ACK$36&lt;&gt;""),COLUMN(指数走势!$F$36:$ACK$36))-COLUMN(指数走势!$F$36)+1-760+626)),NA(),IF(INDEX(指数走势!$F$36:$ACK$36,1,LOOKUP(2,1/(指数走势!$F$36:$ACK$36&lt;&gt;""),COLUMN(指数走势!$F$36:$ACK$36))-COLUMN(指数走势!$F$36)+1-760+626)=0,NA(),INDEX(指数走势!$F$36:$ACK$36,1,LOOKUP(2,1/(指数走势!$F$36:$ACK$36&lt;&gt;""),COLUMN(指数走势!$F$36:$ACK$36))-COLUMN(指数走势!$F$36)+1-760+626)))</f>
        <v>40.3723983764648</v>
      </c>
      <c r="XD100">
        <f>IF(ISERROR(INDEX(指数走势!$F$36:$ACK$36,1,LOOKUP(2,1/(指数走势!$F$36:$ACK$36&lt;&gt;""),COLUMN(指数走势!$F$36:$ACK$36))-COLUMN(指数走势!$F$36)+1-760+627)),NA(),IF(INDEX(指数走势!$F$36:$ACK$36,1,LOOKUP(2,1/(指数走势!$F$36:$ACK$36&lt;&gt;""),COLUMN(指数走势!$F$36:$ACK$36))-COLUMN(指数走势!$F$36)+1-760+627)=0,NA(),INDEX(指数走势!$F$36:$ACK$36,1,LOOKUP(2,1/(指数走势!$F$36:$ACK$36&lt;&gt;""),COLUMN(指数走势!$F$36:$ACK$36))-COLUMN(指数走势!$F$36)+1-760+627)))</f>
        <v>40.7388000488281</v>
      </c>
      <c r="XE100">
        <f>IF(ISERROR(INDEX(指数走势!$F$36:$ACK$36,1,LOOKUP(2,1/(指数走势!$F$36:$ACK$36&lt;&gt;""),COLUMN(指数走势!$F$36:$ACK$36))-COLUMN(指数走势!$F$36)+1-760+628)),NA(),IF(INDEX(指数走势!$F$36:$ACK$36,1,LOOKUP(2,1/(指数走势!$F$36:$ACK$36&lt;&gt;""),COLUMN(指数走势!$F$36:$ACK$36))-COLUMN(指数走势!$F$36)+1-760+628)=0,NA(),INDEX(指数走势!$F$36:$ACK$36,1,LOOKUP(2,1/(指数走势!$F$36:$ACK$36&lt;&gt;""),COLUMN(指数走势!$F$36:$ACK$36))-COLUMN(指数走势!$F$36)+1-760+628)))</f>
        <v>40.0381011962891</v>
      </c>
      <c r="XF100">
        <f>IF(ISERROR(INDEX(指数走势!$F$36:$ACK$36,1,LOOKUP(2,1/(指数走势!$F$36:$ACK$36&lt;&gt;""),COLUMN(指数走势!$F$36:$ACK$36))-COLUMN(指数走势!$F$36)+1-760+629)),NA(),IF(INDEX(指数走势!$F$36:$ACK$36,1,LOOKUP(2,1/(指数走势!$F$36:$ACK$36&lt;&gt;""),COLUMN(指数走势!$F$36:$ACK$36))-COLUMN(指数走势!$F$36)+1-760+629)=0,NA(),INDEX(指数走势!$F$36:$ACK$36,1,LOOKUP(2,1/(指数走势!$F$36:$ACK$36&lt;&gt;""),COLUMN(指数走势!$F$36:$ACK$36))-COLUMN(指数走势!$F$36)+1-760+629)))</f>
        <v>39.2591018676758</v>
      </c>
      <c r="XG100">
        <f>IF(ISERROR(INDEX(指数走势!$F$36:$ACK$36,1,LOOKUP(2,1/(指数走势!$F$36:$ACK$36&lt;&gt;""),COLUMN(指数走势!$F$36:$ACK$36))-COLUMN(指数走势!$F$36)+1-760+630)),NA(),IF(INDEX(指数走势!$F$36:$ACK$36,1,LOOKUP(2,1/(指数走势!$F$36:$ACK$36&lt;&gt;""),COLUMN(指数走势!$F$36:$ACK$36))-COLUMN(指数走势!$F$36)+1-760+630)=0,NA(),INDEX(指数走势!$F$36:$ACK$36,1,LOOKUP(2,1/(指数走势!$F$36:$ACK$36&lt;&gt;""),COLUMN(指数走势!$F$36:$ACK$36))-COLUMN(指数走势!$F$36)+1-760+630)))</f>
        <v>40.5087013244629</v>
      </c>
      <c r="XH100">
        <f>IF(ISERROR(INDEX(指数走势!$F$36:$ACK$36,1,LOOKUP(2,1/(指数走势!$F$36:$ACK$36&lt;&gt;""),COLUMN(指数走势!$F$36:$ACK$36))-COLUMN(指数走势!$F$36)+1-760+631)),NA(),IF(INDEX(指数走势!$F$36:$ACK$36,1,LOOKUP(2,1/(指数走势!$F$36:$ACK$36&lt;&gt;""),COLUMN(指数走势!$F$36:$ACK$36))-COLUMN(指数走势!$F$36)+1-760+631)=0,NA(),INDEX(指数走势!$F$36:$ACK$36,1,LOOKUP(2,1/(指数走势!$F$36:$ACK$36&lt;&gt;""),COLUMN(指数走势!$F$36:$ACK$36))-COLUMN(指数走势!$F$36)+1-760+631)))</f>
        <v>39.6852989196777</v>
      </c>
      <c r="XI100">
        <f>IF(ISERROR(INDEX(指数走势!$F$36:$ACK$36,1,LOOKUP(2,1/(指数走势!$F$36:$ACK$36&lt;&gt;""),COLUMN(指数走势!$F$36:$ACK$36))-COLUMN(指数走势!$F$36)+1-760+632)),NA(),IF(INDEX(指数走势!$F$36:$ACK$36,1,LOOKUP(2,1/(指数走势!$F$36:$ACK$36&lt;&gt;""),COLUMN(指数走势!$F$36:$ACK$36))-COLUMN(指数走势!$F$36)+1-760+632)=0,NA(),INDEX(指数走势!$F$36:$ACK$36,1,LOOKUP(2,1/(指数走势!$F$36:$ACK$36&lt;&gt;""),COLUMN(指数走势!$F$36:$ACK$36))-COLUMN(指数走势!$F$36)+1-760+632)))</f>
        <v>39.8737983703613</v>
      </c>
      <c r="XJ100">
        <f>IF(ISERROR(INDEX(指数走势!$F$36:$ACK$36,1,LOOKUP(2,1/(指数走势!$F$36:$ACK$36&lt;&gt;""),COLUMN(指数走势!$F$36:$ACK$36))-COLUMN(指数走势!$F$36)+1-760+633)),NA(),IF(INDEX(指数走势!$F$36:$ACK$36,1,LOOKUP(2,1/(指数走势!$F$36:$ACK$36&lt;&gt;""),COLUMN(指数走势!$F$36:$ACK$36))-COLUMN(指数走势!$F$36)+1-760+633)=0,NA(),INDEX(指数走势!$F$36:$ACK$36,1,LOOKUP(2,1/(指数走势!$F$36:$ACK$36&lt;&gt;""),COLUMN(指数走势!$F$36:$ACK$36))-COLUMN(指数走势!$F$36)+1-760+633)))</f>
        <v>40.6015014648438</v>
      </c>
      <c r="XK100">
        <f>IF(ISERROR(INDEX(指数走势!$F$36:$ACK$36,1,LOOKUP(2,1/(指数走势!$F$36:$ACK$36&lt;&gt;""),COLUMN(指数走势!$F$36:$ACK$36))-COLUMN(指数走势!$F$36)+1-760+634)),NA(),IF(INDEX(指数走势!$F$36:$ACK$36,1,LOOKUP(2,1/(指数走势!$F$36:$ACK$36&lt;&gt;""),COLUMN(指数走势!$F$36:$ACK$36))-COLUMN(指数走势!$F$36)+1-760+634)=0,NA(),INDEX(指数走势!$F$36:$ACK$36,1,LOOKUP(2,1/(指数走势!$F$36:$ACK$36&lt;&gt;""),COLUMN(指数走势!$F$36:$ACK$36))-COLUMN(指数走势!$F$36)+1-760+634)))</f>
        <v>40.7757987976074</v>
      </c>
      <c r="XL100">
        <f>IF(ISERROR(INDEX(指数走势!$F$36:$ACK$36,1,LOOKUP(2,1/(指数走势!$F$36:$ACK$36&lt;&gt;""),COLUMN(指数走势!$F$36:$ACK$36))-COLUMN(指数走势!$F$36)+1-760+635)),NA(),IF(INDEX(指数走势!$F$36:$ACK$36,1,LOOKUP(2,1/(指数走势!$F$36:$ACK$36&lt;&gt;""),COLUMN(指数走势!$F$36:$ACK$36))-COLUMN(指数走势!$F$36)+1-760+635)=0,NA(),INDEX(指数走势!$F$36:$ACK$36,1,LOOKUP(2,1/(指数走势!$F$36:$ACK$36&lt;&gt;""),COLUMN(指数走势!$F$36:$ACK$36))-COLUMN(指数走势!$F$36)+1-760+635)))</f>
        <v>41.0750999450684</v>
      </c>
      <c r="XM100">
        <f>IF(ISERROR(INDEX(指数走势!$F$36:$ACK$36,1,LOOKUP(2,1/(指数走势!$F$36:$ACK$36&lt;&gt;""),COLUMN(指数走势!$F$36:$ACK$36))-COLUMN(指数走势!$F$36)+1-760+636)),NA(),IF(INDEX(指数走势!$F$36:$ACK$36,1,LOOKUP(2,1/(指数走势!$F$36:$ACK$36&lt;&gt;""),COLUMN(指数走势!$F$36:$ACK$36))-COLUMN(指数走势!$F$36)+1-760+636)=0,NA(),INDEX(指数走势!$F$36:$ACK$36,1,LOOKUP(2,1/(指数走势!$F$36:$ACK$36&lt;&gt;""),COLUMN(指数走势!$F$36:$ACK$36))-COLUMN(指数走势!$F$36)+1-760+636)))</f>
        <v>41.214298248291</v>
      </c>
      <c r="XN100">
        <f>IF(ISERROR(INDEX(指数走势!$F$36:$ACK$36,1,LOOKUP(2,1/(指数走势!$F$36:$ACK$36&lt;&gt;""),COLUMN(指数走势!$F$36:$ACK$36))-COLUMN(指数走势!$F$36)+1-760+637)),NA(),IF(INDEX(指数走势!$F$36:$ACK$36,1,LOOKUP(2,1/(指数走势!$F$36:$ACK$36&lt;&gt;""),COLUMN(指数走势!$F$36:$ACK$36))-COLUMN(指数走势!$F$36)+1-760+637)=0,NA(),INDEX(指数走势!$F$36:$ACK$36,1,LOOKUP(2,1/(指数走势!$F$36:$ACK$36&lt;&gt;""),COLUMN(指数走势!$F$36:$ACK$36))-COLUMN(指数走势!$F$36)+1-760+637)))</f>
        <v>41.2654991149902</v>
      </c>
      <c r="XO100">
        <f>IF(ISERROR(INDEX(指数走势!$F$36:$ACK$36,1,LOOKUP(2,1/(指数走势!$F$36:$ACK$36&lt;&gt;""),COLUMN(指数走势!$F$36:$ACK$36))-COLUMN(指数走势!$F$36)+1-760+638)),NA(),IF(INDEX(指数走势!$F$36:$ACK$36,1,LOOKUP(2,1/(指数走势!$F$36:$ACK$36&lt;&gt;""),COLUMN(指数走势!$F$36:$ACK$36))-COLUMN(指数走势!$F$36)+1-760+638)=0,NA(),INDEX(指数走势!$F$36:$ACK$36,1,LOOKUP(2,1/(指数走势!$F$36:$ACK$36&lt;&gt;""),COLUMN(指数走势!$F$36:$ACK$36))-COLUMN(指数走势!$F$36)+1-760+638)))</f>
        <v>41.0383987426758</v>
      </c>
      <c r="XP100">
        <f>IF(ISERROR(INDEX(指数走势!$F$36:$ACK$36,1,LOOKUP(2,1/(指数走势!$F$36:$ACK$36&lt;&gt;""),COLUMN(指数走势!$F$36:$ACK$36))-COLUMN(指数走势!$F$36)+1-760+639)),NA(),IF(INDEX(指数走势!$F$36:$ACK$36,1,LOOKUP(2,1/(指数走势!$F$36:$ACK$36&lt;&gt;""),COLUMN(指数走势!$F$36:$ACK$36))-COLUMN(指数走势!$F$36)+1-760+639)=0,NA(),INDEX(指数走势!$F$36:$ACK$36,1,LOOKUP(2,1/(指数走势!$F$36:$ACK$36&lt;&gt;""),COLUMN(指数走势!$F$36:$ACK$36))-COLUMN(指数走势!$F$36)+1-760+639)))</f>
        <v>41.2350997924805</v>
      </c>
      <c r="XQ100">
        <f>IF(ISERROR(INDEX(指数走势!$F$36:$ACK$36,1,LOOKUP(2,1/(指数走势!$F$36:$ACK$36&lt;&gt;""),COLUMN(指数走势!$F$36:$ACK$36))-COLUMN(指数走势!$F$36)+1-760+640)),NA(),IF(INDEX(指数走势!$F$36:$ACK$36,1,LOOKUP(2,1/(指数走势!$F$36:$ACK$36&lt;&gt;""),COLUMN(指数走势!$F$36:$ACK$36))-COLUMN(指数走势!$F$36)+1-760+640)=0,NA(),INDEX(指数走势!$F$36:$ACK$36,1,LOOKUP(2,1/(指数走势!$F$36:$ACK$36&lt;&gt;""),COLUMN(指数走势!$F$36:$ACK$36))-COLUMN(指数走势!$F$36)+1-760+640)))</f>
        <v>40.7742004394531</v>
      </c>
      <c r="XR100">
        <f>IF(ISERROR(INDEX(指数走势!$F$36:$ACK$36,1,LOOKUP(2,1/(指数走势!$F$36:$ACK$36&lt;&gt;""),COLUMN(指数走势!$F$36:$ACK$36))-COLUMN(指数走势!$F$36)+1-760+641)),NA(),IF(INDEX(指数走势!$F$36:$ACK$36,1,LOOKUP(2,1/(指数走势!$F$36:$ACK$36&lt;&gt;""),COLUMN(指数走势!$F$36:$ACK$36))-COLUMN(指数走势!$F$36)+1-760+641)=0,NA(),INDEX(指数走势!$F$36:$ACK$36,1,LOOKUP(2,1/(指数走势!$F$36:$ACK$36&lt;&gt;""),COLUMN(指数走势!$F$36:$ACK$36))-COLUMN(指数走势!$F$36)+1-760+641)))</f>
        <v>41.9622001647949</v>
      </c>
      <c r="XS100">
        <f>IF(ISERROR(INDEX(指数走势!$F$36:$ACK$36,1,LOOKUP(2,1/(指数走势!$F$36:$ACK$36&lt;&gt;""),COLUMN(指数走势!$F$36:$ACK$36))-COLUMN(指数走势!$F$36)+1-760+642)),NA(),IF(INDEX(指数走势!$F$36:$ACK$36,1,LOOKUP(2,1/(指数走势!$F$36:$ACK$36&lt;&gt;""),COLUMN(指数走势!$F$36:$ACK$36))-COLUMN(指数走势!$F$36)+1-760+642)=0,NA(),INDEX(指数走势!$F$36:$ACK$36,1,LOOKUP(2,1/(指数走势!$F$36:$ACK$36&lt;&gt;""),COLUMN(指数走势!$F$36:$ACK$36))-COLUMN(指数走势!$F$36)+1-760+642)))</f>
        <v>42.3597984313965</v>
      </c>
      <c r="XT100">
        <f>IF(ISERROR(INDEX(指数走势!$F$36:$ACK$36,1,LOOKUP(2,1/(指数走势!$F$36:$ACK$36&lt;&gt;""),COLUMN(指数走势!$F$36:$ACK$36))-COLUMN(指数走势!$F$36)+1-760+643)),NA(),IF(INDEX(指数走势!$F$36:$ACK$36,1,LOOKUP(2,1/(指数走势!$F$36:$ACK$36&lt;&gt;""),COLUMN(指数走势!$F$36:$ACK$36))-COLUMN(指数走势!$F$36)+1-760+643)=0,NA(),INDEX(指数走势!$F$36:$ACK$36,1,LOOKUP(2,1/(指数走势!$F$36:$ACK$36&lt;&gt;""),COLUMN(指数走势!$F$36:$ACK$36))-COLUMN(指数走势!$F$36)+1-760+643)))</f>
        <v>42.4640007019043</v>
      </c>
      <c r="XU100">
        <f>IF(ISERROR(INDEX(指数走势!$F$36:$ACK$36,1,LOOKUP(2,1/(指数走势!$F$36:$ACK$36&lt;&gt;""),COLUMN(指数走势!$F$36:$ACK$36))-COLUMN(指数走势!$F$36)+1-760+644)),NA(),IF(INDEX(指数走势!$F$36:$ACK$36,1,LOOKUP(2,1/(指数走势!$F$36:$ACK$36&lt;&gt;""),COLUMN(指数走势!$F$36:$ACK$36))-COLUMN(指数走势!$F$36)+1-760+644)=0,NA(),INDEX(指数走势!$F$36:$ACK$36,1,LOOKUP(2,1/(指数走势!$F$36:$ACK$36&lt;&gt;""),COLUMN(指数走势!$F$36:$ACK$36))-COLUMN(指数走势!$F$36)+1-760+644)))</f>
        <v>42.1705017089844</v>
      </c>
      <c r="XV100">
        <f>IF(ISERROR(INDEX(指数走势!$F$36:$ACK$36,1,LOOKUP(2,1/(指数走势!$F$36:$ACK$36&lt;&gt;""),COLUMN(指数走势!$F$36:$ACK$36))-COLUMN(指数走势!$F$36)+1-760+645)),NA(),IF(INDEX(指数走势!$F$36:$ACK$36,1,LOOKUP(2,1/(指数走势!$F$36:$ACK$36&lt;&gt;""),COLUMN(指数走势!$F$36:$ACK$36))-COLUMN(指数走势!$F$36)+1-760+645)=0,NA(),INDEX(指数走势!$F$36:$ACK$36,1,LOOKUP(2,1/(指数走势!$F$36:$ACK$36&lt;&gt;""),COLUMN(指数走势!$F$36:$ACK$36))-COLUMN(指数走势!$F$36)+1-760+645)))</f>
        <v>42.617000579834</v>
      </c>
      <c r="XW100">
        <f>IF(ISERROR(INDEX(指数走势!$F$36:$ACK$36,1,LOOKUP(2,1/(指数走势!$F$36:$ACK$36&lt;&gt;""),COLUMN(指数走势!$F$36:$ACK$36))-COLUMN(指数走势!$F$36)+1-760+646)),NA(),IF(INDEX(指数走势!$F$36:$ACK$36,1,LOOKUP(2,1/(指数走势!$F$36:$ACK$36&lt;&gt;""),COLUMN(指数走势!$F$36:$ACK$36))-COLUMN(指数走势!$F$36)+1-760+646)=0,NA(),INDEX(指数走势!$F$36:$ACK$36,1,LOOKUP(2,1/(指数走势!$F$36:$ACK$36&lt;&gt;""),COLUMN(指数走势!$F$36:$ACK$36))-COLUMN(指数走势!$F$36)+1-760+646)))</f>
        <v>43.4244003295898</v>
      </c>
      <c r="XX100">
        <f>IF(ISERROR(INDEX(指数走势!$F$36:$ACK$36,1,LOOKUP(2,1/(指数走势!$F$36:$ACK$36&lt;&gt;""),COLUMN(指数走势!$F$36:$ACK$36))-COLUMN(指数走势!$F$36)+1-760+647)),NA(),IF(INDEX(指数走势!$F$36:$ACK$36,1,LOOKUP(2,1/(指数走势!$F$36:$ACK$36&lt;&gt;""),COLUMN(指数走势!$F$36:$ACK$36))-COLUMN(指数走势!$F$36)+1-760+647)=0,NA(),INDEX(指数走势!$F$36:$ACK$36,1,LOOKUP(2,1/(指数走势!$F$36:$ACK$36&lt;&gt;""),COLUMN(指数走势!$F$36:$ACK$36))-COLUMN(指数走势!$F$36)+1-760+647)))</f>
        <v>42.5419006347656</v>
      </c>
      <c r="XY100">
        <f>IF(ISERROR(INDEX(指数走势!$F$36:$ACK$36,1,LOOKUP(2,1/(指数走势!$F$36:$ACK$36&lt;&gt;""),COLUMN(指数走势!$F$36:$ACK$36))-COLUMN(指数走势!$F$36)+1-760+648)),NA(),IF(INDEX(指数走势!$F$36:$ACK$36,1,LOOKUP(2,1/(指数走势!$F$36:$ACK$36&lt;&gt;""),COLUMN(指数走势!$F$36:$ACK$36))-COLUMN(指数走势!$F$36)+1-760+648)=0,NA(),INDEX(指数走势!$F$36:$ACK$36,1,LOOKUP(2,1/(指数走势!$F$36:$ACK$36&lt;&gt;""),COLUMN(指数走势!$F$36:$ACK$36))-COLUMN(指数走势!$F$36)+1-760+648)))</f>
        <v>42.8894996643066</v>
      </c>
      <c r="XZ100">
        <f>IF(ISERROR(INDEX(指数走势!$F$36:$ACK$36,1,LOOKUP(2,1/(指数走势!$F$36:$ACK$36&lt;&gt;""),COLUMN(指数走势!$F$36:$ACK$36))-COLUMN(指数走势!$F$36)+1-760+649)),NA(),IF(INDEX(指数走势!$F$36:$ACK$36,1,LOOKUP(2,1/(指数走势!$F$36:$ACK$36&lt;&gt;""),COLUMN(指数走势!$F$36:$ACK$36))-COLUMN(指数走势!$F$36)+1-760+649)=0,NA(),INDEX(指数走势!$F$36:$ACK$36,1,LOOKUP(2,1/(指数走势!$F$36:$ACK$36&lt;&gt;""),COLUMN(指数走势!$F$36:$ACK$36))-COLUMN(指数走势!$F$36)+1-760+649)))</f>
        <v>43.0519981384277</v>
      </c>
      <c r="YA100">
        <f>IF(ISERROR(INDEX(指数走势!$F$36:$ACK$36,1,LOOKUP(2,1/(指数走势!$F$36:$ACK$36&lt;&gt;""),COLUMN(指数走势!$F$36:$ACK$36))-COLUMN(指数走势!$F$36)+1-760+650)),NA(),IF(INDEX(指数走势!$F$36:$ACK$36,1,LOOKUP(2,1/(指数走势!$F$36:$ACK$36&lt;&gt;""),COLUMN(指数走势!$F$36:$ACK$36))-COLUMN(指数走势!$F$36)+1-760+650)=0,NA(),INDEX(指数走势!$F$36:$ACK$36,1,LOOKUP(2,1/(指数走势!$F$36:$ACK$36&lt;&gt;""),COLUMN(指数走势!$F$36:$ACK$36))-COLUMN(指数走势!$F$36)+1-760+650)))</f>
        <v>43.0153999328613</v>
      </c>
      <c r="YB100">
        <f>IF(ISERROR(INDEX(指数走势!$F$36:$ACK$36,1,LOOKUP(2,1/(指数走势!$F$36:$ACK$36&lt;&gt;""),COLUMN(指数走势!$F$36:$ACK$36))-COLUMN(指数走势!$F$36)+1-760+651)),NA(),IF(INDEX(指数走势!$F$36:$ACK$36,1,LOOKUP(2,1/(指数走势!$F$36:$ACK$36&lt;&gt;""),COLUMN(指数走势!$F$36:$ACK$36))-COLUMN(指数走势!$F$36)+1-760+651)=0,NA(),INDEX(指数走势!$F$36:$ACK$36,1,LOOKUP(2,1/(指数走势!$F$36:$ACK$36&lt;&gt;""),COLUMN(指数走势!$F$36:$ACK$36))-COLUMN(指数走势!$F$36)+1-760+651)))</f>
        <v>42.6837997436523</v>
      </c>
      <c r="YC100">
        <f>IF(ISERROR(INDEX(指数走势!$F$36:$ACK$36,1,LOOKUP(2,1/(指数走势!$F$36:$ACK$36&lt;&gt;""),COLUMN(指数走势!$F$36:$ACK$36))-COLUMN(指数走势!$F$36)+1-760+652)),NA(),IF(INDEX(指数走势!$F$36:$ACK$36,1,LOOKUP(2,1/(指数走势!$F$36:$ACK$36&lt;&gt;""),COLUMN(指数走势!$F$36:$ACK$36))-COLUMN(指数走势!$F$36)+1-760+652)=0,NA(),INDEX(指数走势!$F$36:$ACK$36,1,LOOKUP(2,1/(指数走势!$F$36:$ACK$36&lt;&gt;""),COLUMN(指数走势!$F$36:$ACK$36))-COLUMN(指数走势!$F$36)+1-760+652)))</f>
        <v>41.9957008361816</v>
      </c>
      <c r="YD100">
        <f>IF(ISERROR(INDEX(指数走势!$F$36:$ACK$36,1,LOOKUP(2,1/(指数走势!$F$36:$ACK$36&lt;&gt;""),COLUMN(指数走势!$F$36:$ACK$36))-COLUMN(指数走势!$F$36)+1-760+653)),NA(),IF(INDEX(指数走势!$F$36:$ACK$36,1,LOOKUP(2,1/(指数走势!$F$36:$ACK$36&lt;&gt;""),COLUMN(指数走势!$F$36:$ACK$36))-COLUMN(指数走势!$F$36)+1-760+653)=0,NA(),INDEX(指数走势!$F$36:$ACK$36,1,LOOKUP(2,1/(指数走势!$F$36:$ACK$36&lt;&gt;""),COLUMN(指数走势!$F$36:$ACK$36))-COLUMN(指数走势!$F$36)+1-760+653)))</f>
        <v>42.2195014953613</v>
      </c>
      <c r="YE100">
        <f>IF(ISERROR(INDEX(指数走势!$F$36:$ACK$36,1,LOOKUP(2,1/(指数走势!$F$36:$ACK$36&lt;&gt;""),COLUMN(指数走势!$F$36:$ACK$36))-COLUMN(指数走势!$F$36)+1-760+654)),NA(),IF(INDEX(指数走势!$F$36:$ACK$36,1,LOOKUP(2,1/(指数走势!$F$36:$ACK$36&lt;&gt;""),COLUMN(指数走势!$F$36:$ACK$36))-COLUMN(指数走势!$F$36)+1-760+654)=0,NA(),INDEX(指数走势!$F$36:$ACK$36,1,LOOKUP(2,1/(指数走势!$F$36:$ACK$36&lt;&gt;""),COLUMN(指数走势!$F$36:$ACK$36))-COLUMN(指数走势!$F$36)+1-760+654)))</f>
        <v>42.5634994506836</v>
      </c>
      <c r="YF100">
        <f>IF(ISERROR(INDEX(指数走势!$F$36:$ACK$36,1,LOOKUP(2,1/(指数走势!$F$36:$ACK$36&lt;&gt;""),COLUMN(指数走势!$F$36:$ACK$36))-COLUMN(指数走势!$F$36)+1-760+655)),NA(),IF(INDEX(指数走势!$F$36:$ACK$36,1,LOOKUP(2,1/(指数走势!$F$36:$ACK$36&lt;&gt;""),COLUMN(指数走势!$F$36:$ACK$36))-COLUMN(指数走势!$F$36)+1-760+655)=0,NA(),INDEX(指数走势!$F$36:$ACK$36,1,LOOKUP(2,1/(指数走势!$F$36:$ACK$36&lt;&gt;""),COLUMN(指数走势!$F$36:$ACK$36))-COLUMN(指数走势!$F$36)+1-760+655)))</f>
        <v>42.9804000854492</v>
      </c>
      <c r="YG100">
        <f>IF(ISERROR(INDEX(指数走势!$F$36:$ACK$36,1,LOOKUP(2,1/(指数走势!$F$36:$ACK$36&lt;&gt;""),COLUMN(指数走势!$F$36:$ACK$36))-COLUMN(指数走势!$F$36)+1-760+656)),NA(),IF(INDEX(指数走势!$F$36:$ACK$36,1,LOOKUP(2,1/(指数走势!$F$36:$ACK$36&lt;&gt;""),COLUMN(指数走势!$F$36:$ACK$36))-COLUMN(指数走势!$F$36)+1-760+656)=0,NA(),INDEX(指数走势!$F$36:$ACK$36,1,LOOKUP(2,1/(指数走势!$F$36:$ACK$36&lt;&gt;""),COLUMN(指数走势!$F$36:$ACK$36))-COLUMN(指数走势!$F$36)+1-760+656)))</f>
        <v>42.559700012207</v>
      </c>
      <c r="YH100">
        <f>IF(ISERROR(INDEX(指数走势!$F$36:$ACK$36,1,LOOKUP(2,1/(指数走势!$F$36:$ACK$36&lt;&gt;""),COLUMN(指数走势!$F$36:$ACK$36))-COLUMN(指数走势!$F$36)+1-760+657)),NA(),IF(INDEX(指数走势!$F$36:$ACK$36,1,LOOKUP(2,1/(指数走势!$F$36:$ACK$36&lt;&gt;""),COLUMN(指数走势!$F$36:$ACK$36))-COLUMN(指数走势!$F$36)+1-760+657)=0,NA(),INDEX(指数走势!$F$36:$ACK$36,1,LOOKUP(2,1/(指数走势!$F$36:$ACK$36&lt;&gt;""),COLUMN(指数走势!$F$36:$ACK$36))-COLUMN(指数走势!$F$36)+1-760+657)))</f>
        <v>42.7951011657715</v>
      </c>
      <c r="YI100">
        <f>IF(ISERROR(INDEX(指数走势!$F$36:$ACK$36,1,LOOKUP(2,1/(指数走势!$F$36:$ACK$36&lt;&gt;""),COLUMN(指数走势!$F$36:$ACK$36))-COLUMN(指数走势!$F$36)+1-760+658)),NA(),IF(INDEX(指数走势!$F$36:$ACK$36,1,LOOKUP(2,1/(指数走势!$F$36:$ACK$36&lt;&gt;""),COLUMN(指数走势!$F$36:$ACK$36))-COLUMN(指数走势!$F$36)+1-760+658)=0,NA(),INDEX(指数走势!$F$36:$ACK$36,1,LOOKUP(2,1/(指数走势!$F$36:$ACK$36&lt;&gt;""),COLUMN(指数走势!$F$36:$ACK$36))-COLUMN(指数走势!$F$36)+1-760+658)))</f>
        <v>42.5383987426758</v>
      </c>
      <c r="YJ100">
        <f>IF(ISERROR(INDEX(指数走势!$F$36:$ACK$36,1,LOOKUP(2,1/(指数走势!$F$36:$ACK$36&lt;&gt;""),COLUMN(指数走势!$F$36:$ACK$36))-COLUMN(指数走势!$F$36)+1-760+659)),NA(),IF(INDEX(指数走势!$F$36:$ACK$36,1,LOOKUP(2,1/(指数走势!$F$36:$ACK$36&lt;&gt;""),COLUMN(指数走势!$F$36:$ACK$36))-COLUMN(指数走势!$F$36)+1-760+659)=0,NA(),INDEX(指数走势!$F$36:$ACK$36,1,LOOKUP(2,1/(指数走势!$F$36:$ACK$36&lt;&gt;""),COLUMN(指数走势!$F$36:$ACK$36))-COLUMN(指数走势!$F$36)+1-760+659)))</f>
        <v>42.3107986450195</v>
      </c>
      <c r="YK100">
        <f>IF(ISERROR(INDEX(指数走势!$F$36:$ACK$36,1,LOOKUP(2,1/(指数走势!$F$36:$ACK$36&lt;&gt;""),COLUMN(指数走势!$F$36:$ACK$36))-COLUMN(指数走势!$F$36)+1-760+660)),NA(),IF(INDEX(指数走势!$F$36:$ACK$36,1,LOOKUP(2,1/(指数走势!$F$36:$ACK$36&lt;&gt;""),COLUMN(指数走势!$F$36:$ACK$36))-COLUMN(指数走势!$F$36)+1-760+660)=0,NA(),INDEX(指数走势!$F$36:$ACK$36,1,LOOKUP(2,1/(指数走势!$F$36:$ACK$36&lt;&gt;""),COLUMN(指数走势!$F$36:$ACK$36))-COLUMN(指数走势!$F$36)+1-760+660)))</f>
        <v>42.6482009887695</v>
      </c>
      <c r="YL100">
        <f>IF(ISERROR(INDEX(指数走势!$F$36:$ACK$36,1,LOOKUP(2,1/(指数走势!$F$36:$ACK$36&lt;&gt;""),COLUMN(指数走势!$F$36:$ACK$36))-COLUMN(指数走势!$F$36)+1-760+661)),NA(),IF(INDEX(指数走势!$F$36:$ACK$36,1,LOOKUP(2,1/(指数走势!$F$36:$ACK$36&lt;&gt;""),COLUMN(指数走势!$F$36:$ACK$36))-COLUMN(指数走势!$F$36)+1-760+661)=0,NA(),INDEX(指数走势!$F$36:$ACK$36,1,LOOKUP(2,1/(指数走势!$F$36:$ACK$36&lt;&gt;""),COLUMN(指数走势!$F$36:$ACK$36))-COLUMN(指数走势!$F$36)+1-760+661)))</f>
        <v>41.6189002990723</v>
      </c>
      <c r="YM100">
        <f>IF(ISERROR(INDEX(指数走势!$F$36:$ACK$36,1,LOOKUP(2,1/(指数走势!$F$36:$ACK$36&lt;&gt;""),COLUMN(指数走势!$F$36:$ACK$36))-COLUMN(指数走势!$F$36)+1-760+662)),NA(),IF(INDEX(指数走势!$F$36:$ACK$36,1,LOOKUP(2,1/(指数走势!$F$36:$ACK$36&lt;&gt;""),COLUMN(指数走势!$F$36:$ACK$36))-COLUMN(指数走势!$F$36)+1-760+662)=0,NA(),INDEX(指数走势!$F$36:$ACK$36,1,LOOKUP(2,1/(指数走势!$F$36:$ACK$36&lt;&gt;""),COLUMN(指数走势!$F$36:$ACK$36))-COLUMN(指数走势!$F$36)+1-760+662)))</f>
        <v>42.4388999938965</v>
      </c>
      <c r="YN100">
        <f>IF(ISERROR(INDEX(指数走势!$F$36:$ACK$36,1,LOOKUP(2,1/(指数走势!$F$36:$ACK$36&lt;&gt;""),COLUMN(指数走势!$F$36:$ACK$36))-COLUMN(指数走势!$F$36)+1-760+663)),NA(),IF(INDEX(指数走势!$F$36:$ACK$36,1,LOOKUP(2,1/(指数走势!$F$36:$ACK$36&lt;&gt;""),COLUMN(指数走势!$F$36:$ACK$36))-COLUMN(指数走势!$F$36)+1-760+663)=0,NA(),INDEX(指数走势!$F$36:$ACK$36,1,LOOKUP(2,1/(指数走势!$F$36:$ACK$36&lt;&gt;""),COLUMN(指数走势!$F$36:$ACK$36))-COLUMN(指数走势!$F$36)+1-760+663)))</f>
        <v>42.4532012939453</v>
      </c>
      <c r="YO100">
        <f>IF(ISERROR(INDEX(指数走势!$F$36:$ACK$36,1,LOOKUP(2,1/(指数走势!$F$36:$ACK$36&lt;&gt;""),COLUMN(指数走势!$F$36:$ACK$36))-COLUMN(指数走势!$F$36)+1-760+664)),NA(),IF(INDEX(指数走势!$F$36:$ACK$36,1,LOOKUP(2,1/(指数走势!$F$36:$ACK$36&lt;&gt;""),COLUMN(指数走势!$F$36:$ACK$36))-COLUMN(指数走势!$F$36)+1-760+664)=0,NA(),INDEX(指数走势!$F$36:$ACK$36,1,LOOKUP(2,1/(指数走势!$F$36:$ACK$36&lt;&gt;""),COLUMN(指数走势!$F$36:$ACK$36))-COLUMN(指数走势!$F$36)+1-760+664)))</f>
        <v>41.8386993408203</v>
      </c>
      <c r="YP100">
        <f>IF(ISERROR(INDEX(指数走势!$F$36:$ACK$36,1,LOOKUP(2,1/(指数走势!$F$36:$ACK$36&lt;&gt;""),COLUMN(指数走势!$F$36:$ACK$36))-COLUMN(指数走势!$F$36)+1-760+665)),NA(),IF(INDEX(指数走势!$F$36:$ACK$36,1,LOOKUP(2,1/(指数走势!$F$36:$ACK$36&lt;&gt;""),COLUMN(指数走势!$F$36:$ACK$36))-COLUMN(指数走势!$F$36)+1-760+665)=0,NA(),INDEX(指数走势!$F$36:$ACK$36,1,LOOKUP(2,1/(指数走势!$F$36:$ACK$36&lt;&gt;""),COLUMN(指数走势!$F$36:$ACK$36))-COLUMN(指数走势!$F$36)+1-760+665)))</f>
        <v>41.5705986022949</v>
      </c>
      <c r="YQ100">
        <f>IF(ISERROR(INDEX(指数走势!$F$36:$ACK$36,1,LOOKUP(2,1/(指数走势!$F$36:$ACK$36&lt;&gt;""),COLUMN(指数走势!$F$36:$ACK$36))-COLUMN(指数走势!$F$36)+1-760+666)),NA(),IF(INDEX(指数走势!$F$36:$ACK$36,1,LOOKUP(2,1/(指数走势!$F$36:$ACK$36&lt;&gt;""),COLUMN(指数走势!$F$36:$ACK$36))-COLUMN(指数走势!$F$36)+1-760+666)=0,NA(),INDEX(指数走势!$F$36:$ACK$36,1,LOOKUP(2,1/(指数走势!$F$36:$ACK$36&lt;&gt;""),COLUMN(指数走势!$F$36:$ACK$36))-COLUMN(指数走势!$F$36)+1-760+666)))</f>
        <v>42.6992988586426</v>
      </c>
      <c r="YR100">
        <f>IF(ISERROR(INDEX(指数走势!$F$36:$ACK$36,1,LOOKUP(2,1/(指数走势!$F$36:$ACK$36&lt;&gt;""),COLUMN(指数走势!$F$36:$ACK$36))-COLUMN(指数走势!$F$36)+1-760+667)),NA(),IF(INDEX(指数走势!$F$36:$ACK$36,1,LOOKUP(2,1/(指数走势!$F$36:$ACK$36&lt;&gt;""),COLUMN(指数走势!$F$36:$ACK$36))-COLUMN(指数走势!$F$36)+1-760+667)=0,NA(),INDEX(指数走势!$F$36:$ACK$36,1,LOOKUP(2,1/(指数走势!$F$36:$ACK$36&lt;&gt;""),COLUMN(指数走势!$F$36:$ACK$36))-COLUMN(指数走势!$F$36)+1-760+667)))</f>
        <v>42.5544013977051</v>
      </c>
      <c r="YS100">
        <f>IF(ISERROR(INDEX(指数走势!$F$36:$ACK$36,1,LOOKUP(2,1/(指数走势!$F$36:$ACK$36&lt;&gt;""),COLUMN(指数走势!$F$36:$ACK$36))-COLUMN(指数走势!$F$36)+1-760+668)),NA(),IF(INDEX(指数走势!$F$36:$ACK$36,1,LOOKUP(2,1/(指数走势!$F$36:$ACK$36&lt;&gt;""),COLUMN(指数走势!$F$36:$ACK$36))-COLUMN(指数走势!$F$36)+1-760+668)=0,NA(),INDEX(指数走势!$F$36:$ACK$36,1,LOOKUP(2,1/(指数走势!$F$36:$ACK$36&lt;&gt;""),COLUMN(指数走势!$F$36:$ACK$36))-COLUMN(指数走势!$F$36)+1-760+668)))</f>
        <v>42.1753997802734</v>
      </c>
      <c r="YT100">
        <f>IF(ISERROR(INDEX(指数走势!$F$36:$ACK$36,1,LOOKUP(2,1/(指数走势!$F$36:$ACK$36&lt;&gt;""),COLUMN(指数走势!$F$36:$ACK$36))-COLUMN(指数走势!$F$36)+1-760+669)),NA(),IF(INDEX(指数走势!$F$36:$ACK$36,1,LOOKUP(2,1/(指数走势!$F$36:$ACK$36&lt;&gt;""),COLUMN(指数走势!$F$36:$ACK$36))-COLUMN(指数走势!$F$36)+1-760+669)=0,NA(),INDEX(指数走势!$F$36:$ACK$36,1,LOOKUP(2,1/(指数走势!$F$36:$ACK$36&lt;&gt;""),COLUMN(指数走势!$F$36:$ACK$36))-COLUMN(指数走势!$F$36)+1-760+669)))</f>
        <v>42.7374992370605</v>
      </c>
      <c r="YU100">
        <f>IF(ISERROR(INDEX(指数走势!$F$36:$ACK$36,1,LOOKUP(2,1/(指数走势!$F$36:$ACK$36&lt;&gt;""),COLUMN(指数走势!$F$36:$ACK$36))-COLUMN(指数走势!$F$36)+1-760+670)),NA(),IF(INDEX(指数走势!$F$36:$ACK$36,1,LOOKUP(2,1/(指数走势!$F$36:$ACK$36&lt;&gt;""),COLUMN(指数走势!$F$36:$ACK$36))-COLUMN(指数走势!$F$36)+1-760+670)=0,NA(),INDEX(指数走势!$F$36:$ACK$36,1,LOOKUP(2,1/(指数走势!$F$36:$ACK$36&lt;&gt;""),COLUMN(指数走势!$F$36:$ACK$36))-COLUMN(指数走势!$F$36)+1-760+670)))</f>
        <v>42.1204986572266</v>
      </c>
      <c r="YV100">
        <f>IF(ISERROR(INDEX(指数走势!$F$36:$ACK$36,1,LOOKUP(2,1/(指数走势!$F$36:$ACK$36&lt;&gt;""),COLUMN(指数走势!$F$36:$ACK$36))-COLUMN(指数走势!$F$36)+1-760+671)),NA(),IF(INDEX(指数走势!$F$36:$ACK$36,1,LOOKUP(2,1/(指数走势!$F$36:$ACK$36&lt;&gt;""),COLUMN(指数走势!$F$36:$ACK$36))-COLUMN(指数走势!$F$36)+1-760+671)=0,NA(),INDEX(指数走势!$F$36:$ACK$36,1,LOOKUP(2,1/(指数走势!$F$36:$ACK$36&lt;&gt;""),COLUMN(指数走势!$F$36:$ACK$36))-COLUMN(指数走势!$F$36)+1-760+671)))</f>
        <v>42.5005989074707</v>
      </c>
      <c r="YW100">
        <f>IF(ISERROR(INDEX(指数走势!$F$36:$ACK$36,1,LOOKUP(2,1/(指数走势!$F$36:$ACK$36&lt;&gt;""),COLUMN(指数走势!$F$36:$ACK$36))-COLUMN(指数走势!$F$36)+1-760+672)),NA(),IF(INDEX(指数走势!$F$36:$ACK$36,1,LOOKUP(2,1/(指数走势!$F$36:$ACK$36&lt;&gt;""),COLUMN(指数走势!$F$36:$ACK$36))-COLUMN(指数走势!$F$36)+1-760+672)=0,NA(),INDEX(指数走势!$F$36:$ACK$36,1,LOOKUP(2,1/(指数走势!$F$36:$ACK$36&lt;&gt;""),COLUMN(指数走势!$F$36:$ACK$36))-COLUMN(指数走势!$F$36)+1-760+672)))</f>
        <v>43.5896987915039</v>
      </c>
      <c r="YX100">
        <f>IF(ISERROR(INDEX(指数走势!$F$36:$ACK$36,1,LOOKUP(2,1/(指数走势!$F$36:$ACK$36&lt;&gt;""),COLUMN(指数走势!$F$36:$ACK$36))-COLUMN(指数走势!$F$36)+1-760+673)),NA(),IF(INDEX(指数走势!$F$36:$ACK$36,1,LOOKUP(2,1/(指数走势!$F$36:$ACK$36&lt;&gt;""),COLUMN(指数走势!$F$36:$ACK$36))-COLUMN(指数走势!$F$36)+1-760+673)=0,NA(),INDEX(指数走势!$F$36:$ACK$36,1,LOOKUP(2,1/(指数走势!$F$36:$ACK$36&lt;&gt;""),COLUMN(指数走势!$F$36:$ACK$36))-COLUMN(指数走势!$F$36)+1-760+673)))</f>
        <v>43.4897003173828</v>
      </c>
      <c r="YY100">
        <f>IF(ISERROR(INDEX(指数走势!$F$36:$ACK$36,1,LOOKUP(2,1/(指数走势!$F$36:$ACK$36&lt;&gt;""),COLUMN(指数走势!$F$36:$ACK$36))-COLUMN(指数走势!$F$36)+1-760+674)),NA(),IF(INDEX(指数走势!$F$36:$ACK$36,1,LOOKUP(2,1/(指数走势!$F$36:$ACK$36&lt;&gt;""),COLUMN(指数走势!$F$36:$ACK$36))-COLUMN(指数走势!$F$36)+1-760+674)=0,NA(),INDEX(指数走势!$F$36:$ACK$36,1,LOOKUP(2,1/(指数走势!$F$36:$ACK$36&lt;&gt;""),COLUMN(指数走势!$F$36:$ACK$36))-COLUMN(指数走势!$F$36)+1-760+674)))</f>
        <v>43.3207015991211</v>
      </c>
      <c r="YZ100">
        <f>IF(ISERROR(INDEX(指数走势!$F$36:$ACK$36,1,LOOKUP(2,1/(指数走势!$F$36:$ACK$36&lt;&gt;""),COLUMN(指数走势!$F$36:$ACK$36))-COLUMN(指数走势!$F$36)+1-760+675)),NA(),IF(INDEX(指数走势!$F$36:$ACK$36,1,LOOKUP(2,1/(指数走势!$F$36:$ACK$36&lt;&gt;""),COLUMN(指数走势!$F$36:$ACK$36))-COLUMN(指数走势!$F$36)+1-760+675)=0,NA(),INDEX(指数走势!$F$36:$ACK$36,1,LOOKUP(2,1/(指数走势!$F$36:$ACK$36&lt;&gt;""),COLUMN(指数走势!$F$36:$ACK$36))-COLUMN(指数走势!$F$36)+1-760+675)))</f>
        <v>42.5606002807617</v>
      </c>
      <c r="ZA100">
        <f>IF(ISERROR(INDEX(指数走势!$F$36:$ACK$36,1,LOOKUP(2,1/(指数走势!$F$36:$ACK$36&lt;&gt;""),COLUMN(指数走势!$F$36:$ACK$36))-COLUMN(指数走势!$F$36)+1-760+676)),NA(),IF(INDEX(指数走势!$F$36:$ACK$36,1,LOOKUP(2,1/(指数走势!$F$36:$ACK$36&lt;&gt;""),COLUMN(指数走势!$F$36:$ACK$36))-COLUMN(指数走势!$F$36)+1-760+676)=0,NA(),INDEX(指数走势!$F$36:$ACK$36,1,LOOKUP(2,1/(指数走势!$F$36:$ACK$36&lt;&gt;""),COLUMN(指数走势!$F$36:$ACK$36))-COLUMN(指数走势!$F$36)+1-760+676)))</f>
        <v>41.4452018737793</v>
      </c>
      <c r="ZB100">
        <f>IF(ISERROR(INDEX(指数走势!$F$36:$ACK$36,1,LOOKUP(2,1/(指数走势!$F$36:$ACK$36&lt;&gt;""),COLUMN(指数走势!$F$36:$ACK$36))-COLUMN(指数走势!$F$36)+1-760+677)),NA(),IF(INDEX(指数走势!$F$36:$ACK$36,1,LOOKUP(2,1/(指数走势!$F$36:$ACK$36&lt;&gt;""),COLUMN(指数走势!$F$36:$ACK$36))-COLUMN(指数走势!$F$36)+1-760+677)=0,NA(),INDEX(指数走势!$F$36:$ACK$36,1,LOOKUP(2,1/(指数走势!$F$36:$ACK$36&lt;&gt;""),COLUMN(指数走势!$F$36:$ACK$36))-COLUMN(指数走势!$F$36)+1-760+677)))</f>
        <v>40.9686012268066</v>
      </c>
      <c r="ZC100">
        <f>IF(ISERROR(INDEX(指数走势!$F$36:$ACK$36,1,LOOKUP(2,1/(指数走势!$F$36:$ACK$36&lt;&gt;""),COLUMN(指数走势!$F$36:$ACK$36))-COLUMN(指数走势!$F$36)+1-760+678)),NA(),IF(INDEX(指数走势!$F$36:$ACK$36,1,LOOKUP(2,1/(指数走势!$F$36:$ACK$36&lt;&gt;""),COLUMN(指数走势!$F$36:$ACK$36))-COLUMN(指数走势!$F$36)+1-760+678)=0,NA(),INDEX(指数走势!$F$36:$ACK$36,1,LOOKUP(2,1/(指数走势!$F$36:$ACK$36&lt;&gt;""),COLUMN(指数走势!$F$36:$ACK$36))-COLUMN(指数走势!$F$36)+1-760+678)))</f>
        <v>41.5164985656738</v>
      </c>
      <c r="ZD100">
        <f>IF(ISERROR(INDEX(指数走势!$F$36:$ACK$36,1,LOOKUP(2,1/(指数走势!$F$36:$ACK$36&lt;&gt;""),COLUMN(指数走势!$F$36:$ACK$36))-COLUMN(指数走势!$F$36)+1-760+679)),NA(),IF(INDEX(指数走势!$F$36:$ACK$36,1,LOOKUP(2,1/(指数走势!$F$36:$ACK$36&lt;&gt;""),COLUMN(指数走势!$F$36:$ACK$36))-COLUMN(指数走势!$F$36)+1-760+679)=0,NA(),INDEX(指数走势!$F$36:$ACK$36,1,LOOKUP(2,1/(指数走势!$F$36:$ACK$36&lt;&gt;""),COLUMN(指数走势!$F$36:$ACK$36))-COLUMN(指数走势!$F$36)+1-760+679)))</f>
        <v>41.709300994873</v>
      </c>
      <c r="ZE100">
        <f>IF(ISERROR(INDEX(指数走势!$F$36:$ACK$36,1,LOOKUP(2,1/(指数走势!$F$36:$ACK$36&lt;&gt;""),COLUMN(指数走势!$F$36:$ACK$36))-COLUMN(指数走势!$F$36)+1-760+680)),NA(),IF(INDEX(指数走势!$F$36:$ACK$36,1,LOOKUP(2,1/(指数走势!$F$36:$ACK$36&lt;&gt;""),COLUMN(指数走势!$F$36:$ACK$36))-COLUMN(指数走势!$F$36)+1-760+680)=0,NA(),INDEX(指数走势!$F$36:$ACK$36,1,LOOKUP(2,1/(指数走势!$F$36:$ACK$36&lt;&gt;""),COLUMN(指数走势!$F$36:$ACK$36))-COLUMN(指数走势!$F$36)+1-760+680)))</f>
        <v>41.5237998962402</v>
      </c>
      <c r="ZF100">
        <f>IF(ISERROR(INDEX(指数走势!$F$36:$ACK$36,1,LOOKUP(2,1/(指数走势!$F$36:$ACK$36&lt;&gt;""),COLUMN(指数走势!$F$36:$ACK$36))-COLUMN(指数走势!$F$36)+1-760+681)),NA(),IF(INDEX(指数走势!$F$36:$ACK$36,1,LOOKUP(2,1/(指数走势!$F$36:$ACK$36&lt;&gt;""),COLUMN(指数走势!$F$36:$ACK$36))-COLUMN(指数走势!$F$36)+1-760+681)=0,NA(),INDEX(指数走势!$F$36:$ACK$36,1,LOOKUP(2,1/(指数走势!$F$36:$ACK$36&lt;&gt;""),COLUMN(指数走势!$F$36:$ACK$36))-COLUMN(指数走势!$F$36)+1-760+681)))</f>
        <v>40.9660987854004</v>
      </c>
      <c r="ZG100">
        <f>IF(ISERROR(INDEX(指数走势!$F$36:$ACK$36,1,LOOKUP(2,1/(指数走势!$F$36:$ACK$36&lt;&gt;""),COLUMN(指数走势!$F$36:$ACK$36))-COLUMN(指数走势!$F$36)+1-760+682)),NA(),IF(INDEX(指数走势!$F$36:$ACK$36,1,LOOKUP(2,1/(指数走势!$F$36:$ACK$36&lt;&gt;""),COLUMN(指数走势!$F$36:$ACK$36))-COLUMN(指数走势!$F$36)+1-760+682)=0,NA(),INDEX(指数走势!$F$36:$ACK$36,1,LOOKUP(2,1/(指数走势!$F$36:$ACK$36&lt;&gt;""),COLUMN(指数走势!$F$36:$ACK$36))-COLUMN(指数走势!$F$36)+1-760+682)))</f>
        <v>41.5439987182617</v>
      </c>
      <c r="ZH100">
        <f>IF(ISERROR(INDEX(指数走势!$F$36:$ACK$36,1,LOOKUP(2,1/(指数走势!$F$36:$ACK$36&lt;&gt;""),COLUMN(指数走势!$F$36:$ACK$36))-COLUMN(指数走势!$F$36)+1-760+683)),NA(),IF(INDEX(指数走势!$F$36:$ACK$36,1,LOOKUP(2,1/(指数走势!$F$36:$ACK$36&lt;&gt;""),COLUMN(指数走势!$F$36:$ACK$36))-COLUMN(指数走势!$F$36)+1-760+683)=0,NA(),INDEX(指数走势!$F$36:$ACK$36,1,LOOKUP(2,1/(指数走势!$F$36:$ACK$36&lt;&gt;""),COLUMN(指数走势!$F$36:$ACK$36))-COLUMN(指数走势!$F$36)+1-760+683)))</f>
        <v>41.1963996887207</v>
      </c>
      <c r="ZI100">
        <f>IF(ISERROR(INDEX(指数走势!$F$36:$ACK$36,1,LOOKUP(2,1/(指数走势!$F$36:$ACK$36&lt;&gt;""),COLUMN(指数走势!$F$36:$ACK$36))-COLUMN(指数走势!$F$36)+1-760+684)),NA(),IF(INDEX(指数走势!$F$36:$ACK$36,1,LOOKUP(2,1/(指数走势!$F$36:$ACK$36&lt;&gt;""),COLUMN(指数走势!$F$36:$ACK$36))-COLUMN(指数走势!$F$36)+1-760+684)=0,NA(),INDEX(指数走势!$F$36:$ACK$36,1,LOOKUP(2,1/(指数走势!$F$36:$ACK$36&lt;&gt;""),COLUMN(指数走势!$F$36:$ACK$36))-COLUMN(指数走势!$F$36)+1-760+684)))</f>
        <v>40.943000793457</v>
      </c>
      <c r="ZJ100">
        <f>IF(ISERROR(INDEX(指数走势!$F$36:$ACK$36,1,LOOKUP(2,1/(指数走势!$F$36:$ACK$36&lt;&gt;""),COLUMN(指数走势!$F$36:$ACK$36))-COLUMN(指数走势!$F$36)+1-760+685)),NA(),IF(INDEX(指数走势!$F$36:$ACK$36,1,LOOKUP(2,1/(指数走势!$F$36:$ACK$36&lt;&gt;""),COLUMN(指数走势!$F$36:$ACK$36))-COLUMN(指数走势!$F$36)+1-760+685)=0,NA(),INDEX(指数走势!$F$36:$ACK$36,1,LOOKUP(2,1/(指数走势!$F$36:$ACK$36&lt;&gt;""),COLUMN(指数走势!$F$36:$ACK$36))-COLUMN(指数走势!$F$36)+1-760+685)))</f>
        <v>41.4653015136719</v>
      </c>
      <c r="ZK100">
        <f>IF(ISERROR(INDEX(指数走势!$F$36:$ACK$36,1,LOOKUP(2,1/(指数走势!$F$36:$ACK$36&lt;&gt;""),COLUMN(指数走势!$F$36:$ACK$36))-COLUMN(指数走势!$F$36)+1-760+686)),NA(),IF(INDEX(指数走势!$F$36:$ACK$36,1,LOOKUP(2,1/(指数走势!$F$36:$ACK$36&lt;&gt;""),COLUMN(指数走势!$F$36:$ACK$36))-COLUMN(指数走势!$F$36)+1-760+686)=0,NA(),INDEX(指数走势!$F$36:$ACK$36,1,LOOKUP(2,1/(指数走势!$F$36:$ACK$36&lt;&gt;""),COLUMN(指数走势!$F$36:$ACK$36))-COLUMN(指数走势!$F$36)+1-760+686)))</f>
        <v>40.546501159668</v>
      </c>
      <c r="ZL100">
        <f>IF(ISERROR(INDEX(指数走势!$F$36:$ACK$36,1,LOOKUP(2,1/(指数走势!$F$36:$ACK$36&lt;&gt;""),COLUMN(指数走势!$F$36:$ACK$36))-COLUMN(指数走势!$F$36)+1-760+687)),NA(),IF(INDEX(指数走势!$F$36:$ACK$36,1,LOOKUP(2,1/(指数走势!$F$36:$ACK$36&lt;&gt;""),COLUMN(指数走势!$F$36:$ACK$36))-COLUMN(指数走势!$F$36)+1-760+687)=0,NA(),INDEX(指数走势!$F$36:$ACK$36,1,LOOKUP(2,1/(指数走势!$F$36:$ACK$36&lt;&gt;""),COLUMN(指数走势!$F$36:$ACK$36))-COLUMN(指数走势!$F$36)+1-760+687)))</f>
        <v>41.163200378418</v>
      </c>
      <c r="ZM100">
        <f>IF(ISERROR(INDEX(指数走势!$F$36:$ACK$36,1,LOOKUP(2,1/(指数走势!$F$36:$ACK$36&lt;&gt;""),COLUMN(指数走势!$F$36:$ACK$36))-COLUMN(指数走势!$F$36)+1-760+688)),NA(),IF(INDEX(指数走势!$F$36:$ACK$36,1,LOOKUP(2,1/(指数走势!$F$36:$ACK$36&lt;&gt;""),COLUMN(指数走势!$F$36:$ACK$36))-COLUMN(指数走势!$F$36)+1-760+688)=0,NA(),INDEX(指数走势!$F$36:$ACK$36,1,LOOKUP(2,1/(指数走势!$F$36:$ACK$36&lt;&gt;""),COLUMN(指数走势!$F$36:$ACK$36))-COLUMN(指数走势!$F$36)+1-760+688)))</f>
        <v>40.6641998291016</v>
      </c>
      <c r="ZN100">
        <f>IF(ISERROR(INDEX(指数走势!$F$36:$ACK$36,1,LOOKUP(2,1/(指数走势!$F$36:$ACK$36&lt;&gt;""),COLUMN(指数走势!$F$36:$ACK$36))-COLUMN(指数走势!$F$36)+1-760+689)),NA(),IF(INDEX(指数走势!$F$36:$ACK$36,1,LOOKUP(2,1/(指数走势!$F$36:$ACK$36&lt;&gt;""),COLUMN(指数走势!$F$36:$ACK$36))-COLUMN(指数走势!$F$36)+1-760+689)=0,NA(),INDEX(指数走势!$F$36:$ACK$36,1,LOOKUP(2,1/(指数走势!$F$36:$ACK$36&lt;&gt;""),COLUMN(指数走势!$F$36:$ACK$36))-COLUMN(指数走势!$F$36)+1-760+689)))</f>
        <v>41.1810989379883</v>
      </c>
      <c r="ZO100">
        <f>IF(ISERROR(INDEX(指数走势!$F$36:$ACK$36,1,LOOKUP(2,1/(指数走势!$F$36:$ACK$36&lt;&gt;""),COLUMN(指数走势!$F$36:$ACK$36))-COLUMN(指数走势!$F$36)+1-760+690)),NA(),IF(INDEX(指数走势!$F$36:$ACK$36,1,LOOKUP(2,1/(指数走势!$F$36:$ACK$36&lt;&gt;""),COLUMN(指数走势!$F$36:$ACK$36))-COLUMN(指数走势!$F$36)+1-760+690)=0,NA(),INDEX(指数走势!$F$36:$ACK$36,1,LOOKUP(2,1/(指数走势!$F$36:$ACK$36&lt;&gt;""),COLUMN(指数走势!$F$36:$ACK$36))-COLUMN(指数走势!$F$36)+1-760+690)))</f>
        <v>39.7238998413086</v>
      </c>
      <c r="ZP100">
        <f>IF(ISERROR(INDEX(指数走势!$F$36:$ACK$36,1,LOOKUP(2,1/(指数走势!$F$36:$ACK$36&lt;&gt;""),COLUMN(指数走势!$F$36:$ACK$36))-COLUMN(指数走势!$F$36)+1-760+691)),NA(),IF(INDEX(指数走势!$F$36:$ACK$36,1,LOOKUP(2,1/(指数走势!$F$36:$ACK$36&lt;&gt;""),COLUMN(指数走势!$F$36:$ACK$36))-COLUMN(指数走势!$F$36)+1-760+691)=0,NA(),INDEX(指数走势!$F$36:$ACK$36,1,LOOKUP(2,1/(指数走势!$F$36:$ACK$36&lt;&gt;""),COLUMN(指数走势!$F$36:$ACK$36))-COLUMN(指数走势!$F$36)+1-760+691)))</f>
        <v>39.9355010986328</v>
      </c>
      <c r="ZQ100">
        <f>IF(ISERROR(INDEX(指数走势!$F$36:$ACK$36,1,LOOKUP(2,1/(指数走势!$F$36:$ACK$36&lt;&gt;""),COLUMN(指数走势!$F$36:$ACK$36))-COLUMN(指数走势!$F$36)+1-760+692)),NA(),IF(INDEX(指数走势!$F$36:$ACK$36,1,LOOKUP(2,1/(指数走势!$F$36:$ACK$36&lt;&gt;""),COLUMN(指数走势!$F$36:$ACK$36))-COLUMN(指数走势!$F$36)+1-760+692)=0,NA(),INDEX(指数走势!$F$36:$ACK$36,1,LOOKUP(2,1/(指数走势!$F$36:$ACK$36&lt;&gt;""),COLUMN(指数走势!$F$36:$ACK$36))-COLUMN(指数走势!$F$36)+1-760+692)))</f>
        <v>40.7277984619141</v>
      </c>
      <c r="ZR100">
        <f>IF(ISERROR(INDEX(指数走势!$F$36:$ACK$36,1,LOOKUP(2,1/(指数走势!$F$36:$ACK$36&lt;&gt;""),COLUMN(指数走势!$F$36:$ACK$36))-COLUMN(指数走势!$F$36)+1-760+693)),NA(),IF(INDEX(指数走势!$F$36:$ACK$36,1,LOOKUP(2,1/(指数走势!$F$36:$ACK$36&lt;&gt;""),COLUMN(指数走势!$F$36:$ACK$36))-COLUMN(指数走势!$F$36)+1-760+693)=0,NA(),INDEX(指数走势!$F$36:$ACK$36,1,LOOKUP(2,1/(指数走势!$F$36:$ACK$36&lt;&gt;""),COLUMN(指数走势!$F$36:$ACK$36))-COLUMN(指数走势!$F$36)+1-760+693)))</f>
        <v>40.1912994384766</v>
      </c>
      <c r="ZS100">
        <f>IF(ISERROR(INDEX(指数走势!$F$36:$ACK$36,1,LOOKUP(2,1/(指数走势!$F$36:$ACK$36&lt;&gt;""),COLUMN(指数走势!$F$36:$ACK$36))-COLUMN(指数走势!$F$36)+1-760+694)),NA(),IF(INDEX(指数走势!$F$36:$ACK$36,1,LOOKUP(2,1/(指数走势!$F$36:$ACK$36&lt;&gt;""),COLUMN(指数走势!$F$36:$ACK$36))-COLUMN(指数走势!$F$36)+1-760+694)=0,NA(),INDEX(指数走势!$F$36:$ACK$36,1,LOOKUP(2,1/(指数走势!$F$36:$ACK$36&lt;&gt;""),COLUMN(指数走势!$F$36:$ACK$36))-COLUMN(指数走势!$F$36)+1-760+694)))</f>
        <v>40.5610008239746</v>
      </c>
      <c r="ZT100">
        <f>IF(ISERROR(INDEX(指数走势!$F$36:$ACK$36,1,LOOKUP(2,1/(指数走势!$F$36:$ACK$36&lt;&gt;""),COLUMN(指数走势!$F$36:$ACK$36))-COLUMN(指数走势!$F$36)+1-760+695)),NA(),IF(INDEX(指数走势!$F$36:$ACK$36,1,LOOKUP(2,1/(指数走势!$F$36:$ACK$36&lt;&gt;""),COLUMN(指数走势!$F$36:$ACK$36))-COLUMN(指数走势!$F$36)+1-760+695)=0,NA(),INDEX(指数走势!$F$36:$ACK$36,1,LOOKUP(2,1/(指数走势!$F$36:$ACK$36&lt;&gt;""),COLUMN(指数走势!$F$36:$ACK$36))-COLUMN(指数走势!$F$36)+1-760+695)))</f>
        <v>40.1787986755371</v>
      </c>
      <c r="ZU100">
        <f>IF(ISERROR(INDEX(指数走势!$F$36:$ACK$36,1,LOOKUP(2,1/(指数走势!$F$36:$ACK$36&lt;&gt;""),COLUMN(指数走势!$F$36:$ACK$36))-COLUMN(指数走势!$F$36)+1-760+696)),NA(),IF(INDEX(指数走势!$F$36:$ACK$36,1,LOOKUP(2,1/(指数走势!$F$36:$ACK$36&lt;&gt;""),COLUMN(指数走势!$F$36:$ACK$36))-COLUMN(指数走势!$F$36)+1-760+696)=0,NA(),INDEX(指数走势!$F$36:$ACK$36,1,LOOKUP(2,1/(指数走势!$F$36:$ACK$36&lt;&gt;""),COLUMN(指数走势!$F$36:$ACK$36))-COLUMN(指数走势!$F$36)+1-760+696)))</f>
        <v>38.9211006164551</v>
      </c>
      <c r="ZV100">
        <f>IF(ISERROR(INDEX(指数走势!$F$36:$ACK$36,1,LOOKUP(2,1/(指数走势!$F$36:$ACK$36&lt;&gt;""),COLUMN(指数走势!$F$36:$ACK$36))-COLUMN(指数走势!$F$36)+1-760+697)),NA(),IF(INDEX(指数走势!$F$36:$ACK$36,1,LOOKUP(2,1/(指数走势!$F$36:$ACK$36&lt;&gt;""),COLUMN(指数走势!$F$36:$ACK$36))-COLUMN(指数走势!$F$36)+1-760+697)=0,NA(),INDEX(指数走势!$F$36:$ACK$36,1,LOOKUP(2,1/(指数走势!$F$36:$ACK$36&lt;&gt;""),COLUMN(指数走势!$F$36:$ACK$36))-COLUMN(指数走势!$F$36)+1-760+697)))</f>
        <v>40.0592002868652</v>
      </c>
      <c r="ZW100">
        <f>IF(ISERROR(INDEX(指数走势!$F$36:$ACK$36,1,LOOKUP(2,1/(指数走势!$F$36:$ACK$36&lt;&gt;""),COLUMN(指数走势!$F$36:$ACK$36))-COLUMN(指数走势!$F$36)+1-760+698)),NA(),IF(INDEX(指数走势!$F$36:$ACK$36,1,LOOKUP(2,1/(指数走势!$F$36:$ACK$36&lt;&gt;""),COLUMN(指数走势!$F$36:$ACK$36))-COLUMN(指数走势!$F$36)+1-760+698)=0,NA(),INDEX(指数走势!$F$36:$ACK$36,1,LOOKUP(2,1/(指数走势!$F$36:$ACK$36&lt;&gt;""),COLUMN(指数走势!$F$36:$ACK$36))-COLUMN(指数走势!$F$36)+1-760+698)))</f>
        <v>39.173900604248</v>
      </c>
      <c r="ZX100">
        <f>IF(ISERROR(INDEX(指数走势!$F$36:$ACK$36,1,LOOKUP(2,1/(指数走势!$F$36:$ACK$36&lt;&gt;""),COLUMN(指数走势!$F$36:$ACK$36))-COLUMN(指数走势!$F$36)+1-760+699)),NA(),IF(INDEX(指数走势!$F$36:$ACK$36,1,LOOKUP(2,1/(指数走势!$F$36:$ACK$36&lt;&gt;""),COLUMN(指数走势!$F$36:$ACK$36))-COLUMN(指数走势!$F$36)+1-760+699)=0,NA(),INDEX(指数走势!$F$36:$ACK$36,1,LOOKUP(2,1/(指数走势!$F$36:$ACK$36&lt;&gt;""),COLUMN(指数走势!$F$36:$ACK$36))-COLUMN(指数走势!$F$36)+1-760+699)))</f>
        <v>38.7901000976563</v>
      </c>
      <c r="ZY100">
        <f>IF(ISERROR(INDEX(指数走势!$F$36:$ACK$36,1,LOOKUP(2,1/(指数走势!$F$36:$ACK$36&lt;&gt;""),COLUMN(指数走势!$F$36:$ACK$36))-COLUMN(指数走势!$F$36)+1-760+700)),NA(),IF(INDEX(指数走势!$F$36:$ACK$36,1,LOOKUP(2,1/(指数走势!$F$36:$ACK$36&lt;&gt;""),COLUMN(指数走势!$F$36:$ACK$36))-COLUMN(指数走势!$F$36)+1-760+700)=0,NA(),INDEX(指数走势!$F$36:$ACK$36,1,LOOKUP(2,1/(指数走势!$F$36:$ACK$36&lt;&gt;""),COLUMN(指数走势!$F$36:$ACK$36))-COLUMN(指数走势!$F$36)+1-760+700)))</f>
        <v>38.9216995239258</v>
      </c>
      <c r="ZZ100">
        <f>IF(ISERROR(INDEX(指数走势!$F$36:$ACK$36,1,LOOKUP(2,1/(指数走势!$F$36:$ACK$36&lt;&gt;""),COLUMN(指数走势!$F$36:$ACK$36))-COLUMN(指数走势!$F$36)+1-760+701)),NA(),IF(INDEX(指数走势!$F$36:$ACK$36,1,LOOKUP(2,1/(指数走势!$F$36:$ACK$36&lt;&gt;""),COLUMN(指数走势!$F$36:$ACK$36))-COLUMN(指数走势!$F$36)+1-760+701)=0,NA(),INDEX(指数走势!$F$36:$ACK$36,1,LOOKUP(2,1/(指数走势!$F$36:$ACK$36&lt;&gt;""),COLUMN(指数走势!$F$36:$ACK$36))-COLUMN(指数走势!$F$36)+1-760+701)))</f>
        <v>41.0360984802246</v>
      </c>
      <c r="AAA100">
        <f>IF(ISERROR(INDEX(指数走势!$F$36:$ACK$36,1,LOOKUP(2,1/(指数走势!$F$36:$ACK$36&lt;&gt;""),COLUMN(指数走势!$F$36:$ACK$36))-COLUMN(指数走势!$F$36)+1-760+702)),NA(),IF(INDEX(指数走势!$F$36:$ACK$36,1,LOOKUP(2,1/(指数走势!$F$36:$ACK$36&lt;&gt;""),COLUMN(指数走势!$F$36:$ACK$36))-COLUMN(指数走势!$F$36)+1-760+702)=0,NA(),INDEX(指数走势!$F$36:$ACK$36,1,LOOKUP(2,1/(指数走势!$F$36:$ACK$36&lt;&gt;""),COLUMN(指数走势!$F$36:$ACK$36))-COLUMN(指数走势!$F$36)+1-760+702)))</f>
        <v>40.7549018859863</v>
      </c>
      <c r="AAB100">
        <f>IF(ISERROR(INDEX(指数走势!$F$36:$ACK$36,1,LOOKUP(2,1/(指数走势!$F$36:$ACK$36&lt;&gt;""),COLUMN(指数走势!$F$36:$ACK$36))-COLUMN(指数走势!$F$36)+1-760+703)),NA(),IF(INDEX(指数走势!$F$36:$ACK$36,1,LOOKUP(2,1/(指数走势!$F$36:$ACK$36&lt;&gt;""),COLUMN(指数走势!$F$36:$ACK$36))-COLUMN(指数走势!$F$36)+1-760+703)=0,NA(),INDEX(指数走势!$F$36:$ACK$36,1,LOOKUP(2,1/(指数走势!$F$36:$ACK$36&lt;&gt;""),COLUMN(指数走势!$F$36:$ACK$36))-COLUMN(指数走势!$F$36)+1-760+703)))</f>
        <v>42.1535987854004</v>
      </c>
      <c r="AAC100">
        <f>IF(ISERROR(INDEX(指数走势!$F$36:$ACK$36,1,LOOKUP(2,1/(指数走势!$F$36:$ACK$36&lt;&gt;""),COLUMN(指数走势!$F$36:$ACK$36))-COLUMN(指数走势!$F$36)+1-760+704)),NA(),IF(INDEX(指数走势!$F$36:$ACK$36,1,LOOKUP(2,1/(指数走势!$F$36:$ACK$36&lt;&gt;""),COLUMN(指数走势!$F$36:$ACK$36))-COLUMN(指数走势!$F$36)+1-760+704)=0,NA(),INDEX(指数走势!$F$36:$ACK$36,1,LOOKUP(2,1/(指数走势!$F$36:$ACK$36&lt;&gt;""),COLUMN(指数走势!$F$36:$ACK$36))-COLUMN(指数走势!$F$36)+1-760+704)))</f>
        <v>42.4528999328613</v>
      </c>
      <c r="AAD100">
        <f>IF(ISERROR(INDEX(指数走势!$F$36:$ACK$36,1,LOOKUP(2,1/(指数走势!$F$36:$ACK$36&lt;&gt;""),COLUMN(指数走势!$F$36:$ACK$36))-COLUMN(指数走势!$F$36)+1-760+705)),NA(),IF(INDEX(指数走势!$F$36:$ACK$36,1,LOOKUP(2,1/(指数走势!$F$36:$ACK$36&lt;&gt;""),COLUMN(指数走势!$F$36:$ACK$36))-COLUMN(指数走势!$F$36)+1-760+705)=0,NA(),INDEX(指数走势!$F$36:$ACK$36,1,LOOKUP(2,1/(指数走势!$F$36:$ACK$36&lt;&gt;""),COLUMN(指数走势!$F$36:$ACK$36))-COLUMN(指数走势!$F$36)+1-760+705)))</f>
        <v>43.3886985778809</v>
      </c>
      <c r="AAE100">
        <f>IF(ISERROR(INDEX(指数走势!$F$36:$ACK$36,1,LOOKUP(2,1/(指数走势!$F$36:$ACK$36&lt;&gt;""),COLUMN(指数走势!$F$36:$ACK$36))-COLUMN(指数走势!$F$36)+1-760+706)),NA(),IF(INDEX(指数走势!$F$36:$ACK$36,1,LOOKUP(2,1/(指数走势!$F$36:$ACK$36&lt;&gt;""),COLUMN(指数走势!$F$36:$ACK$36))-COLUMN(指数走势!$F$36)+1-760+706)=0,NA(),INDEX(指数走势!$F$36:$ACK$36,1,LOOKUP(2,1/(指数走势!$F$36:$ACK$36&lt;&gt;""),COLUMN(指数走势!$F$36:$ACK$36))-COLUMN(指数走势!$F$36)+1-760+706)))</f>
        <v>42.9401016235352</v>
      </c>
      <c r="AAF100">
        <f>IF(ISERROR(INDEX(指数走势!$F$36:$ACK$36,1,LOOKUP(2,1/(指数走势!$F$36:$ACK$36&lt;&gt;""),COLUMN(指数走势!$F$36:$ACK$36))-COLUMN(指数走势!$F$36)+1-760+707)),NA(),IF(INDEX(指数走势!$F$36:$ACK$36,1,LOOKUP(2,1/(指数走势!$F$36:$ACK$36&lt;&gt;""),COLUMN(指数走势!$F$36:$ACK$36))-COLUMN(指数走势!$F$36)+1-760+707)=0,NA(),INDEX(指数走势!$F$36:$ACK$36,1,LOOKUP(2,1/(指数走势!$F$36:$ACK$36&lt;&gt;""),COLUMN(指数走势!$F$36:$ACK$36))-COLUMN(指数走势!$F$36)+1-760+707)))</f>
        <v>42.9044990539551</v>
      </c>
      <c r="AAG100">
        <f>IF(ISERROR(INDEX(指数走势!$F$36:$ACK$36,1,LOOKUP(2,1/(指数走势!$F$36:$ACK$36&lt;&gt;""),COLUMN(指数走势!$F$36:$ACK$36))-COLUMN(指数走势!$F$36)+1-760+708)),NA(),IF(INDEX(指数走势!$F$36:$ACK$36,1,LOOKUP(2,1/(指数走势!$F$36:$ACK$36&lt;&gt;""),COLUMN(指数走势!$F$36:$ACK$36))-COLUMN(指数走势!$F$36)+1-760+708)=0,NA(),INDEX(指数走势!$F$36:$ACK$36,1,LOOKUP(2,1/(指数走势!$F$36:$ACK$36&lt;&gt;""),COLUMN(指数走势!$F$36:$ACK$36))-COLUMN(指数走势!$F$36)+1-760+708)))</f>
        <v>42.5494003295898</v>
      </c>
      <c r="AAH100">
        <f>IF(ISERROR(INDEX(指数走势!$F$36:$ACK$36,1,LOOKUP(2,1/(指数走势!$F$36:$ACK$36&lt;&gt;""),COLUMN(指数走势!$F$36:$ACK$36))-COLUMN(指数走势!$F$36)+1-760+709)),NA(),IF(INDEX(指数走势!$F$36:$ACK$36,1,LOOKUP(2,1/(指数走势!$F$36:$ACK$36&lt;&gt;""),COLUMN(指数走势!$F$36:$ACK$36))-COLUMN(指数走势!$F$36)+1-760+709)=0,NA(),INDEX(指数走势!$F$36:$ACK$36,1,LOOKUP(2,1/(指数走势!$F$36:$ACK$36&lt;&gt;""),COLUMN(指数走势!$F$36:$ACK$36))-COLUMN(指数走势!$F$36)+1-760+709)))</f>
        <v>42.5013008117676</v>
      </c>
      <c r="AAI100">
        <f>IF(ISERROR(INDEX(指数走势!$F$36:$ACK$36,1,LOOKUP(2,1/(指数走势!$F$36:$ACK$36&lt;&gt;""),COLUMN(指数走势!$F$36:$ACK$36))-COLUMN(指数走势!$F$36)+1-760+710)),NA(),IF(INDEX(指数走势!$F$36:$ACK$36,1,LOOKUP(2,1/(指数走势!$F$36:$ACK$36&lt;&gt;""),COLUMN(指数走势!$F$36:$ACK$36))-COLUMN(指数走势!$F$36)+1-760+710)=0,NA(),INDEX(指数走势!$F$36:$ACK$36,1,LOOKUP(2,1/(指数走势!$F$36:$ACK$36&lt;&gt;""),COLUMN(指数走势!$F$36:$ACK$36))-COLUMN(指数走势!$F$36)+1-760+710)))</f>
        <v>42.5494003295898</v>
      </c>
      <c r="AAJ100">
        <f>IF(ISERROR(INDEX(指数走势!$F$36:$ACK$36,1,LOOKUP(2,1/(指数走势!$F$36:$ACK$36&lt;&gt;""),COLUMN(指数走势!$F$36:$ACK$36))-COLUMN(指数走势!$F$36)+1-760+711)),NA(),IF(INDEX(指数走势!$F$36:$ACK$36,1,LOOKUP(2,1/(指数走势!$F$36:$ACK$36&lt;&gt;""),COLUMN(指数走势!$F$36:$ACK$36))-COLUMN(指数走势!$F$36)+1-760+711)=0,NA(),INDEX(指数走势!$F$36:$ACK$36,1,LOOKUP(2,1/(指数走势!$F$36:$ACK$36&lt;&gt;""),COLUMN(指数走势!$F$36:$ACK$36))-COLUMN(指数走势!$F$36)+1-760+711)))</f>
        <v>44.4351005554199</v>
      </c>
      <c r="AAK100">
        <f>IF(ISERROR(INDEX(指数走势!$F$36:$ACK$36,1,LOOKUP(2,1/(指数走势!$F$36:$ACK$36&lt;&gt;""),COLUMN(指数走势!$F$36:$ACK$36))-COLUMN(指数走势!$F$36)+1-760+712)),NA(),IF(INDEX(指数走势!$F$36:$ACK$36,1,LOOKUP(2,1/(指数走势!$F$36:$ACK$36&lt;&gt;""),COLUMN(指数走势!$F$36:$ACK$36))-COLUMN(指数走势!$F$36)+1-760+712)=0,NA(),INDEX(指数走势!$F$36:$ACK$36,1,LOOKUP(2,1/(指数走势!$F$36:$ACK$36&lt;&gt;""),COLUMN(指数走势!$F$36:$ACK$36))-COLUMN(指数走势!$F$36)+1-760+712)))</f>
        <v>43.8745994567871</v>
      </c>
      <c r="AAL100">
        <f>IF(ISERROR(INDEX(指数走势!$F$36:$ACK$36,1,LOOKUP(2,1/(指数走势!$F$36:$ACK$36&lt;&gt;""),COLUMN(指数走势!$F$36:$ACK$36))-COLUMN(指数走势!$F$36)+1-760+713)),NA(),IF(INDEX(指数走势!$F$36:$ACK$36,1,LOOKUP(2,1/(指数走势!$F$36:$ACK$36&lt;&gt;""),COLUMN(指数走势!$F$36:$ACK$36))-COLUMN(指数走势!$F$36)+1-760+713)=0,NA(),INDEX(指数走势!$F$36:$ACK$36,1,LOOKUP(2,1/(指数走势!$F$36:$ACK$36&lt;&gt;""),COLUMN(指数走势!$F$36:$ACK$36))-COLUMN(指数走势!$F$36)+1-760+713)))</f>
        <v>43.1436996459961</v>
      </c>
      <c r="AAM100">
        <f>IF(ISERROR(INDEX(指数走势!$F$36:$ACK$36,1,LOOKUP(2,1/(指数走势!$F$36:$ACK$36&lt;&gt;""),COLUMN(指数走势!$F$36:$ACK$36))-COLUMN(指数走势!$F$36)+1-760+714)),NA(),IF(INDEX(指数走势!$F$36:$ACK$36,1,LOOKUP(2,1/(指数走势!$F$36:$ACK$36&lt;&gt;""),COLUMN(指数走势!$F$36:$ACK$36))-COLUMN(指数走势!$F$36)+1-760+714)=0,NA(),INDEX(指数走势!$F$36:$ACK$36,1,LOOKUP(2,1/(指数走势!$F$36:$ACK$36&lt;&gt;""),COLUMN(指数走势!$F$36:$ACK$36))-COLUMN(指数走势!$F$36)+1-760+714)))</f>
        <v>42.6528015136719</v>
      </c>
      <c r="AAN100">
        <f>IF(ISERROR(INDEX(指数走势!$F$36:$ACK$36,1,LOOKUP(2,1/(指数走势!$F$36:$ACK$36&lt;&gt;""),COLUMN(指数走势!$F$36:$ACK$36))-COLUMN(指数走势!$F$36)+1-760+715)),NA(),IF(INDEX(指数走势!$F$36:$ACK$36,1,LOOKUP(2,1/(指数走势!$F$36:$ACK$36&lt;&gt;""),COLUMN(指数走势!$F$36:$ACK$36))-COLUMN(指数走势!$F$36)+1-760+715)=0,NA(),INDEX(指数走势!$F$36:$ACK$36,1,LOOKUP(2,1/(指数走势!$F$36:$ACK$36&lt;&gt;""),COLUMN(指数走势!$F$36:$ACK$36))-COLUMN(指数走势!$F$36)+1-760+715)))</f>
        <v>43.7216987609863</v>
      </c>
      <c r="AAO100">
        <f>IF(ISERROR(INDEX(指数走势!$F$36:$ACK$36,1,LOOKUP(2,1/(指数走势!$F$36:$ACK$36&lt;&gt;""),COLUMN(指数走势!$F$36:$ACK$36))-COLUMN(指数走势!$F$36)+1-760+716)),NA(),IF(INDEX(指数走势!$F$36:$ACK$36,1,LOOKUP(2,1/(指数走势!$F$36:$ACK$36&lt;&gt;""),COLUMN(指数走势!$F$36:$ACK$36))-COLUMN(指数走势!$F$36)+1-760+716)=0,NA(),INDEX(指数走势!$F$36:$ACK$36,1,LOOKUP(2,1/(指数走势!$F$36:$ACK$36&lt;&gt;""),COLUMN(指数走势!$F$36:$ACK$36))-COLUMN(指数走势!$F$36)+1-760+716)))</f>
        <v>44.657600402832</v>
      </c>
      <c r="AAP100">
        <f>IF(ISERROR(INDEX(指数走势!$F$36:$ACK$36,1,LOOKUP(2,1/(指数走势!$F$36:$ACK$36&lt;&gt;""),COLUMN(指数走势!$F$36:$ACK$36))-COLUMN(指数走势!$F$36)+1-760+717)),NA(),IF(INDEX(指数走势!$F$36:$ACK$36,1,LOOKUP(2,1/(指数走势!$F$36:$ACK$36&lt;&gt;""),COLUMN(指数走势!$F$36:$ACK$36))-COLUMN(指数走势!$F$36)+1-760+717)=0,NA(),INDEX(指数走势!$F$36:$ACK$36,1,LOOKUP(2,1/(指数走势!$F$36:$ACK$36&lt;&gt;""),COLUMN(指数走势!$F$36:$ACK$36))-COLUMN(指数走势!$F$36)+1-760+717)))</f>
        <v>44.4141006469727</v>
      </c>
      <c r="AAQ100">
        <f>IF(ISERROR(INDEX(指数走势!$F$36:$ACK$36,1,LOOKUP(2,1/(指数走势!$F$36:$ACK$36&lt;&gt;""),COLUMN(指数走势!$F$36:$ACK$36))-COLUMN(指数走势!$F$36)+1-760+718)),NA(),IF(INDEX(指数走势!$F$36:$ACK$36,1,LOOKUP(2,1/(指数走势!$F$36:$ACK$36&lt;&gt;""),COLUMN(指数走势!$F$36:$ACK$36))-COLUMN(指数走势!$F$36)+1-760+718)=0,NA(),INDEX(指数走势!$F$36:$ACK$36,1,LOOKUP(2,1/(指数走势!$F$36:$ACK$36&lt;&gt;""),COLUMN(指数走势!$F$36:$ACK$36))-COLUMN(指数走势!$F$36)+1-760+718)))</f>
        <v>45.8769989013672</v>
      </c>
      <c r="AAR100">
        <f>IF(ISERROR(INDEX(指数走势!$F$36:$ACK$36,1,LOOKUP(2,1/(指数走势!$F$36:$ACK$36&lt;&gt;""),COLUMN(指数走势!$F$36:$ACK$36))-COLUMN(指数走势!$F$36)+1-760+719)),NA(),IF(INDEX(指数走势!$F$36:$ACK$36,1,LOOKUP(2,1/(指数走势!$F$36:$ACK$36&lt;&gt;""),COLUMN(指数走势!$F$36:$ACK$36))-COLUMN(指数走势!$F$36)+1-760+719)=0,NA(),INDEX(指数走势!$F$36:$ACK$36,1,LOOKUP(2,1/(指数走势!$F$36:$ACK$36&lt;&gt;""),COLUMN(指数走势!$F$36:$ACK$36))-COLUMN(指数走势!$F$36)+1-760+719)))</f>
        <v>46.3750991821289</v>
      </c>
      <c r="AAS100">
        <f>IF(ISERROR(INDEX(指数走势!$F$36:$ACK$36,1,LOOKUP(2,1/(指数走势!$F$36:$ACK$36&lt;&gt;""),COLUMN(指数走势!$F$36:$ACK$36))-COLUMN(指数走势!$F$36)+1-760+720)),NA(),IF(INDEX(指数走势!$F$36:$ACK$36,1,LOOKUP(2,1/(指数走势!$F$36:$ACK$36&lt;&gt;""),COLUMN(指数走势!$F$36:$ACK$36))-COLUMN(指数走势!$F$36)+1-760+720)=0,NA(),INDEX(指数走势!$F$36:$ACK$36,1,LOOKUP(2,1/(指数走势!$F$36:$ACK$36&lt;&gt;""),COLUMN(指数走势!$F$36:$ACK$36))-COLUMN(指数走势!$F$36)+1-760+720)))</f>
        <v>45.9516983032227</v>
      </c>
      <c r="AAT100">
        <f>IF(ISERROR(INDEX(指数走势!$F$36:$ACK$36,1,LOOKUP(2,1/(指数走势!$F$36:$ACK$36&lt;&gt;""),COLUMN(指数走势!$F$36:$ACK$36))-COLUMN(指数走势!$F$36)+1-760+721)),NA(),IF(INDEX(指数走势!$F$36:$ACK$36,1,LOOKUP(2,1/(指数走势!$F$36:$ACK$36&lt;&gt;""),COLUMN(指数走势!$F$36:$ACK$36))-COLUMN(指数走势!$F$36)+1-760+721)=0,NA(),INDEX(指数走势!$F$36:$ACK$36,1,LOOKUP(2,1/(指数走势!$F$36:$ACK$36&lt;&gt;""),COLUMN(指数走势!$F$36:$ACK$36))-COLUMN(指数走势!$F$36)+1-760+721)))</f>
        <v>47.5204010009766</v>
      </c>
      <c r="AAU100">
        <f>IF(ISERROR(INDEX(指数走势!$F$36:$ACK$36,1,LOOKUP(2,1/(指数走势!$F$36:$ACK$36&lt;&gt;""),COLUMN(指数走势!$F$36:$ACK$36))-COLUMN(指数走势!$F$36)+1-760+722)),NA(),IF(INDEX(指数走势!$F$36:$ACK$36,1,LOOKUP(2,1/(指数走势!$F$36:$ACK$36&lt;&gt;""),COLUMN(指数走势!$F$36:$ACK$36))-COLUMN(指数走势!$F$36)+1-760+722)=0,NA(),INDEX(指数走势!$F$36:$ACK$36,1,LOOKUP(2,1/(指数走势!$F$36:$ACK$36&lt;&gt;""),COLUMN(指数走势!$F$36:$ACK$36))-COLUMN(指数走势!$F$36)+1-760+722)))</f>
        <v>47.4650993347168</v>
      </c>
      <c r="AAV100">
        <f>IF(ISERROR(INDEX(指数走势!$F$36:$ACK$36,1,LOOKUP(2,1/(指数走势!$F$36:$ACK$36&lt;&gt;""),COLUMN(指数走势!$F$36:$ACK$36))-COLUMN(指数走势!$F$36)+1-760+723)),NA(),IF(INDEX(指数走势!$F$36:$ACK$36,1,LOOKUP(2,1/(指数走势!$F$36:$ACK$36&lt;&gt;""),COLUMN(指数走势!$F$36:$ACK$36))-COLUMN(指数走势!$F$36)+1-760+723)=0,NA(),INDEX(指数走势!$F$36:$ACK$36,1,LOOKUP(2,1/(指数走势!$F$36:$ACK$36&lt;&gt;""),COLUMN(指数走势!$F$36:$ACK$36))-COLUMN(指数走势!$F$36)+1-760+723)))</f>
        <v>48.6795997619629</v>
      </c>
      <c r="AAW100">
        <f>IF(ISERROR(INDEX(指数走势!$F$36:$ACK$36,1,LOOKUP(2,1/(指数走势!$F$36:$ACK$36&lt;&gt;""),COLUMN(指数走势!$F$36:$ACK$36))-COLUMN(指数走势!$F$36)+1-760+724)),NA(),IF(INDEX(指数走势!$F$36:$ACK$36,1,LOOKUP(2,1/(指数走势!$F$36:$ACK$36&lt;&gt;""),COLUMN(指数走势!$F$36:$ACK$36))-COLUMN(指数走势!$F$36)+1-760+724)=0,NA(),INDEX(指数走势!$F$36:$ACK$36,1,LOOKUP(2,1/(指数走势!$F$36:$ACK$36&lt;&gt;""),COLUMN(指数走势!$F$36:$ACK$36))-COLUMN(指数走势!$F$36)+1-760+724)))</f>
        <v>47.594898223877</v>
      </c>
      <c r="AAX100">
        <f>IF(ISERROR(INDEX(指数走势!$F$36:$ACK$36,1,LOOKUP(2,1/(指数走势!$F$36:$ACK$36&lt;&gt;""),COLUMN(指数走势!$F$36:$ACK$36))-COLUMN(指数走势!$F$36)+1-760+725)),NA(),IF(INDEX(指数走势!$F$36:$ACK$36,1,LOOKUP(2,1/(指数走势!$F$36:$ACK$36&lt;&gt;""),COLUMN(指数走势!$F$36:$ACK$36))-COLUMN(指数走势!$F$36)+1-760+725)=0,NA(),INDEX(指数走势!$F$36:$ACK$36,1,LOOKUP(2,1/(指数走势!$F$36:$ACK$36&lt;&gt;""),COLUMN(指数走势!$F$36:$ACK$36))-COLUMN(指数走势!$F$36)+1-760+725)))</f>
        <v>47.353401184082</v>
      </c>
      <c r="AAY100">
        <f>IF(ISERROR(INDEX(指数走势!$F$36:$ACK$36,1,LOOKUP(2,1/(指数走势!$F$36:$ACK$36&lt;&gt;""),COLUMN(指数走势!$F$36:$ACK$36))-COLUMN(指数走势!$F$36)+1-760+726)),NA(),IF(INDEX(指数走势!$F$36:$ACK$36,1,LOOKUP(2,1/(指数走势!$F$36:$ACK$36&lt;&gt;""),COLUMN(指数走势!$F$36:$ACK$36))-COLUMN(指数走势!$F$36)+1-760+726)=0,NA(),INDEX(指数走势!$F$36:$ACK$36,1,LOOKUP(2,1/(指数走势!$F$36:$ACK$36&lt;&gt;""),COLUMN(指数走势!$F$36:$ACK$36))-COLUMN(指数走势!$F$36)+1-760+726)))</f>
        <v>47.1568984985352</v>
      </c>
      <c r="AAZ100">
        <f>IF(ISERROR(INDEX(指数走势!$F$36:$ACK$36,1,LOOKUP(2,1/(指数走势!$F$36:$ACK$36&lt;&gt;""),COLUMN(指数走势!$F$36:$ACK$36))-COLUMN(指数走势!$F$36)+1-760+727)),NA(),IF(INDEX(指数走势!$F$36:$ACK$36,1,LOOKUP(2,1/(指数走势!$F$36:$ACK$36&lt;&gt;""),COLUMN(指数走势!$F$36:$ACK$36))-COLUMN(指数走势!$F$36)+1-760+727)=0,NA(),INDEX(指数走势!$F$36:$ACK$36,1,LOOKUP(2,1/(指数走势!$F$36:$ACK$36&lt;&gt;""),COLUMN(指数走势!$F$36:$ACK$36))-COLUMN(指数走势!$F$36)+1-760+727)))</f>
        <v>47.0878982543945</v>
      </c>
      <c r="ABA100">
        <f>IF(ISERROR(INDEX(指数走势!$F$36:$ACK$36,1,LOOKUP(2,1/(指数走势!$F$36:$ACK$36&lt;&gt;""),COLUMN(指数走势!$F$36:$ACK$36))-COLUMN(指数走势!$F$36)+1-760+728)),NA(),IF(INDEX(指数走势!$F$36:$ACK$36,1,LOOKUP(2,1/(指数走势!$F$36:$ACK$36&lt;&gt;""),COLUMN(指数走势!$F$36:$ACK$36))-COLUMN(指数走势!$F$36)+1-760+728)=0,NA(),INDEX(指数走势!$F$36:$ACK$36,1,LOOKUP(2,1/(指数走势!$F$36:$ACK$36&lt;&gt;""),COLUMN(指数走势!$F$36:$ACK$36))-COLUMN(指数走势!$F$36)+1-760+728)))</f>
        <v>47.1815986633301</v>
      </c>
      <c r="ABB100">
        <f>IF(ISERROR(INDEX(指数走势!$F$36:$ACK$36,1,LOOKUP(2,1/(指数走势!$F$36:$ACK$36&lt;&gt;""),COLUMN(指数走势!$F$36:$ACK$36))-COLUMN(指数走势!$F$36)+1-760+729)),NA(),IF(INDEX(指数走势!$F$36:$ACK$36,1,LOOKUP(2,1/(指数走势!$F$36:$ACK$36&lt;&gt;""),COLUMN(指数走势!$F$36:$ACK$36))-COLUMN(指数走势!$F$36)+1-760+729)=0,NA(),INDEX(指数走势!$F$36:$ACK$36,1,LOOKUP(2,1/(指数走势!$F$36:$ACK$36&lt;&gt;""),COLUMN(指数走势!$F$36:$ACK$36))-COLUMN(指数走势!$F$36)+1-760+729)))</f>
        <v>46.1702995300293</v>
      </c>
      <c r="ABC100">
        <f>IF(ISERROR(INDEX(指数走势!$F$36:$ACK$36,1,LOOKUP(2,1/(指数走势!$F$36:$ACK$36&lt;&gt;""),COLUMN(指数走势!$F$36:$ACK$36))-COLUMN(指数走势!$F$36)+1-760+730)),NA(),IF(INDEX(指数走势!$F$36:$ACK$36,1,LOOKUP(2,1/(指数走势!$F$36:$ACK$36&lt;&gt;""),COLUMN(指数走势!$F$36:$ACK$36))-COLUMN(指数走势!$F$36)+1-760+730)=0,NA(),INDEX(指数走势!$F$36:$ACK$36,1,LOOKUP(2,1/(指数走势!$F$36:$ACK$36&lt;&gt;""),COLUMN(指数走势!$F$36:$ACK$36))-COLUMN(指数走势!$F$36)+1-760+730)))</f>
        <v>47.3709983825684</v>
      </c>
      <c r="ABD100">
        <f>IF(ISERROR(INDEX(指数走势!$F$36:$ACK$36,1,LOOKUP(2,1/(指数走势!$F$36:$ACK$36&lt;&gt;""),COLUMN(指数走势!$F$36:$ACK$36))-COLUMN(指数走势!$F$36)+1-760+731)),NA(),IF(INDEX(指数走势!$F$36:$ACK$36,1,LOOKUP(2,1/(指数走势!$F$36:$ACK$36&lt;&gt;""),COLUMN(指数走势!$F$36:$ACK$36))-COLUMN(指数走势!$F$36)+1-760+731)=0,NA(),INDEX(指数走势!$F$36:$ACK$36,1,LOOKUP(2,1/(指数走势!$F$36:$ACK$36&lt;&gt;""),COLUMN(指数走势!$F$36:$ACK$36))-COLUMN(指数走势!$F$36)+1-760+731)))</f>
        <v>48.1796989440918</v>
      </c>
      <c r="ABE100">
        <f>IF(ISERROR(INDEX(指数走势!$F$36:$ACK$36,1,LOOKUP(2,1/(指数走势!$F$36:$ACK$36&lt;&gt;""),COLUMN(指数走势!$F$36:$ACK$36))-COLUMN(指数走势!$F$36)+1-760+732)),NA(),IF(INDEX(指数走势!$F$36:$ACK$36,1,LOOKUP(2,1/(指数走势!$F$36:$ACK$36&lt;&gt;""),COLUMN(指数走势!$F$36:$ACK$36))-COLUMN(指数走势!$F$36)+1-760+732)=0,NA(),INDEX(指数走势!$F$36:$ACK$36,1,LOOKUP(2,1/(指数走势!$F$36:$ACK$36&lt;&gt;""),COLUMN(指数走势!$F$36:$ACK$36))-COLUMN(指数走势!$F$36)+1-760+732)))</f>
        <v>48.3036003112793</v>
      </c>
      <c r="ABF100">
        <f>IF(ISERROR(INDEX(指数走势!$F$36:$ACK$36,1,LOOKUP(2,1/(指数走势!$F$36:$ACK$36&lt;&gt;""),COLUMN(指数走势!$F$36:$ACK$36))-COLUMN(指数走势!$F$36)+1-760+733)),NA(),IF(INDEX(指数走势!$F$36:$ACK$36,1,LOOKUP(2,1/(指数走势!$F$36:$ACK$36&lt;&gt;""),COLUMN(指数走势!$F$36:$ACK$36))-COLUMN(指数走势!$F$36)+1-760+733)=0,NA(),INDEX(指数走势!$F$36:$ACK$36,1,LOOKUP(2,1/(指数走势!$F$36:$ACK$36&lt;&gt;""),COLUMN(指数走势!$F$36:$ACK$36))-COLUMN(指数走势!$F$36)+1-760+733)))</f>
        <v>48.4365005493164</v>
      </c>
      <c r="ABG100">
        <f>IF(ISERROR(INDEX(指数走势!$F$36:$ACK$36,1,LOOKUP(2,1/(指数走势!$F$36:$ACK$36&lt;&gt;""),COLUMN(指数走势!$F$36:$ACK$36))-COLUMN(指数走势!$F$36)+1-760+734)),NA(),IF(INDEX(指数走势!$F$36:$ACK$36,1,LOOKUP(2,1/(指数走势!$F$36:$ACK$36&lt;&gt;""),COLUMN(指数走势!$F$36:$ACK$36))-COLUMN(指数走势!$F$36)+1-760+734)=0,NA(),INDEX(指数走势!$F$36:$ACK$36,1,LOOKUP(2,1/(指数走势!$F$36:$ACK$36&lt;&gt;""),COLUMN(指数走势!$F$36:$ACK$36))-COLUMN(指数走势!$F$36)+1-760+734)))</f>
        <v>49.162899017334</v>
      </c>
      <c r="ABH100">
        <f>IF(ISERROR(INDEX(指数走势!$F$36:$ACK$36,1,LOOKUP(2,1/(指数走势!$F$36:$ACK$36&lt;&gt;""),COLUMN(指数走势!$F$36:$ACK$36))-COLUMN(指数走势!$F$36)+1-760+735)),NA(),IF(INDEX(指数走势!$F$36:$ACK$36,1,LOOKUP(2,1/(指数走势!$F$36:$ACK$36&lt;&gt;""),COLUMN(指数走势!$F$36:$ACK$36))-COLUMN(指数走势!$F$36)+1-760+735)=0,NA(),INDEX(指数走势!$F$36:$ACK$36,1,LOOKUP(2,1/(指数走势!$F$36:$ACK$36&lt;&gt;""),COLUMN(指数走势!$F$36:$ACK$36))-COLUMN(指数走势!$F$36)+1-760+735)))</f>
        <v>48.2504005432129</v>
      </c>
      <c r="ABI100">
        <f>IF(ISERROR(INDEX(指数走势!$F$36:$ACK$36,1,LOOKUP(2,1/(指数走势!$F$36:$ACK$36&lt;&gt;""),COLUMN(指数走势!$F$36:$ACK$36))-COLUMN(指数走势!$F$36)+1-760+736)),NA(),IF(INDEX(指数走势!$F$36:$ACK$36,1,LOOKUP(2,1/(指数走势!$F$36:$ACK$36&lt;&gt;""),COLUMN(指数走势!$F$36:$ACK$36))-COLUMN(指数走势!$F$36)+1-760+736)=0,NA(),INDEX(指数走势!$F$36:$ACK$36,1,LOOKUP(2,1/(指数走势!$F$36:$ACK$36&lt;&gt;""),COLUMN(指数走势!$F$36:$ACK$36))-COLUMN(指数走势!$F$36)+1-760+736)))</f>
        <v>47.2999000549316</v>
      </c>
      <c r="ABJ100">
        <f>IF(ISERROR(INDEX(指数走势!$F$36:$ACK$36,1,LOOKUP(2,1/(指数走势!$F$36:$ACK$36&lt;&gt;""),COLUMN(指数走势!$F$36:$ACK$36))-COLUMN(指数走势!$F$36)+1-760+737)),NA(),IF(INDEX(指数走势!$F$36:$ACK$36,1,LOOKUP(2,1/(指数走势!$F$36:$ACK$36&lt;&gt;""),COLUMN(指数走势!$F$36:$ACK$36))-COLUMN(指数走势!$F$36)+1-760+737)=0,NA(),INDEX(指数走势!$F$36:$ACK$36,1,LOOKUP(2,1/(指数走势!$F$36:$ACK$36&lt;&gt;""),COLUMN(指数走势!$F$36:$ACK$36))-COLUMN(指数走势!$F$36)+1-760+737)))</f>
        <v>48.3245010375977</v>
      </c>
      <c r="ABK100">
        <f>IF(ISERROR(INDEX(指数走势!$F$36:$ACK$36,1,LOOKUP(2,1/(指数走势!$F$36:$ACK$36&lt;&gt;""),COLUMN(指数走势!$F$36:$ACK$36))-COLUMN(指数走势!$F$36)+1-760+738)),NA(),IF(INDEX(指数走势!$F$36:$ACK$36,1,LOOKUP(2,1/(指数走势!$F$36:$ACK$36&lt;&gt;""),COLUMN(指数走势!$F$36:$ACK$36))-COLUMN(指数走势!$F$36)+1-760+738)=0,NA(),INDEX(指数走势!$F$36:$ACK$36,1,LOOKUP(2,1/(指数走势!$F$36:$ACK$36&lt;&gt;""),COLUMN(指数走势!$F$36:$ACK$36))-COLUMN(指数走势!$F$36)+1-760+738)))</f>
        <v>48.9818000793457</v>
      </c>
      <c r="ABL100">
        <f>IF(ISERROR(INDEX(指数走势!$F$36:$ACK$36,1,LOOKUP(2,1/(指数走势!$F$36:$ACK$36&lt;&gt;""),COLUMN(指数走势!$F$36:$ACK$36))-COLUMN(指数走势!$F$36)+1-760+739)),NA(),IF(INDEX(指数走势!$F$36:$ACK$36,1,LOOKUP(2,1/(指数走势!$F$36:$ACK$36&lt;&gt;""),COLUMN(指数走势!$F$36:$ACK$36))-COLUMN(指数走势!$F$36)+1-760+739)=0,NA(),INDEX(指数走势!$F$36:$ACK$36,1,LOOKUP(2,1/(指数走势!$F$36:$ACK$36&lt;&gt;""),COLUMN(指数走势!$F$36:$ACK$36))-COLUMN(指数走势!$F$36)+1-760+739)))</f>
        <v>48.5233001708984</v>
      </c>
      <c r="ABM100">
        <f>IF(ISERROR(INDEX(指数走势!$F$36:$ACK$36,1,LOOKUP(2,1/(指数走势!$F$36:$ACK$36&lt;&gt;""),COLUMN(指数走势!$F$36:$ACK$36))-COLUMN(指数走势!$F$36)+1-760+740)),NA(),IF(INDEX(指数走势!$F$36:$ACK$36,1,LOOKUP(2,1/(指数走势!$F$36:$ACK$36&lt;&gt;""),COLUMN(指数走势!$F$36:$ACK$36))-COLUMN(指数走势!$F$36)+1-760+740)=0,NA(),INDEX(指数走势!$F$36:$ACK$36,1,LOOKUP(2,1/(指数走势!$F$36:$ACK$36&lt;&gt;""),COLUMN(指数走势!$F$36:$ACK$36))-COLUMN(指数走势!$F$36)+1-760+740)))</f>
        <v>47.0831985473633</v>
      </c>
      <c r="ABN100">
        <f>IF(ISERROR(INDEX(指数走势!$F$36:$ACK$36,1,LOOKUP(2,1/(指数走势!$F$36:$ACK$36&lt;&gt;""),COLUMN(指数走势!$F$36:$ACK$36))-COLUMN(指数走势!$F$36)+1-760+741)),NA(),IF(INDEX(指数走势!$F$36:$ACK$36,1,LOOKUP(2,1/(指数走势!$F$36:$ACK$36&lt;&gt;""),COLUMN(指数走势!$F$36:$ACK$36))-COLUMN(指数走势!$F$36)+1-760+741)=0,NA(),INDEX(指数走势!$F$36:$ACK$36,1,LOOKUP(2,1/(指数走势!$F$36:$ACK$36&lt;&gt;""),COLUMN(指数走势!$F$36:$ACK$36))-COLUMN(指数走势!$F$36)+1-760+741)))</f>
        <v>45.3103981018066</v>
      </c>
      <c r="ABO100">
        <f>IF(ISERROR(INDEX(指数走势!$F$36:$ACK$36,1,LOOKUP(2,1/(指数走势!$F$36:$ACK$36&lt;&gt;""),COLUMN(指数走势!$F$36:$ACK$36))-COLUMN(指数走势!$F$36)+1-760+742)),NA(),IF(INDEX(指数走势!$F$36:$ACK$36,1,LOOKUP(2,1/(指数走势!$F$36:$ACK$36&lt;&gt;""),COLUMN(指数走势!$F$36:$ACK$36))-COLUMN(指数走势!$F$36)+1-760+742)=0,NA(),INDEX(指数走势!$F$36:$ACK$36,1,LOOKUP(2,1/(指数走势!$F$36:$ACK$36&lt;&gt;""),COLUMN(指数走势!$F$36:$ACK$36))-COLUMN(指数走势!$F$36)+1-760+742)))</f>
        <v>46.9682998657227</v>
      </c>
      <c r="ABP100">
        <f>IF(ISERROR(INDEX(指数走势!$F$36:$ACK$36,1,LOOKUP(2,1/(指数走势!$F$36:$ACK$36&lt;&gt;""),COLUMN(指数走势!$F$36:$ACK$36))-COLUMN(指数走势!$F$36)+1-760+743)),NA(),IF(INDEX(指数走势!$F$36:$ACK$36,1,LOOKUP(2,1/(指数走势!$F$36:$ACK$36&lt;&gt;""),COLUMN(指数走势!$F$36:$ACK$36))-COLUMN(指数走势!$F$36)+1-760+743)=0,NA(),INDEX(指数走势!$F$36:$ACK$36,1,LOOKUP(2,1/(指数走势!$F$36:$ACK$36&lt;&gt;""),COLUMN(指数走势!$F$36:$ACK$36))-COLUMN(指数走势!$F$36)+1-760+743)))</f>
        <v>45.701099395752</v>
      </c>
      <c r="ABQ100">
        <f>IF(ISERROR(INDEX(指数走势!$F$36:$ACK$36,1,LOOKUP(2,1/(指数走势!$F$36:$ACK$36&lt;&gt;""),COLUMN(指数走势!$F$36:$ACK$36))-COLUMN(指数走势!$F$36)+1-760+744)),NA(),IF(INDEX(指数走势!$F$36:$ACK$36,1,LOOKUP(2,1/(指数走势!$F$36:$ACK$36&lt;&gt;""),COLUMN(指数走势!$F$36:$ACK$36))-COLUMN(指数走势!$F$36)+1-760+744)=0,NA(),INDEX(指数走势!$F$36:$ACK$36,1,LOOKUP(2,1/(指数走势!$F$36:$ACK$36&lt;&gt;""),COLUMN(指数走势!$F$36:$ACK$36))-COLUMN(指数走势!$F$36)+1-760+744)))</f>
        <v>45.255199432373</v>
      </c>
      <c r="ABR100">
        <f>IF(ISERROR(INDEX(指数走势!$F$36:$ACK$36,1,LOOKUP(2,1/(指数走势!$F$36:$ACK$36&lt;&gt;""),COLUMN(指数走势!$F$36:$ACK$36))-COLUMN(指数走势!$F$36)+1-760+745)),NA(),IF(INDEX(指数走势!$F$36:$ACK$36,1,LOOKUP(2,1/(指数走势!$F$36:$ACK$36&lt;&gt;""),COLUMN(指数走势!$F$36:$ACK$36))-COLUMN(指数走势!$F$36)+1-760+745)=0,NA(),INDEX(指数走势!$F$36:$ACK$36,1,LOOKUP(2,1/(指数走势!$F$36:$ACK$36&lt;&gt;""),COLUMN(指数走势!$F$36:$ACK$36))-COLUMN(指数走势!$F$36)+1-760+745)))</f>
        <v>45.6571998596191</v>
      </c>
      <c r="ABS100">
        <f>IF(ISERROR(INDEX(指数走势!$F$36:$ACK$36,1,LOOKUP(2,1/(指数走势!$F$36:$ACK$36&lt;&gt;""),COLUMN(指数走势!$F$36:$ACK$36))-COLUMN(指数走势!$F$36)+1-760+746)),NA(),IF(INDEX(指数走势!$F$36:$ACK$36,1,LOOKUP(2,1/(指数走势!$F$36:$ACK$36&lt;&gt;""),COLUMN(指数走势!$F$36:$ACK$36))-COLUMN(指数走势!$F$36)+1-760+746)=0,NA(),INDEX(指数走势!$F$36:$ACK$36,1,LOOKUP(2,1/(指数走势!$F$36:$ACK$36&lt;&gt;""),COLUMN(指数走势!$F$36:$ACK$36))-COLUMN(指数走势!$F$36)+1-760+746)))</f>
        <v>50.904899597168</v>
      </c>
      <c r="ABT100">
        <f>IF(ISERROR(INDEX(指数走势!$F$36:$ACK$36,1,LOOKUP(2,1/(指数走势!$F$36:$ACK$36&lt;&gt;""),COLUMN(指数走势!$F$36:$ACK$36))-COLUMN(指数走势!$F$36)+1-760+747)),NA(),IF(INDEX(指数走势!$F$36:$ACK$36,1,LOOKUP(2,1/(指数走势!$F$36:$ACK$36&lt;&gt;""),COLUMN(指数走势!$F$36:$ACK$36))-COLUMN(指数走势!$F$36)+1-760+747)=0,NA(),INDEX(指数走势!$F$36:$ACK$36,1,LOOKUP(2,1/(指数走势!$F$36:$ACK$36&lt;&gt;""),COLUMN(指数走势!$F$36:$ACK$36))-COLUMN(指数走势!$F$36)+1-760+747)))</f>
        <v>51.8089981079102</v>
      </c>
      <c r="ABU100">
        <f>IF(ISERROR(INDEX(指数走势!$F$36:$ACK$36,1,LOOKUP(2,1/(指数走势!$F$36:$ACK$36&lt;&gt;""),COLUMN(指数走势!$F$36:$ACK$36))-COLUMN(指数走势!$F$36)+1-760+748)),NA(),IF(INDEX(指数走势!$F$36:$ACK$36,1,LOOKUP(2,1/(指数走势!$F$36:$ACK$36&lt;&gt;""),COLUMN(指数走势!$F$36:$ACK$36))-COLUMN(指数走势!$F$36)+1-760+748)=0,NA(),INDEX(指数走势!$F$36:$ACK$36,1,LOOKUP(2,1/(指数走势!$F$36:$ACK$36&lt;&gt;""),COLUMN(指数走势!$F$36:$ACK$36))-COLUMN(指数走势!$F$36)+1-760+748)))</f>
        <v>52.5974998474121</v>
      </c>
      <c r="ABV100">
        <f>IF(ISERROR(INDEX(指数走势!$F$36:$ACK$36,1,LOOKUP(2,1/(指数走势!$F$36:$ACK$36&lt;&gt;""),COLUMN(指数走势!$F$36:$ACK$36))-COLUMN(指数走势!$F$36)+1-760+749)),NA(),IF(INDEX(指数走势!$F$36:$ACK$36,1,LOOKUP(2,1/(指数走势!$F$36:$ACK$36&lt;&gt;""),COLUMN(指数走势!$F$36:$ACK$36))-COLUMN(指数走势!$F$36)+1-760+749)=0,NA(),INDEX(指数走势!$F$36:$ACK$36,1,LOOKUP(2,1/(指数走势!$F$36:$ACK$36&lt;&gt;""),COLUMN(指数走势!$F$36:$ACK$36))-COLUMN(指数走势!$F$36)+1-760+749)))</f>
        <v>53.535099029541</v>
      </c>
      <c r="ABW100">
        <f>IF(ISERROR(INDEX(指数走势!$F$36:$ACK$36,1,LOOKUP(2,1/(指数走势!$F$36:$ACK$36&lt;&gt;""),COLUMN(指数走势!$F$36:$ACK$36))-COLUMN(指数走势!$F$36)+1-760+750)),NA(),IF(INDEX(指数走势!$F$36:$ACK$36,1,LOOKUP(2,1/(指数走势!$F$36:$ACK$36&lt;&gt;""),COLUMN(指数走势!$F$36:$ACK$36))-COLUMN(指数走势!$F$36)+1-760+750)=0,NA(),INDEX(指数走势!$F$36:$ACK$36,1,LOOKUP(2,1/(指数走势!$F$36:$ACK$36&lt;&gt;""),COLUMN(指数走势!$F$36:$ACK$36))-COLUMN(指数走势!$F$36)+1-760+750)))</f>
        <v>54.9042015075684</v>
      </c>
      <c r="ABX100">
        <f>IF(ISERROR(INDEX(指数走势!$F$36:$ACK$36,1,LOOKUP(2,1/(指数走势!$F$36:$ACK$36&lt;&gt;""),COLUMN(指数走势!$F$36:$ACK$36))-COLUMN(指数走势!$F$36)+1-760+751)),NA(),IF(INDEX(指数走势!$F$36:$ACK$36,1,LOOKUP(2,1/(指数走势!$F$36:$ACK$36&lt;&gt;""),COLUMN(指数走势!$F$36:$ACK$36))-COLUMN(指数走势!$F$36)+1-760+751)=0,NA(),INDEX(指数走势!$F$36:$ACK$36,1,LOOKUP(2,1/(指数走势!$F$36:$ACK$36&lt;&gt;""),COLUMN(指数走势!$F$36:$ACK$36))-COLUMN(指数走势!$F$36)+1-760+751)))</f>
        <v>52.869499206543</v>
      </c>
      <c r="ABY100">
        <f>IF(ISERROR(INDEX(指数走势!$F$36:$ACK$36,1,LOOKUP(2,1/(指数走势!$F$36:$ACK$36&lt;&gt;""),COLUMN(指数走势!$F$36:$ACK$36))-COLUMN(指数走势!$F$36)+1-760+752)),NA(),IF(INDEX(指数走势!$F$36:$ACK$36,1,LOOKUP(2,1/(指数走势!$F$36:$ACK$36&lt;&gt;""),COLUMN(指数走势!$F$36:$ACK$36))-COLUMN(指数走势!$F$36)+1-760+752)=0,NA(),INDEX(指数走势!$F$36:$ACK$36,1,LOOKUP(2,1/(指数走势!$F$36:$ACK$36&lt;&gt;""),COLUMN(指数走势!$F$36:$ACK$36))-COLUMN(指数走势!$F$36)+1-760+752)))</f>
        <v>53.7083015441895</v>
      </c>
      <c r="ABZ100">
        <f>IF(ISERROR(INDEX(指数走势!$F$36:$ACK$36,1,LOOKUP(2,1/(指数走势!$F$36:$ACK$36&lt;&gt;""),COLUMN(指数走势!$F$36:$ACK$36))-COLUMN(指数走势!$F$36)+1-760+753)),NA(),IF(INDEX(指数走势!$F$36:$ACK$36,1,LOOKUP(2,1/(指数走势!$F$36:$ACK$36&lt;&gt;""),COLUMN(指数走势!$F$36:$ACK$36))-COLUMN(指数走势!$F$36)+1-760+753)=0,NA(),INDEX(指数走势!$F$36:$ACK$36,1,LOOKUP(2,1/(指数走势!$F$36:$ACK$36&lt;&gt;""),COLUMN(指数走势!$F$36:$ACK$36))-COLUMN(指数走势!$F$36)+1-760+753)))</f>
        <v>55.1450004577637</v>
      </c>
      <c r="ACA100">
        <f>IF(ISERROR(INDEX(指数走势!$F$36:$ACK$36,1,LOOKUP(2,1/(指数走势!$F$36:$ACK$36&lt;&gt;""),COLUMN(指数走势!$F$36:$ACK$36))-COLUMN(指数走势!$F$36)+1-760+754)),NA(),IF(INDEX(指数走势!$F$36:$ACK$36,1,LOOKUP(2,1/(指数走势!$F$36:$ACK$36&lt;&gt;""),COLUMN(指数走势!$F$36:$ACK$36))-COLUMN(指数走势!$F$36)+1-760+754)=0,NA(),INDEX(指数走势!$F$36:$ACK$36,1,LOOKUP(2,1/(指数走势!$F$36:$ACK$36&lt;&gt;""),COLUMN(指数走势!$F$36:$ACK$36))-COLUMN(指数走势!$F$36)+1-760+754)))</f>
        <v>52.9855995178223</v>
      </c>
      <c r="ACB100">
        <f>IF(ISERROR(INDEX(指数走势!$F$36:$ACK$36,1,LOOKUP(2,1/(指数走势!$F$36:$ACK$36&lt;&gt;""),COLUMN(指数走势!$F$36:$ACK$36))-COLUMN(指数走势!$F$36)+1-760+755)),NA(),IF(INDEX(指数走势!$F$36:$ACK$36,1,LOOKUP(2,1/(指数走势!$F$36:$ACK$36&lt;&gt;""),COLUMN(指数走势!$F$36:$ACK$36))-COLUMN(指数走势!$F$36)+1-760+755)=0,NA(),INDEX(指数走势!$F$36:$ACK$36,1,LOOKUP(2,1/(指数走势!$F$36:$ACK$36&lt;&gt;""),COLUMN(指数走势!$F$36:$ACK$36))-COLUMN(指数走势!$F$36)+1-760+755)))</f>
        <v>53.2022018432617</v>
      </c>
      <c r="ACC100">
        <f>IF(ISERROR(INDEX(指数走势!$F$36:$ACK$36,1,LOOKUP(2,1/(指数走势!$F$36:$ACK$36&lt;&gt;""),COLUMN(指数走势!$F$36:$ACK$36))-COLUMN(指数走势!$F$36)+1-760+756)),NA(),IF(INDEX(指数走势!$F$36:$ACK$36,1,LOOKUP(2,1/(指数走势!$F$36:$ACK$36&lt;&gt;""),COLUMN(指数走势!$F$36:$ACK$36))-COLUMN(指数走势!$F$36)+1-760+756)=0,NA(),INDEX(指数走势!$F$36:$ACK$36,1,LOOKUP(2,1/(指数走势!$F$36:$ACK$36&lt;&gt;""),COLUMN(指数走势!$F$36:$ACK$36))-COLUMN(指数走势!$F$36)+1-760+756)))</f>
        <v>54.6320991516113</v>
      </c>
      <c r="ACD100">
        <f>IF(ISERROR(INDEX(指数走势!$F$36:$ACK$36,1,LOOKUP(2,1/(指数走势!$F$36:$ACK$36&lt;&gt;""),COLUMN(指数走势!$F$36:$ACK$36))-COLUMN(指数走势!$F$36)+1-760+757)),NA(),IF(INDEX(指数走势!$F$36:$ACK$36,1,LOOKUP(2,1/(指数走势!$F$36:$ACK$36&lt;&gt;""),COLUMN(指数走势!$F$36:$ACK$36))-COLUMN(指数走势!$F$36)+1-760+757)=0,NA(),INDEX(指数走势!$F$36:$ACK$36,1,LOOKUP(2,1/(指数走势!$F$36:$ACK$36&lt;&gt;""),COLUMN(指数走势!$F$36:$ACK$36))-COLUMN(指数走势!$F$36)+1-760+757)))</f>
        <v>53.9062995910645</v>
      </c>
      <c r="ACE100">
        <f>IF(ISERROR(INDEX(指数走势!$F$36:$ACK$36,1,LOOKUP(2,1/(指数走势!$F$36:$ACK$36&lt;&gt;""),COLUMN(指数走势!$F$36:$ACK$36))-COLUMN(指数走势!$F$36)+1-760+758)),NA(),IF(INDEX(指数走势!$F$36:$ACK$36,1,LOOKUP(2,1/(指数走势!$F$36:$ACK$36&lt;&gt;""),COLUMN(指数走势!$F$36:$ACK$36))-COLUMN(指数走势!$F$36)+1-760+758)=0,NA(),INDEX(指数走势!$F$36:$ACK$36,1,LOOKUP(2,1/(指数走势!$F$36:$ACK$36&lt;&gt;""),COLUMN(指数走势!$F$36:$ACK$36))-COLUMN(指数走势!$F$36)+1-760+758)))</f>
        <v>51.0728988647461</v>
      </c>
      <c r="ACF100">
        <f>IF(ISERROR(INDEX(指数走势!$F$36:$ACK$36,1,LOOKUP(2,1/(指数走势!$F$36:$ACK$36&lt;&gt;""),COLUMN(指数走势!$F$36:$ACK$36))-COLUMN(指数走势!$F$36)+1-760+759)),NA(),IF(INDEX(指数走势!$F$36:$ACK$36,1,LOOKUP(2,1/(指数走势!$F$36:$ACK$36&lt;&gt;""),COLUMN(指数走势!$F$36:$ACK$36))-COLUMN(指数走势!$F$36)+1-760+759)=0,NA(),INDEX(指数走势!$F$36:$ACK$36,1,LOOKUP(2,1/(指数走势!$F$36:$ACK$36&lt;&gt;""),COLUMN(指数走势!$F$36:$ACK$36))-COLUMN(指数走势!$F$36)+1-760+759)))</f>
        <v>51.1865997314453</v>
      </c>
      <c r="ACG100">
        <f>IF(ISERROR(INDEX(指数走势!$F$36:$ACK$36,1,LOOKUP(2,1/(指数走势!$F$36:$ACK$36&lt;&gt;""),COLUMN(指数走势!$F$36:$ACK$36))-COLUMN(指数走势!$F$36)+1-760+760)),NA(),IF(INDEX(指数走势!$F$36:$ACK$36,1,LOOKUP(2,1/(指数走势!$F$36:$ACK$36&lt;&gt;""),COLUMN(指数走势!$F$36:$ACK$36))-COLUMN(指数走势!$F$36)+1-760+760)=0,NA(),INDEX(指数走势!$F$36:$ACK$36,1,LOOKUP(2,1/(指数走势!$F$36:$ACK$36&lt;&gt;""),COLUMN(指数走势!$F$36:$ACK$36))-COLUMN(指数走势!$F$36)+1-760+760)))</f>
        <v>51.1861991882324</v>
      </c>
    </row>
    <row r="101" ht="15" customHeight="1" spans="1:761">
      <c r="A101" s="1" t="s">
        <v>47</v>
      </c>
      <c r="B101" s="2" t="e">
        <f>IF(ISERROR(INDEX(指数走势!$F$37:$ACK$37,1,LOOKUP(2,1/(指数走势!$F$37:$ACK$37&lt;&gt;""),COLUMN(指数走势!$F$37:$ACK$37))-COLUMN(指数走势!$F$37)+1-760+1)),NA(),IF(INDEX(指数走势!$F$37:$ACK$37,1,LOOKUP(2,1/(指数走势!$F$37:$ACK$37&lt;&gt;""),COLUMN(指数走势!$F$37:$ACK$37))-COLUMN(指数走势!$F$37)+1-760+1)=0,NA(),INDEX(指数走势!$F$37:$ACK$37,1,LOOKUP(2,1/(指数走势!$F$37:$ACK$37&lt;&gt;""),COLUMN(指数走势!$F$37:$ACK$37))-COLUMN(指数走势!$F$37)+1-760+1)))</f>
        <v>#N/A</v>
      </c>
      <c r="C101" s="2" t="e">
        <f>IF(ISERROR(INDEX(指数走势!$F$37:$ACK$37,1,LOOKUP(2,1/(指数走势!$F$37:$ACK$37&lt;&gt;""),COLUMN(指数走势!$F$37:$ACK$37))-COLUMN(指数走势!$F$37)+1-760+2)),NA(),IF(INDEX(指数走势!$F$37:$ACK$37,1,LOOKUP(2,1/(指数走势!$F$37:$ACK$37&lt;&gt;""),COLUMN(指数走势!$F$37:$ACK$37))-COLUMN(指数走势!$F$37)+1-760+2)=0,NA(),INDEX(指数走势!$F$37:$ACK$37,1,LOOKUP(2,1/(指数走势!$F$37:$ACK$37&lt;&gt;""),COLUMN(指数走势!$F$37:$ACK$37))-COLUMN(指数走势!$F$37)+1-760+2)))</f>
        <v>#N/A</v>
      </c>
      <c r="D101" s="2" t="e">
        <f>IF(ISERROR(INDEX(指数走势!$F$37:$ACK$37,1,LOOKUP(2,1/(指数走势!$F$37:$ACK$37&lt;&gt;""),COLUMN(指数走势!$F$37:$ACK$37))-COLUMN(指数走势!$F$37)+1-760+3)),NA(),IF(INDEX(指数走势!$F$37:$ACK$37,1,LOOKUP(2,1/(指数走势!$F$37:$ACK$37&lt;&gt;""),COLUMN(指数走势!$F$37:$ACK$37))-COLUMN(指数走势!$F$37)+1-760+3)=0,NA(),INDEX(指数走势!$F$37:$ACK$37,1,LOOKUP(2,1/(指数走势!$F$37:$ACK$37&lt;&gt;""),COLUMN(指数走势!$F$37:$ACK$37))-COLUMN(指数走势!$F$37)+1-760+3)))</f>
        <v>#N/A</v>
      </c>
      <c r="E101" s="2" t="e">
        <f>IF(ISERROR(INDEX(指数走势!$F$37:$ACK$37,1,LOOKUP(2,1/(指数走势!$F$37:$ACK$37&lt;&gt;""),COLUMN(指数走势!$F$37:$ACK$37))-COLUMN(指数走势!$F$37)+1-760+4)),NA(),IF(INDEX(指数走势!$F$37:$ACK$37,1,LOOKUP(2,1/(指数走势!$F$37:$ACK$37&lt;&gt;""),COLUMN(指数走势!$F$37:$ACK$37))-COLUMN(指数走势!$F$37)+1-760+4)=0,NA(),INDEX(指数走势!$F$37:$ACK$37,1,LOOKUP(2,1/(指数走势!$F$37:$ACK$37&lt;&gt;""),COLUMN(指数走势!$F$37:$ACK$37))-COLUMN(指数走势!$F$37)+1-760+4)))</f>
        <v>#N/A</v>
      </c>
      <c r="F101" s="2" t="e">
        <f>IF(ISERROR(INDEX(指数走势!$F$37:$ACK$37,1,LOOKUP(2,1/(指数走势!$F$37:$ACK$37&lt;&gt;""),COLUMN(指数走势!$F$37:$ACK$37))-COLUMN(指数走势!$F$37)+1-760+5)),NA(),IF(INDEX(指数走势!$F$37:$ACK$37,1,LOOKUP(2,1/(指数走势!$F$37:$ACK$37&lt;&gt;""),COLUMN(指数走势!$F$37:$ACK$37))-COLUMN(指数走势!$F$37)+1-760+5)=0,NA(),INDEX(指数走势!$F$37:$ACK$37,1,LOOKUP(2,1/(指数走势!$F$37:$ACK$37&lt;&gt;""),COLUMN(指数走势!$F$37:$ACK$37))-COLUMN(指数走势!$F$37)+1-760+5)))</f>
        <v>#N/A</v>
      </c>
      <c r="G101" s="2" t="e">
        <f>IF(ISERROR(INDEX(指数走势!$F$37:$ACK$37,1,LOOKUP(2,1/(指数走势!$F$37:$ACK$37&lt;&gt;""),COLUMN(指数走势!$F$37:$ACK$37))-COLUMN(指数走势!$F$37)+1-760+6)),NA(),IF(INDEX(指数走势!$F$37:$ACK$37,1,LOOKUP(2,1/(指数走势!$F$37:$ACK$37&lt;&gt;""),COLUMN(指数走势!$F$37:$ACK$37))-COLUMN(指数走势!$F$37)+1-760+6)=0,NA(),INDEX(指数走势!$F$37:$ACK$37,1,LOOKUP(2,1/(指数走势!$F$37:$ACK$37&lt;&gt;""),COLUMN(指数走势!$F$37:$ACK$37))-COLUMN(指数走势!$F$37)+1-760+6)))</f>
        <v>#N/A</v>
      </c>
      <c r="H101" s="2" t="e">
        <f>IF(ISERROR(INDEX(指数走势!$F$37:$ACK$37,1,LOOKUP(2,1/(指数走势!$F$37:$ACK$37&lt;&gt;""),COLUMN(指数走势!$F$37:$ACK$37))-COLUMN(指数走势!$F$37)+1-760+7)),NA(),IF(INDEX(指数走势!$F$37:$ACK$37,1,LOOKUP(2,1/(指数走势!$F$37:$ACK$37&lt;&gt;""),COLUMN(指数走势!$F$37:$ACK$37))-COLUMN(指数走势!$F$37)+1-760+7)=0,NA(),INDEX(指数走势!$F$37:$ACK$37,1,LOOKUP(2,1/(指数走势!$F$37:$ACK$37&lt;&gt;""),COLUMN(指数走势!$F$37:$ACK$37))-COLUMN(指数走势!$F$37)+1-760+7)))</f>
        <v>#N/A</v>
      </c>
      <c r="I101" s="2" t="e">
        <f>IF(ISERROR(INDEX(指数走势!$F$37:$ACK$37,1,LOOKUP(2,1/(指数走势!$F$37:$ACK$37&lt;&gt;""),COLUMN(指数走势!$F$37:$ACK$37))-COLUMN(指数走势!$F$37)+1-760+8)),NA(),IF(INDEX(指数走势!$F$37:$ACK$37,1,LOOKUP(2,1/(指数走势!$F$37:$ACK$37&lt;&gt;""),COLUMN(指数走势!$F$37:$ACK$37))-COLUMN(指数走势!$F$37)+1-760+8)=0,NA(),INDEX(指数走势!$F$37:$ACK$37,1,LOOKUP(2,1/(指数走势!$F$37:$ACK$37&lt;&gt;""),COLUMN(指数走势!$F$37:$ACK$37))-COLUMN(指数走势!$F$37)+1-760+8)))</f>
        <v>#N/A</v>
      </c>
      <c r="J101" s="2" t="e">
        <f>IF(ISERROR(INDEX(指数走势!$F$37:$ACK$37,1,LOOKUP(2,1/(指数走势!$F$37:$ACK$37&lt;&gt;""),COLUMN(指数走势!$F$37:$ACK$37))-COLUMN(指数走势!$F$37)+1-760+9)),NA(),IF(INDEX(指数走势!$F$37:$ACK$37,1,LOOKUP(2,1/(指数走势!$F$37:$ACK$37&lt;&gt;""),COLUMN(指数走势!$F$37:$ACK$37))-COLUMN(指数走势!$F$37)+1-760+9)=0,NA(),INDEX(指数走势!$F$37:$ACK$37,1,LOOKUP(2,1/(指数走势!$F$37:$ACK$37&lt;&gt;""),COLUMN(指数走势!$F$37:$ACK$37))-COLUMN(指数走势!$F$37)+1-760+9)))</f>
        <v>#N/A</v>
      </c>
      <c r="K101" s="2" t="e">
        <f>IF(ISERROR(INDEX(指数走势!$F$37:$ACK$37,1,LOOKUP(2,1/(指数走势!$F$37:$ACK$37&lt;&gt;""),COLUMN(指数走势!$F$37:$ACK$37))-COLUMN(指数走势!$F$37)+1-760+10)),NA(),IF(INDEX(指数走势!$F$37:$ACK$37,1,LOOKUP(2,1/(指数走势!$F$37:$ACK$37&lt;&gt;""),COLUMN(指数走势!$F$37:$ACK$37))-COLUMN(指数走势!$F$37)+1-760+10)=0,NA(),INDEX(指数走势!$F$37:$ACK$37,1,LOOKUP(2,1/(指数走势!$F$37:$ACK$37&lt;&gt;""),COLUMN(指数走势!$F$37:$ACK$37))-COLUMN(指数走势!$F$37)+1-760+10)))</f>
        <v>#N/A</v>
      </c>
      <c r="L101" s="2" t="e">
        <f>IF(ISERROR(INDEX(指数走势!$F$37:$ACK$37,1,LOOKUP(2,1/(指数走势!$F$37:$ACK$37&lt;&gt;""),COLUMN(指数走势!$F$37:$ACK$37))-COLUMN(指数走势!$F$37)+1-760+11)),NA(),IF(INDEX(指数走势!$F$37:$ACK$37,1,LOOKUP(2,1/(指数走势!$F$37:$ACK$37&lt;&gt;""),COLUMN(指数走势!$F$37:$ACK$37))-COLUMN(指数走势!$F$37)+1-760+11)=0,NA(),INDEX(指数走势!$F$37:$ACK$37,1,LOOKUP(2,1/(指数走势!$F$37:$ACK$37&lt;&gt;""),COLUMN(指数走势!$F$37:$ACK$37))-COLUMN(指数走势!$F$37)+1-760+11)))</f>
        <v>#N/A</v>
      </c>
      <c r="M101" s="2" t="e">
        <f>IF(ISERROR(INDEX(指数走势!$F$37:$ACK$37,1,LOOKUP(2,1/(指数走势!$F$37:$ACK$37&lt;&gt;""),COLUMN(指数走势!$F$37:$ACK$37))-COLUMN(指数走势!$F$37)+1-760+12)),NA(),IF(INDEX(指数走势!$F$37:$ACK$37,1,LOOKUP(2,1/(指数走势!$F$37:$ACK$37&lt;&gt;""),COLUMN(指数走势!$F$37:$ACK$37))-COLUMN(指数走势!$F$37)+1-760+12)=0,NA(),INDEX(指数走势!$F$37:$ACK$37,1,LOOKUP(2,1/(指数走势!$F$37:$ACK$37&lt;&gt;""),COLUMN(指数走势!$F$37:$ACK$37))-COLUMN(指数走势!$F$37)+1-760+12)))</f>
        <v>#N/A</v>
      </c>
      <c r="N101" s="2" t="e">
        <f>IF(ISERROR(INDEX(指数走势!$F$37:$ACK$37,1,LOOKUP(2,1/(指数走势!$F$37:$ACK$37&lt;&gt;""),COLUMN(指数走势!$F$37:$ACK$37))-COLUMN(指数走势!$F$37)+1-760+13)),NA(),IF(INDEX(指数走势!$F$37:$ACK$37,1,LOOKUP(2,1/(指数走势!$F$37:$ACK$37&lt;&gt;""),COLUMN(指数走势!$F$37:$ACK$37))-COLUMN(指数走势!$F$37)+1-760+13)=0,NA(),INDEX(指数走势!$F$37:$ACK$37,1,LOOKUP(2,1/(指数走势!$F$37:$ACK$37&lt;&gt;""),COLUMN(指数走势!$F$37:$ACK$37))-COLUMN(指数走势!$F$37)+1-760+13)))</f>
        <v>#N/A</v>
      </c>
      <c r="O101" s="2" t="e">
        <f>IF(ISERROR(INDEX(指数走势!$F$37:$ACK$37,1,LOOKUP(2,1/(指数走势!$F$37:$ACK$37&lt;&gt;""),COLUMN(指数走势!$F$37:$ACK$37))-COLUMN(指数走势!$F$37)+1-760+14)),NA(),IF(INDEX(指数走势!$F$37:$ACK$37,1,LOOKUP(2,1/(指数走势!$F$37:$ACK$37&lt;&gt;""),COLUMN(指数走势!$F$37:$ACK$37))-COLUMN(指数走势!$F$37)+1-760+14)=0,NA(),INDEX(指数走势!$F$37:$ACK$37,1,LOOKUP(2,1/(指数走势!$F$37:$ACK$37&lt;&gt;""),COLUMN(指数走势!$F$37:$ACK$37))-COLUMN(指数走势!$F$37)+1-760+14)))</f>
        <v>#N/A</v>
      </c>
      <c r="P101" s="2" t="e">
        <f>IF(ISERROR(INDEX(指数走势!$F$37:$ACK$37,1,LOOKUP(2,1/(指数走势!$F$37:$ACK$37&lt;&gt;""),COLUMN(指数走势!$F$37:$ACK$37))-COLUMN(指数走势!$F$37)+1-760+15)),NA(),IF(INDEX(指数走势!$F$37:$ACK$37,1,LOOKUP(2,1/(指数走势!$F$37:$ACK$37&lt;&gt;""),COLUMN(指数走势!$F$37:$ACK$37))-COLUMN(指数走势!$F$37)+1-760+15)=0,NA(),INDEX(指数走势!$F$37:$ACK$37,1,LOOKUP(2,1/(指数走势!$F$37:$ACK$37&lt;&gt;""),COLUMN(指数走势!$F$37:$ACK$37))-COLUMN(指数走势!$F$37)+1-760+15)))</f>
        <v>#N/A</v>
      </c>
      <c r="Q101" s="2" t="e">
        <f>IF(ISERROR(INDEX(指数走势!$F$37:$ACK$37,1,LOOKUP(2,1/(指数走势!$F$37:$ACK$37&lt;&gt;""),COLUMN(指数走势!$F$37:$ACK$37))-COLUMN(指数走势!$F$37)+1-760+16)),NA(),IF(INDEX(指数走势!$F$37:$ACK$37,1,LOOKUP(2,1/(指数走势!$F$37:$ACK$37&lt;&gt;""),COLUMN(指数走势!$F$37:$ACK$37))-COLUMN(指数走势!$F$37)+1-760+16)=0,NA(),INDEX(指数走势!$F$37:$ACK$37,1,LOOKUP(2,1/(指数走势!$F$37:$ACK$37&lt;&gt;""),COLUMN(指数走势!$F$37:$ACK$37))-COLUMN(指数走势!$F$37)+1-760+16)))</f>
        <v>#N/A</v>
      </c>
      <c r="R101" s="2" t="e">
        <f>IF(ISERROR(INDEX(指数走势!$F$37:$ACK$37,1,LOOKUP(2,1/(指数走势!$F$37:$ACK$37&lt;&gt;""),COLUMN(指数走势!$F$37:$ACK$37))-COLUMN(指数走势!$F$37)+1-760+17)),NA(),IF(INDEX(指数走势!$F$37:$ACK$37,1,LOOKUP(2,1/(指数走势!$F$37:$ACK$37&lt;&gt;""),COLUMN(指数走势!$F$37:$ACK$37))-COLUMN(指数走势!$F$37)+1-760+17)=0,NA(),INDEX(指数走势!$F$37:$ACK$37,1,LOOKUP(2,1/(指数走势!$F$37:$ACK$37&lt;&gt;""),COLUMN(指数走势!$F$37:$ACK$37))-COLUMN(指数走势!$F$37)+1-760+17)))</f>
        <v>#N/A</v>
      </c>
      <c r="S101" s="2" t="e">
        <f>IF(ISERROR(INDEX(指数走势!$F$37:$ACK$37,1,LOOKUP(2,1/(指数走势!$F$37:$ACK$37&lt;&gt;""),COLUMN(指数走势!$F$37:$ACK$37))-COLUMN(指数走势!$F$37)+1-760+18)),NA(),IF(INDEX(指数走势!$F$37:$ACK$37,1,LOOKUP(2,1/(指数走势!$F$37:$ACK$37&lt;&gt;""),COLUMN(指数走势!$F$37:$ACK$37))-COLUMN(指数走势!$F$37)+1-760+18)=0,NA(),INDEX(指数走势!$F$37:$ACK$37,1,LOOKUP(2,1/(指数走势!$F$37:$ACK$37&lt;&gt;""),COLUMN(指数走势!$F$37:$ACK$37))-COLUMN(指数走势!$F$37)+1-760+18)))</f>
        <v>#N/A</v>
      </c>
      <c r="T101" s="2" t="e">
        <f>IF(ISERROR(INDEX(指数走势!$F$37:$ACK$37,1,LOOKUP(2,1/(指数走势!$F$37:$ACK$37&lt;&gt;""),COLUMN(指数走势!$F$37:$ACK$37))-COLUMN(指数走势!$F$37)+1-760+19)),NA(),IF(INDEX(指数走势!$F$37:$ACK$37,1,LOOKUP(2,1/(指数走势!$F$37:$ACK$37&lt;&gt;""),COLUMN(指数走势!$F$37:$ACK$37))-COLUMN(指数走势!$F$37)+1-760+19)=0,NA(),INDEX(指数走势!$F$37:$ACK$37,1,LOOKUP(2,1/(指数走势!$F$37:$ACK$37&lt;&gt;""),COLUMN(指数走势!$F$37:$ACK$37))-COLUMN(指数走势!$F$37)+1-760+19)))</f>
        <v>#N/A</v>
      </c>
      <c r="U101" s="2" t="e">
        <f>IF(ISERROR(INDEX(指数走势!$F$37:$ACK$37,1,LOOKUP(2,1/(指数走势!$F$37:$ACK$37&lt;&gt;""),COLUMN(指数走势!$F$37:$ACK$37))-COLUMN(指数走势!$F$37)+1-760+20)),NA(),IF(INDEX(指数走势!$F$37:$ACK$37,1,LOOKUP(2,1/(指数走势!$F$37:$ACK$37&lt;&gt;""),COLUMN(指数走势!$F$37:$ACK$37))-COLUMN(指数走势!$F$37)+1-760+20)=0,NA(),INDEX(指数走势!$F$37:$ACK$37,1,LOOKUP(2,1/(指数走势!$F$37:$ACK$37&lt;&gt;""),COLUMN(指数走势!$F$37:$ACK$37))-COLUMN(指数走势!$F$37)+1-760+20)))</f>
        <v>#N/A</v>
      </c>
      <c r="V101" s="2" t="e">
        <f>IF(ISERROR(INDEX(指数走势!$F$37:$ACK$37,1,LOOKUP(2,1/(指数走势!$F$37:$ACK$37&lt;&gt;""),COLUMN(指数走势!$F$37:$ACK$37))-COLUMN(指数走势!$F$37)+1-760+21)),NA(),IF(INDEX(指数走势!$F$37:$ACK$37,1,LOOKUP(2,1/(指数走势!$F$37:$ACK$37&lt;&gt;""),COLUMN(指数走势!$F$37:$ACK$37))-COLUMN(指数走势!$F$37)+1-760+21)=0,NA(),INDEX(指数走势!$F$37:$ACK$37,1,LOOKUP(2,1/(指数走势!$F$37:$ACK$37&lt;&gt;""),COLUMN(指数走势!$F$37:$ACK$37))-COLUMN(指数走势!$F$37)+1-760+21)))</f>
        <v>#N/A</v>
      </c>
      <c r="W101" s="2" t="e">
        <f>IF(ISERROR(INDEX(指数走势!$F$37:$ACK$37,1,LOOKUP(2,1/(指数走势!$F$37:$ACK$37&lt;&gt;""),COLUMN(指数走势!$F$37:$ACK$37))-COLUMN(指数走势!$F$37)+1-760+22)),NA(),IF(INDEX(指数走势!$F$37:$ACK$37,1,LOOKUP(2,1/(指数走势!$F$37:$ACK$37&lt;&gt;""),COLUMN(指数走势!$F$37:$ACK$37))-COLUMN(指数走势!$F$37)+1-760+22)=0,NA(),INDEX(指数走势!$F$37:$ACK$37,1,LOOKUP(2,1/(指数走势!$F$37:$ACK$37&lt;&gt;""),COLUMN(指数走势!$F$37:$ACK$37))-COLUMN(指数走势!$F$37)+1-760+22)))</f>
        <v>#N/A</v>
      </c>
      <c r="X101" s="2" t="e">
        <f>IF(ISERROR(INDEX(指数走势!$F$37:$ACK$37,1,LOOKUP(2,1/(指数走势!$F$37:$ACK$37&lt;&gt;""),COLUMN(指数走势!$F$37:$ACK$37))-COLUMN(指数走势!$F$37)+1-760+23)),NA(),IF(INDEX(指数走势!$F$37:$ACK$37,1,LOOKUP(2,1/(指数走势!$F$37:$ACK$37&lt;&gt;""),COLUMN(指数走势!$F$37:$ACK$37))-COLUMN(指数走势!$F$37)+1-760+23)=0,NA(),INDEX(指数走势!$F$37:$ACK$37,1,LOOKUP(2,1/(指数走势!$F$37:$ACK$37&lt;&gt;""),COLUMN(指数走势!$F$37:$ACK$37))-COLUMN(指数走势!$F$37)+1-760+23)))</f>
        <v>#N/A</v>
      </c>
      <c r="Y101" s="2" t="e">
        <f>IF(ISERROR(INDEX(指数走势!$F$37:$ACK$37,1,LOOKUP(2,1/(指数走势!$F$37:$ACK$37&lt;&gt;""),COLUMN(指数走势!$F$37:$ACK$37))-COLUMN(指数走势!$F$37)+1-760+24)),NA(),IF(INDEX(指数走势!$F$37:$ACK$37,1,LOOKUP(2,1/(指数走势!$F$37:$ACK$37&lt;&gt;""),COLUMN(指数走势!$F$37:$ACK$37))-COLUMN(指数走势!$F$37)+1-760+24)=0,NA(),INDEX(指数走势!$F$37:$ACK$37,1,LOOKUP(2,1/(指数走势!$F$37:$ACK$37&lt;&gt;""),COLUMN(指数走势!$F$37:$ACK$37))-COLUMN(指数走势!$F$37)+1-760+24)))</f>
        <v>#N/A</v>
      </c>
      <c r="Z101" s="2" t="e">
        <f>IF(ISERROR(INDEX(指数走势!$F$37:$ACK$37,1,LOOKUP(2,1/(指数走势!$F$37:$ACK$37&lt;&gt;""),COLUMN(指数走势!$F$37:$ACK$37))-COLUMN(指数走势!$F$37)+1-760+25)),NA(),IF(INDEX(指数走势!$F$37:$ACK$37,1,LOOKUP(2,1/(指数走势!$F$37:$ACK$37&lt;&gt;""),COLUMN(指数走势!$F$37:$ACK$37))-COLUMN(指数走势!$F$37)+1-760+25)=0,NA(),INDEX(指数走势!$F$37:$ACK$37,1,LOOKUP(2,1/(指数走势!$F$37:$ACK$37&lt;&gt;""),COLUMN(指数走势!$F$37:$ACK$37))-COLUMN(指数走势!$F$37)+1-760+25)))</f>
        <v>#N/A</v>
      </c>
      <c r="AA101" s="2" t="e">
        <f>IF(ISERROR(INDEX(指数走势!$F$37:$ACK$37,1,LOOKUP(2,1/(指数走势!$F$37:$ACK$37&lt;&gt;""),COLUMN(指数走势!$F$37:$ACK$37))-COLUMN(指数走势!$F$37)+1-760+26)),NA(),IF(INDEX(指数走势!$F$37:$ACK$37,1,LOOKUP(2,1/(指数走势!$F$37:$ACK$37&lt;&gt;""),COLUMN(指数走势!$F$37:$ACK$37))-COLUMN(指数走势!$F$37)+1-760+26)=0,NA(),INDEX(指数走势!$F$37:$ACK$37,1,LOOKUP(2,1/(指数走势!$F$37:$ACK$37&lt;&gt;""),COLUMN(指数走势!$F$37:$ACK$37))-COLUMN(指数走势!$F$37)+1-760+26)))</f>
        <v>#N/A</v>
      </c>
      <c r="AB101" s="2" t="e">
        <f>IF(ISERROR(INDEX(指数走势!$F$37:$ACK$37,1,LOOKUP(2,1/(指数走势!$F$37:$ACK$37&lt;&gt;""),COLUMN(指数走势!$F$37:$ACK$37))-COLUMN(指数走势!$F$37)+1-760+27)),NA(),IF(INDEX(指数走势!$F$37:$ACK$37,1,LOOKUP(2,1/(指数走势!$F$37:$ACK$37&lt;&gt;""),COLUMN(指数走势!$F$37:$ACK$37))-COLUMN(指数走势!$F$37)+1-760+27)=0,NA(),INDEX(指数走势!$F$37:$ACK$37,1,LOOKUP(2,1/(指数走势!$F$37:$ACK$37&lt;&gt;""),COLUMN(指数走势!$F$37:$ACK$37))-COLUMN(指数走势!$F$37)+1-760+27)))</f>
        <v>#N/A</v>
      </c>
      <c r="AC101" s="2" t="e">
        <f>IF(ISERROR(INDEX(指数走势!$F$37:$ACK$37,1,LOOKUP(2,1/(指数走势!$F$37:$ACK$37&lt;&gt;""),COLUMN(指数走势!$F$37:$ACK$37))-COLUMN(指数走势!$F$37)+1-760+28)),NA(),IF(INDEX(指数走势!$F$37:$ACK$37,1,LOOKUP(2,1/(指数走势!$F$37:$ACK$37&lt;&gt;""),COLUMN(指数走势!$F$37:$ACK$37))-COLUMN(指数走势!$F$37)+1-760+28)=0,NA(),INDEX(指数走势!$F$37:$ACK$37,1,LOOKUP(2,1/(指数走势!$F$37:$ACK$37&lt;&gt;""),COLUMN(指数走势!$F$37:$ACK$37))-COLUMN(指数走势!$F$37)+1-760+28)))</f>
        <v>#N/A</v>
      </c>
      <c r="AD101" s="2" t="e">
        <f>IF(ISERROR(INDEX(指数走势!$F$37:$ACK$37,1,LOOKUP(2,1/(指数走势!$F$37:$ACK$37&lt;&gt;""),COLUMN(指数走势!$F$37:$ACK$37))-COLUMN(指数走势!$F$37)+1-760+29)),NA(),IF(INDEX(指数走势!$F$37:$ACK$37,1,LOOKUP(2,1/(指数走势!$F$37:$ACK$37&lt;&gt;""),COLUMN(指数走势!$F$37:$ACK$37))-COLUMN(指数走势!$F$37)+1-760+29)=0,NA(),INDEX(指数走势!$F$37:$ACK$37,1,LOOKUP(2,1/(指数走势!$F$37:$ACK$37&lt;&gt;""),COLUMN(指数走势!$F$37:$ACK$37))-COLUMN(指数走势!$F$37)+1-760+29)))</f>
        <v>#N/A</v>
      </c>
      <c r="AE101" s="2" t="e">
        <f>IF(ISERROR(INDEX(指数走势!$F$37:$ACK$37,1,LOOKUP(2,1/(指数走势!$F$37:$ACK$37&lt;&gt;""),COLUMN(指数走势!$F$37:$ACK$37))-COLUMN(指数走势!$F$37)+1-760+30)),NA(),IF(INDEX(指数走势!$F$37:$ACK$37,1,LOOKUP(2,1/(指数走势!$F$37:$ACK$37&lt;&gt;""),COLUMN(指数走势!$F$37:$ACK$37))-COLUMN(指数走势!$F$37)+1-760+30)=0,NA(),INDEX(指数走势!$F$37:$ACK$37,1,LOOKUP(2,1/(指数走势!$F$37:$ACK$37&lt;&gt;""),COLUMN(指数走势!$F$37:$ACK$37))-COLUMN(指数走势!$F$37)+1-760+30)))</f>
        <v>#N/A</v>
      </c>
      <c r="AF101" s="2" t="e">
        <f>IF(ISERROR(INDEX(指数走势!$F$37:$ACK$37,1,LOOKUP(2,1/(指数走势!$F$37:$ACK$37&lt;&gt;""),COLUMN(指数走势!$F$37:$ACK$37))-COLUMN(指数走势!$F$37)+1-760+31)),NA(),IF(INDEX(指数走势!$F$37:$ACK$37,1,LOOKUP(2,1/(指数走势!$F$37:$ACK$37&lt;&gt;""),COLUMN(指数走势!$F$37:$ACK$37))-COLUMN(指数走势!$F$37)+1-760+31)=0,NA(),INDEX(指数走势!$F$37:$ACK$37,1,LOOKUP(2,1/(指数走势!$F$37:$ACK$37&lt;&gt;""),COLUMN(指数走势!$F$37:$ACK$37))-COLUMN(指数走势!$F$37)+1-760+31)))</f>
        <v>#N/A</v>
      </c>
      <c r="AG101" s="2" t="e">
        <f>IF(ISERROR(INDEX(指数走势!$F$37:$ACK$37,1,LOOKUP(2,1/(指数走势!$F$37:$ACK$37&lt;&gt;""),COLUMN(指数走势!$F$37:$ACK$37))-COLUMN(指数走势!$F$37)+1-760+32)),NA(),IF(INDEX(指数走势!$F$37:$ACK$37,1,LOOKUP(2,1/(指数走势!$F$37:$ACK$37&lt;&gt;""),COLUMN(指数走势!$F$37:$ACK$37))-COLUMN(指数走势!$F$37)+1-760+32)=0,NA(),INDEX(指数走势!$F$37:$ACK$37,1,LOOKUP(2,1/(指数走势!$F$37:$ACK$37&lt;&gt;""),COLUMN(指数走势!$F$37:$ACK$37))-COLUMN(指数走势!$F$37)+1-760+32)))</f>
        <v>#N/A</v>
      </c>
      <c r="AH101" s="2" t="e">
        <f>IF(ISERROR(INDEX(指数走势!$F$37:$ACK$37,1,LOOKUP(2,1/(指数走势!$F$37:$ACK$37&lt;&gt;""),COLUMN(指数走势!$F$37:$ACK$37))-COLUMN(指数走势!$F$37)+1-760+33)),NA(),IF(INDEX(指数走势!$F$37:$ACK$37,1,LOOKUP(2,1/(指数走势!$F$37:$ACK$37&lt;&gt;""),COLUMN(指数走势!$F$37:$ACK$37))-COLUMN(指数走势!$F$37)+1-760+33)=0,NA(),INDEX(指数走势!$F$37:$ACK$37,1,LOOKUP(2,1/(指数走势!$F$37:$ACK$37&lt;&gt;""),COLUMN(指数走势!$F$37:$ACK$37))-COLUMN(指数走势!$F$37)+1-760+33)))</f>
        <v>#N/A</v>
      </c>
      <c r="AI101" s="2">
        <f>IF(ISERROR(INDEX(指数走势!$F$37:$ACK$37,1,LOOKUP(2,1/(指数走势!$F$37:$ACK$37&lt;&gt;""),COLUMN(指数走势!$F$37:$ACK$37))-COLUMN(指数走势!$F$37)+1-760+34)),NA(),IF(INDEX(指数走势!$F$37:$ACK$37,1,LOOKUP(2,1/(指数走势!$F$37:$ACK$37&lt;&gt;""),COLUMN(指数走势!$F$37:$ACK$37))-COLUMN(指数走势!$F$37)+1-760+34)=0,NA(),INDEX(指数走势!$F$37:$ACK$37,1,LOOKUP(2,1/(指数走势!$F$37:$ACK$37&lt;&gt;""),COLUMN(指数走势!$F$37:$ACK$37))-COLUMN(指数走势!$F$37)+1-760+34)))</f>
        <v>8.55910015106201</v>
      </c>
      <c r="AJ101" s="2">
        <f>IF(ISERROR(INDEX(指数走势!$F$37:$ACK$37,1,LOOKUP(2,1/(指数走势!$F$37:$ACK$37&lt;&gt;""),COLUMN(指数走势!$F$37:$ACK$37))-COLUMN(指数走势!$F$37)+1-760+35)),NA(),IF(INDEX(指数走势!$F$37:$ACK$37,1,LOOKUP(2,1/(指数走势!$F$37:$ACK$37&lt;&gt;""),COLUMN(指数走势!$F$37:$ACK$37))-COLUMN(指数走势!$F$37)+1-760+35)=0,NA(),INDEX(指数走势!$F$37:$ACK$37,1,LOOKUP(2,1/(指数走势!$F$37:$ACK$37&lt;&gt;""),COLUMN(指数走势!$F$37:$ACK$37))-COLUMN(指数走势!$F$37)+1-760+35)))</f>
        <v>8.76189994812012</v>
      </c>
      <c r="AK101" s="2">
        <f>IF(ISERROR(INDEX(指数走势!$F$37:$ACK$37,1,LOOKUP(2,1/(指数走势!$F$37:$ACK$37&lt;&gt;""),COLUMN(指数走势!$F$37:$ACK$37))-COLUMN(指数走势!$F$37)+1-760+36)),NA(),IF(INDEX(指数走势!$F$37:$ACK$37,1,LOOKUP(2,1/(指数走势!$F$37:$ACK$37&lt;&gt;""),COLUMN(指数走势!$F$37:$ACK$37))-COLUMN(指数走势!$F$37)+1-760+36)=0,NA(),INDEX(指数走势!$F$37:$ACK$37,1,LOOKUP(2,1/(指数走势!$F$37:$ACK$37&lt;&gt;""),COLUMN(指数走势!$F$37:$ACK$37))-COLUMN(指数走势!$F$37)+1-760+36)))</f>
        <v>8.68039989471436</v>
      </c>
      <c r="AL101" s="2">
        <f>IF(ISERROR(INDEX(指数走势!$F$37:$ACK$37,1,LOOKUP(2,1/(指数走势!$F$37:$ACK$37&lt;&gt;""),COLUMN(指数走势!$F$37:$ACK$37))-COLUMN(指数走势!$F$37)+1-760+37)),NA(),IF(INDEX(指数走势!$F$37:$ACK$37,1,LOOKUP(2,1/(指数走势!$F$37:$ACK$37&lt;&gt;""),COLUMN(指数走势!$F$37:$ACK$37))-COLUMN(指数走势!$F$37)+1-760+37)=0,NA(),INDEX(指数走势!$F$37:$ACK$37,1,LOOKUP(2,1/(指数走势!$F$37:$ACK$37&lt;&gt;""),COLUMN(指数走势!$F$37:$ACK$37))-COLUMN(指数走势!$F$37)+1-760+37)))</f>
        <v>8.72109985351562</v>
      </c>
      <c r="AM101" s="2">
        <f>IF(ISERROR(INDEX(指数走势!$F$37:$ACK$37,1,LOOKUP(2,1/(指数走势!$F$37:$ACK$37&lt;&gt;""),COLUMN(指数走势!$F$37:$ACK$37))-COLUMN(指数走势!$F$37)+1-760+38)),NA(),IF(INDEX(指数走势!$F$37:$ACK$37,1,LOOKUP(2,1/(指数走势!$F$37:$ACK$37&lt;&gt;""),COLUMN(指数走势!$F$37:$ACK$37))-COLUMN(指数走势!$F$37)+1-760+38)=0,NA(),INDEX(指数走势!$F$37:$ACK$37,1,LOOKUP(2,1/(指数走势!$F$37:$ACK$37&lt;&gt;""),COLUMN(指数走势!$F$37:$ACK$37))-COLUMN(指数走势!$F$37)+1-760+38)))</f>
        <v>8.80350017547607</v>
      </c>
      <c r="AN101" s="2">
        <f>IF(ISERROR(INDEX(指数走势!$F$37:$ACK$37,1,LOOKUP(2,1/(指数走势!$F$37:$ACK$37&lt;&gt;""),COLUMN(指数走势!$F$37:$ACK$37))-COLUMN(指数走势!$F$37)+1-760+39)),NA(),IF(INDEX(指数走势!$F$37:$ACK$37,1,LOOKUP(2,1/(指数走势!$F$37:$ACK$37&lt;&gt;""),COLUMN(指数走势!$F$37:$ACK$37))-COLUMN(指数走势!$F$37)+1-760+39)=0,NA(),INDEX(指数走势!$F$37:$ACK$37,1,LOOKUP(2,1/(指数走势!$F$37:$ACK$37&lt;&gt;""),COLUMN(指数走势!$F$37:$ACK$37))-COLUMN(指数走势!$F$37)+1-760+39)))</f>
        <v>8.88990020751953</v>
      </c>
      <c r="AO101" s="2">
        <f>IF(ISERROR(INDEX(指数走势!$F$37:$ACK$37,1,LOOKUP(2,1/(指数走势!$F$37:$ACK$37&lt;&gt;""),COLUMN(指数走势!$F$37:$ACK$37))-COLUMN(指数走势!$F$37)+1-760+40)),NA(),IF(INDEX(指数走势!$F$37:$ACK$37,1,LOOKUP(2,1/(指数走势!$F$37:$ACK$37&lt;&gt;""),COLUMN(指数走势!$F$37:$ACK$37))-COLUMN(指数走势!$F$37)+1-760+40)=0,NA(),INDEX(指数走势!$F$37:$ACK$37,1,LOOKUP(2,1/(指数走势!$F$37:$ACK$37&lt;&gt;""),COLUMN(指数走势!$F$37:$ACK$37))-COLUMN(指数走势!$F$37)+1-760+40)))</f>
        <v>9.10190010070801</v>
      </c>
      <c r="AP101" s="2">
        <f>IF(ISERROR(INDEX(指数走势!$F$37:$ACK$37,1,LOOKUP(2,1/(指数走势!$F$37:$ACK$37&lt;&gt;""),COLUMN(指数走势!$F$37:$ACK$37))-COLUMN(指数走势!$F$37)+1-760+41)),NA(),IF(INDEX(指数走势!$F$37:$ACK$37,1,LOOKUP(2,1/(指数走势!$F$37:$ACK$37&lt;&gt;""),COLUMN(指数走势!$F$37:$ACK$37))-COLUMN(指数走势!$F$37)+1-760+41)=0,NA(),INDEX(指数走势!$F$37:$ACK$37,1,LOOKUP(2,1/(指数走势!$F$37:$ACK$37&lt;&gt;""),COLUMN(指数走势!$F$37:$ACK$37))-COLUMN(指数走势!$F$37)+1-760+41)))</f>
        <v>9.15019989013672</v>
      </c>
      <c r="AQ101" s="2">
        <f>IF(ISERROR(INDEX(指数走势!$F$37:$ACK$37,1,LOOKUP(2,1/(指数走势!$F$37:$ACK$37&lt;&gt;""),COLUMN(指数走势!$F$37:$ACK$37))-COLUMN(指数走势!$F$37)+1-760+42)),NA(),IF(INDEX(指数走势!$F$37:$ACK$37,1,LOOKUP(2,1/(指数走势!$F$37:$ACK$37&lt;&gt;""),COLUMN(指数走势!$F$37:$ACK$37))-COLUMN(指数走势!$F$37)+1-760+42)=0,NA(),INDEX(指数走势!$F$37:$ACK$37,1,LOOKUP(2,1/(指数走势!$F$37:$ACK$37&lt;&gt;""),COLUMN(指数走势!$F$37:$ACK$37))-COLUMN(指数走势!$F$37)+1-760+42)))</f>
        <v>9.15019989013672</v>
      </c>
      <c r="AR101" s="2">
        <f>IF(ISERROR(INDEX(指数走势!$F$37:$ACK$37,1,LOOKUP(2,1/(指数走势!$F$37:$ACK$37&lt;&gt;""),COLUMN(指数走势!$F$37:$ACK$37))-COLUMN(指数走势!$F$37)+1-760+43)),NA(),IF(INDEX(指数走势!$F$37:$ACK$37,1,LOOKUP(2,1/(指数走势!$F$37:$ACK$37&lt;&gt;""),COLUMN(指数走势!$F$37:$ACK$37))-COLUMN(指数走势!$F$37)+1-760+43)=0,NA(),INDEX(指数走势!$F$37:$ACK$37,1,LOOKUP(2,1/(指数走势!$F$37:$ACK$37&lt;&gt;""),COLUMN(指数走势!$F$37:$ACK$37))-COLUMN(指数走势!$F$37)+1-760+43)))</f>
        <v>8.94470024108887</v>
      </c>
      <c r="AS101" s="2">
        <f>IF(ISERROR(INDEX(指数走势!$F$37:$ACK$37,1,LOOKUP(2,1/(指数走势!$F$37:$ACK$37&lt;&gt;""),COLUMN(指数走势!$F$37:$ACK$37))-COLUMN(指数走势!$F$37)+1-760+44)),NA(),IF(INDEX(指数走势!$F$37:$ACK$37,1,LOOKUP(2,1/(指数走势!$F$37:$ACK$37&lt;&gt;""),COLUMN(指数走势!$F$37:$ACK$37))-COLUMN(指数走势!$F$37)+1-760+44)=0,NA(),INDEX(指数走势!$F$37:$ACK$37,1,LOOKUP(2,1/(指数走势!$F$37:$ACK$37&lt;&gt;""),COLUMN(指数走势!$F$37:$ACK$37))-COLUMN(指数走势!$F$37)+1-760+44)))</f>
        <v>8.9261999130249</v>
      </c>
      <c r="AT101" s="2">
        <f>IF(ISERROR(INDEX(指数走势!$F$37:$ACK$37,1,LOOKUP(2,1/(指数走势!$F$37:$ACK$37&lt;&gt;""),COLUMN(指数走势!$F$37:$ACK$37))-COLUMN(指数走势!$F$37)+1-760+45)),NA(),IF(INDEX(指数走势!$F$37:$ACK$37,1,LOOKUP(2,1/(指数走势!$F$37:$ACK$37&lt;&gt;""),COLUMN(指数走势!$F$37:$ACK$37))-COLUMN(指数走势!$F$37)+1-760+45)=0,NA(),INDEX(指数走势!$F$37:$ACK$37,1,LOOKUP(2,1/(指数走势!$F$37:$ACK$37&lt;&gt;""),COLUMN(指数走势!$F$37:$ACK$37))-COLUMN(指数走势!$F$37)+1-760+45)))</f>
        <v>8.92049980163574</v>
      </c>
      <c r="AU101" s="2">
        <f>IF(ISERROR(INDEX(指数走势!$F$37:$ACK$37,1,LOOKUP(2,1/(指数走势!$F$37:$ACK$37&lt;&gt;""),COLUMN(指数走势!$F$37:$ACK$37))-COLUMN(指数走势!$F$37)+1-760+46)),NA(),IF(INDEX(指数走势!$F$37:$ACK$37,1,LOOKUP(2,1/(指数走势!$F$37:$ACK$37&lt;&gt;""),COLUMN(指数走势!$F$37:$ACK$37))-COLUMN(指数走势!$F$37)+1-760+46)=0,NA(),INDEX(指数走势!$F$37:$ACK$37,1,LOOKUP(2,1/(指数走势!$F$37:$ACK$37&lt;&gt;""),COLUMN(指数走势!$F$37:$ACK$37))-COLUMN(指数走势!$F$37)+1-760+46)))</f>
        <v>8.95680046081543</v>
      </c>
      <c r="AV101" s="2">
        <f>IF(ISERROR(INDEX(指数走势!$F$37:$ACK$37,1,LOOKUP(2,1/(指数走势!$F$37:$ACK$37&lt;&gt;""),COLUMN(指数走势!$F$37:$ACK$37))-COLUMN(指数走势!$F$37)+1-760+47)),NA(),IF(INDEX(指数走势!$F$37:$ACK$37,1,LOOKUP(2,1/(指数走势!$F$37:$ACK$37&lt;&gt;""),COLUMN(指数走势!$F$37:$ACK$37))-COLUMN(指数走势!$F$37)+1-760+47)=0,NA(),INDEX(指数走势!$F$37:$ACK$37,1,LOOKUP(2,1/(指数走势!$F$37:$ACK$37&lt;&gt;""),COLUMN(指数走势!$F$37:$ACK$37))-COLUMN(指数走势!$F$37)+1-760+47)))</f>
        <v>8.77169990539551</v>
      </c>
      <c r="AW101" s="2">
        <f>IF(ISERROR(INDEX(指数走势!$F$37:$ACK$37,1,LOOKUP(2,1/(指数走势!$F$37:$ACK$37&lt;&gt;""),COLUMN(指数走势!$F$37:$ACK$37))-COLUMN(指数走势!$F$37)+1-760+48)),NA(),IF(INDEX(指数走势!$F$37:$ACK$37,1,LOOKUP(2,1/(指数走势!$F$37:$ACK$37&lt;&gt;""),COLUMN(指数走势!$F$37:$ACK$37))-COLUMN(指数走势!$F$37)+1-760+48)=0,NA(),INDEX(指数走势!$F$37:$ACK$37,1,LOOKUP(2,1/(指数走势!$F$37:$ACK$37&lt;&gt;""),COLUMN(指数走势!$F$37:$ACK$37))-COLUMN(指数走势!$F$37)+1-760+48)))</f>
        <v>9.13679981231689</v>
      </c>
      <c r="AX101" s="2">
        <f>IF(ISERROR(INDEX(指数走势!$F$37:$ACK$37,1,LOOKUP(2,1/(指数走势!$F$37:$ACK$37&lt;&gt;""),COLUMN(指数走势!$F$37:$ACK$37))-COLUMN(指数走势!$F$37)+1-760+49)),NA(),IF(INDEX(指数走势!$F$37:$ACK$37,1,LOOKUP(2,1/(指数走势!$F$37:$ACK$37&lt;&gt;""),COLUMN(指数走势!$F$37:$ACK$37))-COLUMN(指数走势!$F$37)+1-760+49)=0,NA(),INDEX(指数走势!$F$37:$ACK$37,1,LOOKUP(2,1/(指数走势!$F$37:$ACK$37&lt;&gt;""),COLUMN(指数走势!$F$37:$ACK$37))-COLUMN(指数走势!$F$37)+1-760+49)))</f>
        <v>9.09500026702881</v>
      </c>
      <c r="AY101" s="2">
        <f>IF(ISERROR(INDEX(指数走势!$F$37:$ACK$37,1,LOOKUP(2,1/(指数走势!$F$37:$ACK$37&lt;&gt;""),COLUMN(指数走势!$F$37:$ACK$37))-COLUMN(指数走势!$F$37)+1-760+50)),NA(),IF(INDEX(指数走势!$F$37:$ACK$37,1,LOOKUP(2,1/(指数走势!$F$37:$ACK$37&lt;&gt;""),COLUMN(指数走势!$F$37:$ACK$37))-COLUMN(指数走势!$F$37)+1-760+50)=0,NA(),INDEX(指数走势!$F$37:$ACK$37,1,LOOKUP(2,1/(指数走势!$F$37:$ACK$37&lt;&gt;""),COLUMN(指数走势!$F$37:$ACK$37))-COLUMN(指数走势!$F$37)+1-760+50)))</f>
        <v>9.21269989013672</v>
      </c>
      <c r="AZ101" s="2">
        <f>IF(ISERROR(INDEX(指数走势!$F$37:$ACK$37,1,LOOKUP(2,1/(指数走势!$F$37:$ACK$37&lt;&gt;""),COLUMN(指数走势!$F$37:$ACK$37))-COLUMN(指数走势!$F$37)+1-760+51)),NA(),IF(INDEX(指数走势!$F$37:$ACK$37,1,LOOKUP(2,1/(指数走势!$F$37:$ACK$37&lt;&gt;""),COLUMN(指数走势!$F$37:$ACK$37))-COLUMN(指数走势!$F$37)+1-760+51)=0,NA(),INDEX(指数走势!$F$37:$ACK$37,1,LOOKUP(2,1/(指数走势!$F$37:$ACK$37&lt;&gt;""),COLUMN(指数走势!$F$37:$ACK$37))-COLUMN(指数走势!$F$37)+1-760+51)))</f>
        <v>9.33580017089844</v>
      </c>
      <c r="BA101" s="2">
        <f>IF(ISERROR(INDEX(指数走势!$F$37:$ACK$37,1,LOOKUP(2,1/(指数走势!$F$37:$ACK$37&lt;&gt;""),COLUMN(指数走势!$F$37:$ACK$37))-COLUMN(指数走势!$F$37)+1-760+52)),NA(),IF(INDEX(指数走势!$F$37:$ACK$37,1,LOOKUP(2,1/(指数走势!$F$37:$ACK$37&lt;&gt;""),COLUMN(指数走势!$F$37:$ACK$37))-COLUMN(指数走势!$F$37)+1-760+52)=0,NA(),INDEX(指数走势!$F$37:$ACK$37,1,LOOKUP(2,1/(指数走势!$F$37:$ACK$37&lt;&gt;""),COLUMN(指数走势!$F$37:$ACK$37))-COLUMN(指数走势!$F$37)+1-760+52)))</f>
        <v>9.41399955749512</v>
      </c>
      <c r="BB101" s="2">
        <f>IF(ISERROR(INDEX(指数走势!$F$37:$ACK$37,1,LOOKUP(2,1/(指数走势!$F$37:$ACK$37&lt;&gt;""),COLUMN(指数走势!$F$37:$ACK$37))-COLUMN(指数走势!$F$37)+1-760+53)),NA(),IF(INDEX(指数走势!$F$37:$ACK$37,1,LOOKUP(2,1/(指数走势!$F$37:$ACK$37&lt;&gt;""),COLUMN(指数走势!$F$37:$ACK$37))-COLUMN(指数走势!$F$37)+1-760+53)=0,NA(),INDEX(指数走势!$F$37:$ACK$37,1,LOOKUP(2,1/(指数走势!$F$37:$ACK$37&lt;&gt;""),COLUMN(指数走势!$F$37:$ACK$37))-COLUMN(指数走势!$F$37)+1-760+53)))</f>
        <v>9.34169960021973</v>
      </c>
      <c r="BC101" s="2">
        <f>IF(ISERROR(INDEX(指数走势!$F$37:$ACK$37,1,LOOKUP(2,1/(指数走势!$F$37:$ACK$37&lt;&gt;""),COLUMN(指数走势!$F$37:$ACK$37))-COLUMN(指数走势!$F$37)+1-760+54)),NA(),IF(INDEX(指数走势!$F$37:$ACK$37,1,LOOKUP(2,1/(指数走势!$F$37:$ACK$37&lt;&gt;""),COLUMN(指数走势!$F$37:$ACK$37))-COLUMN(指数走势!$F$37)+1-760+54)=0,NA(),INDEX(指数走势!$F$37:$ACK$37,1,LOOKUP(2,1/(指数走势!$F$37:$ACK$37&lt;&gt;""),COLUMN(指数走势!$F$37:$ACK$37))-COLUMN(指数走势!$F$37)+1-760+54)))</f>
        <v>9.11139965057373</v>
      </c>
      <c r="BD101" s="2">
        <f>IF(ISERROR(INDEX(指数走势!$F$37:$ACK$37,1,LOOKUP(2,1/(指数走势!$F$37:$ACK$37&lt;&gt;""),COLUMN(指数走势!$F$37:$ACK$37))-COLUMN(指数走势!$F$37)+1-760+55)),NA(),IF(INDEX(指数走势!$F$37:$ACK$37,1,LOOKUP(2,1/(指数走势!$F$37:$ACK$37&lt;&gt;""),COLUMN(指数走势!$F$37:$ACK$37))-COLUMN(指数走势!$F$37)+1-760+55)=0,NA(),INDEX(指数走势!$F$37:$ACK$37,1,LOOKUP(2,1/(指数走势!$F$37:$ACK$37&lt;&gt;""),COLUMN(指数走势!$F$37:$ACK$37))-COLUMN(指数走势!$F$37)+1-760+55)))</f>
        <v>9.08920001983643</v>
      </c>
      <c r="BE101" s="2">
        <f>IF(ISERROR(INDEX(指数走势!$F$37:$ACK$37,1,LOOKUP(2,1/(指数走势!$F$37:$ACK$37&lt;&gt;""),COLUMN(指数走势!$F$37:$ACK$37))-COLUMN(指数走势!$F$37)+1-760+56)),NA(),IF(INDEX(指数走势!$F$37:$ACK$37,1,LOOKUP(2,1/(指数走势!$F$37:$ACK$37&lt;&gt;""),COLUMN(指数走势!$F$37:$ACK$37))-COLUMN(指数走势!$F$37)+1-760+56)=0,NA(),INDEX(指数走势!$F$37:$ACK$37,1,LOOKUP(2,1/(指数走势!$F$37:$ACK$37&lt;&gt;""),COLUMN(指数走势!$F$37:$ACK$37))-COLUMN(指数走势!$F$37)+1-760+56)))</f>
        <v>9.14890003204346</v>
      </c>
      <c r="BF101" s="2">
        <f>IF(ISERROR(INDEX(指数走势!$F$37:$ACK$37,1,LOOKUP(2,1/(指数走势!$F$37:$ACK$37&lt;&gt;""),COLUMN(指数走势!$F$37:$ACK$37))-COLUMN(指数走势!$F$37)+1-760+57)),NA(),IF(INDEX(指数走势!$F$37:$ACK$37,1,LOOKUP(2,1/(指数走势!$F$37:$ACK$37&lt;&gt;""),COLUMN(指数走势!$F$37:$ACK$37))-COLUMN(指数走势!$F$37)+1-760+57)=0,NA(),INDEX(指数走势!$F$37:$ACK$37,1,LOOKUP(2,1/(指数走势!$F$37:$ACK$37&lt;&gt;""),COLUMN(指数走势!$F$37:$ACK$37))-COLUMN(指数走势!$F$37)+1-760+57)))</f>
        <v>9.11499977111816</v>
      </c>
      <c r="BG101" s="2">
        <f>IF(ISERROR(INDEX(指数走势!$F$37:$ACK$37,1,LOOKUP(2,1/(指数走势!$F$37:$ACK$37&lt;&gt;""),COLUMN(指数走势!$F$37:$ACK$37))-COLUMN(指数走势!$F$37)+1-760+58)),NA(),IF(INDEX(指数走势!$F$37:$ACK$37,1,LOOKUP(2,1/(指数走势!$F$37:$ACK$37&lt;&gt;""),COLUMN(指数走势!$F$37:$ACK$37))-COLUMN(指数走势!$F$37)+1-760+58)=0,NA(),INDEX(指数走势!$F$37:$ACK$37,1,LOOKUP(2,1/(指数走势!$F$37:$ACK$37&lt;&gt;""),COLUMN(指数走势!$F$37:$ACK$37))-COLUMN(指数走势!$F$37)+1-760+58)))</f>
        <v>8.96739959716797</v>
      </c>
      <c r="BH101" s="2">
        <f>IF(ISERROR(INDEX(指数走势!$F$37:$ACK$37,1,LOOKUP(2,1/(指数走势!$F$37:$ACK$37&lt;&gt;""),COLUMN(指数走势!$F$37:$ACK$37))-COLUMN(指数走势!$F$37)+1-760+59)),NA(),IF(INDEX(指数走势!$F$37:$ACK$37,1,LOOKUP(2,1/(指数走势!$F$37:$ACK$37&lt;&gt;""),COLUMN(指数走势!$F$37:$ACK$37))-COLUMN(指数走势!$F$37)+1-760+59)=0,NA(),INDEX(指数走势!$F$37:$ACK$37,1,LOOKUP(2,1/(指数走势!$F$37:$ACK$37&lt;&gt;""),COLUMN(指数走势!$F$37:$ACK$37))-COLUMN(指数走势!$F$37)+1-760+59)))</f>
        <v>9.00399971008301</v>
      </c>
      <c r="BI101">
        <f>IF(ISERROR(INDEX(指数走势!$F$37:$ACK$37,1,LOOKUP(2,1/(指数走势!$F$37:$ACK$37&lt;&gt;""),COLUMN(指数走势!$F$37:$ACK$37))-COLUMN(指数走势!$F$37)+1-760+60)),NA(),IF(INDEX(指数走势!$F$37:$ACK$37,1,LOOKUP(2,1/(指数走势!$F$37:$ACK$37&lt;&gt;""),COLUMN(指数走势!$F$37:$ACK$37))-COLUMN(指数走势!$F$37)+1-760+60)=0,NA(),INDEX(指数走势!$F$37:$ACK$37,1,LOOKUP(2,1/(指数走势!$F$37:$ACK$37&lt;&gt;""),COLUMN(指数走势!$F$37:$ACK$37))-COLUMN(指数走势!$F$37)+1-760+60)))</f>
        <v>9.01389980316162</v>
      </c>
      <c r="BJ101">
        <f>IF(ISERROR(INDEX(指数走势!$F$37:$ACK$37,1,LOOKUP(2,1/(指数走势!$F$37:$ACK$37&lt;&gt;""),COLUMN(指数走势!$F$37:$ACK$37))-COLUMN(指数走势!$F$37)+1-760+61)),NA(),IF(INDEX(指数走势!$F$37:$ACK$37,1,LOOKUP(2,1/(指数走势!$F$37:$ACK$37&lt;&gt;""),COLUMN(指数走势!$F$37:$ACK$37))-COLUMN(指数走势!$F$37)+1-760+61)=0,NA(),INDEX(指数走势!$F$37:$ACK$37,1,LOOKUP(2,1/(指数走势!$F$37:$ACK$37&lt;&gt;""),COLUMN(指数走势!$F$37:$ACK$37))-COLUMN(指数走势!$F$37)+1-760+61)))</f>
        <v>8.90349960327148</v>
      </c>
      <c r="BK101">
        <f>IF(ISERROR(INDEX(指数走势!$F$37:$ACK$37,1,LOOKUP(2,1/(指数走势!$F$37:$ACK$37&lt;&gt;""),COLUMN(指数走势!$F$37:$ACK$37))-COLUMN(指数走势!$F$37)+1-760+62)),NA(),IF(INDEX(指数走势!$F$37:$ACK$37,1,LOOKUP(2,1/(指数走势!$F$37:$ACK$37&lt;&gt;""),COLUMN(指数走势!$F$37:$ACK$37))-COLUMN(指数走势!$F$37)+1-760+62)=0,NA(),INDEX(指数走势!$F$37:$ACK$37,1,LOOKUP(2,1/(指数走势!$F$37:$ACK$37&lt;&gt;""),COLUMN(指数走势!$F$37:$ACK$37))-COLUMN(指数走势!$F$37)+1-760+62)))</f>
        <v>8.76239967346191</v>
      </c>
      <c r="BL101">
        <f>IF(ISERROR(INDEX(指数走势!$F$37:$ACK$37,1,LOOKUP(2,1/(指数走势!$F$37:$ACK$37&lt;&gt;""),COLUMN(指数走势!$F$37:$ACK$37))-COLUMN(指数走势!$F$37)+1-760+63)),NA(),IF(INDEX(指数走势!$F$37:$ACK$37,1,LOOKUP(2,1/(指数走势!$F$37:$ACK$37&lt;&gt;""),COLUMN(指数走势!$F$37:$ACK$37))-COLUMN(指数走势!$F$37)+1-760+63)=0,NA(),INDEX(指数走势!$F$37:$ACK$37,1,LOOKUP(2,1/(指数走势!$F$37:$ACK$37&lt;&gt;""),COLUMN(指数走势!$F$37:$ACK$37))-COLUMN(指数走势!$F$37)+1-760+63)))</f>
        <v>8.68879985809326</v>
      </c>
      <c r="BM101">
        <f>IF(ISERROR(INDEX(指数走势!$F$37:$ACK$37,1,LOOKUP(2,1/(指数走势!$F$37:$ACK$37&lt;&gt;""),COLUMN(指数走势!$F$37:$ACK$37))-COLUMN(指数走势!$F$37)+1-760+64)),NA(),IF(INDEX(指数走势!$F$37:$ACK$37,1,LOOKUP(2,1/(指数走势!$F$37:$ACK$37&lt;&gt;""),COLUMN(指数走势!$F$37:$ACK$37))-COLUMN(指数走势!$F$37)+1-760+64)=0,NA(),INDEX(指数走势!$F$37:$ACK$37,1,LOOKUP(2,1/(指数走势!$F$37:$ACK$37&lt;&gt;""),COLUMN(指数走势!$F$37:$ACK$37))-COLUMN(指数走势!$F$37)+1-760+64)))</f>
        <v>8.55910015106201</v>
      </c>
      <c r="BN101">
        <f>IF(ISERROR(INDEX(指数走势!$F$37:$ACK$37,1,LOOKUP(2,1/(指数走势!$F$37:$ACK$37&lt;&gt;""),COLUMN(指数走势!$F$37:$ACK$37))-COLUMN(指数走势!$F$37)+1-760+65)),NA(),IF(INDEX(指数走势!$F$37:$ACK$37,1,LOOKUP(2,1/(指数走势!$F$37:$ACK$37&lt;&gt;""),COLUMN(指数走势!$F$37:$ACK$37))-COLUMN(指数走势!$F$37)+1-760+65)=0,NA(),INDEX(指数走势!$F$37:$ACK$37,1,LOOKUP(2,1/(指数走势!$F$37:$ACK$37&lt;&gt;""),COLUMN(指数走势!$F$37:$ACK$37))-COLUMN(指数走势!$F$37)+1-760+65)))</f>
        <v>8.58539962768555</v>
      </c>
      <c r="BO101">
        <f>IF(ISERROR(INDEX(指数走势!$F$37:$ACK$37,1,LOOKUP(2,1/(指数走势!$F$37:$ACK$37&lt;&gt;""),COLUMN(指数走势!$F$37:$ACK$37))-COLUMN(指数走势!$F$37)+1-760+66)),NA(),IF(INDEX(指数走势!$F$37:$ACK$37,1,LOOKUP(2,1/(指数走势!$F$37:$ACK$37&lt;&gt;""),COLUMN(指数走势!$F$37:$ACK$37))-COLUMN(指数走势!$F$37)+1-760+66)=0,NA(),INDEX(指数走势!$F$37:$ACK$37,1,LOOKUP(2,1/(指数走势!$F$37:$ACK$37&lt;&gt;""),COLUMN(指数走势!$F$37:$ACK$37))-COLUMN(指数走势!$F$37)+1-760+66)))</f>
        <v>8.53269958496094</v>
      </c>
      <c r="BP101">
        <f>IF(ISERROR(INDEX(指数走势!$F$37:$ACK$37,1,LOOKUP(2,1/(指数走势!$F$37:$ACK$37&lt;&gt;""),COLUMN(指数走势!$F$37:$ACK$37))-COLUMN(指数走势!$F$37)+1-760+67)),NA(),IF(INDEX(指数走势!$F$37:$ACK$37,1,LOOKUP(2,1/(指数走势!$F$37:$ACK$37&lt;&gt;""),COLUMN(指数走势!$F$37:$ACK$37))-COLUMN(指数走势!$F$37)+1-760+67)=0,NA(),INDEX(指数走势!$F$37:$ACK$37,1,LOOKUP(2,1/(指数走势!$F$37:$ACK$37&lt;&gt;""),COLUMN(指数走势!$F$37:$ACK$37))-COLUMN(指数走势!$F$37)+1-760+67)))</f>
        <v>8.38059997558594</v>
      </c>
      <c r="BQ101">
        <f>IF(ISERROR(INDEX(指数走势!$F$37:$ACK$37,1,LOOKUP(2,1/(指数走势!$F$37:$ACK$37&lt;&gt;""),COLUMN(指数走势!$F$37:$ACK$37))-COLUMN(指数走势!$F$37)+1-760+68)),NA(),IF(INDEX(指数走势!$F$37:$ACK$37,1,LOOKUP(2,1/(指数走势!$F$37:$ACK$37&lt;&gt;""),COLUMN(指数走势!$F$37:$ACK$37))-COLUMN(指数走势!$F$37)+1-760+68)=0,NA(),INDEX(指数走势!$F$37:$ACK$37,1,LOOKUP(2,1/(指数走势!$F$37:$ACK$37&lt;&gt;""),COLUMN(指数走势!$F$37:$ACK$37))-COLUMN(指数走势!$F$37)+1-760+68)))</f>
        <v>8.44919967651367</v>
      </c>
      <c r="BR101">
        <f>IF(ISERROR(INDEX(指数走势!$F$37:$ACK$37,1,LOOKUP(2,1/(指数走势!$F$37:$ACK$37&lt;&gt;""),COLUMN(指数走势!$F$37:$ACK$37))-COLUMN(指数走势!$F$37)+1-760+69)),NA(),IF(INDEX(指数走势!$F$37:$ACK$37,1,LOOKUP(2,1/(指数走势!$F$37:$ACK$37&lt;&gt;""),COLUMN(指数走势!$F$37:$ACK$37))-COLUMN(指数走势!$F$37)+1-760+69)=0,NA(),INDEX(指数走势!$F$37:$ACK$37,1,LOOKUP(2,1/(指数走势!$F$37:$ACK$37&lt;&gt;""),COLUMN(指数走势!$F$37:$ACK$37))-COLUMN(指数走势!$F$37)+1-760+69)))</f>
        <v>8.49209976196289</v>
      </c>
      <c r="BS101">
        <f>IF(ISERROR(INDEX(指数走势!$F$37:$ACK$37,1,LOOKUP(2,1/(指数走势!$F$37:$ACK$37&lt;&gt;""),COLUMN(指数走势!$F$37:$ACK$37))-COLUMN(指数走势!$F$37)+1-760+70)),NA(),IF(INDEX(指数走势!$F$37:$ACK$37,1,LOOKUP(2,1/(指数走势!$F$37:$ACK$37&lt;&gt;""),COLUMN(指数走势!$F$37:$ACK$37))-COLUMN(指数走势!$F$37)+1-760+70)=0,NA(),INDEX(指数走势!$F$37:$ACK$37,1,LOOKUP(2,1/(指数走势!$F$37:$ACK$37&lt;&gt;""),COLUMN(指数走势!$F$37:$ACK$37))-COLUMN(指数走势!$F$37)+1-760+70)))</f>
        <v>8.55840015411377</v>
      </c>
      <c r="BT101">
        <f>IF(ISERROR(INDEX(指数走势!$F$37:$ACK$37,1,LOOKUP(2,1/(指数走势!$F$37:$ACK$37&lt;&gt;""),COLUMN(指数走势!$F$37:$ACK$37))-COLUMN(指数走势!$F$37)+1-760+71)),NA(),IF(INDEX(指数走势!$F$37:$ACK$37,1,LOOKUP(2,1/(指数走势!$F$37:$ACK$37&lt;&gt;""),COLUMN(指数走势!$F$37:$ACK$37))-COLUMN(指数走势!$F$37)+1-760+71)=0,NA(),INDEX(指数走势!$F$37:$ACK$37,1,LOOKUP(2,1/(指数走势!$F$37:$ACK$37&lt;&gt;""),COLUMN(指数走势!$F$37:$ACK$37))-COLUMN(指数走势!$F$37)+1-760+71)))</f>
        <v>8.51290035247803</v>
      </c>
      <c r="BU101">
        <f>IF(ISERROR(INDEX(指数走势!$F$37:$ACK$37,1,LOOKUP(2,1/(指数走势!$F$37:$ACK$37&lt;&gt;""),COLUMN(指数走势!$F$37:$ACK$37))-COLUMN(指数走势!$F$37)+1-760+72)),NA(),IF(INDEX(指数走势!$F$37:$ACK$37,1,LOOKUP(2,1/(指数走势!$F$37:$ACK$37&lt;&gt;""),COLUMN(指数走势!$F$37:$ACK$37))-COLUMN(指数走势!$F$37)+1-760+72)=0,NA(),INDEX(指数走势!$F$37:$ACK$37,1,LOOKUP(2,1/(指数走势!$F$37:$ACK$37&lt;&gt;""),COLUMN(指数走势!$F$37:$ACK$37))-COLUMN(指数走势!$F$37)+1-760+72)))</f>
        <v>8.63329982757568</v>
      </c>
      <c r="BV101">
        <f>IF(ISERROR(INDEX(指数走势!$F$37:$ACK$37,1,LOOKUP(2,1/(指数走势!$F$37:$ACK$37&lt;&gt;""),COLUMN(指数走势!$F$37:$ACK$37))-COLUMN(指数走势!$F$37)+1-760+73)),NA(),IF(INDEX(指数走势!$F$37:$ACK$37,1,LOOKUP(2,1/(指数走势!$F$37:$ACK$37&lt;&gt;""),COLUMN(指数走势!$F$37:$ACK$37))-COLUMN(指数走势!$F$37)+1-760+73)=0,NA(),INDEX(指数走势!$F$37:$ACK$37,1,LOOKUP(2,1/(指数走势!$F$37:$ACK$37&lt;&gt;""),COLUMN(指数走势!$F$37:$ACK$37))-COLUMN(指数走势!$F$37)+1-760+73)))</f>
        <v>8.82219982147217</v>
      </c>
      <c r="BW101">
        <f>IF(ISERROR(INDEX(指数走势!$F$37:$ACK$37,1,LOOKUP(2,1/(指数走势!$F$37:$ACK$37&lt;&gt;""),COLUMN(指数走势!$F$37:$ACK$37))-COLUMN(指数走势!$F$37)+1-760+74)),NA(),IF(INDEX(指数走势!$F$37:$ACK$37,1,LOOKUP(2,1/(指数走势!$F$37:$ACK$37&lt;&gt;""),COLUMN(指数走势!$F$37:$ACK$37))-COLUMN(指数走势!$F$37)+1-760+74)=0,NA(),INDEX(指数走势!$F$37:$ACK$37,1,LOOKUP(2,1/(指数走势!$F$37:$ACK$37&lt;&gt;""),COLUMN(指数走势!$F$37:$ACK$37))-COLUMN(指数走势!$F$37)+1-760+74)))</f>
        <v>9.07800006866455</v>
      </c>
      <c r="BX101">
        <f>IF(ISERROR(INDEX(指数走势!$F$37:$ACK$37,1,LOOKUP(2,1/(指数走势!$F$37:$ACK$37&lt;&gt;""),COLUMN(指数走势!$F$37:$ACK$37))-COLUMN(指数走势!$F$37)+1-760+75)),NA(),IF(INDEX(指数走势!$F$37:$ACK$37,1,LOOKUP(2,1/(指数走势!$F$37:$ACK$37&lt;&gt;""),COLUMN(指数走势!$F$37:$ACK$37))-COLUMN(指数走势!$F$37)+1-760+75)=0,NA(),INDEX(指数走势!$F$37:$ACK$37,1,LOOKUP(2,1/(指数走势!$F$37:$ACK$37&lt;&gt;""),COLUMN(指数走势!$F$37:$ACK$37))-COLUMN(指数走势!$F$37)+1-760+75)))</f>
        <v>9.0984001159668</v>
      </c>
      <c r="BY101">
        <f>IF(ISERROR(INDEX(指数走势!$F$37:$ACK$37,1,LOOKUP(2,1/(指数走势!$F$37:$ACK$37&lt;&gt;""),COLUMN(指数走势!$F$37:$ACK$37))-COLUMN(指数走势!$F$37)+1-760+76)),NA(),IF(INDEX(指数走势!$F$37:$ACK$37,1,LOOKUP(2,1/(指数走势!$F$37:$ACK$37&lt;&gt;""),COLUMN(指数走势!$F$37:$ACK$37))-COLUMN(指数走势!$F$37)+1-760+76)=0,NA(),INDEX(指数走势!$F$37:$ACK$37,1,LOOKUP(2,1/(指数走势!$F$37:$ACK$37&lt;&gt;""),COLUMN(指数走势!$F$37:$ACK$37))-COLUMN(指数走势!$F$37)+1-760+76)))</f>
        <v>9.09850025177002</v>
      </c>
      <c r="BZ101">
        <f>IF(ISERROR(INDEX(指数走势!$F$37:$ACK$37,1,LOOKUP(2,1/(指数走势!$F$37:$ACK$37&lt;&gt;""),COLUMN(指数走势!$F$37:$ACK$37))-COLUMN(指数走势!$F$37)+1-760+77)),NA(),IF(INDEX(指数走势!$F$37:$ACK$37,1,LOOKUP(2,1/(指数走势!$F$37:$ACK$37&lt;&gt;""),COLUMN(指数走势!$F$37:$ACK$37))-COLUMN(指数走势!$F$37)+1-760+77)=0,NA(),INDEX(指数走势!$F$37:$ACK$37,1,LOOKUP(2,1/(指数走势!$F$37:$ACK$37&lt;&gt;""),COLUMN(指数走势!$F$37:$ACK$37))-COLUMN(指数走势!$F$37)+1-760+77)))</f>
        <v>9.15769958496094</v>
      </c>
      <c r="CA101">
        <f>IF(ISERROR(INDEX(指数走势!$F$37:$ACK$37,1,LOOKUP(2,1/(指数走势!$F$37:$ACK$37&lt;&gt;""),COLUMN(指数走势!$F$37:$ACK$37))-COLUMN(指数走势!$F$37)+1-760+78)),NA(),IF(INDEX(指数走势!$F$37:$ACK$37,1,LOOKUP(2,1/(指数走势!$F$37:$ACK$37&lt;&gt;""),COLUMN(指数走势!$F$37:$ACK$37))-COLUMN(指数走势!$F$37)+1-760+78)=0,NA(),INDEX(指数走势!$F$37:$ACK$37,1,LOOKUP(2,1/(指数走势!$F$37:$ACK$37&lt;&gt;""),COLUMN(指数走势!$F$37:$ACK$37))-COLUMN(指数走势!$F$37)+1-760+78)))</f>
        <v>8.98480033874512</v>
      </c>
      <c r="CB101">
        <f>IF(ISERROR(INDEX(指数走势!$F$37:$ACK$37,1,LOOKUP(2,1/(指数走势!$F$37:$ACK$37&lt;&gt;""),COLUMN(指数走势!$F$37:$ACK$37))-COLUMN(指数走势!$F$37)+1-760+79)),NA(),IF(INDEX(指数走势!$F$37:$ACK$37,1,LOOKUP(2,1/(指数走势!$F$37:$ACK$37&lt;&gt;""),COLUMN(指数走势!$F$37:$ACK$37))-COLUMN(指数走势!$F$37)+1-760+79)=0,NA(),INDEX(指数走势!$F$37:$ACK$37,1,LOOKUP(2,1/(指数走势!$F$37:$ACK$37&lt;&gt;""),COLUMN(指数走势!$F$37:$ACK$37))-COLUMN(指数走势!$F$37)+1-760+79)))</f>
        <v>8.98980045318604</v>
      </c>
      <c r="CC101">
        <f>IF(ISERROR(INDEX(指数走势!$F$37:$ACK$37,1,LOOKUP(2,1/(指数走势!$F$37:$ACK$37&lt;&gt;""),COLUMN(指数走势!$F$37:$ACK$37))-COLUMN(指数走势!$F$37)+1-760+80)),NA(),IF(INDEX(指数走势!$F$37:$ACK$37,1,LOOKUP(2,1/(指数走势!$F$37:$ACK$37&lt;&gt;""),COLUMN(指数走势!$F$37:$ACK$37))-COLUMN(指数走势!$F$37)+1-760+80)=0,NA(),INDEX(指数走势!$F$37:$ACK$37,1,LOOKUP(2,1/(指数走势!$F$37:$ACK$37&lt;&gt;""),COLUMN(指数走势!$F$37:$ACK$37))-COLUMN(指数走势!$F$37)+1-760+80)))</f>
        <v>8.87170028686523</v>
      </c>
      <c r="CD101">
        <f>IF(ISERROR(INDEX(指数走势!$F$37:$ACK$37,1,LOOKUP(2,1/(指数走势!$F$37:$ACK$37&lt;&gt;""),COLUMN(指数走势!$F$37:$ACK$37))-COLUMN(指数走势!$F$37)+1-760+81)),NA(),IF(INDEX(指数走势!$F$37:$ACK$37,1,LOOKUP(2,1/(指数走势!$F$37:$ACK$37&lt;&gt;""),COLUMN(指数走势!$F$37:$ACK$37))-COLUMN(指数走势!$F$37)+1-760+81)=0,NA(),INDEX(指数走势!$F$37:$ACK$37,1,LOOKUP(2,1/(指数走势!$F$37:$ACK$37&lt;&gt;""),COLUMN(指数走势!$F$37:$ACK$37))-COLUMN(指数走势!$F$37)+1-760+81)))</f>
        <v>8.87160015106201</v>
      </c>
      <c r="CE101">
        <f>IF(ISERROR(INDEX(指数走势!$F$37:$ACK$37,1,LOOKUP(2,1/(指数走势!$F$37:$ACK$37&lt;&gt;""),COLUMN(指数走势!$F$37:$ACK$37))-COLUMN(指数走势!$F$37)+1-760+82)),NA(),IF(INDEX(指数走势!$F$37:$ACK$37,1,LOOKUP(2,1/(指数走势!$F$37:$ACK$37&lt;&gt;""),COLUMN(指数走势!$F$37:$ACK$37))-COLUMN(指数走势!$F$37)+1-760+82)=0,NA(),INDEX(指数走势!$F$37:$ACK$37,1,LOOKUP(2,1/(指数走势!$F$37:$ACK$37&lt;&gt;""),COLUMN(指数走势!$F$37:$ACK$37))-COLUMN(指数走势!$F$37)+1-760+82)))</f>
        <v>8.83650016784668</v>
      </c>
      <c r="CF101">
        <f>IF(ISERROR(INDEX(指数走势!$F$37:$ACK$37,1,LOOKUP(2,1/(指数走势!$F$37:$ACK$37&lt;&gt;""),COLUMN(指数走势!$F$37:$ACK$37))-COLUMN(指数走势!$F$37)+1-760+83)),NA(),IF(INDEX(指数走势!$F$37:$ACK$37,1,LOOKUP(2,1/(指数走势!$F$37:$ACK$37&lt;&gt;""),COLUMN(指数走势!$F$37:$ACK$37))-COLUMN(指数走势!$F$37)+1-760+83)=0,NA(),INDEX(指数走势!$F$37:$ACK$37,1,LOOKUP(2,1/(指数走势!$F$37:$ACK$37&lt;&gt;""),COLUMN(指数走势!$F$37:$ACK$37))-COLUMN(指数走势!$F$37)+1-760+83)))</f>
        <v>8.80930042266846</v>
      </c>
      <c r="CG101">
        <f>IF(ISERROR(INDEX(指数走势!$F$37:$ACK$37,1,LOOKUP(2,1/(指数走势!$F$37:$ACK$37&lt;&gt;""),COLUMN(指数走势!$F$37:$ACK$37))-COLUMN(指数走势!$F$37)+1-760+84)),NA(),IF(INDEX(指数走势!$F$37:$ACK$37,1,LOOKUP(2,1/(指数走势!$F$37:$ACK$37&lt;&gt;""),COLUMN(指数走势!$F$37:$ACK$37))-COLUMN(指数走势!$F$37)+1-760+84)=0,NA(),INDEX(指数走势!$F$37:$ACK$37,1,LOOKUP(2,1/(指数走势!$F$37:$ACK$37&lt;&gt;""),COLUMN(指数走势!$F$37:$ACK$37))-COLUMN(指数走势!$F$37)+1-760+84)))</f>
        <v>8.79710006713867</v>
      </c>
      <c r="CH101">
        <f>IF(ISERROR(INDEX(指数走势!$F$37:$ACK$37,1,LOOKUP(2,1/(指数走势!$F$37:$ACK$37&lt;&gt;""),COLUMN(指数走势!$F$37:$ACK$37))-COLUMN(指数走势!$F$37)+1-760+85)),NA(),IF(INDEX(指数走势!$F$37:$ACK$37,1,LOOKUP(2,1/(指数走势!$F$37:$ACK$37&lt;&gt;""),COLUMN(指数走势!$F$37:$ACK$37))-COLUMN(指数走势!$F$37)+1-760+85)=0,NA(),INDEX(指数走势!$F$37:$ACK$37,1,LOOKUP(2,1/(指数走势!$F$37:$ACK$37&lt;&gt;""),COLUMN(指数走势!$F$37:$ACK$37))-COLUMN(指数走势!$F$37)+1-760+85)))</f>
        <v>8.85109996795654</v>
      </c>
      <c r="CI101">
        <f>IF(ISERROR(INDEX(指数走势!$F$37:$ACK$37,1,LOOKUP(2,1/(指数走势!$F$37:$ACK$37&lt;&gt;""),COLUMN(指数走势!$F$37:$ACK$37))-COLUMN(指数走势!$F$37)+1-760+86)),NA(),IF(INDEX(指数走势!$F$37:$ACK$37,1,LOOKUP(2,1/(指数走势!$F$37:$ACK$37&lt;&gt;""),COLUMN(指数走势!$F$37:$ACK$37))-COLUMN(指数走势!$F$37)+1-760+86)=0,NA(),INDEX(指数走势!$F$37:$ACK$37,1,LOOKUP(2,1/(指数走势!$F$37:$ACK$37&lt;&gt;""),COLUMN(指数走势!$F$37:$ACK$37))-COLUMN(指数走势!$F$37)+1-760+86)))</f>
        <v>8.89980030059814</v>
      </c>
      <c r="CJ101">
        <f>IF(ISERROR(INDEX(指数走势!$F$37:$ACK$37,1,LOOKUP(2,1/(指数走势!$F$37:$ACK$37&lt;&gt;""),COLUMN(指数走势!$F$37:$ACK$37))-COLUMN(指数走势!$F$37)+1-760+87)),NA(),IF(INDEX(指数走势!$F$37:$ACK$37,1,LOOKUP(2,1/(指数走势!$F$37:$ACK$37&lt;&gt;""),COLUMN(指数走势!$F$37:$ACK$37))-COLUMN(指数走势!$F$37)+1-760+87)=0,NA(),INDEX(指数走势!$F$37:$ACK$37,1,LOOKUP(2,1/(指数走势!$F$37:$ACK$37&lt;&gt;""),COLUMN(指数走势!$F$37:$ACK$37))-COLUMN(指数走势!$F$37)+1-760+87)))</f>
        <v>8.81040000915527</v>
      </c>
      <c r="CK101">
        <f>IF(ISERROR(INDEX(指数走势!$F$37:$ACK$37,1,LOOKUP(2,1/(指数走势!$F$37:$ACK$37&lt;&gt;""),COLUMN(指数走势!$F$37:$ACK$37))-COLUMN(指数走势!$F$37)+1-760+88)),NA(),IF(INDEX(指数走势!$F$37:$ACK$37,1,LOOKUP(2,1/(指数走势!$F$37:$ACK$37&lt;&gt;""),COLUMN(指数走势!$F$37:$ACK$37))-COLUMN(指数走势!$F$37)+1-760+88)=0,NA(),INDEX(指数走势!$F$37:$ACK$37,1,LOOKUP(2,1/(指数走势!$F$37:$ACK$37&lt;&gt;""),COLUMN(指数走势!$F$37:$ACK$37))-COLUMN(指数走势!$F$37)+1-760+88)))</f>
        <v>8.85809993743896</v>
      </c>
      <c r="CL101">
        <f>IF(ISERROR(INDEX(指数走势!$F$37:$ACK$37,1,LOOKUP(2,1/(指数走势!$F$37:$ACK$37&lt;&gt;""),COLUMN(指数走势!$F$37:$ACK$37))-COLUMN(指数走势!$F$37)+1-760+89)),NA(),IF(INDEX(指数走势!$F$37:$ACK$37,1,LOOKUP(2,1/(指数走势!$F$37:$ACK$37&lt;&gt;""),COLUMN(指数走势!$F$37:$ACK$37))-COLUMN(指数走势!$F$37)+1-760+89)=0,NA(),INDEX(指数走势!$F$37:$ACK$37,1,LOOKUP(2,1/(指数走势!$F$37:$ACK$37&lt;&gt;""),COLUMN(指数走势!$F$37:$ACK$37))-COLUMN(指数走势!$F$37)+1-760+89)))</f>
        <v>8.85210037231445</v>
      </c>
      <c r="CM101">
        <f>IF(ISERROR(INDEX(指数走势!$F$37:$ACK$37,1,LOOKUP(2,1/(指数走势!$F$37:$ACK$37&lt;&gt;""),COLUMN(指数走势!$F$37:$ACK$37))-COLUMN(指数走势!$F$37)+1-760+90)),NA(),IF(INDEX(指数走势!$F$37:$ACK$37,1,LOOKUP(2,1/(指数走势!$F$37:$ACK$37&lt;&gt;""),COLUMN(指数走势!$F$37:$ACK$37))-COLUMN(指数走势!$F$37)+1-760+90)=0,NA(),INDEX(指数走势!$F$37:$ACK$37,1,LOOKUP(2,1/(指数走势!$F$37:$ACK$37&lt;&gt;""),COLUMN(指数走势!$F$37:$ACK$37))-COLUMN(指数走势!$F$37)+1-760+90)))</f>
        <v>8.73970031738281</v>
      </c>
      <c r="CN101">
        <f>IF(ISERROR(INDEX(指数走势!$F$37:$ACK$37,1,LOOKUP(2,1/(指数走势!$F$37:$ACK$37&lt;&gt;""),COLUMN(指数走势!$F$37:$ACK$37))-COLUMN(指数走势!$F$37)+1-760+91)),NA(),IF(INDEX(指数走势!$F$37:$ACK$37,1,LOOKUP(2,1/(指数走势!$F$37:$ACK$37&lt;&gt;""),COLUMN(指数走势!$F$37:$ACK$37))-COLUMN(指数走势!$F$37)+1-760+91)=0,NA(),INDEX(指数走势!$F$37:$ACK$37,1,LOOKUP(2,1/(指数走势!$F$37:$ACK$37&lt;&gt;""),COLUMN(指数走势!$F$37:$ACK$37))-COLUMN(指数走势!$F$37)+1-760+91)))</f>
        <v>8.93270015716553</v>
      </c>
      <c r="CO101">
        <f>IF(ISERROR(INDEX(指数走势!$F$37:$ACK$37,1,LOOKUP(2,1/(指数走势!$F$37:$ACK$37&lt;&gt;""),COLUMN(指数走势!$F$37:$ACK$37))-COLUMN(指数走势!$F$37)+1-760+92)),NA(),IF(INDEX(指数走势!$F$37:$ACK$37,1,LOOKUP(2,1/(指数走势!$F$37:$ACK$37&lt;&gt;""),COLUMN(指数走势!$F$37:$ACK$37))-COLUMN(指数走势!$F$37)+1-760+92)=0,NA(),INDEX(指数走势!$F$37:$ACK$37,1,LOOKUP(2,1/(指数走势!$F$37:$ACK$37&lt;&gt;""),COLUMN(指数走势!$F$37:$ACK$37))-COLUMN(指数走势!$F$37)+1-760+92)))</f>
        <v>8.77369976043701</v>
      </c>
      <c r="CP101">
        <f>IF(ISERROR(INDEX(指数走势!$F$37:$ACK$37,1,LOOKUP(2,1/(指数走势!$F$37:$ACK$37&lt;&gt;""),COLUMN(指数走势!$F$37:$ACK$37))-COLUMN(指数走势!$F$37)+1-760+93)),NA(),IF(INDEX(指数走势!$F$37:$ACK$37,1,LOOKUP(2,1/(指数走势!$F$37:$ACK$37&lt;&gt;""),COLUMN(指数走势!$F$37:$ACK$37))-COLUMN(指数走势!$F$37)+1-760+93)=0,NA(),INDEX(指数走势!$F$37:$ACK$37,1,LOOKUP(2,1/(指数走势!$F$37:$ACK$37&lt;&gt;""),COLUMN(指数走势!$F$37:$ACK$37))-COLUMN(指数走势!$F$37)+1-760+93)))</f>
        <v>8.65279960632324</v>
      </c>
      <c r="CQ101">
        <f>IF(ISERROR(INDEX(指数走势!$F$37:$ACK$37,1,LOOKUP(2,1/(指数走势!$F$37:$ACK$37&lt;&gt;""),COLUMN(指数走势!$F$37:$ACK$37))-COLUMN(指数走势!$F$37)+1-760+94)),NA(),IF(INDEX(指数走势!$F$37:$ACK$37,1,LOOKUP(2,1/(指数走势!$F$37:$ACK$37&lt;&gt;""),COLUMN(指数走势!$F$37:$ACK$37))-COLUMN(指数走势!$F$37)+1-760+94)=0,NA(),INDEX(指数走势!$F$37:$ACK$37,1,LOOKUP(2,1/(指数走势!$F$37:$ACK$37&lt;&gt;""),COLUMN(指数走势!$F$37:$ACK$37))-COLUMN(指数走势!$F$37)+1-760+94)))</f>
        <v>8.72080039978027</v>
      </c>
      <c r="CR101">
        <f>IF(ISERROR(INDEX(指数走势!$F$37:$ACK$37,1,LOOKUP(2,1/(指数走势!$F$37:$ACK$37&lt;&gt;""),COLUMN(指数走势!$F$37:$ACK$37))-COLUMN(指数走势!$F$37)+1-760+95)),NA(),IF(INDEX(指数走势!$F$37:$ACK$37,1,LOOKUP(2,1/(指数走势!$F$37:$ACK$37&lt;&gt;""),COLUMN(指数走势!$F$37:$ACK$37))-COLUMN(指数走势!$F$37)+1-760+95)=0,NA(),INDEX(指数走势!$F$37:$ACK$37,1,LOOKUP(2,1/(指数走势!$F$37:$ACK$37&lt;&gt;""),COLUMN(指数走势!$F$37:$ACK$37))-COLUMN(指数走势!$F$37)+1-760+95)))</f>
        <v>8.62090015411377</v>
      </c>
      <c r="CS101">
        <f>IF(ISERROR(INDEX(指数走势!$F$37:$ACK$37,1,LOOKUP(2,1/(指数走势!$F$37:$ACK$37&lt;&gt;""),COLUMN(指数走势!$F$37:$ACK$37))-COLUMN(指数走势!$F$37)+1-760+96)),NA(),IF(INDEX(指数走势!$F$37:$ACK$37,1,LOOKUP(2,1/(指数走势!$F$37:$ACK$37&lt;&gt;""),COLUMN(指数走势!$F$37:$ACK$37))-COLUMN(指数走势!$F$37)+1-760+96)=0,NA(),INDEX(指数走势!$F$37:$ACK$37,1,LOOKUP(2,1/(指数走势!$F$37:$ACK$37&lt;&gt;""),COLUMN(指数走势!$F$37:$ACK$37))-COLUMN(指数走势!$F$37)+1-760+96)))</f>
        <v>8.64589977264404</v>
      </c>
      <c r="CT101">
        <f>IF(ISERROR(INDEX(指数走势!$F$37:$ACK$37,1,LOOKUP(2,1/(指数走势!$F$37:$ACK$37&lt;&gt;""),COLUMN(指数走势!$F$37:$ACK$37))-COLUMN(指数走势!$F$37)+1-760+97)),NA(),IF(INDEX(指数走势!$F$37:$ACK$37,1,LOOKUP(2,1/(指数走势!$F$37:$ACK$37&lt;&gt;""),COLUMN(指数走势!$F$37:$ACK$37))-COLUMN(指数走势!$F$37)+1-760+97)=0,NA(),INDEX(指数走势!$F$37:$ACK$37,1,LOOKUP(2,1/(指数走势!$F$37:$ACK$37&lt;&gt;""),COLUMN(指数走势!$F$37:$ACK$37))-COLUMN(指数走势!$F$37)+1-760+97)))</f>
        <v>8.71249961853027</v>
      </c>
      <c r="CU101">
        <f>IF(ISERROR(INDEX(指数走势!$F$37:$ACK$37,1,LOOKUP(2,1/(指数走势!$F$37:$ACK$37&lt;&gt;""),COLUMN(指数走势!$F$37:$ACK$37))-COLUMN(指数走势!$F$37)+1-760+98)),NA(),IF(INDEX(指数走势!$F$37:$ACK$37,1,LOOKUP(2,1/(指数走势!$F$37:$ACK$37&lt;&gt;""),COLUMN(指数走势!$F$37:$ACK$37))-COLUMN(指数走势!$F$37)+1-760+98)=0,NA(),INDEX(指数走势!$F$37:$ACK$37,1,LOOKUP(2,1/(指数走势!$F$37:$ACK$37&lt;&gt;""),COLUMN(指数走势!$F$37:$ACK$37))-COLUMN(指数走势!$F$37)+1-760+98)))</f>
        <v>8.79520034790039</v>
      </c>
      <c r="CV101">
        <f>IF(ISERROR(INDEX(指数走势!$F$37:$ACK$37,1,LOOKUP(2,1/(指数走势!$F$37:$ACK$37&lt;&gt;""),COLUMN(指数走势!$F$37:$ACK$37))-COLUMN(指数走势!$F$37)+1-760+99)),NA(),IF(INDEX(指数走势!$F$37:$ACK$37,1,LOOKUP(2,1/(指数走势!$F$37:$ACK$37&lt;&gt;""),COLUMN(指数走势!$F$37:$ACK$37))-COLUMN(指数走势!$F$37)+1-760+99)=0,NA(),INDEX(指数走势!$F$37:$ACK$37,1,LOOKUP(2,1/(指数走势!$F$37:$ACK$37&lt;&gt;""),COLUMN(指数走势!$F$37:$ACK$37))-COLUMN(指数走势!$F$37)+1-760+99)))</f>
        <v>8.96199989318848</v>
      </c>
      <c r="CW101">
        <f>IF(ISERROR(INDEX(指数走势!$F$37:$ACK$37,1,LOOKUP(2,1/(指数走势!$F$37:$ACK$37&lt;&gt;""),COLUMN(指数走势!$F$37:$ACK$37))-COLUMN(指数走势!$F$37)+1-760+100)),NA(),IF(INDEX(指数走势!$F$37:$ACK$37,1,LOOKUP(2,1/(指数走势!$F$37:$ACK$37&lt;&gt;""),COLUMN(指数走势!$F$37:$ACK$37))-COLUMN(指数走势!$F$37)+1-760+100)=0,NA(),INDEX(指数走势!$F$37:$ACK$37,1,LOOKUP(2,1/(指数走势!$F$37:$ACK$37&lt;&gt;""),COLUMN(指数走势!$F$37:$ACK$37))-COLUMN(指数走势!$F$37)+1-760+100)))</f>
        <v>8.76159954071045</v>
      </c>
      <c r="CX101">
        <f>IF(ISERROR(INDEX(指数走势!$F$37:$ACK$37,1,LOOKUP(2,1/(指数走势!$F$37:$ACK$37&lt;&gt;""),COLUMN(指数走势!$F$37:$ACK$37))-COLUMN(指数走势!$F$37)+1-760+101)),NA(),IF(INDEX(指数走势!$F$37:$ACK$37,1,LOOKUP(2,1/(指数走势!$F$37:$ACK$37&lt;&gt;""),COLUMN(指数走势!$F$37:$ACK$37))-COLUMN(指数走势!$F$37)+1-760+101)=0,NA(),INDEX(指数走势!$F$37:$ACK$37,1,LOOKUP(2,1/(指数走势!$F$37:$ACK$37&lt;&gt;""),COLUMN(指数走势!$F$37:$ACK$37))-COLUMN(指数走势!$F$37)+1-760+101)))</f>
        <v>8.68200016021729</v>
      </c>
      <c r="CY101">
        <f>IF(ISERROR(INDEX(指数走势!$F$37:$ACK$37,1,LOOKUP(2,1/(指数走势!$F$37:$ACK$37&lt;&gt;""),COLUMN(指数走势!$F$37:$ACK$37))-COLUMN(指数走势!$F$37)+1-760+102)),NA(),IF(INDEX(指数走势!$F$37:$ACK$37,1,LOOKUP(2,1/(指数走势!$F$37:$ACK$37&lt;&gt;""),COLUMN(指数走势!$F$37:$ACK$37))-COLUMN(指数走势!$F$37)+1-760+102)=0,NA(),INDEX(指数走势!$F$37:$ACK$37,1,LOOKUP(2,1/(指数走势!$F$37:$ACK$37&lt;&gt;""),COLUMN(指数走势!$F$37:$ACK$37))-COLUMN(指数走势!$F$37)+1-760+102)))</f>
        <v>8.73740005493164</v>
      </c>
      <c r="CZ101">
        <f>IF(ISERROR(INDEX(指数走势!$F$37:$ACK$37,1,LOOKUP(2,1/(指数走势!$F$37:$ACK$37&lt;&gt;""),COLUMN(指数走势!$F$37:$ACK$37))-COLUMN(指数走势!$F$37)+1-760+103)),NA(),IF(INDEX(指数走势!$F$37:$ACK$37,1,LOOKUP(2,1/(指数走势!$F$37:$ACK$37&lt;&gt;""),COLUMN(指数走势!$F$37:$ACK$37))-COLUMN(指数走势!$F$37)+1-760+103)=0,NA(),INDEX(指数走势!$F$37:$ACK$37,1,LOOKUP(2,1/(指数走势!$F$37:$ACK$37&lt;&gt;""),COLUMN(指数走势!$F$37:$ACK$37))-COLUMN(指数走势!$F$37)+1-760+103)))</f>
        <v>8.72669982910156</v>
      </c>
      <c r="DA101">
        <f>IF(ISERROR(INDEX(指数走势!$F$37:$ACK$37,1,LOOKUP(2,1/(指数走势!$F$37:$ACK$37&lt;&gt;""),COLUMN(指数走势!$F$37:$ACK$37))-COLUMN(指数走势!$F$37)+1-760+104)),NA(),IF(INDEX(指数走势!$F$37:$ACK$37,1,LOOKUP(2,1/(指数走势!$F$37:$ACK$37&lt;&gt;""),COLUMN(指数走势!$F$37:$ACK$37))-COLUMN(指数走势!$F$37)+1-760+104)=0,NA(),INDEX(指数走势!$F$37:$ACK$37,1,LOOKUP(2,1/(指数走势!$F$37:$ACK$37&lt;&gt;""),COLUMN(指数走势!$F$37:$ACK$37))-COLUMN(指数走势!$F$37)+1-760+104)))</f>
        <v>8.5068998336792</v>
      </c>
      <c r="DB101">
        <f>IF(ISERROR(INDEX(指数走势!$F$37:$ACK$37,1,LOOKUP(2,1/(指数走势!$F$37:$ACK$37&lt;&gt;""),COLUMN(指数走势!$F$37:$ACK$37))-COLUMN(指数走势!$F$37)+1-760+105)),NA(),IF(INDEX(指数走势!$F$37:$ACK$37,1,LOOKUP(2,1/(指数走势!$F$37:$ACK$37&lt;&gt;""),COLUMN(指数走势!$F$37:$ACK$37))-COLUMN(指数走势!$F$37)+1-760+105)=0,NA(),INDEX(指数走势!$F$37:$ACK$37,1,LOOKUP(2,1/(指数走势!$F$37:$ACK$37&lt;&gt;""),COLUMN(指数走势!$F$37:$ACK$37))-COLUMN(指数走势!$F$37)+1-760+105)))</f>
        <v>8.44139957427979</v>
      </c>
      <c r="DC101">
        <f>IF(ISERROR(INDEX(指数走势!$F$37:$ACK$37,1,LOOKUP(2,1/(指数走势!$F$37:$ACK$37&lt;&gt;""),COLUMN(指数走势!$F$37:$ACK$37))-COLUMN(指数走势!$F$37)+1-760+106)),NA(),IF(INDEX(指数走势!$F$37:$ACK$37,1,LOOKUP(2,1/(指数走势!$F$37:$ACK$37&lt;&gt;""),COLUMN(指数走势!$F$37:$ACK$37))-COLUMN(指数走势!$F$37)+1-760+106)=0,NA(),INDEX(指数走势!$F$37:$ACK$37,1,LOOKUP(2,1/(指数走势!$F$37:$ACK$37&lt;&gt;""),COLUMN(指数走势!$F$37:$ACK$37))-COLUMN(指数走势!$F$37)+1-760+106)))</f>
        <v>8.44130039215088</v>
      </c>
      <c r="DD101">
        <f>IF(ISERROR(INDEX(指数走势!$F$37:$ACK$37,1,LOOKUP(2,1/(指数走势!$F$37:$ACK$37&lt;&gt;""),COLUMN(指数走势!$F$37:$ACK$37))-COLUMN(指数走势!$F$37)+1-760+107)),NA(),IF(INDEX(指数走势!$F$37:$ACK$37,1,LOOKUP(2,1/(指数走势!$F$37:$ACK$37&lt;&gt;""),COLUMN(指数走势!$F$37:$ACK$37))-COLUMN(指数走势!$F$37)+1-760+107)=0,NA(),INDEX(指数走势!$F$37:$ACK$37,1,LOOKUP(2,1/(指数走势!$F$37:$ACK$37&lt;&gt;""),COLUMN(指数走势!$F$37:$ACK$37))-COLUMN(指数走势!$F$37)+1-760+107)))</f>
        <v>8.35519981384277</v>
      </c>
      <c r="DE101">
        <f>IF(ISERROR(INDEX(指数走势!$F$37:$ACK$37,1,LOOKUP(2,1/(指数走势!$F$37:$ACK$37&lt;&gt;""),COLUMN(指数走势!$F$37:$ACK$37))-COLUMN(指数走势!$F$37)+1-760+108)),NA(),IF(INDEX(指数走势!$F$37:$ACK$37,1,LOOKUP(2,1/(指数走势!$F$37:$ACK$37&lt;&gt;""),COLUMN(指数走势!$F$37:$ACK$37))-COLUMN(指数走势!$F$37)+1-760+108)=0,NA(),INDEX(指数走势!$F$37:$ACK$37,1,LOOKUP(2,1/(指数走势!$F$37:$ACK$37&lt;&gt;""),COLUMN(指数走势!$F$37:$ACK$37))-COLUMN(指数走势!$F$37)+1-760+108)))</f>
        <v>8.390700340271</v>
      </c>
      <c r="DF101">
        <f>IF(ISERROR(INDEX(指数走势!$F$37:$ACK$37,1,LOOKUP(2,1/(指数走势!$F$37:$ACK$37&lt;&gt;""),COLUMN(指数走势!$F$37:$ACK$37))-COLUMN(指数走势!$F$37)+1-760+109)),NA(),IF(INDEX(指数走势!$F$37:$ACK$37,1,LOOKUP(2,1/(指数走势!$F$37:$ACK$37&lt;&gt;""),COLUMN(指数走势!$F$37:$ACK$37))-COLUMN(指数走势!$F$37)+1-760+109)=0,NA(),INDEX(指数走势!$F$37:$ACK$37,1,LOOKUP(2,1/(指数走势!$F$37:$ACK$37&lt;&gt;""),COLUMN(指数走势!$F$37:$ACK$37))-COLUMN(指数走势!$F$37)+1-760+109)))</f>
        <v>8.39970016479492</v>
      </c>
      <c r="DG101">
        <f>IF(ISERROR(INDEX(指数走势!$F$37:$ACK$37,1,LOOKUP(2,1/(指数走势!$F$37:$ACK$37&lt;&gt;""),COLUMN(指数走势!$F$37:$ACK$37))-COLUMN(指数走势!$F$37)+1-760+110)),NA(),IF(INDEX(指数走势!$F$37:$ACK$37,1,LOOKUP(2,1/(指数走势!$F$37:$ACK$37&lt;&gt;""),COLUMN(指数走势!$F$37:$ACK$37))-COLUMN(指数走势!$F$37)+1-760+110)=0,NA(),INDEX(指数走势!$F$37:$ACK$37,1,LOOKUP(2,1/(指数走势!$F$37:$ACK$37&lt;&gt;""),COLUMN(指数走势!$F$37:$ACK$37))-COLUMN(指数走势!$F$37)+1-760+110)))</f>
        <v>8.51299953460693</v>
      </c>
      <c r="DH101">
        <f>IF(ISERROR(INDEX(指数走势!$F$37:$ACK$37,1,LOOKUP(2,1/(指数走势!$F$37:$ACK$37&lt;&gt;""),COLUMN(指数走势!$F$37:$ACK$37))-COLUMN(指数走势!$F$37)+1-760+111)),NA(),IF(INDEX(指数走势!$F$37:$ACK$37,1,LOOKUP(2,1/(指数走势!$F$37:$ACK$37&lt;&gt;""),COLUMN(指数走势!$F$37:$ACK$37))-COLUMN(指数走势!$F$37)+1-760+111)=0,NA(),INDEX(指数走势!$F$37:$ACK$37,1,LOOKUP(2,1/(指数走势!$F$37:$ACK$37&lt;&gt;""),COLUMN(指数走势!$F$37:$ACK$37))-COLUMN(指数走势!$F$37)+1-760+111)))</f>
        <v>8.35319995880127</v>
      </c>
      <c r="DI101">
        <f>IF(ISERROR(INDEX(指数走势!$F$37:$ACK$37,1,LOOKUP(2,1/(指数走势!$F$37:$ACK$37&lt;&gt;""),COLUMN(指数走势!$F$37:$ACK$37))-COLUMN(指数走势!$F$37)+1-760+112)),NA(),IF(INDEX(指数走势!$F$37:$ACK$37,1,LOOKUP(2,1/(指数走势!$F$37:$ACK$37&lt;&gt;""),COLUMN(指数走势!$F$37:$ACK$37))-COLUMN(指数走势!$F$37)+1-760+112)=0,NA(),INDEX(指数走势!$F$37:$ACK$37,1,LOOKUP(2,1/(指数走势!$F$37:$ACK$37&lt;&gt;""),COLUMN(指数走势!$F$37:$ACK$37))-COLUMN(指数走势!$F$37)+1-760+112)))</f>
        <v>8.22700023651123</v>
      </c>
      <c r="DJ101">
        <f>IF(ISERROR(INDEX(指数走势!$F$37:$ACK$37,1,LOOKUP(2,1/(指数走势!$F$37:$ACK$37&lt;&gt;""),COLUMN(指数走势!$F$37:$ACK$37))-COLUMN(指数走势!$F$37)+1-760+113)),NA(),IF(INDEX(指数走势!$F$37:$ACK$37,1,LOOKUP(2,1/(指数走势!$F$37:$ACK$37&lt;&gt;""),COLUMN(指数走势!$F$37:$ACK$37))-COLUMN(指数走势!$F$37)+1-760+113)=0,NA(),INDEX(指数走势!$F$37:$ACK$37,1,LOOKUP(2,1/(指数走势!$F$37:$ACK$37&lt;&gt;""),COLUMN(指数走势!$F$37:$ACK$37))-COLUMN(指数走势!$F$37)+1-760+113)))</f>
        <v>8.22239971160889</v>
      </c>
      <c r="DK101">
        <f>IF(ISERROR(INDEX(指数走势!$F$37:$ACK$37,1,LOOKUP(2,1/(指数走势!$F$37:$ACK$37&lt;&gt;""),COLUMN(指数走势!$F$37:$ACK$37))-COLUMN(指数走势!$F$37)+1-760+114)),NA(),IF(INDEX(指数走势!$F$37:$ACK$37,1,LOOKUP(2,1/(指数走势!$F$37:$ACK$37&lt;&gt;""),COLUMN(指数走势!$F$37:$ACK$37))-COLUMN(指数走势!$F$37)+1-760+114)=0,NA(),INDEX(指数走势!$F$37:$ACK$37,1,LOOKUP(2,1/(指数走势!$F$37:$ACK$37&lt;&gt;""),COLUMN(指数走势!$F$37:$ACK$37))-COLUMN(指数走势!$F$37)+1-760+114)))</f>
        <v>8.27770042419434</v>
      </c>
      <c r="DL101">
        <f>IF(ISERROR(INDEX(指数走势!$F$37:$ACK$37,1,LOOKUP(2,1/(指数走势!$F$37:$ACK$37&lt;&gt;""),COLUMN(指数走势!$F$37:$ACK$37))-COLUMN(指数走势!$F$37)+1-760+115)),NA(),IF(INDEX(指数走势!$F$37:$ACK$37,1,LOOKUP(2,1/(指数走势!$F$37:$ACK$37&lt;&gt;""),COLUMN(指数走势!$F$37:$ACK$37))-COLUMN(指数走势!$F$37)+1-760+115)=0,NA(),INDEX(指数走势!$F$37:$ACK$37,1,LOOKUP(2,1/(指数走势!$F$37:$ACK$37&lt;&gt;""),COLUMN(指数走势!$F$37:$ACK$37))-COLUMN(指数走势!$F$37)+1-760+115)))</f>
        <v>8.46420001983643</v>
      </c>
      <c r="DM101">
        <f>IF(ISERROR(INDEX(指数走势!$F$37:$ACK$37,1,LOOKUP(2,1/(指数走势!$F$37:$ACK$37&lt;&gt;""),COLUMN(指数走势!$F$37:$ACK$37))-COLUMN(指数走势!$F$37)+1-760+116)),NA(),IF(INDEX(指数走势!$F$37:$ACK$37,1,LOOKUP(2,1/(指数走势!$F$37:$ACK$37&lt;&gt;""),COLUMN(指数走势!$F$37:$ACK$37))-COLUMN(指数走势!$F$37)+1-760+116)=0,NA(),INDEX(指数走势!$F$37:$ACK$37,1,LOOKUP(2,1/(指数走势!$F$37:$ACK$37&lt;&gt;""),COLUMN(指数走势!$F$37:$ACK$37))-COLUMN(指数走势!$F$37)+1-760+116)))</f>
        <v>8.5733003616333</v>
      </c>
      <c r="DN101">
        <f>IF(ISERROR(INDEX(指数走势!$F$37:$ACK$37,1,LOOKUP(2,1/(指数走势!$F$37:$ACK$37&lt;&gt;""),COLUMN(指数走势!$F$37:$ACK$37))-COLUMN(指数走势!$F$37)+1-760+117)),NA(),IF(INDEX(指数走势!$F$37:$ACK$37,1,LOOKUP(2,1/(指数走势!$F$37:$ACK$37&lt;&gt;""),COLUMN(指数走势!$F$37:$ACK$37))-COLUMN(指数走势!$F$37)+1-760+117)=0,NA(),INDEX(指数走势!$F$37:$ACK$37,1,LOOKUP(2,1/(指数走势!$F$37:$ACK$37&lt;&gt;""),COLUMN(指数走势!$F$37:$ACK$37))-COLUMN(指数走势!$F$37)+1-760+117)))</f>
        <v>8.43889999389648</v>
      </c>
      <c r="DO101">
        <f>IF(ISERROR(INDEX(指数走势!$F$37:$ACK$37,1,LOOKUP(2,1/(指数走势!$F$37:$ACK$37&lt;&gt;""),COLUMN(指数走势!$F$37:$ACK$37))-COLUMN(指数走势!$F$37)+1-760+118)),NA(),IF(INDEX(指数走势!$F$37:$ACK$37,1,LOOKUP(2,1/(指数走势!$F$37:$ACK$37&lt;&gt;""),COLUMN(指数走势!$F$37:$ACK$37))-COLUMN(指数走势!$F$37)+1-760+118)=0,NA(),INDEX(指数走势!$F$37:$ACK$37,1,LOOKUP(2,1/(指数走势!$F$37:$ACK$37&lt;&gt;""),COLUMN(指数走势!$F$37:$ACK$37))-COLUMN(指数走势!$F$37)+1-760+118)))</f>
        <v>8.43290042877197</v>
      </c>
      <c r="DP101">
        <f>IF(ISERROR(INDEX(指数走势!$F$37:$ACK$37,1,LOOKUP(2,1/(指数走势!$F$37:$ACK$37&lt;&gt;""),COLUMN(指数走势!$F$37:$ACK$37))-COLUMN(指数走势!$F$37)+1-760+119)),NA(),IF(INDEX(指数走势!$F$37:$ACK$37,1,LOOKUP(2,1/(指数走势!$F$37:$ACK$37&lt;&gt;""),COLUMN(指数走势!$F$37:$ACK$37))-COLUMN(指数走势!$F$37)+1-760+119)=0,NA(),INDEX(指数走势!$F$37:$ACK$37,1,LOOKUP(2,1/(指数走势!$F$37:$ACK$37&lt;&gt;""),COLUMN(指数走势!$F$37:$ACK$37))-COLUMN(指数走势!$F$37)+1-760+119)))</f>
        <v>8.41639995574951</v>
      </c>
      <c r="DQ101">
        <f>IF(ISERROR(INDEX(指数走势!$F$37:$ACK$37,1,LOOKUP(2,1/(指数走势!$F$37:$ACK$37&lt;&gt;""),COLUMN(指数走势!$F$37:$ACK$37))-COLUMN(指数走势!$F$37)+1-760+120)),NA(),IF(INDEX(指数走势!$F$37:$ACK$37,1,LOOKUP(2,1/(指数走势!$F$37:$ACK$37&lt;&gt;""),COLUMN(指数走势!$F$37:$ACK$37))-COLUMN(指数走势!$F$37)+1-760+120)=0,NA(),INDEX(指数走势!$F$37:$ACK$37,1,LOOKUP(2,1/(指数走势!$F$37:$ACK$37&lt;&gt;""),COLUMN(指数走势!$F$37:$ACK$37))-COLUMN(指数走势!$F$37)+1-760+120)))</f>
        <v>8.28460025787354</v>
      </c>
      <c r="DR101">
        <f>IF(ISERROR(INDEX(指数走势!$F$37:$ACK$37,1,LOOKUP(2,1/(指数走势!$F$37:$ACK$37&lt;&gt;""),COLUMN(指数走势!$F$37:$ACK$37))-COLUMN(指数走势!$F$37)+1-760+121)),NA(),IF(INDEX(指数走势!$F$37:$ACK$37,1,LOOKUP(2,1/(指数走势!$F$37:$ACK$37&lt;&gt;""),COLUMN(指数走势!$F$37:$ACK$37))-COLUMN(指数走势!$F$37)+1-760+121)=0,NA(),INDEX(指数走势!$F$37:$ACK$37,1,LOOKUP(2,1/(指数走势!$F$37:$ACK$37&lt;&gt;""),COLUMN(指数走势!$F$37:$ACK$37))-COLUMN(指数走势!$F$37)+1-760+121)))</f>
        <v>8.39700031280518</v>
      </c>
      <c r="DS101">
        <f>IF(ISERROR(INDEX(指数走势!$F$37:$ACK$37,1,LOOKUP(2,1/(指数走势!$F$37:$ACK$37&lt;&gt;""),COLUMN(指数走势!$F$37:$ACK$37))-COLUMN(指数走势!$F$37)+1-760+122)),NA(),IF(INDEX(指数走势!$F$37:$ACK$37,1,LOOKUP(2,1/(指数走势!$F$37:$ACK$37&lt;&gt;""),COLUMN(指数走势!$F$37:$ACK$37))-COLUMN(指数走势!$F$37)+1-760+122)=0,NA(),INDEX(指数走势!$F$37:$ACK$37,1,LOOKUP(2,1/(指数走势!$F$37:$ACK$37&lt;&gt;""),COLUMN(指数走势!$F$37:$ACK$37))-COLUMN(指数走势!$F$37)+1-760+122)))</f>
        <v>8.38759994506836</v>
      </c>
      <c r="DT101">
        <f>IF(ISERROR(INDEX(指数走势!$F$37:$ACK$37,1,LOOKUP(2,1/(指数走势!$F$37:$ACK$37&lt;&gt;""),COLUMN(指数走势!$F$37:$ACK$37))-COLUMN(指数走势!$F$37)+1-760+123)),NA(),IF(INDEX(指数走势!$F$37:$ACK$37,1,LOOKUP(2,1/(指数走势!$F$37:$ACK$37&lt;&gt;""),COLUMN(指数走势!$F$37:$ACK$37))-COLUMN(指数走势!$F$37)+1-760+123)=0,NA(),INDEX(指数走势!$F$37:$ACK$37,1,LOOKUP(2,1/(指数走势!$F$37:$ACK$37&lt;&gt;""),COLUMN(指数走势!$F$37:$ACK$37))-COLUMN(指数走势!$F$37)+1-760+123)))</f>
        <v>8.70860004425049</v>
      </c>
      <c r="DU101">
        <f>IF(ISERROR(INDEX(指数走势!$F$37:$ACK$37,1,LOOKUP(2,1/(指数走势!$F$37:$ACK$37&lt;&gt;""),COLUMN(指数走势!$F$37:$ACK$37))-COLUMN(指数走势!$F$37)+1-760+124)),NA(),IF(INDEX(指数走势!$F$37:$ACK$37,1,LOOKUP(2,1/(指数走势!$F$37:$ACK$37&lt;&gt;""),COLUMN(指数走势!$F$37:$ACK$37))-COLUMN(指数走势!$F$37)+1-760+124)=0,NA(),INDEX(指数走势!$F$37:$ACK$37,1,LOOKUP(2,1/(指数走势!$F$37:$ACK$37&lt;&gt;""),COLUMN(指数走势!$F$37:$ACK$37))-COLUMN(指数走势!$F$37)+1-760+124)))</f>
        <v>8.47309970855713</v>
      </c>
      <c r="DV101">
        <f>IF(ISERROR(INDEX(指数走势!$F$37:$ACK$37,1,LOOKUP(2,1/(指数走势!$F$37:$ACK$37&lt;&gt;""),COLUMN(指数走势!$F$37:$ACK$37))-COLUMN(指数走势!$F$37)+1-760+125)),NA(),IF(INDEX(指数走势!$F$37:$ACK$37,1,LOOKUP(2,1/(指数走势!$F$37:$ACK$37&lt;&gt;""),COLUMN(指数走势!$F$37:$ACK$37))-COLUMN(指数走势!$F$37)+1-760+125)=0,NA(),INDEX(指数走势!$F$37:$ACK$37,1,LOOKUP(2,1/(指数走势!$F$37:$ACK$37&lt;&gt;""),COLUMN(指数走势!$F$37:$ACK$37))-COLUMN(指数走势!$F$37)+1-760+125)))</f>
        <v>8.28769969940186</v>
      </c>
      <c r="DW101">
        <f>IF(ISERROR(INDEX(指数走势!$F$37:$ACK$37,1,LOOKUP(2,1/(指数走势!$F$37:$ACK$37&lt;&gt;""),COLUMN(指数走势!$F$37:$ACK$37))-COLUMN(指数走势!$F$37)+1-760+126)),NA(),IF(INDEX(指数走势!$F$37:$ACK$37,1,LOOKUP(2,1/(指数走势!$F$37:$ACK$37&lt;&gt;""),COLUMN(指数走势!$F$37:$ACK$37))-COLUMN(指数走势!$F$37)+1-760+126)=0,NA(),INDEX(指数走势!$F$37:$ACK$37,1,LOOKUP(2,1/(指数走势!$F$37:$ACK$37&lt;&gt;""),COLUMN(指数走势!$F$37:$ACK$37))-COLUMN(指数走势!$F$37)+1-760+126)))</f>
        <v>8.42240047454834</v>
      </c>
      <c r="DX101">
        <f>IF(ISERROR(INDEX(指数走势!$F$37:$ACK$37,1,LOOKUP(2,1/(指数走势!$F$37:$ACK$37&lt;&gt;""),COLUMN(指数走势!$F$37:$ACK$37))-COLUMN(指数走势!$F$37)+1-760+127)),NA(),IF(INDEX(指数走势!$F$37:$ACK$37,1,LOOKUP(2,1/(指数走势!$F$37:$ACK$37&lt;&gt;""),COLUMN(指数走势!$F$37:$ACK$37))-COLUMN(指数走势!$F$37)+1-760+127)=0,NA(),INDEX(指数走势!$F$37:$ACK$37,1,LOOKUP(2,1/(指数走势!$F$37:$ACK$37&lt;&gt;""),COLUMN(指数走势!$F$37:$ACK$37))-COLUMN(指数走势!$F$37)+1-760+127)))</f>
        <v>8.37800025939941</v>
      </c>
      <c r="DY101">
        <f>IF(ISERROR(INDEX(指数走势!$F$37:$ACK$37,1,LOOKUP(2,1/(指数走势!$F$37:$ACK$37&lt;&gt;""),COLUMN(指数走势!$F$37:$ACK$37))-COLUMN(指数走势!$F$37)+1-760+128)),NA(),IF(INDEX(指数走势!$F$37:$ACK$37,1,LOOKUP(2,1/(指数走势!$F$37:$ACK$37&lt;&gt;""),COLUMN(指数走势!$F$37:$ACK$37))-COLUMN(指数走势!$F$37)+1-760+128)=0,NA(),INDEX(指数走势!$F$37:$ACK$37,1,LOOKUP(2,1/(指数走势!$F$37:$ACK$37&lt;&gt;""),COLUMN(指数走势!$F$37:$ACK$37))-COLUMN(指数走势!$F$37)+1-760+128)))</f>
        <v>8.38070011138916</v>
      </c>
      <c r="DZ101">
        <f>IF(ISERROR(INDEX(指数走势!$F$37:$ACK$37,1,LOOKUP(2,1/(指数走势!$F$37:$ACK$37&lt;&gt;""),COLUMN(指数走势!$F$37:$ACK$37))-COLUMN(指数走势!$F$37)+1-760+129)),NA(),IF(INDEX(指数走势!$F$37:$ACK$37,1,LOOKUP(2,1/(指数走势!$F$37:$ACK$37&lt;&gt;""),COLUMN(指数走势!$F$37:$ACK$37))-COLUMN(指数走势!$F$37)+1-760+129)=0,NA(),INDEX(指数走势!$F$37:$ACK$37,1,LOOKUP(2,1/(指数走势!$F$37:$ACK$37&lt;&gt;""),COLUMN(指数走势!$F$37:$ACK$37))-COLUMN(指数走势!$F$37)+1-760+129)))</f>
        <v>8.46930027008057</v>
      </c>
      <c r="EA101">
        <f>IF(ISERROR(INDEX(指数走势!$F$37:$ACK$37,1,LOOKUP(2,1/(指数走势!$F$37:$ACK$37&lt;&gt;""),COLUMN(指数走势!$F$37:$ACK$37))-COLUMN(指数走势!$F$37)+1-760+130)),NA(),IF(INDEX(指数走势!$F$37:$ACK$37,1,LOOKUP(2,1/(指数走势!$F$37:$ACK$37&lt;&gt;""),COLUMN(指数走势!$F$37:$ACK$37))-COLUMN(指数走势!$F$37)+1-760+130)=0,NA(),INDEX(指数走势!$F$37:$ACK$37,1,LOOKUP(2,1/(指数走势!$F$37:$ACK$37&lt;&gt;""),COLUMN(指数走势!$F$37:$ACK$37))-COLUMN(指数走势!$F$37)+1-760+130)))</f>
        <v>8.30790042877197</v>
      </c>
      <c r="EB101">
        <f>IF(ISERROR(INDEX(指数走势!$F$37:$ACK$37,1,LOOKUP(2,1/(指数走势!$F$37:$ACK$37&lt;&gt;""),COLUMN(指数走势!$F$37:$ACK$37))-COLUMN(指数走势!$F$37)+1-760+131)),NA(),IF(INDEX(指数走势!$F$37:$ACK$37,1,LOOKUP(2,1/(指数走势!$F$37:$ACK$37&lt;&gt;""),COLUMN(指数走势!$F$37:$ACK$37))-COLUMN(指数走势!$F$37)+1-760+131)=0,NA(),INDEX(指数走势!$F$37:$ACK$37,1,LOOKUP(2,1/(指数走势!$F$37:$ACK$37&lt;&gt;""),COLUMN(指数走势!$F$37:$ACK$37))-COLUMN(指数走势!$F$37)+1-760+131)))</f>
        <v>8.29109954833984</v>
      </c>
      <c r="EC101">
        <f>IF(ISERROR(INDEX(指数走势!$F$37:$ACK$37,1,LOOKUP(2,1/(指数走势!$F$37:$ACK$37&lt;&gt;""),COLUMN(指数走势!$F$37:$ACK$37))-COLUMN(指数走势!$F$37)+1-760+132)),NA(),IF(INDEX(指数走势!$F$37:$ACK$37,1,LOOKUP(2,1/(指数走势!$F$37:$ACK$37&lt;&gt;""),COLUMN(指数走势!$F$37:$ACK$37))-COLUMN(指数走势!$F$37)+1-760+132)=0,NA(),INDEX(指数走势!$F$37:$ACK$37,1,LOOKUP(2,1/(指数走势!$F$37:$ACK$37&lt;&gt;""),COLUMN(指数走势!$F$37:$ACK$37))-COLUMN(指数走势!$F$37)+1-760+132)))</f>
        <v>8.20429992675781</v>
      </c>
      <c r="ED101">
        <f>IF(ISERROR(INDEX(指数走势!$F$37:$ACK$37,1,LOOKUP(2,1/(指数走势!$F$37:$ACK$37&lt;&gt;""),COLUMN(指数走势!$F$37:$ACK$37))-COLUMN(指数走势!$F$37)+1-760+133)),NA(),IF(INDEX(指数走势!$F$37:$ACK$37,1,LOOKUP(2,1/(指数走势!$F$37:$ACK$37&lt;&gt;""),COLUMN(指数走势!$F$37:$ACK$37))-COLUMN(指数走势!$F$37)+1-760+133)=0,NA(),INDEX(指数走势!$F$37:$ACK$37,1,LOOKUP(2,1/(指数走势!$F$37:$ACK$37&lt;&gt;""),COLUMN(指数走势!$F$37:$ACK$37))-COLUMN(指数走势!$F$37)+1-760+133)))</f>
        <v>8.06159973144531</v>
      </c>
      <c r="EE101">
        <f>IF(ISERROR(INDEX(指数走势!$F$37:$ACK$37,1,LOOKUP(2,1/(指数走势!$F$37:$ACK$37&lt;&gt;""),COLUMN(指数走势!$F$37:$ACK$37))-COLUMN(指数走势!$F$37)+1-760+134)),NA(),IF(INDEX(指数走势!$F$37:$ACK$37,1,LOOKUP(2,1/(指数走势!$F$37:$ACK$37&lt;&gt;""),COLUMN(指数走势!$F$37:$ACK$37))-COLUMN(指数走势!$F$37)+1-760+134)=0,NA(),INDEX(指数走势!$F$37:$ACK$37,1,LOOKUP(2,1/(指数走势!$F$37:$ACK$37&lt;&gt;""),COLUMN(指数走势!$F$37:$ACK$37))-COLUMN(指数走势!$F$37)+1-760+134)))</f>
        <v>8.11919975280762</v>
      </c>
      <c r="EF101">
        <f>IF(ISERROR(INDEX(指数走势!$F$37:$ACK$37,1,LOOKUP(2,1/(指数走势!$F$37:$ACK$37&lt;&gt;""),COLUMN(指数走势!$F$37:$ACK$37))-COLUMN(指数走势!$F$37)+1-760+135)),NA(),IF(INDEX(指数走势!$F$37:$ACK$37,1,LOOKUP(2,1/(指数走势!$F$37:$ACK$37&lt;&gt;""),COLUMN(指数走势!$F$37:$ACK$37))-COLUMN(指数走势!$F$37)+1-760+135)=0,NA(),INDEX(指数走势!$F$37:$ACK$37,1,LOOKUP(2,1/(指数走势!$F$37:$ACK$37&lt;&gt;""),COLUMN(指数走势!$F$37:$ACK$37))-COLUMN(指数走势!$F$37)+1-760+135)))</f>
        <v>8.00909996032715</v>
      </c>
      <c r="EG101">
        <f>IF(ISERROR(INDEX(指数走势!$F$37:$ACK$37,1,LOOKUP(2,1/(指数走势!$F$37:$ACK$37&lt;&gt;""),COLUMN(指数走势!$F$37:$ACK$37))-COLUMN(指数走势!$F$37)+1-760+136)),NA(),IF(INDEX(指数走势!$F$37:$ACK$37,1,LOOKUP(2,1/(指数走势!$F$37:$ACK$37&lt;&gt;""),COLUMN(指数走势!$F$37:$ACK$37))-COLUMN(指数走势!$F$37)+1-760+136)=0,NA(),INDEX(指数走势!$F$37:$ACK$37,1,LOOKUP(2,1/(指数走势!$F$37:$ACK$37&lt;&gt;""),COLUMN(指数走势!$F$37:$ACK$37))-COLUMN(指数走势!$F$37)+1-760+136)))</f>
        <v>8.08450031280518</v>
      </c>
      <c r="EH101">
        <f>IF(ISERROR(INDEX(指数走势!$F$37:$ACK$37,1,LOOKUP(2,1/(指数走势!$F$37:$ACK$37&lt;&gt;""),COLUMN(指数走势!$F$37:$ACK$37))-COLUMN(指数走势!$F$37)+1-760+137)),NA(),IF(INDEX(指数走势!$F$37:$ACK$37,1,LOOKUP(2,1/(指数走势!$F$37:$ACK$37&lt;&gt;""),COLUMN(指数走势!$F$37:$ACK$37))-COLUMN(指数走势!$F$37)+1-760+137)=0,NA(),INDEX(指数走势!$F$37:$ACK$37,1,LOOKUP(2,1/(指数走势!$F$37:$ACK$37&lt;&gt;""),COLUMN(指数走势!$F$37:$ACK$37))-COLUMN(指数走势!$F$37)+1-760+137)))</f>
        <v>7.94000005722046</v>
      </c>
      <c r="EI101">
        <f>IF(ISERROR(INDEX(指数走势!$F$37:$ACK$37,1,LOOKUP(2,1/(指数走势!$F$37:$ACK$37&lt;&gt;""),COLUMN(指数走势!$F$37:$ACK$37))-COLUMN(指数走势!$F$37)+1-760+138)),NA(),IF(INDEX(指数走势!$F$37:$ACK$37,1,LOOKUP(2,1/(指数走势!$F$37:$ACK$37&lt;&gt;""),COLUMN(指数走势!$F$37:$ACK$37))-COLUMN(指数走势!$F$37)+1-760+138)=0,NA(),INDEX(指数走势!$F$37:$ACK$37,1,LOOKUP(2,1/(指数走势!$F$37:$ACK$37&lt;&gt;""),COLUMN(指数走势!$F$37:$ACK$37))-COLUMN(指数走势!$F$37)+1-760+138)))</f>
        <v>8.00380039215088</v>
      </c>
      <c r="EJ101">
        <f>IF(ISERROR(INDEX(指数走势!$F$37:$ACK$37,1,LOOKUP(2,1/(指数走势!$F$37:$ACK$37&lt;&gt;""),COLUMN(指数走势!$F$37:$ACK$37))-COLUMN(指数走势!$F$37)+1-760+139)),NA(),IF(INDEX(指数走势!$F$37:$ACK$37,1,LOOKUP(2,1/(指数走势!$F$37:$ACK$37&lt;&gt;""),COLUMN(指数走势!$F$37:$ACK$37))-COLUMN(指数走势!$F$37)+1-760+139)=0,NA(),INDEX(指数走势!$F$37:$ACK$37,1,LOOKUP(2,1/(指数走势!$F$37:$ACK$37&lt;&gt;""),COLUMN(指数走势!$F$37:$ACK$37))-COLUMN(指数走势!$F$37)+1-760+139)))</f>
        <v>7.93940019607544</v>
      </c>
      <c r="EK101">
        <f>IF(ISERROR(INDEX(指数走势!$F$37:$ACK$37,1,LOOKUP(2,1/(指数走势!$F$37:$ACK$37&lt;&gt;""),COLUMN(指数走势!$F$37:$ACK$37))-COLUMN(指数走势!$F$37)+1-760+140)),NA(),IF(INDEX(指数走势!$F$37:$ACK$37,1,LOOKUP(2,1/(指数走势!$F$37:$ACK$37&lt;&gt;""),COLUMN(指数走势!$F$37:$ACK$37))-COLUMN(指数走势!$F$37)+1-760+140)=0,NA(),INDEX(指数走势!$F$37:$ACK$37,1,LOOKUP(2,1/(指数走势!$F$37:$ACK$37&lt;&gt;""),COLUMN(指数走势!$F$37:$ACK$37))-COLUMN(指数走势!$F$37)+1-760+140)))</f>
        <v>7.92089986801147</v>
      </c>
      <c r="EL101">
        <f>IF(ISERROR(INDEX(指数走势!$F$37:$ACK$37,1,LOOKUP(2,1/(指数走势!$F$37:$ACK$37&lt;&gt;""),COLUMN(指数走势!$F$37:$ACK$37))-COLUMN(指数走势!$F$37)+1-760+141)),NA(),IF(INDEX(指数走势!$F$37:$ACK$37,1,LOOKUP(2,1/(指数走势!$F$37:$ACK$37&lt;&gt;""),COLUMN(指数走势!$F$37:$ACK$37))-COLUMN(指数走势!$F$37)+1-760+141)=0,NA(),INDEX(指数走势!$F$37:$ACK$37,1,LOOKUP(2,1/(指数走势!$F$37:$ACK$37&lt;&gt;""),COLUMN(指数走势!$F$37:$ACK$37))-COLUMN(指数走势!$F$37)+1-760+141)))</f>
        <v>7.86840009689331</v>
      </c>
      <c r="EM101">
        <f>IF(ISERROR(INDEX(指数走势!$F$37:$ACK$37,1,LOOKUP(2,1/(指数走势!$F$37:$ACK$37&lt;&gt;""),COLUMN(指数走势!$F$37:$ACK$37))-COLUMN(指数走势!$F$37)+1-760+142)),NA(),IF(INDEX(指数走势!$F$37:$ACK$37,1,LOOKUP(2,1/(指数走势!$F$37:$ACK$37&lt;&gt;""),COLUMN(指数走势!$F$37:$ACK$37))-COLUMN(指数走势!$F$37)+1-760+142)=0,NA(),INDEX(指数走势!$F$37:$ACK$37,1,LOOKUP(2,1/(指数走势!$F$37:$ACK$37&lt;&gt;""),COLUMN(指数走势!$F$37:$ACK$37))-COLUMN(指数走势!$F$37)+1-760+142)))</f>
        <v>7.95260000228882</v>
      </c>
      <c r="EN101">
        <f>IF(ISERROR(INDEX(指数走势!$F$37:$ACK$37,1,LOOKUP(2,1/(指数走势!$F$37:$ACK$37&lt;&gt;""),COLUMN(指数走势!$F$37:$ACK$37))-COLUMN(指数走势!$F$37)+1-760+143)),NA(),IF(INDEX(指数走势!$F$37:$ACK$37,1,LOOKUP(2,1/(指数走势!$F$37:$ACK$37&lt;&gt;""),COLUMN(指数走势!$F$37:$ACK$37))-COLUMN(指数走势!$F$37)+1-760+143)=0,NA(),INDEX(指数走势!$F$37:$ACK$37,1,LOOKUP(2,1/(指数走势!$F$37:$ACK$37&lt;&gt;""),COLUMN(指数走势!$F$37:$ACK$37))-COLUMN(指数走势!$F$37)+1-760+143)))</f>
        <v>7.87760019302368</v>
      </c>
      <c r="EO101">
        <f>IF(ISERROR(INDEX(指数走势!$F$37:$ACK$37,1,LOOKUP(2,1/(指数走势!$F$37:$ACK$37&lt;&gt;""),COLUMN(指数走势!$F$37:$ACK$37))-COLUMN(指数走势!$F$37)+1-760+144)),NA(),IF(INDEX(指数走势!$F$37:$ACK$37,1,LOOKUP(2,1/(指数走势!$F$37:$ACK$37&lt;&gt;""),COLUMN(指数走势!$F$37:$ACK$37))-COLUMN(指数走势!$F$37)+1-760+144)=0,NA(),INDEX(指数走势!$F$37:$ACK$37,1,LOOKUP(2,1/(指数走势!$F$37:$ACK$37&lt;&gt;""),COLUMN(指数走势!$F$37:$ACK$37))-COLUMN(指数走势!$F$37)+1-760+144)))</f>
        <v>7.9274001121521</v>
      </c>
      <c r="EP101">
        <f>IF(ISERROR(INDEX(指数走势!$F$37:$ACK$37,1,LOOKUP(2,1/(指数走势!$F$37:$ACK$37&lt;&gt;""),COLUMN(指数走势!$F$37:$ACK$37))-COLUMN(指数走势!$F$37)+1-760+145)),NA(),IF(INDEX(指数走势!$F$37:$ACK$37,1,LOOKUP(2,1/(指数走势!$F$37:$ACK$37&lt;&gt;""),COLUMN(指数走势!$F$37:$ACK$37))-COLUMN(指数走势!$F$37)+1-760+145)=0,NA(),INDEX(指数走势!$F$37:$ACK$37,1,LOOKUP(2,1/(指数走势!$F$37:$ACK$37&lt;&gt;""),COLUMN(指数走势!$F$37:$ACK$37))-COLUMN(指数走势!$F$37)+1-760+145)))</f>
        <v>8.10569953918457</v>
      </c>
      <c r="EQ101">
        <f>IF(ISERROR(INDEX(指数走势!$F$37:$ACK$37,1,LOOKUP(2,1/(指数走势!$F$37:$ACK$37&lt;&gt;""),COLUMN(指数走势!$F$37:$ACK$37))-COLUMN(指数走势!$F$37)+1-760+146)),NA(),IF(INDEX(指数走势!$F$37:$ACK$37,1,LOOKUP(2,1/(指数走势!$F$37:$ACK$37&lt;&gt;""),COLUMN(指数走势!$F$37:$ACK$37))-COLUMN(指数走势!$F$37)+1-760+146)=0,NA(),INDEX(指数走势!$F$37:$ACK$37,1,LOOKUP(2,1/(指数走势!$F$37:$ACK$37&lt;&gt;""),COLUMN(指数走势!$F$37:$ACK$37))-COLUMN(指数走势!$F$37)+1-760+146)))</f>
        <v>8.03090000152588</v>
      </c>
      <c r="ER101">
        <f>IF(ISERROR(INDEX(指数走势!$F$37:$ACK$37,1,LOOKUP(2,1/(指数走势!$F$37:$ACK$37&lt;&gt;""),COLUMN(指数走势!$F$37:$ACK$37))-COLUMN(指数走势!$F$37)+1-760+147)),NA(),IF(INDEX(指数走势!$F$37:$ACK$37,1,LOOKUP(2,1/(指数走势!$F$37:$ACK$37&lt;&gt;""),COLUMN(指数走势!$F$37:$ACK$37))-COLUMN(指数走势!$F$37)+1-760+147)=0,NA(),INDEX(指数走势!$F$37:$ACK$37,1,LOOKUP(2,1/(指数走势!$F$37:$ACK$37&lt;&gt;""),COLUMN(指数走势!$F$37:$ACK$37))-COLUMN(指数走势!$F$37)+1-760+147)))</f>
        <v>7.98600006103516</v>
      </c>
      <c r="ES101">
        <f>IF(ISERROR(INDEX(指数走势!$F$37:$ACK$37,1,LOOKUP(2,1/(指数走势!$F$37:$ACK$37&lt;&gt;""),COLUMN(指数走势!$F$37:$ACK$37))-COLUMN(指数走势!$F$37)+1-760+148)),NA(),IF(INDEX(指数走势!$F$37:$ACK$37,1,LOOKUP(2,1/(指数走势!$F$37:$ACK$37&lt;&gt;""),COLUMN(指数走势!$F$37:$ACK$37))-COLUMN(指数走势!$F$37)+1-760+148)=0,NA(),INDEX(指数走势!$F$37:$ACK$37,1,LOOKUP(2,1/(指数走势!$F$37:$ACK$37&lt;&gt;""),COLUMN(指数走势!$F$37:$ACK$37))-COLUMN(指数走势!$F$37)+1-760+148)))</f>
        <v>8.02820014953613</v>
      </c>
      <c r="ET101">
        <f>IF(ISERROR(INDEX(指数走势!$F$37:$ACK$37,1,LOOKUP(2,1/(指数走势!$F$37:$ACK$37&lt;&gt;""),COLUMN(指数走势!$F$37:$ACK$37))-COLUMN(指数走势!$F$37)+1-760+149)),NA(),IF(INDEX(指数走势!$F$37:$ACK$37,1,LOOKUP(2,1/(指数走势!$F$37:$ACK$37&lt;&gt;""),COLUMN(指数走势!$F$37:$ACK$37))-COLUMN(指数走势!$F$37)+1-760+149)=0,NA(),INDEX(指数走势!$F$37:$ACK$37,1,LOOKUP(2,1/(指数走势!$F$37:$ACK$37&lt;&gt;""),COLUMN(指数走势!$F$37:$ACK$37))-COLUMN(指数走势!$F$37)+1-760+149)))</f>
        <v>8.0403995513916</v>
      </c>
      <c r="EU101">
        <f>IF(ISERROR(INDEX(指数走势!$F$37:$ACK$37,1,LOOKUP(2,1/(指数走势!$F$37:$ACK$37&lt;&gt;""),COLUMN(指数走势!$F$37:$ACK$37))-COLUMN(指数走势!$F$37)+1-760+150)),NA(),IF(INDEX(指数走势!$F$37:$ACK$37,1,LOOKUP(2,1/(指数走势!$F$37:$ACK$37&lt;&gt;""),COLUMN(指数走势!$F$37:$ACK$37))-COLUMN(指数走势!$F$37)+1-760+150)=0,NA(),INDEX(指数走势!$F$37:$ACK$37,1,LOOKUP(2,1/(指数走势!$F$37:$ACK$37&lt;&gt;""),COLUMN(指数走势!$F$37:$ACK$37))-COLUMN(指数走势!$F$37)+1-760+150)))</f>
        <v>7.8668999671936</v>
      </c>
      <c r="EV101">
        <f>IF(ISERROR(INDEX(指数走势!$F$37:$ACK$37,1,LOOKUP(2,1/(指数走势!$F$37:$ACK$37&lt;&gt;""),COLUMN(指数走势!$F$37:$ACK$37))-COLUMN(指数走势!$F$37)+1-760+151)),NA(),IF(INDEX(指数走势!$F$37:$ACK$37,1,LOOKUP(2,1/(指数走势!$F$37:$ACK$37&lt;&gt;""),COLUMN(指数走势!$F$37:$ACK$37))-COLUMN(指数走势!$F$37)+1-760+151)=0,NA(),INDEX(指数走势!$F$37:$ACK$37,1,LOOKUP(2,1/(指数走势!$F$37:$ACK$37&lt;&gt;""),COLUMN(指数走势!$F$37:$ACK$37))-COLUMN(指数走势!$F$37)+1-760+151)))</f>
        <v>7.86670017242432</v>
      </c>
      <c r="EW101">
        <f>IF(ISERROR(INDEX(指数走势!$F$37:$ACK$37,1,LOOKUP(2,1/(指数走势!$F$37:$ACK$37&lt;&gt;""),COLUMN(指数走势!$F$37:$ACK$37))-COLUMN(指数走势!$F$37)+1-760+152)),NA(),IF(INDEX(指数走势!$F$37:$ACK$37,1,LOOKUP(2,1/(指数走势!$F$37:$ACK$37&lt;&gt;""),COLUMN(指数走势!$F$37:$ACK$37))-COLUMN(指数走势!$F$37)+1-760+152)=0,NA(),INDEX(指数走势!$F$37:$ACK$37,1,LOOKUP(2,1/(指数走势!$F$37:$ACK$37&lt;&gt;""),COLUMN(指数走势!$F$37:$ACK$37))-COLUMN(指数走势!$F$37)+1-760+152)))</f>
        <v>7.86670017242432</v>
      </c>
      <c r="EX101">
        <f>IF(ISERROR(INDEX(指数走势!$F$37:$ACK$37,1,LOOKUP(2,1/(指数走势!$F$37:$ACK$37&lt;&gt;""),COLUMN(指数走势!$F$37:$ACK$37))-COLUMN(指数走势!$F$37)+1-760+153)),NA(),IF(INDEX(指数走势!$F$37:$ACK$37,1,LOOKUP(2,1/(指数走势!$F$37:$ACK$37&lt;&gt;""),COLUMN(指数走势!$F$37:$ACK$37))-COLUMN(指数走势!$F$37)+1-760+153)=0,NA(),INDEX(指数走势!$F$37:$ACK$37,1,LOOKUP(2,1/(指数走势!$F$37:$ACK$37&lt;&gt;""),COLUMN(指数走势!$F$37:$ACK$37))-COLUMN(指数走势!$F$37)+1-760+153)))</f>
        <v>8.019700050354</v>
      </c>
      <c r="EY101">
        <f>IF(ISERROR(INDEX(指数走势!$F$37:$ACK$37,1,LOOKUP(2,1/(指数走势!$F$37:$ACK$37&lt;&gt;""),COLUMN(指数走势!$F$37:$ACK$37))-COLUMN(指数走势!$F$37)+1-760+154)),NA(),IF(INDEX(指数走势!$F$37:$ACK$37,1,LOOKUP(2,1/(指数走势!$F$37:$ACK$37&lt;&gt;""),COLUMN(指数走势!$F$37:$ACK$37))-COLUMN(指数走势!$F$37)+1-760+154)=0,NA(),INDEX(指数走势!$F$37:$ACK$37,1,LOOKUP(2,1/(指数走势!$F$37:$ACK$37&lt;&gt;""),COLUMN(指数走势!$F$37:$ACK$37))-COLUMN(指数走势!$F$37)+1-760+154)))</f>
        <v>8.21150016784668</v>
      </c>
      <c r="EZ101">
        <f>IF(ISERROR(INDEX(指数走势!$F$37:$ACK$37,1,LOOKUP(2,1/(指数走势!$F$37:$ACK$37&lt;&gt;""),COLUMN(指数走势!$F$37:$ACK$37))-COLUMN(指数走势!$F$37)+1-760+155)),NA(),IF(INDEX(指数走势!$F$37:$ACK$37,1,LOOKUP(2,1/(指数走势!$F$37:$ACK$37&lt;&gt;""),COLUMN(指数走势!$F$37:$ACK$37))-COLUMN(指数走势!$F$37)+1-760+155)=0,NA(),INDEX(指数走势!$F$37:$ACK$37,1,LOOKUP(2,1/(指数走势!$F$37:$ACK$37&lt;&gt;""),COLUMN(指数走势!$F$37:$ACK$37))-COLUMN(指数走势!$F$37)+1-760+155)))</f>
        <v>8.222900390625</v>
      </c>
      <c r="FA101">
        <f>IF(ISERROR(INDEX(指数走势!$F$37:$ACK$37,1,LOOKUP(2,1/(指数走势!$F$37:$ACK$37&lt;&gt;""),COLUMN(指数走势!$F$37:$ACK$37))-COLUMN(指数走势!$F$37)+1-760+156)),NA(),IF(INDEX(指数走势!$F$37:$ACK$37,1,LOOKUP(2,1/(指数走势!$F$37:$ACK$37&lt;&gt;""),COLUMN(指数走势!$F$37:$ACK$37))-COLUMN(指数走势!$F$37)+1-760+156)=0,NA(),INDEX(指数走势!$F$37:$ACK$37,1,LOOKUP(2,1/(指数走势!$F$37:$ACK$37&lt;&gt;""),COLUMN(指数走势!$F$37:$ACK$37))-COLUMN(指数走势!$F$37)+1-760+156)))</f>
        <v>8.1254997253418</v>
      </c>
      <c r="FB101">
        <f>IF(ISERROR(INDEX(指数走势!$F$37:$ACK$37,1,LOOKUP(2,1/(指数走势!$F$37:$ACK$37&lt;&gt;""),COLUMN(指数走势!$F$37:$ACK$37))-COLUMN(指数走势!$F$37)+1-760+157)),NA(),IF(INDEX(指数走势!$F$37:$ACK$37,1,LOOKUP(2,1/(指数走势!$F$37:$ACK$37&lt;&gt;""),COLUMN(指数走势!$F$37:$ACK$37))-COLUMN(指数走势!$F$37)+1-760+157)=0,NA(),INDEX(指数走势!$F$37:$ACK$37,1,LOOKUP(2,1/(指数走势!$F$37:$ACK$37&lt;&gt;""),COLUMN(指数走势!$F$37:$ACK$37))-COLUMN(指数走势!$F$37)+1-760+157)))</f>
        <v>8.08399963378906</v>
      </c>
      <c r="FC101">
        <f>IF(ISERROR(INDEX(指数走势!$F$37:$ACK$37,1,LOOKUP(2,1/(指数走势!$F$37:$ACK$37&lt;&gt;""),COLUMN(指数走势!$F$37:$ACK$37))-COLUMN(指数走势!$F$37)+1-760+158)),NA(),IF(INDEX(指数走势!$F$37:$ACK$37,1,LOOKUP(2,1/(指数走势!$F$37:$ACK$37&lt;&gt;""),COLUMN(指数走势!$F$37:$ACK$37))-COLUMN(指数走势!$F$37)+1-760+158)=0,NA(),INDEX(指数走势!$F$37:$ACK$37,1,LOOKUP(2,1/(指数走势!$F$37:$ACK$37&lt;&gt;""),COLUMN(指数走势!$F$37:$ACK$37))-COLUMN(指数走势!$F$37)+1-760+158)))</f>
        <v>8.09720039367676</v>
      </c>
      <c r="FD101">
        <f>IF(ISERROR(INDEX(指数走势!$F$37:$ACK$37,1,LOOKUP(2,1/(指数走势!$F$37:$ACK$37&lt;&gt;""),COLUMN(指数走势!$F$37:$ACK$37))-COLUMN(指数走势!$F$37)+1-760+159)),NA(),IF(INDEX(指数走势!$F$37:$ACK$37,1,LOOKUP(2,1/(指数走势!$F$37:$ACK$37&lt;&gt;""),COLUMN(指数走势!$F$37:$ACK$37))-COLUMN(指数走势!$F$37)+1-760+159)=0,NA(),INDEX(指数走势!$F$37:$ACK$37,1,LOOKUP(2,1/(指数走势!$F$37:$ACK$37&lt;&gt;""),COLUMN(指数走势!$F$37:$ACK$37))-COLUMN(指数走势!$F$37)+1-760+159)))</f>
        <v>8.05239963531494</v>
      </c>
      <c r="FE101">
        <f>IF(ISERROR(INDEX(指数走势!$F$37:$ACK$37,1,LOOKUP(2,1/(指数走势!$F$37:$ACK$37&lt;&gt;""),COLUMN(指数走势!$F$37:$ACK$37))-COLUMN(指数走势!$F$37)+1-760+160)),NA(),IF(INDEX(指数走势!$F$37:$ACK$37,1,LOOKUP(2,1/(指数走势!$F$37:$ACK$37&lt;&gt;""),COLUMN(指数走势!$F$37:$ACK$37))-COLUMN(指数走势!$F$37)+1-760+160)=0,NA(),INDEX(指数走势!$F$37:$ACK$37,1,LOOKUP(2,1/(指数走势!$F$37:$ACK$37&lt;&gt;""),COLUMN(指数走势!$F$37:$ACK$37))-COLUMN(指数走势!$F$37)+1-760+160)))</f>
        <v>7.91249990463257</v>
      </c>
      <c r="FF101">
        <f>IF(ISERROR(INDEX(指数走势!$F$37:$ACK$37,1,LOOKUP(2,1/(指数走势!$F$37:$ACK$37&lt;&gt;""),COLUMN(指数走势!$F$37:$ACK$37))-COLUMN(指数走势!$F$37)+1-760+161)),NA(),IF(INDEX(指数走势!$F$37:$ACK$37,1,LOOKUP(2,1/(指数走势!$F$37:$ACK$37&lt;&gt;""),COLUMN(指数走势!$F$37:$ACK$37))-COLUMN(指数走势!$F$37)+1-760+161)=0,NA(),INDEX(指数走势!$F$37:$ACK$37,1,LOOKUP(2,1/(指数走势!$F$37:$ACK$37&lt;&gt;""),COLUMN(指数走势!$F$37:$ACK$37))-COLUMN(指数走势!$F$37)+1-760+161)))</f>
        <v>7.89340019226074</v>
      </c>
      <c r="FG101">
        <f>IF(ISERROR(INDEX(指数走势!$F$37:$ACK$37,1,LOOKUP(2,1/(指数走势!$F$37:$ACK$37&lt;&gt;""),COLUMN(指数走势!$F$37:$ACK$37))-COLUMN(指数走势!$F$37)+1-760+162)),NA(),IF(INDEX(指数走势!$F$37:$ACK$37,1,LOOKUP(2,1/(指数走势!$F$37:$ACK$37&lt;&gt;""),COLUMN(指数走势!$F$37:$ACK$37))-COLUMN(指数走势!$F$37)+1-760+162)=0,NA(),INDEX(指数走势!$F$37:$ACK$37,1,LOOKUP(2,1/(指数走势!$F$37:$ACK$37&lt;&gt;""),COLUMN(指数走势!$F$37:$ACK$37))-COLUMN(指数走势!$F$37)+1-760+162)))</f>
        <v>7.84679985046387</v>
      </c>
      <c r="FH101">
        <f>IF(ISERROR(INDEX(指数走势!$F$37:$ACK$37,1,LOOKUP(2,1/(指数走势!$F$37:$ACK$37&lt;&gt;""),COLUMN(指数走势!$F$37:$ACK$37))-COLUMN(指数走势!$F$37)+1-760+163)),NA(),IF(INDEX(指数走势!$F$37:$ACK$37,1,LOOKUP(2,1/(指数走势!$F$37:$ACK$37&lt;&gt;""),COLUMN(指数走势!$F$37:$ACK$37))-COLUMN(指数走势!$F$37)+1-760+163)=0,NA(),INDEX(指数走势!$F$37:$ACK$37,1,LOOKUP(2,1/(指数走势!$F$37:$ACK$37&lt;&gt;""),COLUMN(指数走势!$F$37:$ACK$37))-COLUMN(指数走势!$F$37)+1-760+163)))</f>
        <v>7.92189979553223</v>
      </c>
      <c r="FI101">
        <f>IF(ISERROR(INDEX(指数走势!$F$37:$ACK$37,1,LOOKUP(2,1/(指数走势!$F$37:$ACK$37&lt;&gt;""),COLUMN(指数走势!$F$37:$ACK$37))-COLUMN(指数走势!$F$37)+1-760+164)),NA(),IF(INDEX(指数走势!$F$37:$ACK$37,1,LOOKUP(2,1/(指数走势!$F$37:$ACK$37&lt;&gt;""),COLUMN(指数走势!$F$37:$ACK$37))-COLUMN(指数走势!$F$37)+1-760+164)=0,NA(),INDEX(指数走势!$F$37:$ACK$37,1,LOOKUP(2,1/(指数走势!$F$37:$ACK$37&lt;&gt;""),COLUMN(指数走势!$F$37:$ACK$37))-COLUMN(指数走势!$F$37)+1-760+164)))</f>
        <v>7.91340017318726</v>
      </c>
      <c r="FJ101">
        <f>IF(ISERROR(INDEX(指数走势!$F$37:$ACK$37,1,LOOKUP(2,1/(指数走势!$F$37:$ACK$37&lt;&gt;""),COLUMN(指数走势!$F$37:$ACK$37))-COLUMN(指数走势!$F$37)+1-760+165)),NA(),IF(INDEX(指数走势!$F$37:$ACK$37,1,LOOKUP(2,1/(指数走势!$F$37:$ACK$37&lt;&gt;""),COLUMN(指数走势!$F$37:$ACK$37))-COLUMN(指数走势!$F$37)+1-760+165)=0,NA(),INDEX(指数走势!$F$37:$ACK$37,1,LOOKUP(2,1/(指数走势!$F$37:$ACK$37&lt;&gt;""),COLUMN(指数走势!$F$37:$ACK$37))-COLUMN(指数走势!$F$37)+1-760+165)))</f>
        <v>7.90019989013672</v>
      </c>
      <c r="FK101">
        <f>IF(ISERROR(INDEX(指数走势!$F$37:$ACK$37,1,LOOKUP(2,1/(指数走势!$F$37:$ACK$37&lt;&gt;""),COLUMN(指数走势!$F$37:$ACK$37))-COLUMN(指数走势!$F$37)+1-760+166)),NA(),IF(INDEX(指数走势!$F$37:$ACK$37,1,LOOKUP(2,1/(指数走势!$F$37:$ACK$37&lt;&gt;""),COLUMN(指数走势!$F$37:$ACK$37))-COLUMN(指数走势!$F$37)+1-760+166)=0,NA(),INDEX(指数走势!$F$37:$ACK$37,1,LOOKUP(2,1/(指数走势!$F$37:$ACK$37&lt;&gt;""),COLUMN(指数走势!$F$37:$ACK$37))-COLUMN(指数走势!$F$37)+1-760+166)))</f>
        <v>7.75330018997192</v>
      </c>
      <c r="FL101">
        <f>IF(ISERROR(INDEX(指数走势!$F$37:$ACK$37,1,LOOKUP(2,1/(指数走势!$F$37:$ACK$37&lt;&gt;""),COLUMN(指数走势!$F$37:$ACK$37))-COLUMN(指数走势!$F$37)+1-760+167)),NA(),IF(INDEX(指数走势!$F$37:$ACK$37,1,LOOKUP(2,1/(指数走势!$F$37:$ACK$37&lt;&gt;""),COLUMN(指数走势!$F$37:$ACK$37))-COLUMN(指数走势!$F$37)+1-760+167)=0,NA(),INDEX(指数走势!$F$37:$ACK$37,1,LOOKUP(2,1/(指数走势!$F$37:$ACK$37&lt;&gt;""),COLUMN(指数走势!$F$37:$ACK$37))-COLUMN(指数走势!$F$37)+1-760+167)))</f>
        <v>7.48150014877319</v>
      </c>
      <c r="FM101">
        <f>IF(ISERROR(INDEX(指数走势!$F$37:$ACK$37,1,LOOKUP(2,1/(指数走势!$F$37:$ACK$37&lt;&gt;""),COLUMN(指数走势!$F$37:$ACK$37))-COLUMN(指数走势!$F$37)+1-760+168)),NA(),IF(INDEX(指数走势!$F$37:$ACK$37,1,LOOKUP(2,1/(指数走势!$F$37:$ACK$37&lt;&gt;""),COLUMN(指数走势!$F$37:$ACK$37))-COLUMN(指数走势!$F$37)+1-760+168)=0,NA(),INDEX(指数走势!$F$37:$ACK$37,1,LOOKUP(2,1/(指数走势!$F$37:$ACK$37&lt;&gt;""),COLUMN(指数走势!$F$37:$ACK$37))-COLUMN(指数走势!$F$37)+1-760+168)))</f>
        <v>7.5391001701355</v>
      </c>
      <c r="FN101">
        <f>IF(ISERROR(INDEX(指数走势!$F$37:$ACK$37,1,LOOKUP(2,1/(指数走势!$F$37:$ACK$37&lt;&gt;""),COLUMN(指数走势!$F$37:$ACK$37))-COLUMN(指数走势!$F$37)+1-760+169)),NA(),IF(INDEX(指数走势!$F$37:$ACK$37,1,LOOKUP(2,1/(指数走势!$F$37:$ACK$37&lt;&gt;""),COLUMN(指数走势!$F$37:$ACK$37))-COLUMN(指数走势!$F$37)+1-760+169)=0,NA(),INDEX(指数走势!$F$37:$ACK$37,1,LOOKUP(2,1/(指数走势!$F$37:$ACK$37&lt;&gt;""),COLUMN(指数走势!$F$37:$ACK$37))-COLUMN(指数走势!$F$37)+1-760+169)))</f>
        <v>7.49569988250732</v>
      </c>
      <c r="FO101">
        <f>IF(ISERROR(INDEX(指数走势!$F$37:$ACK$37,1,LOOKUP(2,1/(指数走势!$F$37:$ACK$37&lt;&gt;""),COLUMN(指数走势!$F$37:$ACK$37))-COLUMN(指数走势!$F$37)+1-760+170)),NA(),IF(INDEX(指数走势!$F$37:$ACK$37,1,LOOKUP(2,1/(指数走势!$F$37:$ACK$37&lt;&gt;""),COLUMN(指数走势!$F$37:$ACK$37))-COLUMN(指数走势!$F$37)+1-760+170)=0,NA(),INDEX(指数走势!$F$37:$ACK$37,1,LOOKUP(2,1/(指数走势!$F$37:$ACK$37&lt;&gt;""),COLUMN(指数走势!$F$37:$ACK$37))-COLUMN(指数走势!$F$37)+1-760+170)))</f>
        <v>7.3326997756958</v>
      </c>
      <c r="FP101">
        <f>IF(ISERROR(INDEX(指数走势!$F$37:$ACK$37,1,LOOKUP(2,1/(指数走势!$F$37:$ACK$37&lt;&gt;""),COLUMN(指数走势!$F$37:$ACK$37))-COLUMN(指数走势!$F$37)+1-760+171)),NA(),IF(INDEX(指数走势!$F$37:$ACK$37,1,LOOKUP(2,1/(指数走势!$F$37:$ACK$37&lt;&gt;""),COLUMN(指数走势!$F$37:$ACK$37))-COLUMN(指数走势!$F$37)+1-760+171)=0,NA(),INDEX(指数走势!$F$37:$ACK$37,1,LOOKUP(2,1/(指数走势!$F$37:$ACK$37&lt;&gt;""),COLUMN(指数走势!$F$37:$ACK$37))-COLUMN(指数走势!$F$37)+1-760+171)))</f>
        <v>7.51609992980957</v>
      </c>
      <c r="FQ101">
        <f>IF(ISERROR(INDEX(指数走势!$F$37:$ACK$37,1,LOOKUP(2,1/(指数走势!$F$37:$ACK$37&lt;&gt;""),COLUMN(指数走势!$F$37:$ACK$37))-COLUMN(指数走势!$F$37)+1-760+172)),NA(),IF(INDEX(指数走势!$F$37:$ACK$37,1,LOOKUP(2,1/(指数走势!$F$37:$ACK$37&lt;&gt;""),COLUMN(指数走势!$F$37:$ACK$37))-COLUMN(指数走势!$F$37)+1-760+172)=0,NA(),INDEX(指数走势!$F$37:$ACK$37,1,LOOKUP(2,1/(指数走势!$F$37:$ACK$37&lt;&gt;""),COLUMN(指数走势!$F$37:$ACK$37))-COLUMN(指数走势!$F$37)+1-760+172)))</f>
        <v>7.79769992828369</v>
      </c>
      <c r="FR101">
        <f>IF(ISERROR(INDEX(指数走势!$F$37:$ACK$37,1,LOOKUP(2,1/(指数走势!$F$37:$ACK$37&lt;&gt;""),COLUMN(指数走势!$F$37:$ACK$37))-COLUMN(指数走势!$F$37)+1-760+173)),NA(),IF(INDEX(指数走势!$F$37:$ACK$37,1,LOOKUP(2,1/(指数走势!$F$37:$ACK$37&lt;&gt;""),COLUMN(指数走势!$F$37:$ACK$37))-COLUMN(指数走势!$F$37)+1-760+173)=0,NA(),INDEX(指数走势!$F$37:$ACK$37,1,LOOKUP(2,1/(指数走势!$F$37:$ACK$37&lt;&gt;""),COLUMN(指数走势!$F$37:$ACK$37))-COLUMN(指数走势!$F$37)+1-760+173)))</f>
        <v>7.99119997024536</v>
      </c>
      <c r="FS101">
        <f>IF(ISERROR(INDEX(指数走势!$F$37:$ACK$37,1,LOOKUP(2,1/(指数走势!$F$37:$ACK$37&lt;&gt;""),COLUMN(指数走势!$F$37:$ACK$37))-COLUMN(指数走势!$F$37)+1-760+174)),NA(),IF(INDEX(指数走势!$F$37:$ACK$37,1,LOOKUP(2,1/(指数走势!$F$37:$ACK$37&lt;&gt;""),COLUMN(指数走势!$F$37:$ACK$37))-COLUMN(指数走势!$F$37)+1-760+174)=0,NA(),INDEX(指数走势!$F$37:$ACK$37,1,LOOKUP(2,1/(指数走势!$F$37:$ACK$37&lt;&gt;""),COLUMN(指数走势!$F$37:$ACK$37))-COLUMN(指数走势!$F$37)+1-760+174)))</f>
        <v>7.87279987335205</v>
      </c>
      <c r="FT101">
        <f>IF(ISERROR(INDEX(指数走势!$F$37:$ACK$37,1,LOOKUP(2,1/(指数走势!$F$37:$ACK$37&lt;&gt;""),COLUMN(指数走势!$F$37:$ACK$37))-COLUMN(指数走势!$F$37)+1-760+175)),NA(),IF(INDEX(指数走势!$F$37:$ACK$37,1,LOOKUP(2,1/(指数走势!$F$37:$ACK$37&lt;&gt;""),COLUMN(指数走势!$F$37:$ACK$37))-COLUMN(指数走势!$F$37)+1-760+175)=0,NA(),INDEX(指数走势!$F$37:$ACK$37,1,LOOKUP(2,1/(指数走势!$F$37:$ACK$37&lt;&gt;""),COLUMN(指数走势!$F$37:$ACK$37))-COLUMN(指数走势!$F$37)+1-760+175)))</f>
        <v>7.93699979782104</v>
      </c>
      <c r="FU101">
        <f>IF(ISERROR(INDEX(指数走势!$F$37:$ACK$37,1,LOOKUP(2,1/(指数走势!$F$37:$ACK$37&lt;&gt;""),COLUMN(指数走势!$F$37:$ACK$37))-COLUMN(指数走势!$F$37)+1-760+176)),NA(),IF(INDEX(指数走势!$F$37:$ACK$37,1,LOOKUP(2,1/(指数走势!$F$37:$ACK$37&lt;&gt;""),COLUMN(指数走势!$F$37:$ACK$37))-COLUMN(指数走势!$F$37)+1-760+176)=0,NA(),INDEX(指数走势!$F$37:$ACK$37,1,LOOKUP(2,1/(指数走势!$F$37:$ACK$37&lt;&gt;""),COLUMN(指数走势!$F$37:$ACK$37))-COLUMN(指数走势!$F$37)+1-760+176)))</f>
        <v>7.75699996948242</v>
      </c>
      <c r="FV101">
        <f>IF(ISERROR(INDEX(指数走势!$F$37:$ACK$37,1,LOOKUP(2,1/(指数走势!$F$37:$ACK$37&lt;&gt;""),COLUMN(指数走势!$F$37:$ACK$37))-COLUMN(指数走势!$F$37)+1-760+177)),NA(),IF(INDEX(指数走势!$F$37:$ACK$37,1,LOOKUP(2,1/(指数走势!$F$37:$ACK$37&lt;&gt;""),COLUMN(指数走势!$F$37:$ACK$37))-COLUMN(指数走势!$F$37)+1-760+177)=0,NA(),INDEX(指数走势!$F$37:$ACK$37,1,LOOKUP(2,1/(指数走势!$F$37:$ACK$37&lt;&gt;""),COLUMN(指数走势!$F$37:$ACK$37))-COLUMN(指数走势!$F$37)+1-760+177)))</f>
        <v>7.67229986190796</v>
      </c>
      <c r="FW101">
        <f>IF(ISERROR(INDEX(指数走势!$F$37:$ACK$37,1,LOOKUP(2,1/(指数走势!$F$37:$ACK$37&lt;&gt;""),COLUMN(指数走势!$F$37:$ACK$37))-COLUMN(指数走势!$F$37)+1-760+178)),NA(),IF(INDEX(指数走势!$F$37:$ACK$37,1,LOOKUP(2,1/(指数走势!$F$37:$ACK$37&lt;&gt;""),COLUMN(指数走势!$F$37:$ACK$37))-COLUMN(指数走势!$F$37)+1-760+178)=0,NA(),INDEX(指数走势!$F$37:$ACK$37,1,LOOKUP(2,1/(指数走势!$F$37:$ACK$37&lt;&gt;""),COLUMN(指数走势!$F$37:$ACK$37))-COLUMN(指数走势!$F$37)+1-760+178)))</f>
        <v>7.6943998336792</v>
      </c>
      <c r="FX101">
        <f>IF(ISERROR(INDEX(指数走势!$F$37:$ACK$37,1,LOOKUP(2,1/(指数走势!$F$37:$ACK$37&lt;&gt;""),COLUMN(指数走势!$F$37:$ACK$37))-COLUMN(指数走势!$F$37)+1-760+179)),NA(),IF(INDEX(指数走势!$F$37:$ACK$37,1,LOOKUP(2,1/(指数走势!$F$37:$ACK$37&lt;&gt;""),COLUMN(指数走势!$F$37:$ACK$37))-COLUMN(指数走势!$F$37)+1-760+179)=0,NA(),INDEX(指数走势!$F$37:$ACK$37,1,LOOKUP(2,1/(指数走势!$F$37:$ACK$37&lt;&gt;""),COLUMN(指数走势!$F$37:$ACK$37))-COLUMN(指数走势!$F$37)+1-760+179)))</f>
        <v>7.69850015640259</v>
      </c>
      <c r="FY101">
        <f>IF(ISERROR(INDEX(指数走势!$F$37:$ACK$37,1,LOOKUP(2,1/(指数走势!$F$37:$ACK$37&lt;&gt;""),COLUMN(指数走势!$F$37:$ACK$37))-COLUMN(指数走势!$F$37)+1-760+180)),NA(),IF(INDEX(指数走势!$F$37:$ACK$37,1,LOOKUP(2,1/(指数走势!$F$37:$ACK$37&lt;&gt;""),COLUMN(指数走势!$F$37:$ACK$37))-COLUMN(指数走势!$F$37)+1-760+180)=0,NA(),INDEX(指数走势!$F$37:$ACK$37,1,LOOKUP(2,1/(指数走势!$F$37:$ACK$37&lt;&gt;""),COLUMN(指数走势!$F$37:$ACK$37))-COLUMN(指数走势!$F$37)+1-760+180)))</f>
        <v>7.68610000610352</v>
      </c>
      <c r="FZ101">
        <f>IF(ISERROR(INDEX(指数走势!$F$37:$ACK$37,1,LOOKUP(2,1/(指数走势!$F$37:$ACK$37&lt;&gt;""),COLUMN(指数走势!$F$37:$ACK$37))-COLUMN(指数走势!$F$37)+1-760+181)),NA(),IF(INDEX(指数走势!$F$37:$ACK$37,1,LOOKUP(2,1/(指数走势!$F$37:$ACK$37&lt;&gt;""),COLUMN(指数走势!$F$37:$ACK$37))-COLUMN(指数走势!$F$37)+1-760+181)=0,NA(),INDEX(指数走势!$F$37:$ACK$37,1,LOOKUP(2,1/(指数走势!$F$37:$ACK$37&lt;&gt;""),COLUMN(指数走势!$F$37:$ACK$37))-COLUMN(指数走势!$F$37)+1-760+181)))</f>
        <v>7.98199987411499</v>
      </c>
      <c r="GA101">
        <f>IF(ISERROR(INDEX(指数走势!$F$37:$ACK$37,1,LOOKUP(2,1/(指数走势!$F$37:$ACK$37&lt;&gt;""),COLUMN(指数走势!$F$37:$ACK$37))-COLUMN(指数走势!$F$37)+1-760+182)),NA(),IF(INDEX(指数走势!$F$37:$ACK$37,1,LOOKUP(2,1/(指数走势!$F$37:$ACK$37&lt;&gt;""),COLUMN(指数走势!$F$37:$ACK$37))-COLUMN(指数走势!$F$37)+1-760+182)=0,NA(),INDEX(指数走势!$F$37:$ACK$37,1,LOOKUP(2,1/(指数走势!$F$37:$ACK$37&lt;&gt;""),COLUMN(指数走势!$F$37:$ACK$37))-COLUMN(指数走势!$F$37)+1-760+182)))</f>
        <v>8.03719997406006</v>
      </c>
      <c r="GB101">
        <f>IF(ISERROR(INDEX(指数走势!$F$37:$ACK$37,1,LOOKUP(2,1/(指数走势!$F$37:$ACK$37&lt;&gt;""),COLUMN(指数走势!$F$37:$ACK$37))-COLUMN(指数走势!$F$37)+1-760+183)),NA(),IF(INDEX(指数走势!$F$37:$ACK$37,1,LOOKUP(2,1/(指数走势!$F$37:$ACK$37&lt;&gt;""),COLUMN(指数走势!$F$37:$ACK$37))-COLUMN(指数走势!$F$37)+1-760+183)=0,NA(),INDEX(指数走势!$F$37:$ACK$37,1,LOOKUP(2,1/(指数走势!$F$37:$ACK$37&lt;&gt;""),COLUMN(指数走势!$F$37:$ACK$37))-COLUMN(指数走势!$F$37)+1-760+183)))</f>
        <v>7.94579982757568</v>
      </c>
      <c r="GC101">
        <f>IF(ISERROR(INDEX(指数走势!$F$37:$ACK$37,1,LOOKUP(2,1/(指数走势!$F$37:$ACK$37&lt;&gt;""),COLUMN(指数走势!$F$37:$ACK$37))-COLUMN(指数走势!$F$37)+1-760+184)),NA(),IF(INDEX(指数走势!$F$37:$ACK$37,1,LOOKUP(2,1/(指数走势!$F$37:$ACK$37&lt;&gt;""),COLUMN(指数走势!$F$37:$ACK$37))-COLUMN(指数走势!$F$37)+1-760+184)=0,NA(),INDEX(指数走势!$F$37:$ACK$37,1,LOOKUP(2,1/(指数走势!$F$37:$ACK$37&lt;&gt;""),COLUMN(指数走势!$F$37:$ACK$37))-COLUMN(指数走势!$F$37)+1-760+184)))</f>
        <v>8.05480003356934</v>
      </c>
      <c r="GD101">
        <f>IF(ISERROR(INDEX(指数走势!$F$37:$ACK$37,1,LOOKUP(2,1/(指数走势!$F$37:$ACK$37&lt;&gt;""),COLUMN(指数走势!$F$37:$ACK$37))-COLUMN(指数走势!$F$37)+1-760+185)),NA(),IF(INDEX(指数走势!$F$37:$ACK$37,1,LOOKUP(2,1/(指数走势!$F$37:$ACK$37&lt;&gt;""),COLUMN(指数走势!$F$37:$ACK$37))-COLUMN(指数走势!$F$37)+1-760+185)=0,NA(),INDEX(指数走势!$F$37:$ACK$37,1,LOOKUP(2,1/(指数走势!$F$37:$ACK$37&lt;&gt;""),COLUMN(指数走势!$F$37:$ACK$37))-COLUMN(指数走势!$F$37)+1-760+185)))</f>
        <v>8.10949993133545</v>
      </c>
      <c r="GE101">
        <f>IF(ISERROR(INDEX(指数走势!$F$37:$ACK$37,1,LOOKUP(2,1/(指数走势!$F$37:$ACK$37&lt;&gt;""),COLUMN(指数走势!$F$37:$ACK$37))-COLUMN(指数走势!$F$37)+1-760+186)),NA(),IF(INDEX(指数走势!$F$37:$ACK$37,1,LOOKUP(2,1/(指数走势!$F$37:$ACK$37&lt;&gt;""),COLUMN(指数走势!$F$37:$ACK$37))-COLUMN(指数走势!$F$37)+1-760+186)=0,NA(),INDEX(指数走势!$F$37:$ACK$37,1,LOOKUP(2,1/(指数走势!$F$37:$ACK$37&lt;&gt;""),COLUMN(指数走势!$F$37:$ACK$37))-COLUMN(指数走势!$F$37)+1-760+186)))</f>
        <v>8.33329963684082</v>
      </c>
      <c r="GF101">
        <f>IF(ISERROR(INDEX(指数走势!$F$37:$ACK$37,1,LOOKUP(2,1/(指数走势!$F$37:$ACK$37&lt;&gt;""),COLUMN(指数走势!$F$37:$ACK$37))-COLUMN(指数走势!$F$37)+1-760+187)),NA(),IF(INDEX(指数走势!$F$37:$ACK$37,1,LOOKUP(2,1/(指数走势!$F$37:$ACK$37&lt;&gt;""),COLUMN(指数走势!$F$37:$ACK$37))-COLUMN(指数走势!$F$37)+1-760+187)=0,NA(),INDEX(指数走势!$F$37:$ACK$37,1,LOOKUP(2,1/(指数走势!$F$37:$ACK$37&lt;&gt;""),COLUMN(指数走势!$F$37:$ACK$37))-COLUMN(指数走势!$F$37)+1-760+187)))</f>
        <v>8.48079967498779</v>
      </c>
      <c r="GG101">
        <f>IF(ISERROR(INDEX(指数走势!$F$37:$ACK$37,1,LOOKUP(2,1/(指数走势!$F$37:$ACK$37&lt;&gt;""),COLUMN(指数走势!$F$37:$ACK$37))-COLUMN(指数走势!$F$37)+1-760+188)),NA(),IF(INDEX(指数走势!$F$37:$ACK$37,1,LOOKUP(2,1/(指数走势!$F$37:$ACK$37&lt;&gt;""),COLUMN(指数走势!$F$37:$ACK$37))-COLUMN(指数走势!$F$37)+1-760+188)=0,NA(),INDEX(指数走势!$F$37:$ACK$37,1,LOOKUP(2,1/(指数走势!$F$37:$ACK$37&lt;&gt;""),COLUMN(指数走势!$F$37:$ACK$37))-COLUMN(指数走势!$F$37)+1-760+188)))</f>
        <v>8.47399997711182</v>
      </c>
      <c r="GH101">
        <f>IF(ISERROR(INDEX(指数走势!$F$37:$ACK$37,1,LOOKUP(2,1/(指数走势!$F$37:$ACK$37&lt;&gt;""),COLUMN(指数走势!$F$37:$ACK$37))-COLUMN(指数走势!$F$37)+1-760+189)),NA(),IF(INDEX(指数走势!$F$37:$ACK$37,1,LOOKUP(2,1/(指数走势!$F$37:$ACK$37&lt;&gt;""),COLUMN(指数走势!$F$37:$ACK$37))-COLUMN(指数走势!$F$37)+1-760+189)=0,NA(),INDEX(指数走势!$F$37:$ACK$37,1,LOOKUP(2,1/(指数走势!$F$37:$ACK$37&lt;&gt;""),COLUMN(指数走势!$F$37:$ACK$37))-COLUMN(指数走势!$F$37)+1-760+189)))</f>
        <v>8.40740013122559</v>
      </c>
      <c r="GI101">
        <f>IF(ISERROR(INDEX(指数走势!$F$37:$ACK$37,1,LOOKUP(2,1/(指数走势!$F$37:$ACK$37&lt;&gt;""),COLUMN(指数走势!$F$37:$ACK$37))-COLUMN(指数走势!$F$37)+1-760+190)),NA(),IF(INDEX(指数走势!$F$37:$ACK$37,1,LOOKUP(2,1/(指数走势!$F$37:$ACK$37&lt;&gt;""),COLUMN(指数走势!$F$37:$ACK$37))-COLUMN(指数走势!$F$37)+1-760+190)=0,NA(),INDEX(指数走势!$F$37:$ACK$37,1,LOOKUP(2,1/(指数走势!$F$37:$ACK$37&lt;&gt;""),COLUMN(指数走势!$F$37:$ACK$37))-COLUMN(指数走势!$F$37)+1-760+190)))</f>
        <v>8.464599609375</v>
      </c>
      <c r="GJ101">
        <f>IF(ISERROR(INDEX(指数走势!$F$37:$ACK$37,1,LOOKUP(2,1/(指数走势!$F$37:$ACK$37&lt;&gt;""),COLUMN(指数走势!$F$37:$ACK$37))-COLUMN(指数走势!$F$37)+1-760+191)),NA(),IF(INDEX(指数走势!$F$37:$ACK$37,1,LOOKUP(2,1/(指数走势!$F$37:$ACK$37&lt;&gt;""),COLUMN(指数走势!$F$37:$ACK$37))-COLUMN(指数走势!$F$37)+1-760+191)=0,NA(),INDEX(指数走势!$F$37:$ACK$37,1,LOOKUP(2,1/(指数走势!$F$37:$ACK$37&lt;&gt;""),COLUMN(指数走势!$F$37:$ACK$37))-COLUMN(指数走势!$F$37)+1-760+191)))</f>
        <v>8.32320022583008</v>
      </c>
      <c r="GK101">
        <f>IF(ISERROR(INDEX(指数走势!$F$37:$ACK$37,1,LOOKUP(2,1/(指数走势!$F$37:$ACK$37&lt;&gt;""),COLUMN(指数走势!$F$37:$ACK$37))-COLUMN(指数走势!$F$37)+1-760+192)),NA(),IF(INDEX(指数走势!$F$37:$ACK$37,1,LOOKUP(2,1/(指数走势!$F$37:$ACK$37&lt;&gt;""),COLUMN(指数走势!$F$37:$ACK$37))-COLUMN(指数走势!$F$37)+1-760+192)=0,NA(),INDEX(指数走势!$F$37:$ACK$37,1,LOOKUP(2,1/(指数走势!$F$37:$ACK$37&lt;&gt;""),COLUMN(指数走势!$F$37:$ACK$37))-COLUMN(指数走势!$F$37)+1-760+192)))</f>
        <v>8.30469989776611</v>
      </c>
      <c r="GL101">
        <f>IF(ISERROR(INDEX(指数走势!$F$37:$ACK$37,1,LOOKUP(2,1/(指数走势!$F$37:$ACK$37&lt;&gt;""),COLUMN(指数走势!$F$37:$ACK$37))-COLUMN(指数走势!$F$37)+1-760+193)),NA(),IF(INDEX(指数走势!$F$37:$ACK$37,1,LOOKUP(2,1/(指数走势!$F$37:$ACK$37&lt;&gt;""),COLUMN(指数走势!$F$37:$ACK$37))-COLUMN(指数走势!$F$37)+1-760+193)=0,NA(),INDEX(指数走势!$F$37:$ACK$37,1,LOOKUP(2,1/(指数走势!$F$37:$ACK$37&lt;&gt;""),COLUMN(指数走势!$F$37:$ACK$37))-COLUMN(指数走势!$F$37)+1-760+193)))</f>
        <v>8.32030010223389</v>
      </c>
      <c r="GM101">
        <f>IF(ISERROR(INDEX(指数走势!$F$37:$ACK$37,1,LOOKUP(2,1/(指数走势!$F$37:$ACK$37&lt;&gt;""),COLUMN(指数走势!$F$37:$ACK$37))-COLUMN(指数走势!$F$37)+1-760+194)),NA(),IF(INDEX(指数走势!$F$37:$ACK$37,1,LOOKUP(2,1/(指数走势!$F$37:$ACK$37&lt;&gt;""),COLUMN(指数走势!$F$37:$ACK$37))-COLUMN(指数走势!$F$37)+1-760+194)=0,NA(),INDEX(指数走势!$F$37:$ACK$37,1,LOOKUP(2,1/(指数走势!$F$37:$ACK$37&lt;&gt;""),COLUMN(指数走势!$F$37:$ACK$37))-COLUMN(指数走势!$F$37)+1-760+194)))</f>
        <v>8.32719993591309</v>
      </c>
      <c r="GN101">
        <f>IF(ISERROR(INDEX(指数走势!$F$37:$ACK$37,1,LOOKUP(2,1/(指数走势!$F$37:$ACK$37&lt;&gt;""),COLUMN(指数走势!$F$37:$ACK$37))-COLUMN(指数走势!$F$37)+1-760+195)),NA(),IF(INDEX(指数走势!$F$37:$ACK$37,1,LOOKUP(2,1/(指数走势!$F$37:$ACK$37&lt;&gt;""),COLUMN(指数走势!$F$37:$ACK$37))-COLUMN(指数走势!$F$37)+1-760+195)=0,NA(),INDEX(指数走势!$F$37:$ACK$37,1,LOOKUP(2,1/(指数走势!$F$37:$ACK$37&lt;&gt;""),COLUMN(指数走势!$F$37:$ACK$37))-COLUMN(指数走势!$F$37)+1-760+195)))</f>
        <v>8.13710021972656</v>
      </c>
      <c r="GO101">
        <f>IF(ISERROR(INDEX(指数走势!$F$37:$ACK$37,1,LOOKUP(2,1/(指数走势!$F$37:$ACK$37&lt;&gt;""),COLUMN(指数走势!$F$37:$ACK$37))-COLUMN(指数走势!$F$37)+1-760+196)),NA(),IF(INDEX(指数走势!$F$37:$ACK$37,1,LOOKUP(2,1/(指数走势!$F$37:$ACK$37&lt;&gt;""),COLUMN(指数走势!$F$37:$ACK$37))-COLUMN(指数走势!$F$37)+1-760+196)=0,NA(),INDEX(指数走势!$F$37:$ACK$37,1,LOOKUP(2,1/(指数走势!$F$37:$ACK$37&lt;&gt;""),COLUMN(指数走势!$F$37:$ACK$37))-COLUMN(指数走势!$F$37)+1-760+196)))</f>
        <v>8.27190017700195</v>
      </c>
      <c r="GP101">
        <f>IF(ISERROR(INDEX(指数走势!$F$37:$ACK$37,1,LOOKUP(2,1/(指数走势!$F$37:$ACK$37&lt;&gt;""),COLUMN(指数走势!$F$37:$ACK$37))-COLUMN(指数走势!$F$37)+1-760+197)),NA(),IF(INDEX(指数走势!$F$37:$ACK$37,1,LOOKUP(2,1/(指数走势!$F$37:$ACK$37&lt;&gt;""),COLUMN(指数走势!$F$37:$ACK$37))-COLUMN(指数走势!$F$37)+1-760+197)=0,NA(),INDEX(指数走势!$F$37:$ACK$37,1,LOOKUP(2,1/(指数走势!$F$37:$ACK$37&lt;&gt;""),COLUMN(指数走势!$F$37:$ACK$37))-COLUMN(指数走势!$F$37)+1-760+197)))</f>
        <v>8.17140007019043</v>
      </c>
      <c r="GQ101">
        <f>IF(ISERROR(INDEX(指数走势!$F$37:$ACK$37,1,LOOKUP(2,1/(指数走势!$F$37:$ACK$37&lt;&gt;""),COLUMN(指数走势!$F$37:$ACK$37))-COLUMN(指数走势!$F$37)+1-760+198)),NA(),IF(INDEX(指数走势!$F$37:$ACK$37,1,LOOKUP(2,1/(指数走势!$F$37:$ACK$37&lt;&gt;""),COLUMN(指数走势!$F$37:$ACK$37))-COLUMN(指数走势!$F$37)+1-760+198)=0,NA(),INDEX(指数走势!$F$37:$ACK$37,1,LOOKUP(2,1/(指数走势!$F$37:$ACK$37&lt;&gt;""),COLUMN(指数走势!$F$37:$ACK$37))-COLUMN(指数走势!$F$37)+1-760+198)))</f>
        <v>8.23009967803955</v>
      </c>
      <c r="GR101">
        <f>IF(ISERROR(INDEX(指数走势!$F$37:$ACK$37,1,LOOKUP(2,1/(指数走势!$F$37:$ACK$37&lt;&gt;""),COLUMN(指数走势!$F$37:$ACK$37))-COLUMN(指数走势!$F$37)+1-760+199)),NA(),IF(INDEX(指数走势!$F$37:$ACK$37,1,LOOKUP(2,1/(指数走势!$F$37:$ACK$37&lt;&gt;""),COLUMN(指数走势!$F$37:$ACK$37))-COLUMN(指数走势!$F$37)+1-760+199)=0,NA(),INDEX(指数走势!$F$37:$ACK$37,1,LOOKUP(2,1/(指数走势!$F$37:$ACK$37&lt;&gt;""),COLUMN(指数走势!$F$37:$ACK$37))-COLUMN(指数走势!$F$37)+1-760+199)))</f>
        <v>8.32719993591309</v>
      </c>
      <c r="GS101">
        <f>IF(ISERROR(INDEX(指数走势!$F$37:$ACK$37,1,LOOKUP(2,1/(指数走势!$F$37:$ACK$37&lt;&gt;""),COLUMN(指数走势!$F$37:$ACK$37))-COLUMN(指数走势!$F$37)+1-760+200)),NA(),IF(INDEX(指数走势!$F$37:$ACK$37,1,LOOKUP(2,1/(指数走势!$F$37:$ACK$37&lt;&gt;""),COLUMN(指数走势!$F$37:$ACK$37))-COLUMN(指数走势!$F$37)+1-760+200)=0,NA(),INDEX(指数走势!$F$37:$ACK$37,1,LOOKUP(2,1/(指数走势!$F$37:$ACK$37&lt;&gt;""),COLUMN(指数走势!$F$37:$ACK$37))-COLUMN(指数走势!$F$37)+1-760+200)))</f>
        <v>8.55469989776611</v>
      </c>
      <c r="GT101">
        <f>IF(ISERROR(INDEX(指数走势!$F$37:$ACK$37,1,LOOKUP(2,1/(指数走势!$F$37:$ACK$37&lt;&gt;""),COLUMN(指数走势!$F$37:$ACK$37))-COLUMN(指数走势!$F$37)+1-760+201)),NA(),IF(INDEX(指数走势!$F$37:$ACK$37,1,LOOKUP(2,1/(指数走势!$F$37:$ACK$37&lt;&gt;""),COLUMN(指数走势!$F$37:$ACK$37))-COLUMN(指数走势!$F$37)+1-760+201)=0,NA(),INDEX(指数走势!$F$37:$ACK$37,1,LOOKUP(2,1/(指数走势!$F$37:$ACK$37&lt;&gt;""),COLUMN(指数走势!$F$37:$ACK$37))-COLUMN(指数走势!$F$37)+1-760+201)))</f>
        <v>8.5378999710083</v>
      </c>
      <c r="GU101">
        <f>IF(ISERROR(INDEX(指数走势!$F$37:$ACK$37,1,LOOKUP(2,1/(指数走势!$F$37:$ACK$37&lt;&gt;""),COLUMN(指数走势!$F$37:$ACK$37))-COLUMN(指数走势!$F$37)+1-760+202)),NA(),IF(INDEX(指数走势!$F$37:$ACK$37,1,LOOKUP(2,1/(指数走势!$F$37:$ACK$37&lt;&gt;""),COLUMN(指数走势!$F$37:$ACK$37))-COLUMN(指数走势!$F$37)+1-760+202)=0,NA(),INDEX(指数走势!$F$37:$ACK$37,1,LOOKUP(2,1/(指数走势!$F$37:$ACK$37&lt;&gt;""),COLUMN(指数走势!$F$37:$ACK$37))-COLUMN(指数走势!$F$37)+1-760+202)))</f>
        <v>8.44789981842041</v>
      </c>
      <c r="GV101">
        <f>IF(ISERROR(INDEX(指数走势!$F$37:$ACK$37,1,LOOKUP(2,1/(指数走势!$F$37:$ACK$37&lt;&gt;""),COLUMN(指数走势!$F$37:$ACK$37))-COLUMN(指数走势!$F$37)+1-760+203)),NA(),IF(INDEX(指数走势!$F$37:$ACK$37,1,LOOKUP(2,1/(指数走势!$F$37:$ACK$37&lt;&gt;""),COLUMN(指数走势!$F$37:$ACK$37))-COLUMN(指数走势!$F$37)+1-760+203)=0,NA(),INDEX(指数走势!$F$37:$ACK$37,1,LOOKUP(2,1/(指数走势!$F$37:$ACK$37&lt;&gt;""),COLUMN(指数走势!$F$37:$ACK$37))-COLUMN(指数走势!$F$37)+1-760+203)))</f>
        <v>8.34109973907471</v>
      </c>
      <c r="GW101">
        <f>IF(ISERROR(INDEX(指数走势!$F$37:$ACK$37,1,LOOKUP(2,1/(指数走势!$F$37:$ACK$37&lt;&gt;""),COLUMN(指数走势!$F$37:$ACK$37))-COLUMN(指数走势!$F$37)+1-760+204)),NA(),IF(INDEX(指数走势!$F$37:$ACK$37,1,LOOKUP(2,1/(指数走势!$F$37:$ACK$37&lt;&gt;""),COLUMN(指数走势!$F$37:$ACK$37))-COLUMN(指数走势!$F$37)+1-760+204)=0,NA(),INDEX(指数走势!$F$37:$ACK$37,1,LOOKUP(2,1/(指数走势!$F$37:$ACK$37&lt;&gt;""),COLUMN(指数走势!$F$37:$ACK$37))-COLUMN(指数走势!$F$37)+1-760+204)))</f>
        <v>8.34469985961914</v>
      </c>
      <c r="GX101">
        <f>IF(ISERROR(INDEX(指数走势!$F$37:$ACK$37,1,LOOKUP(2,1/(指数走势!$F$37:$ACK$37&lt;&gt;""),COLUMN(指数走势!$F$37:$ACK$37))-COLUMN(指数走势!$F$37)+1-760+205)),NA(),IF(INDEX(指数走势!$F$37:$ACK$37,1,LOOKUP(2,1/(指数走势!$F$37:$ACK$37&lt;&gt;""),COLUMN(指数走势!$F$37:$ACK$37))-COLUMN(指数走势!$F$37)+1-760+205)=0,NA(),INDEX(指数走势!$F$37:$ACK$37,1,LOOKUP(2,1/(指数走势!$F$37:$ACK$37&lt;&gt;""),COLUMN(指数走势!$F$37:$ACK$37))-COLUMN(指数走势!$F$37)+1-760+205)))</f>
        <v>8.25189971923828</v>
      </c>
      <c r="GY101">
        <f>IF(ISERROR(INDEX(指数走势!$F$37:$ACK$37,1,LOOKUP(2,1/(指数走势!$F$37:$ACK$37&lt;&gt;""),COLUMN(指数走势!$F$37:$ACK$37))-COLUMN(指数走势!$F$37)+1-760+206)),NA(),IF(INDEX(指数走势!$F$37:$ACK$37,1,LOOKUP(2,1/(指数走势!$F$37:$ACK$37&lt;&gt;""),COLUMN(指数走势!$F$37:$ACK$37))-COLUMN(指数走势!$F$37)+1-760+206)=0,NA(),INDEX(指数走势!$F$37:$ACK$37,1,LOOKUP(2,1/(指数走势!$F$37:$ACK$37&lt;&gt;""),COLUMN(指数走势!$F$37:$ACK$37))-COLUMN(指数走势!$F$37)+1-760+206)))</f>
        <v>8.4931001663208</v>
      </c>
      <c r="GZ101">
        <f>IF(ISERROR(INDEX(指数走势!$F$37:$ACK$37,1,LOOKUP(2,1/(指数走势!$F$37:$ACK$37&lt;&gt;""),COLUMN(指数走势!$F$37:$ACK$37))-COLUMN(指数走势!$F$37)+1-760+207)),NA(),IF(INDEX(指数走势!$F$37:$ACK$37,1,LOOKUP(2,1/(指数走势!$F$37:$ACK$37&lt;&gt;""),COLUMN(指数走势!$F$37:$ACK$37))-COLUMN(指数走势!$F$37)+1-760+207)=0,NA(),INDEX(指数走势!$F$37:$ACK$37,1,LOOKUP(2,1/(指数走势!$F$37:$ACK$37&lt;&gt;""),COLUMN(指数走势!$F$37:$ACK$37))-COLUMN(指数走势!$F$37)+1-760+207)))</f>
        <v>8.80500030517578</v>
      </c>
      <c r="HA101">
        <f>IF(ISERROR(INDEX(指数走势!$F$37:$ACK$37,1,LOOKUP(2,1/(指数走势!$F$37:$ACK$37&lt;&gt;""),COLUMN(指数走势!$F$37:$ACK$37))-COLUMN(指数走势!$F$37)+1-760+208)),NA(),IF(INDEX(指数走势!$F$37:$ACK$37,1,LOOKUP(2,1/(指数走势!$F$37:$ACK$37&lt;&gt;""),COLUMN(指数走势!$F$37:$ACK$37))-COLUMN(指数走势!$F$37)+1-760+208)=0,NA(),INDEX(指数走势!$F$37:$ACK$37,1,LOOKUP(2,1/(指数走势!$F$37:$ACK$37&lt;&gt;""),COLUMN(指数走势!$F$37:$ACK$37))-COLUMN(指数走势!$F$37)+1-760+208)))</f>
        <v>8.61439990997314</v>
      </c>
      <c r="HB101">
        <f>IF(ISERROR(INDEX(指数走势!$F$37:$ACK$37,1,LOOKUP(2,1/(指数走势!$F$37:$ACK$37&lt;&gt;""),COLUMN(指数走势!$F$37:$ACK$37))-COLUMN(指数走势!$F$37)+1-760+209)),NA(),IF(INDEX(指数走势!$F$37:$ACK$37,1,LOOKUP(2,1/(指数走势!$F$37:$ACK$37&lt;&gt;""),COLUMN(指数走势!$F$37:$ACK$37))-COLUMN(指数走势!$F$37)+1-760+209)=0,NA(),INDEX(指数走势!$F$37:$ACK$37,1,LOOKUP(2,1/(指数走势!$F$37:$ACK$37&lt;&gt;""),COLUMN(指数走势!$F$37:$ACK$37))-COLUMN(指数走势!$F$37)+1-760+209)))</f>
        <v>8.58780002593994</v>
      </c>
      <c r="HC101">
        <f>IF(ISERROR(INDEX(指数走势!$F$37:$ACK$37,1,LOOKUP(2,1/(指数走势!$F$37:$ACK$37&lt;&gt;""),COLUMN(指数走势!$F$37:$ACK$37))-COLUMN(指数走势!$F$37)+1-760+210)),NA(),IF(INDEX(指数走势!$F$37:$ACK$37,1,LOOKUP(2,1/(指数走势!$F$37:$ACK$37&lt;&gt;""),COLUMN(指数走势!$F$37:$ACK$37))-COLUMN(指数走势!$F$37)+1-760+210)=0,NA(),INDEX(指数走势!$F$37:$ACK$37,1,LOOKUP(2,1/(指数走势!$F$37:$ACK$37&lt;&gt;""),COLUMN(指数走势!$F$37:$ACK$37))-COLUMN(指数走势!$F$37)+1-760+210)))</f>
        <v>8.65929985046387</v>
      </c>
      <c r="HD101">
        <f>IF(ISERROR(INDEX(指数走势!$F$37:$ACK$37,1,LOOKUP(2,1/(指数走势!$F$37:$ACK$37&lt;&gt;""),COLUMN(指数走势!$F$37:$ACK$37))-COLUMN(指数走势!$F$37)+1-760+211)),NA(),IF(INDEX(指数走势!$F$37:$ACK$37,1,LOOKUP(2,1/(指数走势!$F$37:$ACK$37&lt;&gt;""),COLUMN(指数走势!$F$37:$ACK$37))-COLUMN(指数走势!$F$37)+1-760+211)=0,NA(),INDEX(指数走势!$F$37:$ACK$37,1,LOOKUP(2,1/(指数走势!$F$37:$ACK$37&lt;&gt;""),COLUMN(指数走势!$F$37:$ACK$37))-COLUMN(指数走势!$F$37)+1-760+211)))</f>
        <v>8.46399974822998</v>
      </c>
      <c r="HE101">
        <f>IF(ISERROR(INDEX(指数走势!$F$37:$ACK$37,1,LOOKUP(2,1/(指数走势!$F$37:$ACK$37&lt;&gt;""),COLUMN(指数走势!$F$37:$ACK$37))-COLUMN(指数走势!$F$37)+1-760+212)),NA(),IF(INDEX(指数走势!$F$37:$ACK$37,1,LOOKUP(2,1/(指数走势!$F$37:$ACK$37&lt;&gt;""),COLUMN(指数走势!$F$37:$ACK$37))-COLUMN(指数走势!$F$37)+1-760+212)=0,NA(),INDEX(指数走势!$F$37:$ACK$37,1,LOOKUP(2,1/(指数走势!$F$37:$ACK$37&lt;&gt;""),COLUMN(指数走势!$F$37:$ACK$37))-COLUMN(指数走势!$F$37)+1-760+212)))</f>
        <v>8.42930030822754</v>
      </c>
      <c r="HF101">
        <f>IF(ISERROR(INDEX(指数走势!$F$37:$ACK$37,1,LOOKUP(2,1/(指数走势!$F$37:$ACK$37&lt;&gt;""),COLUMN(指数走势!$F$37:$ACK$37))-COLUMN(指数走势!$F$37)+1-760+213)),NA(),IF(INDEX(指数走势!$F$37:$ACK$37,1,LOOKUP(2,1/(指数走势!$F$37:$ACK$37&lt;&gt;""),COLUMN(指数走势!$F$37:$ACK$37))-COLUMN(指数走势!$F$37)+1-760+213)=0,NA(),INDEX(指数走势!$F$37:$ACK$37,1,LOOKUP(2,1/(指数走势!$F$37:$ACK$37&lt;&gt;""),COLUMN(指数走势!$F$37:$ACK$37))-COLUMN(指数走势!$F$37)+1-760+213)))</f>
        <v>8.49079990386963</v>
      </c>
      <c r="HG101">
        <f>IF(ISERROR(INDEX(指数走势!$F$37:$ACK$37,1,LOOKUP(2,1/(指数走势!$F$37:$ACK$37&lt;&gt;""),COLUMN(指数走势!$F$37:$ACK$37))-COLUMN(指数走势!$F$37)+1-760+214)),NA(),IF(INDEX(指数走势!$F$37:$ACK$37,1,LOOKUP(2,1/(指数走势!$F$37:$ACK$37&lt;&gt;""),COLUMN(指数走势!$F$37:$ACK$37))-COLUMN(指数走势!$F$37)+1-760+214)=0,NA(),INDEX(指数走势!$F$37:$ACK$37,1,LOOKUP(2,1/(指数走势!$F$37:$ACK$37&lt;&gt;""),COLUMN(指数走势!$F$37:$ACK$37))-COLUMN(指数走势!$F$37)+1-760+214)))</f>
        <v>8.49069976806641</v>
      </c>
      <c r="HH101">
        <f>IF(ISERROR(INDEX(指数走势!$F$37:$ACK$37,1,LOOKUP(2,1/(指数走势!$F$37:$ACK$37&lt;&gt;""),COLUMN(指数走势!$F$37:$ACK$37))-COLUMN(指数走势!$F$37)+1-760+215)),NA(),IF(INDEX(指数走势!$F$37:$ACK$37,1,LOOKUP(2,1/(指数走势!$F$37:$ACK$37&lt;&gt;""),COLUMN(指数走势!$F$37:$ACK$37))-COLUMN(指数走势!$F$37)+1-760+215)=0,NA(),INDEX(指数走势!$F$37:$ACK$37,1,LOOKUP(2,1/(指数走势!$F$37:$ACK$37&lt;&gt;""),COLUMN(指数走势!$F$37:$ACK$37))-COLUMN(指数走势!$F$37)+1-760+215)))</f>
        <v>8.7007999420166</v>
      </c>
      <c r="HI101">
        <f>IF(ISERROR(INDEX(指数走势!$F$37:$ACK$37,1,LOOKUP(2,1/(指数走势!$F$37:$ACK$37&lt;&gt;""),COLUMN(指数走势!$F$37:$ACK$37))-COLUMN(指数走势!$F$37)+1-760+216)),NA(),IF(INDEX(指数走势!$F$37:$ACK$37,1,LOOKUP(2,1/(指数走势!$F$37:$ACK$37&lt;&gt;""),COLUMN(指数走势!$F$37:$ACK$37))-COLUMN(指数走势!$F$37)+1-760+216)=0,NA(),INDEX(指数走势!$F$37:$ACK$37,1,LOOKUP(2,1/(指数走势!$F$37:$ACK$37&lt;&gt;""),COLUMN(指数走势!$F$37:$ACK$37))-COLUMN(指数走势!$F$37)+1-760+216)))</f>
        <v>8.62040042877197</v>
      </c>
      <c r="HJ101">
        <f>IF(ISERROR(INDEX(指数走势!$F$37:$ACK$37,1,LOOKUP(2,1/(指数走势!$F$37:$ACK$37&lt;&gt;""),COLUMN(指数走势!$F$37:$ACK$37))-COLUMN(指数走势!$F$37)+1-760+217)),NA(),IF(INDEX(指数走势!$F$37:$ACK$37,1,LOOKUP(2,1/(指数走势!$F$37:$ACK$37&lt;&gt;""),COLUMN(指数走势!$F$37:$ACK$37))-COLUMN(指数走势!$F$37)+1-760+217)=0,NA(),INDEX(指数走势!$F$37:$ACK$37,1,LOOKUP(2,1/(指数走势!$F$37:$ACK$37&lt;&gt;""),COLUMN(指数走势!$F$37:$ACK$37))-COLUMN(指数走势!$F$37)+1-760+217)))</f>
        <v>8.61569976806641</v>
      </c>
      <c r="HK101">
        <f>IF(ISERROR(INDEX(指数走势!$F$37:$ACK$37,1,LOOKUP(2,1/(指数走势!$F$37:$ACK$37&lt;&gt;""),COLUMN(指数走势!$F$37:$ACK$37))-COLUMN(指数走势!$F$37)+1-760+218)),NA(),IF(INDEX(指数走势!$F$37:$ACK$37,1,LOOKUP(2,1/(指数走势!$F$37:$ACK$37&lt;&gt;""),COLUMN(指数走势!$F$37:$ACK$37))-COLUMN(指数走势!$F$37)+1-760+218)=0,NA(),INDEX(指数走势!$F$37:$ACK$37,1,LOOKUP(2,1/(指数走势!$F$37:$ACK$37&lt;&gt;""),COLUMN(指数走势!$F$37:$ACK$37))-COLUMN(指数走势!$F$37)+1-760+218)))</f>
        <v>8.65299987792969</v>
      </c>
      <c r="HL101">
        <f>IF(ISERROR(INDEX(指数走势!$F$37:$ACK$37,1,LOOKUP(2,1/(指数走势!$F$37:$ACK$37&lt;&gt;""),COLUMN(指数走势!$F$37:$ACK$37))-COLUMN(指数走势!$F$37)+1-760+219)),NA(),IF(INDEX(指数走势!$F$37:$ACK$37,1,LOOKUP(2,1/(指数走势!$F$37:$ACK$37&lt;&gt;""),COLUMN(指数走势!$F$37:$ACK$37))-COLUMN(指数走势!$F$37)+1-760+219)=0,NA(),INDEX(指数走势!$F$37:$ACK$37,1,LOOKUP(2,1/(指数走势!$F$37:$ACK$37&lt;&gt;""),COLUMN(指数走势!$F$37:$ACK$37))-COLUMN(指数走势!$F$37)+1-760+219)))</f>
        <v>8.81439971923828</v>
      </c>
      <c r="HM101">
        <f>IF(ISERROR(INDEX(指数走势!$F$37:$ACK$37,1,LOOKUP(2,1/(指数走势!$F$37:$ACK$37&lt;&gt;""),COLUMN(指数走势!$F$37:$ACK$37))-COLUMN(指数走势!$F$37)+1-760+220)),NA(),IF(INDEX(指数走势!$F$37:$ACK$37,1,LOOKUP(2,1/(指数走势!$F$37:$ACK$37&lt;&gt;""),COLUMN(指数走势!$F$37:$ACK$37))-COLUMN(指数走势!$F$37)+1-760+220)=0,NA(),INDEX(指数走势!$F$37:$ACK$37,1,LOOKUP(2,1/(指数走势!$F$37:$ACK$37&lt;&gt;""),COLUMN(指数走势!$F$37:$ACK$37))-COLUMN(指数走势!$F$37)+1-760+220)))</f>
        <v>8.79300022125244</v>
      </c>
      <c r="HN101">
        <f>IF(ISERROR(INDEX(指数走势!$F$37:$ACK$37,1,LOOKUP(2,1/(指数走势!$F$37:$ACK$37&lt;&gt;""),COLUMN(指数走势!$F$37:$ACK$37))-COLUMN(指数走势!$F$37)+1-760+221)),NA(),IF(INDEX(指数走势!$F$37:$ACK$37,1,LOOKUP(2,1/(指数走势!$F$37:$ACK$37&lt;&gt;""),COLUMN(指数走势!$F$37:$ACK$37))-COLUMN(指数走势!$F$37)+1-760+221)=0,NA(),INDEX(指数走势!$F$37:$ACK$37,1,LOOKUP(2,1/(指数走势!$F$37:$ACK$37&lt;&gt;""),COLUMN(指数走势!$F$37:$ACK$37))-COLUMN(指数走势!$F$37)+1-760+221)))</f>
        <v>8.62390041351318</v>
      </c>
      <c r="HO101">
        <f>IF(ISERROR(INDEX(指数走势!$F$37:$ACK$37,1,LOOKUP(2,1/(指数走势!$F$37:$ACK$37&lt;&gt;""),COLUMN(指数走势!$F$37:$ACK$37))-COLUMN(指数走势!$F$37)+1-760+222)),NA(),IF(INDEX(指数走势!$F$37:$ACK$37,1,LOOKUP(2,1/(指数走势!$F$37:$ACK$37&lt;&gt;""),COLUMN(指数走势!$F$37:$ACK$37))-COLUMN(指数走势!$F$37)+1-760+222)=0,NA(),INDEX(指数走势!$F$37:$ACK$37,1,LOOKUP(2,1/(指数走势!$F$37:$ACK$37&lt;&gt;""),COLUMN(指数走势!$F$37:$ACK$37))-COLUMN(指数走势!$F$37)+1-760+222)))</f>
        <v>8.5871000289917</v>
      </c>
      <c r="HP101">
        <f>IF(ISERROR(INDEX(指数走势!$F$37:$ACK$37,1,LOOKUP(2,1/(指数走势!$F$37:$ACK$37&lt;&gt;""),COLUMN(指数走势!$F$37:$ACK$37))-COLUMN(指数走势!$F$37)+1-760+223)),NA(),IF(INDEX(指数走势!$F$37:$ACK$37,1,LOOKUP(2,1/(指数走势!$F$37:$ACK$37&lt;&gt;""),COLUMN(指数走势!$F$37:$ACK$37))-COLUMN(指数走势!$F$37)+1-760+223)=0,NA(),INDEX(指数走势!$F$37:$ACK$37,1,LOOKUP(2,1/(指数走势!$F$37:$ACK$37&lt;&gt;""),COLUMN(指数走势!$F$37:$ACK$37))-COLUMN(指数走势!$F$37)+1-760+223)))</f>
        <v>8.44040012359619</v>
      </c>
      <c r="HQ101">
        <f>IF(ISERROR(INDEX(指数走势!$F$37:$ACK$37,1,LOOKUP(2,1/(指数走势!$F$37:$ACK$37&lt;&gt;""),COLUMN(指数走势!$F$37:$ACK$37))-COLUMN(指数走势!$F$37)+1-760+224)),NA(),IF(INDEX(指数走势!$F$37:$ACK$37,1,LOOKUP(2,1/(指数走势!$F$37:$ACK$37&lt;&gt;""),COLUMN(指数走势!$F$37:$ACK$37))-COLUMN(指数走势!$F$37)+1-760+224)=0,NA(),INDEX(指数走势!$F$37:$ACK$37,1,LOOKUP(2,1/(指数走势!$F$37:$ACK$37&lt;&gt;""),COLUMN(指数走势!$F$37:$ACK$37))-COLUMN(指数走势!$F$37)+1-760+224)))</f>
        <v>8.44110012054443</v>
      </c>
      <c r="HR101">
        <f>IF(ISERROR(INDEX(指数走势!$F$37:$ACK$37,1,LOOKUP(2,1/(指数走势!$F$37:$ACK$37&lt;&gt;""),COLUMN(指数走势!$F$37:$ACK$37))-COLUMN(指数走势!$F$37)+1-760+225)),NA(),IF(INDEX(指数走势!$F$37:$ACK$37,1,LOOKUP(2,1/(指数走势!$F$37:$ACK$37&lt;&gt;""),COLUMN(指数走势!$F$37:$ACK$37))-COLUMN(指数走势!$F$37)+1-760+225)=0,NA(),INDEX(指数走势!$F$37:$ACK$37,1,LOOKUP(2,1/(指数走势!$F$37:$ACK$37&lt;&gt;""),COLUMN(指数走势!$F$37:$ACK$37))-COLUMN(指数走势!$F$37)+1-760+225)))</f>
        <v>8.51259994506836</v>
      </c>
      <c r="HS101">
        <f>IF(ISERROR(INDEX(指数走势!$F$37:$ACK$37,1,LOOKUP(2,1/(指数走势!$F$37:$ACK$37&lt;&gt;""),COLUMN(指数走势!$F$37:$ACK$37))-COLUMN(指数走势!$F$37)+1-760+226)),NA(),IF(INDEX(指数走势!$F$37:$ACK$37,1,LOOKUP(2,1/(指数走势!$F$37:$ACK$37&lt;&gt;""),COLUMN(指数走势!$F$37:$ACK$37))-COLUMN(指数走势!$F$37)+1-760+226)=0,NA(),INDEX(指数走势!$F$37:$ACK$37,1,LOOKUP(2,1/(指数走势!$F$37:$ACK$37&lt;&gt;""),COLUMN(指数走势!$F$37:$ACK$37))-COLUMN(指数走势!$F$37)+1-760+226)))</f>
        <v>8.46790027618408</v>
      </c>
      <c r="HT101">
        <f>IF(ISERROR(INDEX(指数走势!$F$37:$ACK$37,1,LOOKUP(2,1/(指数走势!$F$37:$ACK$37&lt;&gt;""),COLUMN(指数走势!$F$37:$ACK$37))-COLUMN(指数走势!$F$37)+1-760+227)),NA(),IF(INDEX(指数走势!$F$37:$ACK$37,1,LOOKUP(2,1/(指数走势!$F$37:$ACK$37&lt;&gt;""),COLUMN(指数走势!$F$37:$ACK$37))-COLUMN(指数走势!$F$37)+1-760+227)=0,NA(),INDEX(指数走势!$F$37:$ACK$37,1,LOOKUP(2,1/(指数走势!$F$37:$ACK$37&lt;&gt;""),COLUMN(指数走势!$F$37:$ACK$37))-COLUMN(指数走势!$F$37)+1-760+227)))</f>
        <v>8.56970024108887</v>
      </c>
      <c r="HU101">
        <f>IF(ISERROR(INDEX(指数走势!$F$37:$ACK$37,1,LOOKUP(2,1/(指数走势!$F$37:$ACK$37&lt;&gt;""),COLUMN(指数走势!$F$37:$ACK$37))-COLUMN(指数走势!$F$37)+1-760+228)),NA(),IF(INDEX(指数走势!$F$37:$ACK$37,1,LOOKUP(2,1/(指数走势!$F$37:$ACK$37&lt;&gt;""),COLUMN(指数走势!$F$37:$ACK$37))-COLUMN(指数走势!$F$37)+1-760+228)=0,NA(),INDEX(指数走势!$F$37:$ACK$37,1,LOOKUP(2,1/(指数走势!$F$37:$ACK$37&lt;&gt;""),COLUMN(指数走势!$F$37:$ACK$37))-COLUMN(指数走势!$F$37)+1-760+228)))</f>
        <v>8.69699954986572</v>
      </c>
      <c r="HV101">
        <f>IF(ISERROR(INDEX(指数走势!$F$37:$ACK$37,1,LOOKUP(2,1/(指数走势!$F$37:$ACK$37&lt;&gt;""),COLUMN(指数走势!$F$37:$ACK$37))-COLUMN(指数走势!$F$37)+1-760+229)),NA(),IF(INDEX(指数走势!$F$37:$ACK$37,1,LOOKUP(2,1/(指数走势!$F$37:$ACK$37&lt;&gt;""),COLUMN(指数走势!$F$37:$ACK$37))-COLUMN(指数走势!$F$37)+1-760+229)=0,NA(),INDEX(指数走势!$F$37:$ACK$37,1,LOOKUP(2,1/(指数走势!$F$37:$ACK$37&lt;&gt;""),COLUMN(指数走势!$F$37:$ACK$37))-COLUMN(指数走势!$F$37)+1-760+229)))</f>
        <v>8.86579990386963</v>
      </c>
      <c r="HW101">
        <f>IF(ISERROR(INDEX(指数走势!$F$37:$ACK$37,1,LOOKUP(2,1/(指数走势!$F$37:$ACK$37&lt;&gt;""),COLUMN(指数走势!$F$37:$ACK$37))-COLUMN(指数走势!$F$37)+1-760+230)),NA(),IF(INDEX(指数走势!$F$37:$ACK$37,1,LOOKUP(2,1/(指数走势!$F$37:$ACK$37&lt;&gt;""),COLUMN(指数走势!$F$37:$ACK$37))-COLUMN(指数走势!$F$37)+1-760+230)=0,NA(),INDEX(指数走势!$F$37:$ACK$37,1,LOOKUP(2,1/(指数走势!$F$37:$ACK$37&lt;&gt;""),COLUMN(指数走势!$F$37:$ACK$37))-COLUMN(指数走势!$F$37)+1-760+230)))</f>
        <v>8.89080047607422</v>
      </c>
      <c r="HX101">
        <f>IF(ISERROR(INDEX(指数走势!$F$37:$ACK$37,1,LOOKUP(2,1/(指数走势!$F$37:$ACK$37&lt;&gt;""),COLUMN(指数走势!$F$37:$ACK$37))-COLUMN(指数走势!$F$37)+1-760+231)),NA(),IF(INDEX(指数走势!$F$37:$ACK$37,1,LOOKUP(2,1/(指数走势!$F$37:$ACK$37&lt;&gt;""),COLUMN(指数走势!$F$37:$ACK$37))-COLUMN(指数走势!$F$37)+1-760+231)=0,NA(),INDEX(指数走势!$F$37:$ACK$37,1,LOOKUP(2,1/(指数走势!$F$37:$ACK$37&lt;&gt;""),COLUMN(指数走势!$F$37:$ACK$37))-COLUMN(指数走势!$F$37)+1-760+231)))</f>
        <v>9.055100440979</v>
      </c>
      <c r="HY101">
        <f>IF(ISERROR(INDEX(指数走势!$F$37:$ACK$37,1,LOOKUP(2,1/(指数走势!$F$37:$ACK$37&lt;&gt;""),COLUMN(指数走势!$F$37:$ACK$37))-COLUMN(指数走势!$F$37)+1-760+232)),NA(),IF(INDEX(指数走势!$F$37:$ACK$37,1,LOOKUP(2,1/(指数走势!$F$37:$ACK$37&lt;&gt;""),COLUMN(指数走势!$F$37:$ACK$37))-COLUMN(指数走势!$F$37)+1-760+232)=0,NA(),INDEX(指数走势!$F$37:$ACK$37,1,LOOKUP(2,1/(指数走势!$F$37:$ACK$37&lt;&gt;""),COLUMN(指数走势!$F$37:$ACK$37))-COLUMN(指数走势!$F$37)+1-760+232)))</f>
        <v>9.10949993133545</v>
      </c>
      <c r="HZ101">
        <f>IF(ISERROR(INDEX(指数走势!$F$37:$ACK$37,1,LOOKUP(2,1/(指数走势!$F$37:$ACK$37&lt;&gt;""),COLUMN(指数走势!$F$37:$ACK$37))-COLUMN(指数走势!$F$37)+1-760+233)),NA(),IF(INDEX(指数走势!$F$37:$ACK$37,1,LOOKUP(2,1/(指数走势!$F$37:$ACK$37&lt;&gt;""),COLUMN(指数走势!$F$37:$ACK$37))-COLUMN(指数走势!$F$37)+1-760+233)=0,NA(),INDEX(指数走势!$F$37:$ACK$37,1,LOOKUP(2,1/(指数走势!$F$37:$ACK$37&lt;&gt;""),COLUMN(指数走势!$F$37:$ACK$37))-COLUMN(指数走势!$F$37)+1-760+233)))</f>
        <v>9.12520027160645</v>
      </c>
      <c r="IA101">
        <f>IF(ISERROR(INDEX(指数走势!$F$37:$ACK$37,1,LOOKUP(2,1/(指数走势!$F$37:$ACK$37&lt;&gt;""),COLUMN(指数走势!$F$37:$ACK$37))-COLUMN(指数走势!$F$37)+1-760+234)),NA(),IF(INDEX(指数走势!$F$37:$ACK$37,1,LOOKUP(2,1/(指数走势!$F$37:$ACK$37&lt;&gt;""),COLUMN(指数走势!$F$37:$ACK$37))-COLUMN(指数走势!$F$37)+1-760+234)=0,NA(),INDEX(指数走势!$F$37:$ACK$37,1,LOOKUP(2,1/(指数走势!$F$37:$ACK$37&lt;&gt;""),COLUMN(指数走势!$F$37:$ACK$37))-COLUMN(指数走势!$F$37)+1-760+234)))</f>
        <v>9.46049976348877</v>
      </c>
      <c r="IB101">
        <f>IF(ISERROR(INDEX(指数走势!$F$37:$ACK$37,1,LOOKUP(2,1/(指数走势!$F$37:$ACK$37&lt;&gt;""),COLUMN(指数走势!$F$37:$ACK$37))-COLUMN(指数走势!$F$37)+1-760+235)),NA(),IF(INDEX(指数走势!$F$37:$ACK$37,1,LOOKUP(2,1/(指数走势!$F$37:$ACK$37&lt;&gt;""),COLUMN(指数走势!$F$37:$ACK$37))-COLUMN(指数走势!$F$37)+1-760+235)=0,NA(),INDEX(指数走势!$F$37:$ACK$37,1,LOOKUP(2,1/(指数走势!$F$37:$ACK$37&lt;&gt;""),COLUMN(指数走势!$F$37:$ACK$37))-COLUMN(指数走势!$F$37)+1-760+235)))</f>
        <v>9.43449974060059</v>
      </c>
      <c r="IC101">
        <f>IF(ISERROR(INDEX(指数走势!$F$37:$ACK$37,1,LOOKUP(2,1/(指数走势!$F$37:$ACK$37&lt;&gt;""),COLUMN(指数走势!$F$37:$ACK$37))-COLUMN(指数走势!$F$37)+1-760+236)),NA(),IF(INDEX(指数走势!$F$37:$ACK$37,1,LOOKUP(2,1/(指数走势!$F$37:$ACK$37&lt;&gt;""),COLUMN(指数走势!$F$37:$ACK$37))-COLUMN(指数走势!$F$37)+1-760+236)=0,NA(),INDEX(指数走势!$F$37:$ACK$37,1,LOOKUP(2,1/(指数走势!$F$37:$ACK$37&lt;&gt;""),COLUMN(指数走势!$F$37:$ACK$37))-COLUMN(指数走势!$F$37)+1-760+236)))</f>
        <v>9.3548002243042</v>
      </c>
      <c r="ID101">
        <f>IF(ISERROR(INDEX(指数走势!$F$37:$ACK$37,1,LOOKUP(2,1/(指数走势!$F$37:$ACK$37&lt;&gt;""),COLUMN(指数走势!$F$37:$ACK$37))-COLUMN(指数走势!$F$37)+1-760+237)),NA(),IF(INDEX(指数走势!$F$37:$ACK$37,1,LOOKUP(2,1/(指数走势!$F$37:$ACK$37&lt;&gt;""),COLUMN(指数走势!$F$37:$ACK$37))-COLUMN(指数走势!$F$37)+1-760+237)=0,NA(),INDEX(指数走势!$F$37:$ACK$37,1,LOOKUP(2,1/(指数走势!$F$37:$ACK$37&lt;&gt;""),COLUMN(指数走势!$F$37:$ACK$37))-COLUMN(指数走势!$F$37)+1-760+237)))</f>
        <v>9.4734001159668</v>
      </c>
      <c r="IE101">
        <f>IF(ISERROR(INDEX(指数走势!$F$37:$ACK$37,1,LOOKUP(2,1/(指数走势!$F$37:$ACK$37&lt;&gt;""),COLUMN(指数走势!$F$37:$ACK$37))-COLUMN(指数走势!$F$37)+1-760+238)),NA(),IF(INDEX(指数走势!$F$37:$ACK$37,1,LOOKUP(2,1/(指数走势!$F$37:$ACK$37&lt;&gt;""),COLUMN(指数走势!$F$37:$ACK$37))-COLUMN(指数走势!$F$37)+1-760+238)=0,NA(),INDEX(指数走势!$F$37:$ACK$37,1,LOOKUP(2,1/(指数走势!$F$37:$ACK$37&lt;&gt;""),COLUMN(指数走势!$F$37:$ACK$37))-COLUMN(指数走势!$F$37)+1-760+238)))</f>
        <v>9.7234001159668</v>
      </c>
      <c r="IF101">
        <f>IF(ISERROR(INDEX(指数走势!$F$37:$ACK$37,1,LOOKUP(2,1/(指数走势!$F$37:$ACK$37&lt;&gt;""),COLUMN(指数走势!$F$37:$ACK$37))-COLUMN(指数走势!$F$37)+1-760+239)),NA(),IF(INDEX(指数走势!$F$37:$ACK$37,1,LOOKUP(2,1/(指数走势!$F$37:$ACK$37&lt;&gt;""),COLUMN(指数走势!$F$37:$ACK$37))-COLUMN(指数走势!$F$37)+1-760+239)=0,NA(),INDEX(指数走势!$F$37:$ACK$37,1,LOOKUP(2,1/(指数走势!$F$37:$ACK$37&lt;&gt;""),COLUMN(指数走势!$F$37:$ACK$37))-COLUMN(指数走势!$F$37)+1-760+239)))</f>
        <v>9.78750038146973</v>
      </c>
      <c r="IG101">
        <f>IF(ISERROR(INDEX(指数走势!$F$37:$ACK$37,1,LOOKUP(2,1/(指数走势!$F$37:$ACK$37&lt;&gt;""),COLUMN(指数走势!$F$37:$ACK$37))-COLUMN(指数走势!$F$37)+1-760+240)),NA(),IF(INDEX(指数走势!$F$37:$ACK$37,1,LOOKUP(2,1/(指数走势!$F$37:$ACK$37&lt;&gt;""),COLUMN(指数走势!$F$37:$ACK$37))-COLUMN(指数走势!$F$37)+1-760+240)=0,NA(),INDEX(指数走势!$F$37:$ACK$37,1,LOOKUP(2,1/(指数走势!$F$37:$ACK$37&lt;&gt;""),COLUMN(指数走势!$F$37:$ACK$37))-COLUMN(指数走势!$F$37)+1-760+240)))</f>
        <v>9.76550006866455</v>
      </c>
      <c r="IH101">
        <f>IF(ISERROR(INDEX(指数走势!$F$37:$ACK$37,1,LOOKUP(2,1/(指数走势!$F$37:$ACK$37&lt;&gt;""),COLUMN(指数走势!$F$37:$ACK$37))-COLUMN(指数走势!$F$37)+1-760+241)),NA(),IF(INDEX(指数走势!$F$37:$ACK$37,1,LOOKUP(2,1/(指数走势!$F$37:$ACK$37&lt;&gt;""),COLUMN(指数走势!$F$37:$ACK$37))-COLUMN(指数走势!$F$37)+1-760+241)=0,NA(),INDEX(指数走势!$F$37:$ACK$37,1,LOOKUP(2,1/(指数走势!$F$37:$ACK$37&lt;&gt;""),COLUMN(指数走势!$F$37:$ACK$37))-COLUMN(指数走势!$F$37)+1-760+241)))</f>
        <v>9.76550006866455</v>
      </c>
      <c r="II101">
        <f>IF(ISERROR(INDEX(指数走势!$F$37:$ACK$37,1,LOOKUP(2,1/(指数走势!$F$37:$ACK$37&lt;&gt;""),COLUMN(指数走势!$F$37:$ACK$37))-COLUMN(指数走势!$F$37)+1-760+242)),NA(),IF(INDEX(指数走势!$F$37:$ACK$37,1,LOOKUP(2,1/(指数走势!$F$37:$ACK$37&lt;&gt;""),COLUMN(指数走势!$F$37:$ACK$37))-COLUMN(指数走势!$F$37)+1-760+242)=0,NA(),INDEX(指数走势!$F$37:$ACK$37,1,LOOKUP(2,1/(指数走势!$F$37:$ACK$37&lt;&gt;""),COLUMN(指数走势!$F$37:$ACK$37))-COLUMN(指数走势!$F$37)+1-760+242)))</f>
        <v>9.94709968566895</v>
      </c>
      <c r="IJ101">
        <f>IF(ISERROR(INDEX(指数走势!$F$37:$ACK$37,1,LOOKUP(2,1/(指数走势!$F$37:$ACK$37&lt;&gt;""),COLUMN(指数走势!$F$37:$ACK$37))-COLUMN(指数走势!$F$37)+1-760+243)),NA(),IF(INDEX(指数走势!$F$37:$ACK$37,1,LOOKUP(2,1/(指数走势!$F$37:$ACK$37&lt;&gt;""),COLUMN(指数走势!$F$37:$ACK$37))-COLUMN(指数走势!$F$37)+1-760+243)=0,NA(),INDEX(指数走势!$F$37:$ACK$37,1,LOOKUP(2,1/(指数走势!$F$37:$ACK$37&lt;&gt;""),COLUMN(指数走势!$F$37:$ACK$37))-COLUMN(指数走势!$F$37)+1-760+243)))</f>
        <v>10.039400100708</v>
      </c>
      <c r="IK101">
        <f>IF(ISERROR(INDEX(指数走势!$F$37:$ACK$37,1,LOOKUP(2,1/(指数走势!$F$37:$ACK$37&lt;&gt;""),COLUMN(指数走势!$F$37:$ACK$37))-COLUMN(指数走势!$F$37)+1-760+244)),NA(),IF(INDEX(指数走势!$F$37:$ACK$37,1,LOOKUP(2,1/(指数走势!$F$37:$ACK$37&lt;&gt;""),COLUMN(指数走势!$F$37:$ACK$37))-COLUMN(指数走势!$F$37)+1-760+244)=0,NA(),INDEX(指数走势!$F$37:$ACK$37,1,LOOKUP(2,1/(指数走势!$F$37:$ACK$37&lt;&gt;""),COLUMN(指数走势!$F$37:$ACK$37))-COLUMN(指数走势!$F$37)+1-760+244)))</f>
        <v>10.0817003250122</v>
      </c>
      <c r="IL101">
        <f>IF(ISERROR(INDEX(指数走势!$F$37:$ACK$37,1,LOOKUP(2,1/(指数走势!$F$37:$ACK$37&lt;&gt;""),COLUMN(指数走势!$F$37:$ACK$37))-COLUMN(指数走势!$F$37)+1-760+245)),NA(),IF(INDEX(指数走势!$F$37:$ACK$37,1,LOOKUP(2,1/(指数走势!$F$37:$ACK$37&lt;&gt;""),COLUMN(指数走势!$F$37:$ACK$37))-COLUMN(指数走势!$F$37)+1-760+245)=0,NA(),INDEX(指数走势!$F$37:$ACK$37,1,LOOKUP(2,1/(指数走势!$F$37:$ACK$37&lt;&gt;""),COLUMN(指数走势!$F$37:$ACK$37))-COLUMN(指数走势!$F$37)+1-760+245)))</f>
        <v>9.89890003204346</v>
      </c>
      <c r="IM101">
        <f>IF(ISERROR(INDEX(指数走势!$F$37:$ACK$37,1,LOOKUP(2,1/(指数走势!$F$37:$ACK$37&lt;&gt;""),COLUMN(指数走势!$F$37:$ACK$37))-COLUMN(指数走势!$F$37)+1-760+246)),NA(),IF(INDEX(指数走势!$F$37:$ACK$37,1,LOOKUP(2,1/(指数走势!$F$37:$ACK$37&lt;&gt;""),COLUMN(指数走势!$F$37:$ACK$37))-COLUMN(指数走势!$F$37)+1-760+246)=0,NA(),INDEX(指数走势!$F$37:$ACK$37,1,LOOKUP(2,1/(指数走势!$F$37:$ACK$37&lt;&gt;""),COLUMN(指数走势!$F$37:$ACK$37))-COLUMN(指数走势!$F$37)+1-760+246)))</f>
        <v>9.87409973144531</v>
      </c>
      <c r="IN101">
        <f>IF(ISERROR(INDEX(指数走势!$F$37:$ACK$37,1,LOOKUP(2,1/(指数走势!$F$37:$ACK$37&lt;&gt;""),COLUMN(指数走势!$F$37:$ACK$37))-COLUMN(指数走势!$F$37)+1-760+247)),NA(),IF(INDEX(指数走势!$F$37:$ACK$37,1,LOOKUP(2,1/(指数走势!$F$37:$ACK$37&lt;&gt;""),COLUMN(指数走势!$F$37:$ACK$37))-COLUMN(指数走势!$F$37)+1-760+247)=0,NA(),INDEX(指数走势!$F$37:$ACK$37,1,LOOKUP(2,1/(指数走势!$F$37:$ACK$37&lt;&gt;""),COLUMN(指数走势!$F$37:$ACK$37))-COLUMN(指数走势!$F$37)+1-760+247)))</f>
        <v>9.68620014190674</v>
      </c>
      <c r="IO101">
        <f>IF(ISERROR(INDEX(指数走势!$F$37:$ACK$37,1,LOOKUP(2,1/(指数走势!$F$37:$ACK$37&lt;&gt;""),COLUMN(指数走势!$F$37:$ACK$37))-COLUMN(指数走势!$F$37)+1-760+248)),NA(),IF(INDEX(指数走势!$F$37:$ACK$37,1,LOOKUP(2,1/(指数走势!$F$37:$ACK$37&lt;&gt;""),COLUMN(指数走势!$F$37:$ACK$37))-COLUMN(指数走势!$F$37)+1-760+248)=0,NA(),INDEX(指数走势!$F$37:$ACK$37,1,LOOKUP(2,1/(指数走势!$F$37:$ACK$37&lt;&gt;""),COLUMN(指数走势!$F$37:$ACK$37))-COLUMN(指数走势!$F$37)+1-760+248)))</f>
        <v>9.56879997253418</v>
      </c>
      <c r="IP101">
        <f>IF(ISERROR(INDEX(指数走势!$F$37:$ACK$37,1,LOOKUP(2,1/(指数走势!$F$37:$ACK$37&lt;&gt;""),COLUMN(指数走势!$F$37:$ACK$37))-COLUMN(指数走势!$F$37)+1-760+249)),NA(),IF(INDEX(指数走势!$F$37:$ACK$37,1,LOOKUP(2,1/(指数走势!$F$37:$ACK$37&lt;&gt;""),COLUMN(指数走势!$F$37:$ACK$37))-COLUMN(指数走势!$F$37)+1-760+249)=0,NA(),INDEX(指数走势!$F$37:$ACK$37,1,LOOKUP(2,1/(指数走势!$F$37:$ACK$37&lt;&gt;""),COLUMN(指数走势!$F$37:$ACK$37))-COLUMN(指数走势!$F$37)+1-760+249)))</f>
        <v>9.67980003356934</v>
      </c>
      <c r="IQ101">
        <f>IF(ISERROR(INDEX(指数走势!$F$37:$ACK$37,1,LOOKUP(2,1/(指数走势!$F$37:$ACK$37&lt;&gt;""),COLUMN(指数走势!$F$37:$ACK$37))-COLUMN(指数走势!$F$37)+1-760+250)),NA(),IF(INDEX(指数走势!$F$37:$ACK$37,1,LOOKUP(2,1/(指数走势!$F$37:$ACK$37&lt;&gt;""),COLUMN(指数走势!$F$37:$ACK$37))-COLUMN(指数走势!$F$37)+1-760+250)=0,NA(),INDEX(指数走势!$F$37:$ACK$37,1,LOOKUP(2,1/(指数走势!$F$37:$ACK$37&lt;&gt;""),COLUMN(指数走势!$F$37:$ACK$37))-COLUMN(指数走势!$F$37)+1-760+250)))</f>
        <v>9.68980026245117</v>
      </c>
      <c r="IR101">
        <f>IF(ISERROR(INDEX(指数走势!$F$37:$ACK$37,1,LOOKUP(2,1/(指数走势!$F$37:$ACK$37&lt;&gt;""),COLUMN(指数走势!$F$37:$ACK$37))-COLUMN(指数走势!$F$37)+1-760+251)),NA(),IF(INDEX(指数走势!$F$37:$ACK$37,1,LOOKUP(2,1/(指数走势!$F$37:$ACK$37&lt;&gt;""),COLUMN(指数走势!$F$37:$ACK$37))-COLUMN(指数走势!$F$37)+1-760+251)=0,NA(),INDEX(指数走势!$F$37:$ACK$37,1,LOOKUP(2,1/(指数走势!$F$37:$ACK$37&lt;&gt;""),COLUMN(指数走势!$F$37:$ACK$37))-COLUMN(指数走势!$F$37)+1-760+251)))</f>
        <v>9.54020023345947</v>
      </c>
      <c r="IS101">
        <f>IF(ISERROR(INDEX(指数走势!$F$37:$ACK$37,1,LOOKUP(2,1/(指数走势!$F$37:$ACK$37&lt;&gt;""),COLUMN(指数走势!$F$37:$ACK$37))-COLUMN(指数走势!$F$37)+1-760+252)),NA(),IF(INDEX(指数走势!$F$37:$ACK$37,1,LOOKUP(2,1/(指数走势!$F$37:$ACK$37&lt;&gt;""),COLUMN(指数走势!$F$37:$ACK$37))-COLUMN(指数走势!$F$37)+1-760+252)=0,NA(),INDEX(指数走势!$F$37:$ACK$37,1,LOOKUP(2,1/(指数走势!$F$37:$ACK$37&lt;&gt;""),COLUMN(指数走势!$F$37:$ACK$37))-COLUMN(指数走势!$F$37)+1-760+252)))</f>
        <v>9.40900039672852</v>
      </c>
      <c r="IT101">
        <f>IF(ISERROR(INDEX(指数走势!$F$37:$ACK$37,1,LOOKUP(2,1/(指数走势!$F$37:$ACK$37&lt;&gt;""),COLUMN(指数走势!$F$37:$ACK$37))-COLUMN(指数走势!$F$37)+1-760+253)),NA(),IF(INDEX(指数走势!$F$37:$ACK$37,1,LOOKUP(2,1/(指数走势!$F$37:$ACK$37&lt;&gt;""),COLUMN(指数走势!$F$37:$ACK$37))-COLUMN(指数走势!$F$37)+1-760+253)=0,NA(),INDEX(指数走势!$F$37:$ACK$37,1,LOOKUP(2,1/(指数走势!$F$37:$ACK$37&lt;&gt;""),COLUMN(指数走势!$F$37:$ACK$37))-COLUMN(指数走势!$F$37)+1-760+253)))</f>
        <v>9.3346996307373</v>
      </c>
      <c r="IU101">
        <f>IF(ISERROR(INDEX(指数走势!$F$37:$ACK$37,1,LOOKUP(2,1/(指数走势!$F$37:$ACK$37&lt;&gt;""),COLUMN(指数走势!$F$37:$ACK$37))-COLUMN(指数走势!$F$37)+1-760+254)),NA(),IF(INDEX(指数走势!$F$37:$ACK$37,1,LOOKUP(2,1/(指数走势!$F$37:$ACK$37&lt;&gt;""),COLUMN(指数走势!$F$37:$ACK$37))-COLUMN(指数走势!$F$37)+1-760+254)=0,NA(),INDEX(指数走势!$F$37:$ACK$37,1,LOOKUP(2,1/(指数走势!$F$37:$ACK$37&lt;&gt;""),COLUMN(指数走势!$F$37:$ACK$37))-COLUMN(指数走势!$F$37)+1-760+254)))</f>
        <v>9.50389957427979</v>
      </c>
      <c r="IV101">
        <f>IF(ISERROR(INDEX(指数走势!$F$37:$ACK$37,1,LOOKUP(2,1/(指数走势!$F$37:$ACK$37&lt;&gt;""),COLUMN(指数走势!$F$37:$ACK$37))-COLUMN(指数走势!$F$37)+1-760+255)),NA(),IF(INDEX(指数走势!$F$37:$ACK$37,1,LOOKUP(2,1/(指数走势!$F$37:$ACK$37&lt;&gt;""),COLUMN(指数走势!$F$37:$ACK$37))-COLUMN(指数走势!$F$37)+1-760+255)=0,NA(),INDEX(指数走势!$F$37:$ACK$37,1,LOOKUP(2,1/(指数走势!$F$37:$ACK$37&lt;&gt;""),COLUMN(指数走势!$F$37:$ACK$37))-COLUMN(指数走势!$F$37)+1-760+255)))</f>
        <v>9.50949954986572</v>
      </c>
      <c r="IW101">
        <f>IF(ISERROR(INDEX(指数走势!$F$37:$ACK$37,1,LOOKUP(2,1/(指数走势!$F$37:$ACK$37&lt;&gt;""),COLUMN(指数走势!$F$37:$ACK$37))-COLUMN(指数走势!$F$37)+1-760+256)),NA(),IF(INDEX(指数走势!$F$37:$ACK$37,1,LOOKUP(2,1/(指数走势!$F$37:$ACK$37&lt;&gt;""),COLUMN(指数走势!$F$37:$ACK$37))-COLUMN(指数走势!$F$37)+1-760+256)=0,NA(),INDEX(指数走势!$F$37:$ACK$37,1,LOOKUP(2,1/(指数走势!$F$37:$ACK$37&lt;&gt;""),COLUMN(指数走势!$F$37:$ACK$37))-COLUMN(指数走势!$F$37)+1-760+256)))</f>
        <v>9.48610019683838</v>
      </c>
      <c r="IX101">
        <f>IF(ISERROR(INDEX(指数走势!$F$37:$ACK$37,1,LOOKUP(2,1/(指数走势!$F$37:$ACK$37&lt;&gt;""),COLUMN(指数走势!$F$37:$ACK$37))-COLUMN(指数走势!$F$37)+1-760+257)),NA(),IF(INDEX(指数走势!$F$37:$ACK$37,1,LOOKUP(2,1/(指数走势!$F$37:$ACK$37&lt;&gt;""),COLUMN(指数走势!$F$37:$ACK$37))-COLUMN(指数走势!$F$37)+1-760+257)=0,NA(),INDEX(指数走势!$F$37:$ACK$37,1,LOOKUP(2,1/(指数走势!$F$37:$ACK$37&lt;&gt;""),COLUMN(指数走势!$F$37:$ACK$37))-COLUMN(指数走势!$F$37)+1-760+257)))</f>
        <v>9.51259994506836</v>
      </c>
      <c r="IY101">
        <f>IF(ISERROR(INDEX(指数走势!$F$37:$ACK$37,1,LOOKUP(2,1/(指数走势!$F$37:$ACK$37&lt;&gt;""),COLUMN(指数走势!$F$37:$ACK$37))-COLUMN(指数走势!$F$37)+1-760+258)),NA(),IF(INDEX(指数走势!$F$37:$ACK$37,1,LOOKUP(2,1/(指数走势!$F$37:$ACK$37&lt;&gt;""),COLUMN(指数走势!$F$37:$ACK$37))-COLUMN(指数走势!$F$37)+1-760+258)=0,NA(),INDEX(指数走势!$F$37:$ACK$37,1,LOOKUP(2,1/(指数走势!$F$37:$ACK$37&lt;&gt;""),COLUMN(指数走势!$F$37:$ACK$37))-COLUMN(指数走势!$F$37)+1-760+258)))</f>
        <v>9.47109985351562</v>
      </c>
      <c r="IZ101">
        <f>IF(ISERROR(INDEX(指数走势!$F$37:$ACK$37,1,LOOKUP(2,1/(指数走势!$F$37:$ACK$37&lt;&gt;""),COLUMN(指数走势!$F$37:$ACK$37))-COLUMN(指数走势!$F$37)+1-760+259)),NA(),IF(INDEX(指数走势!$F$37:$ACK$37,1,LOOKUP(2,1/(指数走势!$F$37:$ACK$37&lt;&gt;""),COLUMN(指数走势!$F$37:$ACK$37))-COLUMN(指数走势!$F$37)+1-760+259)=0,NA(),INDEX(指数走势!$F$37:$ACK$37,1,LOOKUP(2,1/(指数走势!$F$37:$ACK$37&lt;&gt;""),COLUMN(指数走势!$F$37:$ACK$37))-COLUMN(指数走势!$F$37)+1-760+259)))</f>
        <v>9.35919952392578</v>
      </c>
      <c r="JA101">
        <f>IF(ISERROR(INDEX(指数走势!$F$37:$ACK$37,1,LOOKUP(2,1/(指数走势!$F$37:$ACK$37&lt;&gt;""),COLUMN(指数走势!$F$37:$ACK$37))-COLUMN(指数走势!$F$37)+1-760+260)),NA(),IF(INDEX(指数走势!$F$37:$ACK$37,1,LOOKUP(2,1/(指数走势!$F$37:$ACK$37&lt;&gt;""),COLUMN(指数走势!$F$37:$ACK$37))-COLUMN(指数走势!$F$37)+1-760+260)=0,NA(),INDEX(指数走势!$F$37:$ACK$37,1,LOOKUP(2,1/(指数走势!$F$37:$ACK$37&lt;&gt;""),COLUMN(指数走势!$F$37:$ACK$37))-COLUMN(指数走势!$F$37)+1-760+260)))</f>
        <v>9.26189994812012</v>
      </c>
      <c r="JB101">
        <f>IF(ISERROR(INDEX(指数走势!$F$37:$ACK$37,1,LOOKUP(2,1/(指数走势!$F$37:$ACK$37&lt;&gt;""),COLUMN(指数走势!$F$37:$ACK$37))-COLUMN(指数走势!$F$37)+1-760+261)),NA(),IF(INDEX(指数走势!$F$37:$ACK$37,1,LOOKUP(2,1/(指数走势!$F$37:$ACK$37&lt;&gt;""),COLUMN(指数走势!$F$37:$ACK$37))-COLUMN(指数走势!$F$37)+1-760+261)=0,NA(),INDEX(指数走势!$F$37:$ACK$37,1,LOOKUP(2,1/(指数走势!$F$37:$ACK$37&lt;&gt;""),COLUMN(指数走势!$F$37:$ACK$37))-COLUMN(指数走势!$F$37)+1-760+261)))</f>
        <v>9.33370018005371</v>
      </c>
      <c r="JC101">
        <f>IF(ISERROR(INDEX(指数走势!$F$37:$ACK$37,1,LOOKUP(2,1/(指数走势!$F$37:$ACK$37&lt;&gt;""),COLUMN(指数走势!$F$37:$ACK$37))-COLUMN(指数走势!$F$37)+1-760+262)),NA(),IF(INDEX(指数走势!$F$37:$ACK$37,1,LOOKUP(2,1/(指数走势!$F$37:$ACK$37&lt;&gt;""),COLUMN(指数走势!$F$37:$ACK$37))-COLUMN(指数走势!$F$37)+1-760+262)=0,NA(),INDEX(指数走势!$F$37:$ACK$37,1,LOOKUP(2,1/(指数走势!$F$37:$ACK$37&lt;&gt;""),COLUMN(指数走势!$F$37:$ACK$37))-COLUMN(指数走势!$F$37)+1-760+262)))</f>
        <v>9.27340030670166</v>
      </c>
      <c r="JD101">
        <f>IF(ISERROR(INDEX(指数走势!$F$37:$ACK$37,1,LOOKUP(2,1/(指数走势!$F$37:$ACK$37&lt;&gt;""),COLUMN(指数走势!$F$37:$ACK$37))-COLUMN(指数走势!$F$37)+1-760+263)),NA(),IF(INDEX(指数走势!$F$37:$ACK$37,1,LOOKUP(2,1/(指数走势!$F$37:$ACK$37&lt;&gt;""),COLUMN(指数走势!$F$37:$ACK$37))-COLUMN(指数走势!$F$37)+1-760+263)=0,NA(),INDEX(指数走势!$F$37:$ACK$37,1,LOOKUP(2,1/(指数走势!$F$37:$ACK$37&lt;&gt;""),COLUMN(指数走势!$F$37:$ACK$37))-COLUMN(指数走势!$F$37)+1-760+263)))</f>
        <v>9.25459957122803</v>
      </c>
      <c r="JE101">
        <f>IF(ISERROR(INDEX(指数走势!$F$37:$ACK$37,1,LOOKUP(2,1/(指数走势!$F$37:$ACK$37&lt;&gt;""),COLUMN(指数走势!$F$37:$ACK$37))-COLUMN(指数走势!$F$37)+1-760+264)),NA(),IF(INDEX(指数走势!$F$37:$ACK$37,1,LOOKUP(2,1/(指数走势!$F$37:$ACK$37&lt;&gt;""),COLUMN(指数走势!$F$37:$ACK$37))-COLUMN(指数走势!$F$37)+1-760+264)=0,NA(),INDEX(指数走势!$F$37:$ACK$37,1,LOOKUP(2,1/(指数走势!$F$37:$ACK$37&lt;&gt;""),COLUMN(指数走势!$F$37:$ACK$37))-COLUMN(指数走势!$F$37)+1-760+264)))</f>
        <v>9.24090003967285</v>
      </c>
      <c r="JF101">
        <f>IF(ISERROR(INDEX(指数走势!$F$37:$ACK$37,1,LOOKUP(2,1/(指数走势!$F$37:$ACK$37&lt;&gt;""),COLUMN(指数走势!$F$37:$ACK$37))-COLUMN(指数走势!$F$37)+1-760+265)),NA(),IF(INDEX(指数走势!$F$37:$ACK$37,1,LOOKUP(2,1/(指数走势!$F$37:$ACK$37&lt;&gt;""),COLUMN(指数走势!$F$37:$ACK$37))-COLUMN(指数走势!$F$37)+1-760+265)=0,NA(),INDEX(指数走势!$F$37:$ACK$37,1,LOOKUP(2,1/(指数走势!$F$37:$ACK$37&lt;&gt;""),COLUMN(指数走势!$F$37:$ACK$37))-COLUMN(指数走势!$F$37)+1-760+265)))</f>
        <v>9.51360034942627</v>
      </c>
      <c r="JG101">
        <f>IF(ISERROR(INDEX(指数走势!$F$37:$ACK$37,1,LOOKUP(2,1/(指数走势!$F$37:$ACK$37&lt;&gt;""),COLUMN(指数走势!$F$37:$ACK$37))-COLUMN(指数走势!$F$37)+1-760+266)),NA(),IF(INDEX(指数走势!$F$37:$ACK$37,1,LOOKUP(2,1/(指数走势!$F$37:$ACK$37&lt;&gt;""),COLUMN(指数走势!$F$37:$ACK$37))-COLUMN(指数走势!$F$37)+1-760+266)=0,NA(),INDEX(指数走势!$F$37:$ACK$37,1,LOOKUP(2,1/(指数走势!$F$37:$ACK$37&lt;&gt;""),COLUMN(指数走势!$F$37:$ACK$37))-COLUMN(指数走势!$F$37)+1-760+266)))</f>
        <v>9.49489974975586</v>
      </c>
      <c r="JH101">
        <f>IF(ISERROR(INDEX(指数走势!$F$37:$ACK$37,1,LOOKUP(2,1/(指数走势!$F$37:$ACK$37&lt;&gt;""),COLUMN(指数走势!$F$37:$ACK$37))-COLUMN(指数走势!$F$37)+1-760+267)),NA(),IF(INDEX(指数走势!$F$37:$ACK$37,1,LOOKUP(2,1/(指数走势!$F$37:$ACK$37&lt;&gt;""),COLUMN(指数走势!$F$37:$ACK$37))-COLUMN(指数走势!$F$37)+1-760+267)=0,NA(),INDEX(指数走势!$F$37:$ACK$37,1,LOOKUP(2,1/(指数走势!$F$37:$ACK$37&lt;&gt;""),COLUMN(指数走势!$F$37:$ACK$37))-COLUMN(指数走势!$F$37)+1-760+267)))</f>
        <v>9.33650016784668</v>
      </c>
      <c r="JI101">
        <f>IF(ISERROR(INDEX(指数走势!$F$37:$ACK$37,1,LOOKUP(2,1/(指数走势!$F$37:$ACK$37&lt;&gt;""),COLUMN(指数走势!$F$37:$ACK$37))-COLUMN(指数走势!$F$37)+1-760+268)),NA(),IF(INDEX(指数走势!$F$37:$ACK$37,1,LOOKUP(2,1/(指数走势!$F$37:$ACK$37&lt;&gt;""),COLUMN(指数走势!$F$37:$ACK$37))-COLUMN(指数走势!$F$37)+1-760+268)=0,NA(),INDEX(指数走势!$F$37:$ACK$37,1,LOOKUP(2,1/(指数走势!$F$37:$ACK$37&lt;&gt;""),COLUMN(指数走势!$F$37:$ACK$37))-COLUMN(指数走势!$F$37)+1-760+268)))</f>
        <v>9.34640026092529</v>
      </c>
      <c r="JJ101">
        <f>IF(ISERROR(INDEX(指数走势!$F$37:$ACK$37,1,LOOKUP(2,1/(指数走势!$F$37:$ACK$37&lt;&gt;""),COLUMN(指数走势!$F$37:$ACK$37))-COLUMN(指数走势!$F$37)+1-760+269)),NA(),IF(INDEX(指数走势!$F$37:$ACK$37,1,LOOKUP(2,1/(指数走势!$F$37:$ACK$37&lt;&gt;""),COLUMN(指数走势!$F$37:$ACK$37))-COLUMN(指数走势!$F$37)+1-760+269)=0,NA(),INDEX(指数走势!$F$37:$ACK$37,1,LOOKUP(2,1/(指数走势!$F$37:$ACK$37&lt;&gt;""),COLUMN(指数走势!$F$37:$ACK$37))-COLUMN(指数走势!$F$37)+1-760+269)))</f>
        <v>9.37409973144531</v>
      </c>
      <c r="JK101">
        <f>IF(ISERROR(INDEX(指数走势!$F$37:$ACK$37,1,LOOKUP(2,1/(指数走势!$F$37:$ACK$37&lt;&gt;""),COLUMN(指数走势!$F$37:$ACK$37))-COLUMN(指数走势!$F$37)+1-760+270)),NA(),IF(INDEX(指数走势!$F$37:$ACK$37,1,LOOKUP(2,1/(指数走势!$F$37:$ACK$37&lt;&gt;""),COLUMN(指数走势!$F$37:$ACK$37))-COLUMN(指数走势!$F$37)+1-760+270)=0,NA(),INDEX(指数走势!$F$37:$ACK$37,1,LOOKUP(2,1/(指数走势!$F$37:$ACK$37&lt;&gt;""),COLUMN(指数走势!$F$37:$ACK$37))-COLUMN(指数走势!$F$37)+1-760+270)))</f>
        <v>9.38539981842041</v>
      </c>
      <c r="JL101">
        <f>IF(ISERROR(INDEX(指数走势!$F$37:$ACK$37,1,LOOKUP(2,1/(指数走势!$F$37:$ACK$37&lt;&gt;""),COLUMN(指数走势!$F$37:$ACK$37))-COLUMN(指数走势!$F$37)+1-760+271)),NA(),IF(INDEX(指数走势!$F$37:$ACK$37,1,LOOKUP(2,1/(指数走势!$F$37:$ACK$37&lt;&gt;""),COLUMN(指数走势!$F$37:$ACK$37))-COLUMN(指数走势!$F$37)+1-760+271)=0,NA(),INDEX(指数走势!$F$37:$ACK$37,1,LOOKUP(2,1/(指数走势!$F$37:$ACK$37&lt;&gt;""),COLUMN(指数走势!$F$37:$ACK$37))-COLUMN(指数走势!$F$37)+1-760+271)))</f>
        <v>9.18449974060059</v>
      </c>
      <c r="JM101">
        <f>IF(ISERROR(INDEX(指数走势!$F$37:$ACK$37,1,LOOKUP(2,1/(指数走势!$F$37:$ACK$37&lt;&gt;""),COLUMN(指数走势!$F$37:$ACK$37))-COLUMN(指数走势!$F$37)+1-760+272)),NA(),IF(INDEX(指数走势!$F$37:$ACK$37,1,LOOKUP(2,1/(指数走势!$F$37:$ACK$37&lt;&gt;""),COLUMN(指数走势!$F$37:$ACK$37))-COLUMN(指数走势!$F$37)+1-760+272)=0,NA(),INDEX(指数走势!$F$37:$ACK$37,1,LOOKUP(2,1/(指数走势!$F$37:$ACK$37&lt;&gt;""),COLUMN(指数走势!$F$37:$ACK$37))-COLUMN(指数走势!$F$37)+1-760+272)))</f>
        <v>9.22999954223633</v>
      </c>
      <c r="JN101">
        <f>IF(ISERROR(INDEX(指数走势!$F$37:$ACK$37,1,LOOKUP(2,1/(指数走势!$F$37:$ACK$37&lt;&gt;""),COLUMN(指数走势!$F$37:$ACK$37))-COLUMN(指数走势!$F$37)+1-760+273)),NA(),IF(INDEX(指数走势!$F$37:$ACK$37,1,LOOKUP(2,1/(指数走势!$F$37:$ACK$37&lt;&gt;""),COLUMN(指数走势!$F$37:$ACK$37))-COLUMN(指数走势!$F$37)+1-760+273)=0,NA(),INDEX(指数走势!$F$37:$ACK$37,1,LOOKUP(2,1/(指数走势!$F$37:$ACK$37&lt;&gt;""),COLUMN(指数走势!$F$37:$ACK$37))-COLUMN(指数走势!$F$37)+1-760+273)))</f>
        <v>9.22999954223633</v>
      </c>
      <c r="JO101">
        <f>IF(ISERROR(INDEX(指数走势!$F$37:$ACK$37,1,LOOKUP(2,1/(指数走势!$F$37:$ACK$37&lt;&gt;""),COLUMN(指数走势!$F$37:$ACK$37))-COLUMN(指数走势!$F$37)+1-760+274)),NA(),IF(INDEX(指数走势!$F$37:$ACK$37,1,LOOKUP(2,1/(指数走势!$F$37:$ACK$37&lt;&gt;""),COLUMN(指数走势!$F$37:$ACK$37))-COLUMN(指数走势!$F$37)+1-760+274)=0,NA(),INDEX(指数走势!$F$37:$ACK$37,1,LOOKUP(2,1/(指数走势!$F$37:$ACK$37&lt;&gt;""),COLUMN(指数走势!$F$37:$ACK$37))-COLUMN(指数走势!$F$37)+1-760+274)))</f>
        <v>9.28470039367676</v>
      </c>
      <c r="JP101">
        <f>IF(ISERROR(INDEX(指数走势!$F$37:$ACK$37,1,LOOKUP(2,1/(指数走势!$F$37:$ACK$37&lt;&gt;""),COLUMN(指数走势!$F$37:$ACK$37))-COLUMN(指数走势!$F$37)+1-760+275)),NA(),IF(INDEX(指数走势!$F$37:$ACK$37,1,LOOKUP(2,1/(指数走势!$F$37:$ACK$37&lt;&gt;""),COLUMN(指数走势!$F$37:$ACK$37))-COLUMN(指数走势!$F$37)+1-760+275)=0,NA(),INDEX(指数走势!$F$37:$ACK$37,1,LOOKUP(2,1/(指数走势!$F$37:$ACK$37&lt;&gt;""),COLUMN(指数走势!$F$37:$ACK$37))-COLUMN(指数走势!$F$37)+1-760+275)))</f>
        <v>9.36880016326904</v>
      </c>
      <c r="JQ101">
        <f>IF(ISERROR(INDEX(指数走势!$F$37:$ACK$37,1,LOOKUP(2,1/(指数走势!$F$37:$ACK$37&lt;&gt;""),COLUMN(指数走势!$F$37:$ACK$37))-COLUMN(指数走势!$F$37)+1-760+276)),NA(),IF(INDEX(指数走势!$F$37:$ACK$37,1,LOOKUP(2,1/(指数走势!$F$37:$ACK$37&lt;&gt;""),COLUMN(指数走势!$F$37:$ACK$37))-COLUMN(指数走势!$F$37)+1-760+276)=0,NA(),INDEX(指数走势!$F$37:$ACK$37,1,LOOKUP(2,1/(指数走势!$F$37:$ACK$37&lt;&gt;""),COLUMN(指数走势!$F$37:$ACK$37))-COLUMN(指数走势!$F$37)+1-760+276)))</f>
        <v>9.40789985656738</v>
      </c>
      <c r="JR101">
        <f>IF(ISERROR(INDEX(指数走势!$F$37:$ACK$37,1,LOOKUP(2,1/(指数走势!$F$37:$ACK$37&lt;&gt;""),COLUMN(指数走势!$F$37:$ACK$37))-COLUMN(指数走势!$F$37)+1-760+277)),NA(),IF(INDEX(指数走势!$F$37:$ACK$37,1,LOOKUP(2,1/(指数走势!$F$37:$ACK$37&lt;&gt;""),COLUMN(指数走势!$F$37:$ACK$37))-COLUMN(指数走势!$F$37)+1-760+277)=0,NA(),INDEX(指数走势!$F$37:$ACK$37,1,LOOKUP(2,1/(指数走势!$F$37:$ACK$37&lt;&gt;""),COLUMN(指数走势!$F$37:$ACK$37))-COLUMN(指数走势!$F$37)+1-760+277)))</f>
        <v>9.28680038452148</v>
      </c>
      <c r="JS101">
        <f>IF(ISERROR(INDEX(指数走势!$F$37:$ACK$37,1,LOOKUP(2,1/(指数走势!$F$37:$ACK$37&lt;&gt;""),COLUMN(指数走势!$F$37:$ACK$37))-COLUMN(指数走势!$F$37)+1-760+278)),NA(),IF(INDEX(指数走势!$F$37:$ACK$37,1,LOOKUP(2,1/(指数走势!$F$37:$ACK$37&lt;&gt;""),COLUMN(指数走势!$F$37:$ACK$37))-COLUMN(指数走势!$F$37)+1-760+278)=0,NA(),INDEX(指数走势!$F$37:$ACK$37,1,LOOKUP(2,1/(指数走势!$F$37:$ACK$37&lt;&gt;""),COLUMN(指数走势!$F$37:$ACK$37))-COLUMN(指数走势!$F$37)+1-760+278)))</f>
        <v>9.13129997253418</v>
      </c>
      <c r="JT101">
        <f>IF(ISERROR(INDEX(指数走势!$F$37:$ACK$37,1,LOOKUP(2,1/(指数走势!$F$37:$ACK$37&lt;&gt;""),COLUMN(指数走势!$F$37:$ACK$37))-COLUMN(指数走势!$F$37)+1-760+279)),NA(),IF(INDEX(指数走势!$F$37:$ACK$37,1,LOOKUP(2,1/(指数走势!$F$37:$ACK$37&lt;&gt;""),COLUMN(指数走势!$F$37:$ACK$37))-COLUMN(指数走势!$F$37)+1-760+279)=0,NA(),INDEX(指数走势!$F$37:$ACK$37,1,LOOKUP(2,1/(指数走势!$F$37:$ACK$37&lt;&gt;""),COLUMN(指数走势!$F$37:$ACK$37))-COLUMN(指数走势!$F$37)+1-760+279)))</f>
        <v>9.12380027770996</v>
      </c>
      <c r="JU101">
        <f>IF(ISERROR(INDEX(指数走势!$F$37:$ACK$37,1,LOOKUP(2,1/(指数走势!$F$37:$ACK$37&lt;&gt;""),COLUMN(指数走势!$F$37:$ACK$37))-COLUMN(指数走势!$F$37)+1-760+280)),NA(),IF(INDEX(指数走势!$F$37:$ACK$37,1,LOOKUP(2,1/(指数走势!$F$37:$ACK$37&lt;&gt;""),COLUMN(指数走势!$F$37:$ACK$37))-COLUMN(指数走势!$F$37)+1-760+280)=0,NA(),INDEX(指数走势!$F$37:$ACK$37,1,LOOKUP(2,1/(指数走势!$F$37:$ACK$37&lt;&gt;""),COLUMN(指数走势!$F$37:$ACK$37))-COLUMN(指数走势!$F$37)+1-760+280)))</f>
        <v>9.07120037078857</v>
      </c>
      <c r="JV101">
        <f>IF(ISERROR(INDEX(指数走势!$F$37:$ACK$37,1,LOOKUP(2,1/(指数走势!$F$37:$ACK$37&lt;&gt;""),COLUMN(指数走势!$F$37:$ACK$37))-COLUMN(指数走势!$F$37)+1-760+281)),NA(),IF(INDEX(指数走势!$F$37:$ACK$37,1,LOOKUP(2,1/(指数走势!$F$37:$ACK$37&lt;&gt;""),COLUMN(指数走势!$F$37:$ACK$37))-COLUMN(指数走势!$F$37)+1-760+281)=0,NA(),INDEX(指数走势!$F$37:$ACK$37,1,LOOKUP(2,1/(指数走势!$F$37:$ACK$37&lt;&gt;""),COLUMN(指数走势!$F$37:$ACK$37))-COLUMN(指数走势!$F$37)+1-760+281)))</f>
        <v>9.23139953613281</v>
      </c>
      <c r="JW101">
        <f>IF(ISERROR(INDEX(指数走势!$F$37:$ACK$37,1,LOOKUP(2,1/(指数走势!$F$37:$ACK$37&lt;&gt;""),COLUMN(指数走势!$F$37:$ACK$37))-COLUMN(指数走势!$F$37)+1-760+282)),NA(),IF(INDEX(指数走势!$F$37:$ACK$37,1,LOOKUP(2,1/(指数走势!$F$37:$ACK$37&lt;&gt;""),COLUMN(指数走势!$F$37:$ACK$37))-COLUMN(指数走势!$F$37)+1-760+282)=0,NA(),INDEX(指数走势!$F$37:$ACK$37,1,LOOKUP(2,1/(指数走势!$F$37:$ACK$37&lt;&gt;""),COLUMN(指数走势!$F$37:$ACK$37))-COLUMN(指数走势!$F$37)+1-760+282)))</f>
        <v>9.44219970703125</v>
      </c>
      <c r="JX101">
        <f>IF(ISERROR(INDEX(指数走势!$F$37:$ACK$37,1,LOOKUP(2,1/(指数走势!$F$37:$ACK$37&lt;&gt;""),COLUMN(指数走势!$F$37:$ACK$37))-COLUMN(指数走势!$F$37)+1-760+283)),NA(),IF(INDEX(指数走势!$F$37:$ACK$37,1,LOOKUP(2,1/(指数走势!$F$37:$ACK$37&lt;&gt;""),COLUMN(指数走势!$F$37:$ACK$37))-COLUMN(指数走势!$F$37)+1-760+283)=0,NA(),INDEX(指数走势!$F$37:$ACK$37,1,LOOKUP(2,1/(指数走势!$F$37:$ACK$37&lt;&gt;""),COLUMN(指数走势!$F$37:$ACK$37))-COLUMN(指数走势!$F$37)+1-760+283)))</f>
        <v>9.31130027770996</v>
      </c>
      <c r="JY101">
        <f>IF(ISERROR(INDEX(指数走势!$F$37:$ACK$37,1,LOOKUP(2,1/(指数走势!$F$37:$ACK$37&lt;&gt;""),COLUMN(指数走势!$F$37:$ACK$37))-COLUMN(指数走势!$F$37)+1-760+284)),NA(),IF(INDEX(指数走势!$F$37:$ACK$37,1,LOOKUP(2,1/(指数走势!$F$37:$ACK$37&lt;&gt;""),COLUMN(指数走势!$F$37:$ACK$37))-COLUMN(指数走势!$F$37)+1-760+284)=0,NA(),INDEX(指数走势!$F$37:$ACK$37,1,LOOKUP(2,1/(指数走势!$F$37:$ACK$37&lt;&gt;""),COLUMN(指数走势!$F$37:$ACK$37))-COLUMN(指数走势!$F$37)+1-760+284)))</f>
        <v>9.16020011901855</v>
      </c>
      <c r="JZ101">
        <f>IF(ISERROR(INDEX(指数走势!$F$37:$ACK$37,1,LOOKUP(2,1/(指数走势!$F$37:$ACK$37&lt;&gt;""),COLUMN(指数走势!$F$37:$ACK$37))-COLUMN(指数走势!$F$37)+1-760+285)),NA(),IF(INDEX(指数走势!$F$37:$ACK$37,1,LOOKUP(2,1/(指数走势!$F$37:$ACK$37&lt;&gt;""),COLUMN(指数走势!$F$37:$ACK$37))-COLUMN(指数走势!$F$37)+1-760+285)=0,NA(),INDEX(指数走势!$F$37:$ACK$37,1,LOOKUP(2,1/(指数走势!$F$37:$ACK$37&lt;&gt;""),COLUMN(指数走势!$F$37:$ACK$37))-COLUMN(指数走势!$F$37)+1-760+285)))</f>
        <v>9.10169982910156</v>
      </c>
      <c r="KA101">
        <f>IF(ISERROR(INDEX(指数走势!$F$37:$ACK$37,1,LOOKUP(2,1/(指数走势!$F$37:$ACK$37&lt;&gt;""),COLUMN(指数走势!$F$37:$ACK$37))-COLUMN(指数走势!$F$37)+1-760+286)),NA(),IF(INDEX(指数走势!$F$37:$ACK$37,1,LOOKUP(2,1/(指数走势!$F$37:$ACK$37&lt;&gt;""),COLUMN(指数走势!$F$37:$ACK$37))-COLUMN(指数走势!$F$37)+1-760+286)=0,NA(),INDEX(指数走势!$F$37:$ACK$37,1,LOOKUP(2,1/(指数走势!$F$37:$ACK$37&lt;&gt;""),COLUMN(指数走势!$F$37:$ACK$37))-COLUMN(指数走势!$F$37)+1-760+286)))</f>
        <v>9.1274995803833</v>
      </c>
      <c r="KB101">
        <f>IF(ISERROR(INDEX(指数走势!$F$37:$ACK$37,1,LOOKUP(2,1/(指数走势!$F$37:$ACK$37&lt;&gt;""),COLUMN(指数走势!$F$37:$ACK$37))-COLUMN(指数走势!$F$37)+1-760+287)),NA(),IF(INDEX(指数走势!$F$37:$ACK$37,1,LOOKUP(2,1/(指数走势!$F$37:$ACK$37&lt;&gt;""),COLUMN(指数走势!$F$37:$ACK$37))-COLUMN(指数走势!$F$37)+1-760+287)=0,NA(),INDEX(指数走势!$F$37:$ACK$37,1,LOOKUP(2,1/(指数走势!$F$37:$ACK$37&lt;&gt;""),COLUMN(指数走势!$F$37:$ACK$37))-COLUMN(指数走势!$F$37)+1-760+287)))</f>
        <v>8.92249965667725</v>
      </c>
      <c r="KC101">
        <f>IF(ISERROR(INDEX(指数走势!$F$37:$ACK$37,1,LOOKUP(2,1/(指数走势!$F$37:$ACK$37&lt;&gt;""),COLUMN(指数走势!$F$37:$ACK$37))-COLUMN(指数走势!$F$37)+1-760+288)),NA(),IF(INDEX(指数走势!$F$37:$ACK$37,1,LOOKUP(2,1/(指数走势!$F$37:$ACK$37&lt;&gt;""),COLUMN(指数走势!$F$37:$ACK$37))-COLUMN(指数走势!$F$37)+1-760+288)=0,NA(),INDEX(指数走势!$F$37:$ACK$37,1,LOOKUP(2,1/(指数走势!$F$37:$ACK$37&lt;&gt;""),COLUMN(指数走势!$F$37:$ACK$37))-COLUMN(指数走势!$F$37)+1-760+288)))</f>
        <v>9.0250997543335</v>
      </c>
      <c r="KD101">
        <f>IF(ISERROR(INDEX(指数走势!$F$37:$ACK$37,1,LOOKUP(2,1/(指数走势!$F$37:$ACK$37&lt;&gt;""),COLUMN(指数走势!$F$37:$ACK$37))-COLUMN(指数走势!$F$37)+1-760+289)),NA(),IF(INDEX(指数走势!$F$37:$ACK$37,1,LOOKUP(2,1/(指数走势!$F$37:$ACK$37&lt;&gt;""),COLUMN(指数走势!$F$37:$ACK$37))-COLUMN(指数走势!$F$37)+1-760+289)=0,NA(),INDEX(指数走势!$F$37:$ACK$37,1,LOOKUP(2,1/(指数走势!$F$37:$ACK$37&lt;&gt;""),COLUMN(指数走势!$F$37:$ACK$37))-COLUMN(指数走势!$F$37)+1-760+289)))</f>
        <v>8.9507999420166</v>
      </c>
      <c r="KE101">
        <f>IF(ISERROR(INDEX(指数走势!$F$37:$ACK$37,1,LOOKUP(2,1/(指数走势!$F$37:$ACK$37&lt;&gt;""),COLUMN(指数走势!$F$37:$ACK$37))-COLUMN(指数走势!$F$37)+1-760+290)),NA(),IF(INDEX(指数走势!$F$37:$ACK$37,1,LOOKUP(2,1/(指数走势!$F$37:$ACK$37&lt;&gt;""),COLUMN(指数走势!$F$37:$ACK$37))-COLUMN(指数走势!$F$37)+1-760+290)=0,NA(),INDEX(指数走势!$F$37:$ACK$37,1,LOOKUP(2,1/(指数走势!$F$37:$ACK$37&lt;&gt;""),COLUMN(指数走势!$F$37:$ACK$37))-COLUMN(指数走势!$F$37)+1-760+290)))</f>
        <v>8.90569972991943</v>
      </c>
      <c r="KF101">
        <f>IF(ISERROR(INDEX(指数走势!$F$37:$ACK$37,1,LOOKUP(2,1/(指数走势!$F$37:$ACK$37&lt;&gt;""),COLUMN(指数走势!$F$37:$ACK$37))-COLUMN(指数走势!$F$37)+1-760+291)),NA(),IF(INDEX(指数走势!$F$37:$ACK$37,1,LOOKUP(2,1/(指数走势!$F$37:$ACK$37&lt;&gt;""),COLUMN(指数走势!$F$37:$ACK$37))-COLUMN(指数走势!$F$37)+1-760+291)=0,NA(),INDEX(指数走势!$F$37:$ACK$37,1,LOOKUP(2,1/(指数走势!$F$37:$ACK$37&lt;&gt;""),COLUMN(指数走势!$F$37:$ACK$37))-COLUMN(指数走势!$F$37)+1-760+291)))</f>
        <v>8.73929977416992</v>
      </c>
      <c r="KG101">
        <f>IF(ISERROR(INDEX(指数走势!$F$37:$ACK$37,1,LOOKUP(2,1/(指数走势!$F$37:$ACK$37&lt;&gt;""),COLUMN(指数走势!$F$37:$ACK$37))-COLUMN(指数走势!$F$37)+1-760+292)),NA(),IF(INDEX(指数走势!$F$37:$ACK$37,1,LOOKUP(2,1/(指数走势!$F$37:$ACK$37&lt;&gt;""),COLUMN(指数走势!$F$37:$ACK$37))-COLUMN(指数走势!$F$37)+1-760+292)=0,NA(),INDEX(指数走势!$F$37:$ACK$37,1,LOOKUP(2,1/(指数走势!$F$37:$ACK$37&lt;&gt;""),COLUMN(指数走势!$F$37:$ACK$37))-COLUMN(指数走势!$F$37)+1-760+292)))</f>
        <v>8.73400020599365</v>
      </c>
      <c r="KH101">
        <f>IF(ISERROR(INDEX(指数走势!$F$37:$ACK$37,1,LOOKUP(2,1/(指数走势!$F$37:$ACK$37&lt;&gt;""),COLUMN(指数走势!$F$37:$ACK$37))-COLUMN(指数走势!$F$37)+1-760+293)),NA(),IF(INDEX(指数走势!$F$37:$ACK$37,1,LOOKUP(2,1/(指数走势!$F$37:$ACK$37&lt;&gt;""),COLUMN(指数走势!$F$37:$ACK$37))-COLUMN(指数走势!$F$37)+1-760+293)=0,NA(),INDEX(指数走势!$F$37:$ACK$37,1,LOOKUP(2,1/(指数走势!$F$37:$ACK$37&lt;&gt;""),COLUMN(指数走势!$F$37:$ACK$37))-COLUMN(指数走势!$F$37)+1-760+293)))</f>
        <v>8.8346996307373</v>
      </c>
      <c r="KI101">
        <f>IF(ISERROR(INDEX(指数走势!$F$37:$ACK$37,1,LOOKUP(2,1/(指数走势!$F$37:$ACK$37&lt;&gt;""),COLUMN(指数走势!$F$37:$ACK$37))-COLUMN(指数走势!$F$37)+1-760+294)),NA(),IF(INDEX(指数走势!$F$37:$ACK$37,1,LOOKUP(2,1/(指数走势!$F$37:$ACK$37&lt;&gt;""),COLUMN(指数走势!$F$37:$ACK$37))-COLUMN(指数走势!$F$37)+1-760+294)=0,NA(),INDEX(指数走势!$F$37:$ACK$37,1,LOOKUP(2,1/(指数走势!$F$37:$ACK$37&lt;&gt;""),COLUMN(指数走势!$F$37:$ACK$37))-COLUMN(指数走势!$F$37)+1-760+294)))</f>
        <v>8.70750045776367</v>
      </c>
      <c r="KJ101">
        <f>IF(ISERROR(INDEX(指数走势!$F$37:$ACK$37,1,LOOKUP(2,1/(指数走势!$F$37:$ACK$37&lt;&gt;""),COLUMN(指数走势!$F$37:$ACK$37))-COLUMN(指数走势!$F$37)+1-760+295)),NA(),IF(INDEX(指数走势!$F$37:$ACK$37,1,LOOKUP(2,1/(指数走势!$F$37:$ACK$37&lt;&gt;""),COLUMN(指数走势!$F$37:$ACK$37))-COLUMN(指数走势!$F$37)+1-760+295)=0,NA(),INDEX(指数走势!$F$37:$ACK$37,1,LOOKUP(2,1/(指数走势!$F$37:$ACK$37&lt;&gt;""),COLUMN(指数走势!$F$37:$ACK$37))-COLUMN(指数走势!$F$37)+1-760+295)))</f>
        <v>8.87800025939941</v>
      </c>
      <c r="KK101">
        <f>IF(ISERROR(INDEX(指数走势!$F$37:$ACK$37,1,LOOKUP(2,1/(指数走势!$F$37:$ACK$37&lt;&gt;""),COLUMN(指数走势!$F$37:$ACK$37))-COLUMN(指数走势!$F$37)+1-760+296)),NA(),IF(INDEX(指数走势!$F$37:$ACK$37,1,LOOKUP(2,1/(指数走势!$F$37:$ACK$37&lt;&gt;""),COLUMN(指数走势!$F$37:$ACK$37))-COLUMN(指数走势!$F$37)+1-760+296)=0,NA(),INDEX(指数走势!$F$37:$ACK$37,1,LOOKUP(2,1/(指数走势!$F$37:$ACK$37&lt;&gt;""),COLUMN(指数走势!$F$37:$ACK$37))-COLUMN(指数走势!$F$37)+1-760+296)))</f>
        <v>8.86439990997314</v>
      </c>
      <c r="KL101">
        <f>IF(ISERROR(INDEX(指数走势!$F$37:$ACK$37,1,LOOKUP(2,1/(指数走势!$F$37:$ACK$37&lt;&gt;""),COLUMN(指数走势!$F$37:$ACK$37))-COLUMN(指数走势!$F$37)+1-760+297)),NA(),IF(INDEX(指数走势!$F$37:$ACK$37,1,LOOKUP(2,1/(指数走势!$F$37:$ACK$37&lt;&gt;""),COLUMN(指数走势!$F$37:$ACK$37))-COLUMN(指数走势!$F$37)+1-760+297)=0,NA(),INDEX(指数走势!$F$37:$ACK$37,1,LOOKUP(2,1/(指数走势!$F$37:$ACK$37&lt;&gt;""),COLUMN(指数走势!$F$37:$ACK$37))-COLUMN(指数走势!$F$37)+1-760+297)))</f>
        <v>8.71990013122559</v>
      </c>
      <c r="KM101">
        <f>IF(ISERROR(INDEX(指数走势!$F$37:$ACK$37,1,LOOKUP(2,1/(指数走势!$F$37:$ACK$37&lt;&gt;""),COLUMN(指数走势!$F$37:$ACK$37))-COLUMN(指数走势!$F$37)+1-760+298)),NA(),IF(INDEX(指数走势!$F$37:$ACK$37,1,LOOKUP(2,1/(指数走势!$F$37:$ACK$37&lt;&gt;""),COLUMN(指数走势!$F$37:$ACK$37))-COLUMN(指数走势!$F$37)+1-760+298)=0,NA(),INDEX(指数走势!$F$37:$ACK$37,1,LOOKUP(2,1/(指数走势!$F$37:$ACK$37&lt;&gt;""),COLUMN(指数走势!$F$37:$ACK$37))-COLUMN(指数走势!$F$37)+1-760+298)))</f>
        <v>8.56019973754883</v>
      </c>
      <c r="KN101">
        <f>IF(ISERROR(INDEX(指数走势!$F$37:$ACK$37,1,LOOKUP(2,1/(指数走势!$F$37:$ACK$37&lt;&gt;""),COLUMN(指数走势!$F$37:$ACK$37))-COLUMN(指数走势!$F$37)+1-760+299)),NA(),IF(INDEX(指数走势!$F$37:$ACK$37,1,LOOKUP(2,1/(指数走势!$F$37:$ACK$37&lt;&gt;""),COLUMN(指数走势!$F$37:$ACK$37))-COLUMN(指数走势!$F$37)+1-760+299)=0,NA(),INDEX(指数走势!$F$37:$ACK$37,1,LOOKUP(2,1/(指数走势!$F$37:$ACK$37&lt;&gt;""),COLUMN(指数走势!$F$37:$ACK$37))-COLUMN(指数走势!$F$37)+1-760+299)))</f>
        <v>8.52610015869141</v>
      </c>
      <c r="KO101">
        <f>IF(ISERROR(INDEX(指数走势!$F$37:$ACK$37,1,LOOKUP(2,1/(指数走势!$F$37:$ACK$37&lt;&gt;""),COLUMN(指数走势!$F$37:$ACK$37))-COLUMN(指数走势!$F$37)+1-760+300)),NA(),IF(INDEX(指数走势!$F$37:$ACK$37,1,LOOKUP(2,1/(指数走势!$F$37:$ACK$37&lt;&gt;""),COLUMN(指数走势!$F$37:$ACK$37))-COLUMN(指数走势!$F$37)+1-760+300)=0,NA(),INDEX(指数走势!$F$37:$ACK$37,1,LOOKUP(2,1/(指数走势!$F$37:$ACK$37&lt;&gt;""),COLUMN(指数走势!$F$37:$ACK$37))-COLUMN(指数走势!$F$37)+1-760+300)))</f>
        <v>8.65709972381592</v>
      </c>
      <c r="KP101">
        <f>IF(ISERROR(INDEX(指数走势!$F$37:$ACK$37,1,LOOKUP(2,1/(指数走势!$F$37:$ACK$37&lt;&gt;""),COLUMN(指数走势!$F$37:$ACK$37))-COLUMN(指数走势!$F$37)+1-760+301)),NA(),IF(INDEX(指数走势!$F$37:$ACK$37,1,LOOKUP(2,1/(指数走势!$F$37:$ACK$37&lt;&gt;""),COLUMN(指数走势!$F$37:$ACK$37))-COLUMN(指数走势!$F$37)+1-760+301)=0,NA(),INDEX(指数走势!$F$37:$ACK$37,1,LOOKUP(2,1/(指数走势!$F$37:$ACK$37&lt;&gt;""),COLUMN(指数走势!$F$37:$ACK$37))-COLUMN(指数走势!$F$37)+1-760+301)))</f>
        <v>8.67350006103516</v>
      </c>
      <c r="KQ101">
        <f>IF(ISERROR(INDEX(指数走势!$F$37:$ACK$37,1,LOOKUP(2,1/(指数走势!$F$37:$ACK$37&lt;&gt;""),COLUMN(指数走势!$F$37:$ACK$37))-COLUMN(指数走势!$F$37)+1-760+302)),NA(),IF(INDEX(指数走势!$F$37:$ACK$37,1,LOOKUP(2,1/(指数走势!$F$37:$ACK$37&lt;&gt;""),COLUMN(指数走势!$F$37:$ACK$37))-COLUMN(指数走势!$F$37)+1-760+302)=0,NA(),INDEX(指数走势!$F$37:$ACK$37,1,LOOKUP(2,1/(指数走势!$F$37:$ACK$37&lt;&gt;""),COLUMN(指数走势!$F$37:$ACK$37))-COLUMN(指数走势!$F$37)+1-760+302)))</f>
        <v>8.76690006256104</v>
      </c>
      <c r="KR101">
        <f>IF(ISERROR(INDEX(指数走势!$F$37:$ACK$37,1,LOOKUP(2,1/(指数走势!$F$37:$ACK$37&lt;&gt;""),COLUMN(指数走势!$F$37:$ACK$37))-COLUMN(指数走势!$F$37)+1-760+303)),NA(),IF(INDEX(指数走势!$F$37:$ACK$37,1,LOOKUP(2,1/(指数走势!$F$37:$ACK$37&lt;&gt;""),COLUMN(指数走势!$F$37:$ACK$37))-COLUMN(指数走势!$F$37)+1-760+303)=0,NA(),INDEX(指数走势!$F$37:$ACK$37,1,LOOKUP(2,1/(指数走势!$F$37:$ACK$37&lt;&gt;""),COLUMN(指数走势!$F$37:$ACK$37))-COLUMN(指数走势!$F$37)+1-760+303)))</f>
        <v>8.79440021514893</v>
      </c>
      <c r="KS101">
        <f>IF(ISERROR(INDEX(指数走势!$F$37:$ACK$37,1,LOOKUP(2,1/(指数走势!$F$37:$ACK$37&lt;&gt;""),COLUMN(指数走势!$F$37:$ACK$37))-COLUMN(指数走势!$F$37)+1-760+304)),NA(),IF(INDEX(指数走势!$F$37:$ACK$37,1,LOOKUP(2,1/(指数走势!$F$37:$ACK$37&lt;&gt;""),COLUMN(指数走势!$F$37:$ACK$37))-COLUMN(指数走势!$F$37)+1-760+304)=0,NA(),INDEX(指数走势!$F$37:$ACK$37,1,LOOKUP(2,1/(指数走势!$F$37:$ACK$37&lt;&gt;""),COLUMN(指数走势!$F$37:$ACK$37))-COLUMN(指数走势!$F$37)+1-760+304)))</f>
        <v>8.8169002532959</v>
      </c>
      <c r="KT101">
        <f>IF(ISERROR(INDEX(指数走势!$F$37:$ACK$37,1,LOOKUP(2,1/(指数走势!$F$37:$ACK$37&lt;&gt;""),COLUMN(指数走势!$F$37:$ACK$37))-COLUMN(指数走势!$F$37)+1-760+305)),NA(),IF(INDEX(指数走势!$F$37:$ACK$37,1,LOOKUP(2,1/(指数走势!$F$37:$ACK$37&lt;&gt;""),COLUMN(指数走势!$F$37:$ACK$37))-COLUMN(指数走势!$F$37)+1-760+305)=0,NA(),INDEX(指数走势!$F$37:$ACK$37,1,LOOKUP(2,1/(指数走势!$F$37:$ACK$37&lt;&gt;""),COLUMN(指数走势!$F$37:$ACK$37))-COLUMN(指数走势!$F$37)+1-760+305)))</f>
        <v>8.72229957580566</v>
      </c>
      <c r="KU101">
        <f>IF(ISERROR(INDEX(指数走势!$F$37:$ACK$37,1,LOOKUP(2,1/(指数走势!$F$37:$ACK$37&lt;&gt;""),COLUMN(指数走势!$F$37:$ACK$37))-COLUMN(指数走势!$F$37)+1-760+306)),NA(),IF(INDEX(指数走势!$F$37:$ACK$37,1,LOOKUP(2,1/(指数走势!$F$37:$ACK$37&lt;&gt;""),COLUMN(指数走势!$F$37:$ACK$37))-COLUMN(指数走势!$F$37)+1-760+306)=0,NA(),INDEX(指数走势!$F$37:$ACK$37,1,LOOKUP(2,1/(指数走势!$F$37:$ACK$37&lt;&gt;""),COLUMN(指数走势!$F$37:$ACK$37))-COLUMN(指数走势!$F$37)+1-760+306)))</f>
        <v>8.74670028686523</v>
      </c>
      <c r="KV101">
        <f>IF(ISERROR(INDEX(指数走势!$F$37:$ACK$37,1,LOOKUP(2,1/(指数走势!$F$37:$ACK$37&lt;&gt;""),COLUMN(指数走势!$F$37:$ACK$37))-COLUMN(指数走势!$F$37)+1-760+307)),NA(),IF(INDEX(指数走势!$F$37:$ACK$37,1,LOOKUP(2,1/(指数走势!$F$37:$ACK$37&lt;&gt;""),COLUMN(指数走势!$F$37:$ACK$37))-COLUMN(指数走势!$F$37)+1-760+307)=0,NA(),INDEX(指数走势!$F$37:$ACK$37,1,LOOKUP(2,1/(指数走势!$F$37:$ACK$37&lt;&gt;""),COLUMN(指数走势!$F$37:$ACK$37))-COLUMN(指数走势!$F$37)+1-760+307)))</f>
        <v>8.86460018157959</v>
      </c>
      <c r="KW101">
        <f>IF(ISERROR(INDEX(指数走势!$F$37:$ACK$37,1,LOOKUP(2,1/(指数走势!$F$37:$ACK$37&lt;&gt;""),COLUMN(指数走势!$F$37:$ACK$37))-COLUMN(指数走势!$F$37)+1-760+308)),NA(),IF(INDEX(指数走势!$F$37:$ACK$37,1,LOOKUP(2,1/(指数走势!$F$37:$ACK$37&lt;&gt;""),COLUMN(指数走势!$F$37:$ACK$37))-COLUMN(指数走势!$F$37)+1-760+308)=0,NA(),INDEX(指数走势!$F$37:$ACK$37,1,LOOKUP(2,1/(指数走势!$F$37:$ACK$37&lt;&gt;""),COLUMN(指数走势!$F$37:$ACK$37))-COLUMN(指数走势!$F$37)+1-760+308)))</f>
        <v>8.92840003967285</v>
      </c>
      <c r="KX101">
        <f>IF(ISERROR(INDEX(指数走势!$F$37:$ACK$37,1,LOOKUP(2,1/(指数走势!$F$37:$ACK$37&lt;&gt;""),COLUMN(指数走势!$F$37:$ACK$37))-COLUMN(指数走势!$F$37)+1-760+309)),NA(),IF(INDEX(指数走势!$F$37:$ACK$37,1,LOOKUP(2,1/(指数走势!$F$37:$ACK$37&lt;&gt;""),COLUMN(指数走势!$F$37:$ACK$37))-COLUMN(指数走势!$F$37)+1-760+309)=0,NA(),INDEX(指数走势!$F$37:$ACK$37,1,LOOKUP(2,1/(指数走势!$F$37:$ACK$37&lt;&gt;""),COLUMN(指数走势!$F$37:$ACK$37))-COLUMN(指数走势!$F$37)+1-760+309)))</f>
        <v>8.88869953155518</v>
      </c>
      <c r="KY101">
        <f>IF(ISERROR(INDEX(指数走势!$F$37:$ACK$37,1,LOOKUP(2,1/(指数走势!$F$37:$ACK$37&lt;&gt;""),COLUMN(指数走势!$F$37:$ACK$37))-COLUMN(指数走势!$F$37)+1-760+310)),NA(),IF(INDEX(指数走势!$F$37:$ACK$37,1,LOOKUP(2,1/(指数走势!$F$37:$ACK$37&lt;&gt;""),COLUMN(指数走势!$F$37:$ACK$37))-COLUMN(指数走势!$F$37)+1-760+310)=0,NA(),INDEX(指数走势!$F$37:$ACK$37,1,LOOKUP(2,1/(指数走势!$F$37:$ACK$37&lt;&gt;""),COLUMN(指数走势!$F$37:$ACK$37))-COLUMN(指数走势!$F$37)+1-760+310)))</f>
        <v>8.81750011444092</v>
      </c>
      <c r="KZ101">
        <f>IF(ISERROR(INDEX(指数走势!$F$37:$ACK$37,1,LOOKUP(2,1/(指数走势!$F$37:$ACK$37&lt;&gt;""),COLUMN(指数走势!$F$37:$ACK$37))-COLUMN(指数走势!$F$37)+1-760+311)),NA(),IF(INDEX(指数走势!$F$37:$ACK$37,1,LOOKUP(2,1/(指数走势!$F$37:$ACK$37&lt;&gt;""),COLUMN(指数走势!$F$37:$ACK$37))-COLUMN(指数走势!$F$37)+1-760+311)=0,NA(),INDEX(指数走势!$F$37:$ACK$37,1,LOOKUP(2,1/(指数走势!$F$37:$ACK$37&lt;&gt;""),COLUMN(指数走势!$F$37:$ACK$37))-COLUMN(指数走势!$F$37)+1-760+311)))</f>
        <v>8.89159965515137</v>
      </c>
      <c r="LA101">
        <f>IF(ISERROR(INDEX(指数走势!$F$37:$ACK$37,1,LOOKUP(2,1/(指数走势!$F$37:$ACK$37&lt;&gt;""),COLUMN(指数走势!$F$37:$ACK$37))-COLUMN(指数走势!$F$37)+1-760+312)),NA(),IF(INDEX(指数走势!$F$37:$ACK$37,1,LOOKUP(2,1/(指数走势!$F$37:$ACK$37&lt;&gt;""),COLUMN(指数走势!$F$37:$ACK$37))-COLUMN(指数走势!$F$37)+1-760+312)=0,NA(),INDEX(指数走势!$F$37:$ACK$37,1,LOOKUP(2,1/(指数走势!$F$37:$ACK$37&lt;&gt;""),COLUMN(指数走势!$F$37:$ACK$37))-COLUMN(指数走势!$F$37)+1-760+312)))</f>
        <v>8.88300037384033</v>
      </c>
      <c r="LB101">
        <f>IF(ISERROR(INDEX(指数走势!$F$37:$ACK$37,1,LOOKUP(2,1/(指数走势!$F$37:$ACK$37&lt;&gt;""),COLUMN(指数走势!$F$37:$ACK$37))-COLUMN(指数走势!$F$37)+1-760+313)),NA(),IF(INDEX(指数走势!$F$37:$ACK$37,1,LOOKUP(2,1/(指数走势!$F$37:$ACK$37&lt;&gt;""),COLUMN(指数走势!$F$37:$ACK$37))-COLUMN(指数走势!$F$37)+1-760+313)=0,NA(),INDEX(指数走势!$F$37:$ACK$37,1,LOOKUP(2,1/(指数走势!$F$37:$ACK$37&lt;&gt;""),COLUMN(指数走势!$F$37:$ACK$37))-COLUMN(指数走势!$F$37)+1-760+313)))</f>
        <v>8.95160007476807</v>
      </c>
      <c r="LC101">
        <f>IF(ISERROR(INDEX(指数走势!$F$37:$ACK$37,1,LOOKUP(2,1/(指数走势!$F$37:$ACK$37&lt;&gt;""),COLUMN(指数走势!$F$37:$ACK$37))-COLUMN(指数走势!$F$37)+1-760+314)),NA(),IF(INDEX(指数走势!$F$37:$ACK$37,1,LOOKUP(2,1/(指数走势!$F$37:$ACK$37&lt;&gt;""),COLUMN(指数走势!$F$37:$ACK$37))-COLUMN(指数走势!$F$37)+1-760+314)=0,NA(),INDEX(指数走势!$F$37:$ACK$37,1,LOOKUP(2,1/(指数走势!$F$37:$ACK$37&lt;&gt;""),COLUMN(指数走势!$F$37:$ACK$37))-COLUMN(指数走势!$F$37)+1-760+314)))</f>
        <v>9.00979995727539</v>
      </c>
      <c r="LD101">
        <f>IF(ISERROR(INDEX(指数走势!$F$37:$ACK$37,1,LOOKUP(2,1/(指数走势!$F$37:$ACK$37&lt;&gt;""),COLUMN(指数走势!$F$37:$ACK$37))-COLUMN(指数走势!$F$37)+1-760+315)),NA(),IF(INDEX(指数走势!$F$37:$ACK$37,1,LOOKUP(2,1/(指数走势!$F$37:$ACK$37&lt;&gt;""),COLUMN(指数走势!$F$37:$ACK$37))-COLUMN(指数走势!$F$37)+1-760+315)=0,NA(),INDEX(指数走势!$F$37:$ACK$37,1,LOOKUP(2,1/(指数走势!$F$37:$ACK$37&lt;&gt;""),COLUMN(指数走势!$F$37:$ACK$37))-COLUMN(指数走势!$F$37)+1-760+315)))</f>
        <v>8.88039970397949</v>
      </c>
      <c r="LE101">
        <f>IF(ISERROR(INDEX(指数走势!$F$37:$ACK$37,1,LOOKUP(2,1/(指数走势!$F$37:$ACK$37&lt;&gt;""),COLUMN(指数走势!$F$37:$ACK$37))-COLUMN(指数走势!$F$37)+1-760+316)),NA(),IF(INDEX(指数走势!$F$37:$ACK$37,1,LOOKUP(2,1/(指数走势!$F$37:$ACK$37&lt;&gt;""),COLUMN(指数走势!$F$37:$ACK$37))-COLUMN(指数走势!$F$37)+1-760+316)=0,NA(),INDEX(指数走势!$F$37:$ACK$37,1,LOOKUP(2,1/(指数走势!$F$37:$ACK$37&lt;&gt;""),COLUMN(指数走势!$F$37:$ACK$37))-COLUMN(指数走势!$F$37)+1-760+316)))</f>
        <v>8.88689994812012</v>
      </c>
      <c r="LF101">
        <f>IF(ISERROR(INDEX(指数走势!$F$37:$ACK$37,1,LOOKUP(2,1/(指数走势!$F$37:$ACK$37&lt;&gt;""),COLUMN(指数走势!$F$37:$ACK$37))-COLUMN(指数走势!$F$37)+1-760+317)),NA(),IF(INDEX(指数走势!$F$37:$ACK$37,1,LOOKUP(2,1/(指数走势!$F$37:$ACK$37&lt;&gt;""),COLUMN(指数走势!$F$37:$ACK$37))-COLUMN(指数走势!$F$37)+1-760+317)=0,NA(),INDEX(指数走势!$F$37:$ACK$37,1,LOOKUP(2,1/(指数走势!$F$37:$ACK$37&lt;&gt;""),COLUMN(指数走势!$F$37:$ACK$37))-COLUMN(指数走势!$F$37)+1-760+317)))</f>
        <v>8.9935998916626</v>
      </c>
      <c r="LG101">
        <f>IF(ISERROR(INDEX(指数走势!$F$37:$ACK$37,1,LOOKUP(2,1/(指数走势!$F$37:$ACK$37&lt;&gt;""),COLUMN(指数走势!$F$37:$ACK$37))-COLUMN(指数走势!$F$37)+1-760+318)),NA(),IF(INDEX(指数走势!$F$37:$ACK$37,1,LOOKUP(2,1/(指数走势!$F$37:$ACK$37&lt;&gt;""),COLUMN(指数走势!$F$37:$ACK$37))-COLUMN(指数走势!$F$37)+1-760+318)=0,NA(),INDEX(指数走势!$F$37:$ACK$37,1,LOOKUP(2,1/(指数走势!$F$37:$ACK$37&lt;&gt;""),COLUMN(指数走势!$F$37:$ACK$37))-COLUMN(指数走势!$F$37)+1-760+318)))</f>
        <v>8.84230041503906</v>
      </c>
      <c r="LH101">
        <f>IF(ISERROR(INDEX(指数走势!$F$37:$ACK$37,1,LOOKUP(2,1/(指数走势!$F$37:$ACK$37&lt;&gt;""),COLUMN(指数走势!$F$37:$ACK$37))-COLUMN(指数走势!$F$37)+1-760+319)),NA(),IF(INDEX(指数走势!$F$37:$ACK$37,1,LOOKUP(2,1/(指数走势!$F$37:$ACK$37&lt;&gt;""),COLUMN(指数走势!$F$37:$ACK$37))-COLUMN(指数走势!$F$37)+1-760+319)=0,NA(),INDEX(指数走势!$F$37:$ACK$37,1,LOOKUP(2,1/(指数走势!$F$37:$ACK$37&lt;&gt;""),COLUMN(指数走势!$F$37:$ACK$37))-COLUMN(指数走势!$F$37)+1-760+319)))</f>
        <v>8.7992000579834</v>
      </c>
      <c r="LI101">
        <f>IF(ISERROR(INDEX(指数走势!$F$37:$ACK$37,1,LOOKUP(2,1/(指数走势!$F$37:$ACK$37&lt;&gt;""),COLUMN(指数走势!$F$37:$ACK$37))-COLUMN(指数走势!$F$37)+1-760+320)),NA(),IF(INDEX(指数走势!$F$37:$ACK$37,1,LOOKUP(2,1/(指数走势!$F$37:$ACK$37&lt;&gt;""),COLUMN(指数走势!$F$37:$ACK$37))-COLUMN(指数走势!$F$37)+1-760+320)=0,NA(),INDEX(指数走势!$F$37:$ACK$37,1,LOOKUP(2,1/(指数走势!$F$37:$ACK$37&lt;&gt;""),COLUMN(指数走势!$F$37:$ACK$37))-COLUMN(指数走势!$F$37)+1-760+320)))</f>
        <v>8.67459964752197</v>
      </c>
      <c r="LJ101">
        <f>IF(ISERROR(INDEX(指数走势!$F$37:$ACK$37,1,LOOKUP(2,1/(指数走势!$F$37:$ACK$37&lt;&gt;""),COLUMN(指数走势!$F$37:$ACK$37))-COLUMN(指数走势!$F$37)+1-760+321)),NA(),IF(INDEX(指数走势!$F$37:$ACK$37,1,LOOKUP(2,1/(指数走势!$F$37:$ACK$37&lt;&gt;""),COLUMN(指数走势!$F$37:$ACK$37))-COLUMN(指数走势!$F$37)+1-760+321)=0,NA(),INDEX(指数走势!$F$37:$ACK$37,1,LOOKUP(2,1/(指数走势!$F$37:$ACK$37&lt;&gt;""),COLUMN(指数走势!$F$37:$ACK$37))-COLUMN(指数走势!$F$37)+1-760+321)))</f>
        <v>8.64799976348877</v>
      </c>
      <c r="LK101">
        <f>IF(ISERROR(INDEX(指数走势!$F$37:$ACK$37,1,LOOKUP(2,1/(指数走势!$F$37:$ACK$37&lt;&gt;""),COLUMN(指数走势!$F$37:$ACK$37))-COLUMN(指数走势!$F$37)+1-760+322)),NA(),IF(INDEX(指数走势!$F$37:$ACK$37,1,LOOKUP(2,1/(指数走势!$F$37:$ACK$37&lt;&gt;""),COLUMN(指数走势!$F$37:$ACK$37))-COLUMN(指数走势!$F$37)+1-760+322)=0,NA(),INDEX(指数走势!$F$37:$ACK$37,1,LOOKUP(2,1/(指数走势!$F$37:$ACK$37&lt;&gt;""),COLUMN(指数走势!$F$37:$ACK$37))-COLUMN(指数走势!$F$37)+1-760+322)))</f>
        <v>8.64789962768555</v>
      </c>
      <c r="LL101">
        <f>IF(ISERROR(INDEX(指数走势!$F$37:$ACK$37,1,LOOKUP(2,1/(指数走势!$F$37:$ACK$37&lt;&gt;""),COLUMN(指数走势!$F$37:$ACK$37))-COLUMN(指数走势!$F$37)+1-760+323)),NA(),IF(INDEX(指数走势!$F$37:$ACK$37,1,LOOKUP(2,1/(指数走势!$F$37:$ACK$37&lt;&gt;""),COLUMN(指数走势!$F$37:$ACK$37))-COLUMN(指数走势!$F$37)+1-760+323)=0,NA(),INDEX(指数走势!$F$37:$ACK$37,1,LOOKUP(2,1/(指数走势!$F$37:$ACK$37&lt;&gt;""),COLUMN(指数走势!$F$37:$ACK$37))-COLUMN(指数走势!$F$37)+1-760+323)))</f>
        <v>8.49059963226318</v>
      </c>
      <c r="LM101">
        <f>IF(ISERROR(INDEX(指数走势!$F$37:$ACK$37,1,LOOKUP(2,1/(指数走势!$F$37:$ACK$37&lt;&gt;""),COLUMN(指数走势!$F$37:$ACK$37))-COLUMN(指数走势!$F$37)+1-760+324)),NA(),IF(INDEX(指数走势!$F$37:$ACK$37,1,LOOKUP(2,1/(指数走势!$F$37:$ACK$37&lt;&gt;""),COLUMN(指数走势!$F$37:$ACK$37))-COLUMN(指数走势!$F$37)+1-760+324)=0,NA(),INDEX(指数走势!$F$37:$ACK$37,1,LOOKUP(2,1/(指数走势!$F$37:$ACK$37&lt;&gt;""),COLUMN(指数走势!$F$37:$ACK$37))-COLUMN(指数走势!$F$37)+1-760+324)))</f>
        <v>8.49030017852783</v>
      </c>
      <c r="LN101">
        <f>IF(ISERROR(INDEX(指数走势!$F$37:$ACK$37,1,LOOKUP(2,1/(指数走势!$F$37:$ACK$37&lt;&gt;""),COLUMN(指数走势!$F$37:$ACK$37))-COLUMN(指数走势!$F$37)+1-760+325)),NA(),IF(INDEX(指数走势!$F$37:$ACK$37,1,LOOKUP(2,1/(指数走势!$F$37:$ACK$37&lt;&gt;""),COLUMN(指数走势!$F$37:$ACK$37))-COLUMN(指数走势!$F$37)+1-760+325)=0,NA(),INDEX(指数走势!$F$37:$ACK$37,1,LOOKUP(2,1/(指数走势!$F$37:$ACK$37&lt;&gt;""),COLUMN(指数走势!$F$37:$ACK$37))-COLUMN(指数走势!$F$37)+1-760+325)))</f>
        <v>8.41639995574951</v>
      </c>
      <c r="LO101">
        <f>IF(ISERROR(INDEX(指数走势!$F$37:$ACK$37,1,LOOKUP(2,1/(指数走势!$F$37:$ACK$37&lt;&gt;""),COLUMN(指数走势!$F$37:$ACK$37))-COLUMN(指数走势!$F$37)+1-760+326)),NA(),IF(INDEX(指数走势!$F$37:$ACK$37,1,LOOKUP(2,1/(指数走势!$F$37:$ACK$37&lt;&gt;""),COLUMN(指数走势!$F$37:$ACK$37))-COLUMN(指数走势!$F$37)+1-760+326)=0,NA(),INDEX(指数走势!$F$37:$ACK$37,1,LOOKUP(2,1/(指数走势!$F$37:$ACK$37&lt;&gt;""),COLUMN(指数走势!$F$37:$ACK$37))-COLUMN(指数走势!$F$37)+1-760+326)))</f>
        <v>8.45930004119873</v>
      </c>
      <c r="LP101">
        <f>IF(ISERROR(INDEX(指数走势!$F$37:$ACK$37,1,LOOKUP(2,1/(指数走势!$F$37:$ACK$37&lt;&gt;""),COLUMN(指数走势!$F$37:$ACK$37))-COLUMN(指数走势!$F$37)+1-760+327)),NA(),IF(INDEX(指数走势!$F$37:$ACK$37,1,LOOKUP(2,1/(指数走势!$F$37:$ACK$37&lt;&gt;""),COLUMN(指数走势!$F$37:$ACK$37))-COLUMN(指数走势!$F$37)+1-760+327)=0,NA(),INDEX(指数走势!$F$37:$ACK$37,1,LOOKUP(2,1/(指数走势!$F$37:$ACK$37&lt;&gt;""),COLUMN(指数走势!$F$37:$ACK$37))-COLUMN(指数走势!$F$37)+1-760+327)))</f>
        <v>8.53639984130859</v>
      </c>
      <c r="LQ101">
        <f>IF(ISERROR(INDEX(指数走势!$F$37:$ACK$37,1,LOOKUP(2,1/(指数走势!$F$37:$ACK$37&lt;&gt;""),COLUMN(指数走势!$F$37:$ACK$37))-COLUMN(指数走势!$F$37)+1-760+328)),NA(),IF(INDEX(指数走势!$F$37:$ACK$37,1,LOOKUP(2,1/(指数走势!$F$37:$ACK$37&lt;&gt;""),COLUMN(指数走势!$F$37:$ACK$37))-COLUMN(指数走势!$F$37)+1-760+328)=0,NA(),INDEX(指数走势!$F$37:$ACK$37,1,LOOKUP(2,1/(指数走势!$F$37:$ACK$37&lt;&gt;""),COLUMN(指数走势!$F$37:$ACK$37))-COLUMN(指数走势!$F$37)+1-760+328)))</f>
        <v>8.67430019378662</v>
      </c>
      <c r="LR101">
        <f>IF(ISERROR(INDEX(指数走势!$F$37:$ACK$37,1,LOOKUP(2,1/(指数走势!$F$37:$ACK$37&lt;&gt;""),COLUMN(指数走势!$F$37:$ACK$37))-COLUMN(指数走势!$F$37)+1-760+329)),NA(),IF(INDEX(指数走势!$F$37:$ACK$37,1,LOOKUP(2,1/(指数走势!$F$37:$ACK$37&lt;&gt;""),COLUMN(指数走势!$F$37:$ACK$37))-COLUMN(指数走势!$F$37)+1-760+329)=0,NA(),INDEX(指数走势!$F$37:$ACK$37,1,LOOKUP(2,1/(指数走势!$F$37:$ACK$37&lt;&gt;""),COLUMN(指数走势!$F$37:$ACK$37))-COLUMN(指数走势!$F$37)+1-760+329)))</f>
        <v>8.82100009918213</v>
      </c>
      <c r="LS101">
        <f>IF(ISERROR(INDEX(指数走势!$F$37:$ACK$37,1,LOOKUP(2,1/(指数走势!$F$37:$ACK$37&lt;&gt;""),COLUMN(指数走势!$F$37:$ACK$37))-COLUMN(指数走势!$F$37)+1-760+330)),NA(),IF(INDEX(指数走势!$F$37:$ACK$37,1,LOOKUP(2,1/(指数走势!$F$37:$ACK$37&lt;&gt;""),COLUMN(指数走势!$F$37:$ACK$37))-COLUMN(指数走势!$F$37)+1-760+330)=0,NA(),INDEX(指数走势!$F$37:$ACK$37,1,LOOKUP(2,1/(指数走势!$F$37:$ACK$37&lt;&gt;""),COLUMN(指数走势!$F$37:$ACK$37))-COLUMN(指数走势!$F$37)+1-760+330)))</f>
        <v>8.92710018157959</v>
      </c>
      <c r="LT101">
        <f>IF(ISERROR(INDEX(指数走势!$F$37:$ACK$37,1,LOOKUP(2,1/(指数走势!$F$37:$ACK$37&lt;&gt;""),COLUMN(指数走势!$F$37:$ACK$37))-COLUMN(指数走势!$F$37)+1-760+331)),NA(),IF(INDEX(指数走势!$F$37:$ACK$37,1,LOOKUP(2,1/(指数走势!$F$37:$ACK$37&lt;&gt;""),COLUMN(指数走势!$F$37:$ACK$37))-COLUMN(指数走势!$F$37)+1-760+331)=0,NA(),INDEX(指数走势!$F$37:$ACK$37,1,LOOKUP(2,1/(指数走势!$F$37:$ACK$37&lt;&gt;""),COLUMN(指数走势!$F$37:$ACK$37))-COLUMN(指数走势!$F$37)+1-760+331)))</f>
        <v>8.93959999084473</v>
      </c>
      <c r="LU101">
        <f>IF(ISERROR(INDEX(指数走势!$F$37:$ACK$37,1,LOOKUP(2,1/(指数走势!$F$37:$ACK$37&lt;&gt;""),COLUMN(指数走势!$F$37:$ACK$37))-COLUMN(指数走势!$F$37)+1-760+332)),NA(),IF(INDEX(指数走势!$F$37:$ACK$37,1,LOOKUP(2,1/(指数走势!$F$37:$ACK$37&lt;&gt;""),COLUMN(指数走势!$F$37:$ACK$37))-COLUMN(指数走势!$F$37)+1-760+332)=0,NA(),INDEX(指数走势!$F$37:$ACK$37,1,LOOKUP(2,1/(指数走势!$F$37:$ACK$37&lt;&gt;""),COLUMN(指数走势!$F$37:$ACK$37))-COLUMN(指数走势!$F$37)+1-760+332)))</f>
        <v>9.33290004730225</v>
      </c>
      <c r="LV101">
        <f>IF(ISERROR(INDEX(指数走势!$F$37:$ACK$37,1,LOOKUP(2,1/(指数走势!$F$37:$ACK$37&lt;&gt;""),COLUMN(指数走势!$F$37:$ACK$37))-COLUMN(指数走势!$F$37)+1-760+333)),NA(),IF(INDEX(指数走势!$F$37:$ACK$37,1,LOOKUP(2,1/(指数走势!$F$37:$ACK$37&lt;&gt;""),COLUMN(指数走势!$F$37:$ACK$37))-COLUMN(指数走势!$F$37)+1-760+333)=0,NA(),INDEX(指数走势!$F$37:$ACK$37,1,LOOKUP(2,1/(指数走势!$F$37:$ACK$37&lt;&gt;""),COLUMN(指数走势!$F$37:$ACK$37))-COLUMN(指数走势!$F$37)+1-760+333)))</f>
        <v>9.4197998046875</v>
      </c>
      <c r="LW101">
        <f>IF(ISERROR(INDEX(指数走势!$F$37:$ACK$37,1,LOOKUP(2,1/(指数走势!$F$37:$ACK$37&lt;&gt;""),COLUMN(指数走势!$F$37:$ACK$37))-COLUMN(指数走势!$F$37)+1-760+334)),NA(),IF(INDEX(指数走势!$F$37:$ACK$37,1,LOOKUP(2,1/(指数走势!$F$37:$ACK$37&lt;&gt;""),COLUMN(指数走势!$F$37:$ACK$37))-COLUMN(指数走势!$F$37)+1-760+334)=0,NA(),INDEX(指数走势!$F$37:$ACK$37,1,LOOKUP(2,1/(指数走势!$F$37:$ACK$37&lt;&gt;""),COLUMN(指数走势!$F$37:$ACK$37))-COLUMN(指数走势!$F$37)+1-760+334)))</f>
        <v>9.80599975585937</v>
      </c>
      <c r="LX101">
        <f>IF(ISERROR(INDEX(指数走势!$F$37:$ACK$37,1,LOOKUP(2,1/(指数走势!$F$37:$ACK$37&lt;&gt;""),COLUMN(指数走势!$F$37:$ACK$37))-COLUMN(指数走势!$F$37)+1-760+335)),NA(),IF(INDEX(指数走势!$F$37:$ACK$37,1,LOOKUP(2,1/(指数走势!$F$37:$ACK$37&lt;&gt;""),COLUMN(指数走势!$F$37:$ACK$37))-COLUMN(指数走势!$F$37)+1-760+335)=0,NA(),INDEX(指数走势!$F$37:$ACK$37,1,LOOKUP(2,1/(指数走势!$F$37:$ACK$37&lt;&gt;""),COLUMN(指数走势!$F$37:$ACK$37))-COLUMN(指数走势!$F$37)+1-760+335)))</f>
        <v>10.0743999481201</v>
      </c>
      <c r="LY101">
        <f>IF(ISERROR(INDEX(指数走势!$F$37:$ACK$37,1,LOOKUP(2,1/(指数走势!$F$37:$ACK$37&lt;&gt;""),COLUMN(指数走势!$F$37:$ACK$37))-COLUMN(指数走势!$F$37)+1-760+336)),NA(),IF(INDEX(指数走势!$F$37:$ACK$37,1,LOOKUP(2,1/(指数走势!$F$37:$ACK$37&lt;&gt;""),COLUMN(指数走势!$F$37:$ACK$37))-COLUMN(指数走势!$F$37)+1-760+336)=0,NA(),INDEX(指数走势!$F$37:$ACK$37,1,LOOKUP(2,1/(指数走势!$F$37:$ACK$37&lt;&gt;""),COLUMN(指数走势!$F$37:$ACK$37))-COLUMN(指数走势!$F$37)+1-760+336)))</f>
        <v>10.2756996154785</v>
      </c>
      <c r="LZ101">
        <f>IF(ISERROR(INDEX(指数走势!$F$37:$ACK$37,1,LOOKUP(2,1/(指数走势!$F$37:$ACK$37&lt;&gt;""),COLUMN(指数走势!$F$37:$ACK$37))-COLUMN(指数走势!$F$37)+1-760+337)),NA(),IF(INDEX(指数走势!$F$37:$ACK$37,1,LOOKUP(2,1/(指数走势!$F$37:$ACK$37&lt;&gt;""),COLUMN(指数走势!$F$37:$ACK$37))-COLUMN(指数走势!$F$37)+1-760+337)=0,NA(),INDEX(指数走势!$F$37:$ACK$37,1,LOOKUP(2,1/(指数走势!$F$37:$ACK$37&lt;&gt;""),COLUMN(指数走势!$F$37:$ACK$37))-COLUMN(指数走势!$F$37)+1-760+337)))</f>
        <v>10.1695003509521</v>
      </c>
      <c r="MA101">
        <f>IF(ISERROR(INDEX(指数走势!$F$37:$ACK$37,1,LOOKUP(2,1/(指数走势!$F$37:$ACK$37&lt;&gt;""),COLUMN(指数走势!$F$37:$ACK$37))-COLUMN(指数走势!$F$37)+1-760+338)),NA(),IF(INDEX(指数走势!$F$37:$ACK$37,1,LOOKUP(2,1/(指数走势!$F$37:$ACK$37&lt;&gt;""),COLUMN(指数走势!$F$37:$ACK$37))-COLUMN(指数走势!$F$37)+1-760+338)=0,NA(),INDEX(指数走势!$F$37:$ACK$37,1,LOOKUP(2,1/(指数走势!$F$37:$ACK$37&lt;&gt;""),COLUMN(指数走势!$F$37:$ACK$37))-COLUMN(指数走势!$F$37)+1-760+338)))</f>
        <v>9.98740005493164</v>
      </c>
      <c r="MB101">
        <f>IF(ISERROR(INDEX(指数走势!$F$37:$ACK$37,1,LOOKUP(2,1/(指数走势!$F$37:$ACK$37&lt;&gt;""),COLUMN(指数走势!$F$37:$ACK$37))-COLUMN(指数走势!$F$37)+1-760+339)),NA(),IF(INDEX(指数走势!$F$37:$ACK$37,1,LOOKUP(2,1/(指数走势!$F$37:$ACK$37&lt;&gt;""),COLUMN(指数走势!$F$37:$ACK$37))-COLUMN(指数走势!$F$37)+1-760+339)=0,NA(),INDEX(指数走势!$F$37:$ACK$37,1,LOOKUP(2,1/(指数走势!$F$37:$ACK$37&lt;&gt;""),COLUMN(指数走势!$F$37:$ACK$37))-COLUMN(指数走势!$F$37)+1-760+339)))</f>
        <v>10.2861995697021</v>
      </c>
      <c r="MC101">
        <f>IF(ISERROR(INDEX(指数走势!$F$37:$ACK$37,1,LOOKUP(2,1/(指数走势!$F$37:$ACK$37&lt;&gt;""),COLUMN(指数走势!$F$37:$ACK$37))-COLUMN(指数走势!$F$37)+1-760+340)),NA(),IF(INDEX(指数走势!$F$37:$ACK$37,1,LOOKUP(2,1/(指数走势!$F$37:$ACK$37&lt;&gt;""),COLUMN(指数走势!$F$37:$ACK$37))-COLUMN(指数走势!$F$37)+1-760+340)=0,NA(),INDEX(指数走势!$F$37:$ACK$37,1,LOOKUP(2,1/(指数走势!$F$37:$ACK$37&lt;&gt;""),COLUMN(指数走势!$F$37:$ACK$37))-COLUMN(指数走势!$F$37)+1-760+340)))</f>
        <v>10.2861003875732</v>
      </c>
      <c r="MD101">
        <f>IF(ISERROR(INDEX(指数走势!$F$37:$ACK$37,1,LOOKUP(2,1/(指数走势!$F$37:$ACK$37&lt;&gt;""),COLUMN(指数走势!$F$37:$ACK$37))-COLUMN(指数走势!$F$37)+1-760+341)),NA(),IF(INDEX(指数走势!$F$37:$ACK$37,1,LOOKUP(2,1/(指数走势!$F$37:$ACK$37&lt;&gt;""),COLUMN(指数走势!$F$37:$ACK$37))-COLUMN(指数走势!$F$37)+1-760+341)=0,NA(),INDEX(指数走势!$F$37:$ACK$37,1,LOOKUP(2,1/(指数走势!$F$37:$ACK$37&lt;&gt;""),COLUMN(指数走势!$F$37:$ACK$37))-COLUMN(指数走势!$F$37)+1-760+341)))</f>
        <v>10.2623996734619</v>
      </c>
      <c r="ME101">
        <f>IF(ISERROR(INDEX(指数走势!$F$37:$ACK$37,1,LOOKUP(2,1/(指数走势!$F$37:$ACK$37&lt;&gt;""),COLUMN(指数走势!$F$37:$ACK$37))-COLUMN(指数走势!$F$37)+1-760+342)),NA(),IF(INDEX(指数走势!$F$37:$ACK$37,1,LOOKUP(2,1/(指数走势!$F$37:$ACK$37&lt;&gt;""),COLUMN(指数走势!$F$37:$ACK$37))-COLUMN(指数走势!$F$37)+1-760+342)=0,NA(),INDEX(指数走势!$F$37:$ACK$37,1,LOOKUP(2,1/(指数走势!$F$37:$ACK$37&lt;&gt;""),COLUMN(指数走势!$F$37:$ACK$37))-COLUMN(指数走势!$F$37)+1-760+342)))</f>
        <v>9.90369987487793</v>
      </c>
      <c r="MF101">
        <f>IF(ISERROR(INDEX(指数走势!$F$37:$ACK$37,1,LOOKUP(2,1/(指数走势!$F$37:$ACK$37&lt;&gt;""),COLUMN(指数走势!$F$37:$ACK$37))-COLUMN(指数走势!$F$37)+1-760+343)),NA(),IF(INDEX(指数走势!$F$37:$ACK$37,1,LOOKUP(2,1/(指数走势!$F$37:$ACK$37&lt;&gt;""),COLUMN(指数走势!$F$37:$ACK$37))-COLUMN(指数走势!$F$37)+1-760+343)=0,NA(),INDEX(指数走势!$F$37:$ACK$37,1,LOOKUP(2,1/(指数走势!$F$37:$ACK$37&lt;&gt;""),COLUMN(指数走势!$F$37:$ACK$37))-COLUMN(指数走势!$F$37)+1-760+343)))</f>
        <v>9.89130020141602</v>
      </c>
      <c r="MG101">
        <f>IF(ISERROR(INDEX(指数走势!$F$37:$ACK$37,1,LOOKUP(2,1/(指数走势!$F$37:$ACK$37&lt;&gt;""),COLUMN(指数走势!$F$37:$ACK$37))-COLUMN(指数走势!$F$37)+1-760+344)),NA(),IF(INDEX(指数走势!$F$37:$ACK$37,1,LOOKUP(2,1/(指数走势!$F$37:$ACK$37&lt;&gt;""),COLUMN(指数走势!$F$37:$ACK$37))-COLUMN(指数走势!$F$37)+1-760+344)=0,NA(),INDEX(指数走势!$F$37:$ACK$37,1,LOOKUP(2,1/(指数走势!$F$37:$ACK$37&lt;&gt;""),COLUMN(指数走势!$F$37:$ACK$37))-COLUMN(指数走势!$F$37)+1-760+344)))</f>
        <v>9.77789974212646</v>
      </c>
      <c r="MH101">
        <f>IF(ISERROR(INDEX(指数走势!$F$37:$ACK$37,1,LOOKUP(2,1/(指数走势!$F$37:$ACK$37&lt;&gt;""),COLUMN(指数走势!$F$37:$ACK$37))-COLUMN(指数走势!$F$37)+1-760+345)),NA(),IF(INDEX(指数走势!$F$37:$ACK$37,1,LOOKUP(2,1/(指数走势!$F$37:$ACK$37&lt;&gt;""),COLUMN(指数走势!$F$37:$ACK$37))-COLUMN(指数走势!$F$37)+1-760+345)=0,NA(),INDEX(指数走势!$F$37:$ACK$37,1,LOOKUP(2,1/(指数走势!$F$37:$ACK$37&lt;&gt;""),COLUMN(指数走势!$F$37:$ACK$37))-COLUMN(指数走势!$F$37)+1-760+345)))</f>
        <v>10.0943002700806</v>
      </c>
      <c r="MI101">
        <f>IF(ISERROR(INDEX(指数走势!$F$37:$ACK$37,1,LOOKUP(2,1/(指数走势!$F$37:$ACK$37&lt;&gt;""),COLUMN(指数走势!$F$37:$ACK$37))-COLUMN(指数走势!$F$37)+1-760+346)),NA(),IF(INDEX(指数走势!$F$37:$ACK$37,1,LOOKUP(2,1/(指数走势!$F$37:$ACK$37&lt;&gt;""),COLUMN(指数走势!$F$37:$ACK$37))-COLUMN(指数走势!$F$37)+1-760+346)=0,NA(),INDEX(指数走势!$F$37:$ACK$37,1,LOOKUP(2,1/(指数走势!$F$37:$ACK$37&lt;&gt;""),COLUMN(指数走势!$F$37:$ACK$37))-COLUMN(指数走势!$F$37)+1-760+346)))</f>
        <v>9.8262996673584</v>
      </c>
      <c r="MJ101">
        <f>IF(ISERROR(INDEX(指数走势!$F$37:$ACK$37,1,LOOKUP(2,1/(指数走势!$F$37:$ACK$37&lt;&gt;""),COLUMN(指数走势!$F$37:$ACK$37))-COLUMN(指数走势!$F$37)+1-760+347)),NA(),IF(INDEX(指数走势!$F$37:$ACK$37,1,LOOKUP(2,1/(指数走势!$F$37:$ACK$37&lt;&gt;""),COLUMN(指数走势!$F$37:$ACK$37))-COLUMN(指数走势!$F$37)+1-760+347)=0,NA(),INDEX(指数走势!$F$37:$ACK$37,1,LOOKUP(2,1/(指数走势!$F$37:$ACK$37&lt;&gt;""),COLUMN(指数走势!$F$37:$ACK$37))-COLUMN(指数走势!$F$37)+1-760+347)))</f>
        <v>9.828200340271</v>
      </c>
      <c r="MK101">
        <f>IF(ISERROR(INDEX(指数走势!$F$37:$ACK$37,1,LOOKUP(2,1/(指数走势!$F$37:$ACK$37&lt;&gt;""),COLUMN(指数走势!$F$37:$ACK$37))-COLUMN(指数走势!$F$37)+1-760+348)),NA(),IF(INDEX(指数走势!$F$37:$ACK$37,1,LOOKUP(2,1/(指数走势!$F$37:$ACK$37&lt;&gt;""),COLUMN(指数走势!$F$37:$ACK$37))-COLUMN(指数走势!$F$37)+1-760+348)=0,NA(),INDEX(指数走势!$F$37:$ACK$37,1,LOOKUP(2,1/(指数走势!$F$37:$ACK$37&lt;&gt;""),COLUMN(指数走势!$F$37:$ACK$37))-COLUMN(指数走势!$F$37)+1-760+348)))</f>
        <v>9.93000030517578</v>
      </c>
      <c r="ML101">
        <f>IF(ISERROR(INDEX(指数走势!$F$37:$ACK$37,1,LOOKUP(2,1/(指数走势!$F$37:$ACK$37&lt;&gt;""),COLUMN(指数走势!$F$37:$ACK$37))-COLUMN(指数走势!$F$37)+1-760+349)),NA(),IF(INDEX(指数走势!$F$37:$ACK$37,1,LOOKUP(2,1/(指数走势!$F$37:$ACK$37&lt;&gt;""),COLUMN(指数走势!$F$37:$ACK$37))-COLUMN(指数走势!$F$37)+1-760+349)=0,NA(),INDEX(指数走势!$F$37:$ACK$37,1,LOOKUP(2,1/(指数走势!$F$37:$ACK$37&lt;&gt;""),COLUMN(指数走势!$F$37:$ACK$37))-COLUMN(指数走势!$F$37)+1-760+349)))</f>
        <v>9.81750011444092</v>
      </c>
      <c r="MM101">
        <f>IF(ISERROR(INDEX(指数走势!$F$37:$ACK$37,1,LOOKUP(2,1/(指数走势!$F$37:$ACK$37&lt;&gt;""),COLUMN(指数走势!$F$37:$ACK$37))-COLUMN(指数走势!$F$37)+1-760+350)),NA(),IF(INDEX(指数走势!$F$37:$ACK$37,1,LOOKUP(2,1/(指数走势!$F$37:$ACK$37&lt;&gt;""),COLUMN(指数走势!$F$37:$ACK$37))-COLUMN(指数走势!$F$37)+1-760+350)=0,NA(),INDEX(指数走势!$F$37:$ACK$37,1,LOOKUP(2,1/(指数走势!$F$37:$ACK$37&lt;&gt;""),COLUMN(指数走势!$F$37:$ACK$37))-COLUMN(指数走势!$F$37)+1-760+350)))</f>
        <v>9.83390045166016</v>
      </c>
      <c r="MN101">
        <f>IF(ISERROR(INDEX(指数走势!$F$37:$ACK$37,1,LOOKUP(2,1/(指数走势!$F$37:$ACK$37&lt;&gt;""),COLUMN(指数走势!$F$37:$ACK$37))-COLUMN(指数走势!$F$37)+1-760+351)),NA(),IF(INDEX(指数走势!$F$37:$ACK$37,1,LOOKUP(2,1/(指数走势!$F$37:$ACK$37&lt;&gt;""),COLUMN(指数走势!$F$37:$ACK$37))-COLUMN(指数走势!$F$37)+1-760+351)=0,NA(),INDEX(指数走势!$F$37:$ACK$37,1,LOOKUP(2,1/(指数走势!$F$37:$ACK$37&lt;&gt;""),COLUMN(指数走势!$F$37:$ACK$37))-COLUMN(指数走势!$F$37)+1-760+351)))</f>
        <v>9.84119987487793</v>
      </c>
      <c r="MO101">
        <f>IF(ISERROR(INDEX(指数走势!$F$37:$ACK$37,1,LOOKUP(2,1/(指数走势!$F$37:$ACK$37&lt;&gt;""),COLUMN(指数走势!$F$37:$ACK$37))-COLUMN(指数走势!$F$37)+1-760+352)),NA(),IF(INDEX(指数走势!$F$37:$ACK$37,1,LOOKUP(2,1/(指数走势!$F$37:$ACK$37&lt;&gt;""),COLUMN(指数走势!$F$37:$ACK$37))-COLUMN(指数走势!$F$37)+1-760+352)=0,NA(),INDEX(指数走势!$F$37:$ACK$37,1,LOOKUP(2,1/(指数走势!$F$37:$ACK$37&lt;&gt;""),COLUMN(指数走势!$F$37:$ACK$37))-COLUMN(指数走势!$F$37)+1-760+352)))</f>
        <v>9.84270000457764</v>
      </c>
      <c r="MP101">
        <f>IF(ISERROR(INDEX(指数走势!$F$37:$ACK$37,1,LOOKUP(2,1/(指数走势!$F$37:$ACK$37&lt;&gt;""),COLUMN(指数走势!$F$37:$ACK$37))-COLUMN(指数走势!$F$37)+1-760+353)),NA(),IF(INDEX(指数走势!$F$37:$ACK$37,1,LOOKUP(2,1/(指数走势!$F$37:$ACK$37&lt;&gt;""),COLUMN(指数走势!$F$37:$ACK$37))-COLUMN(指数走势!$F$37)+1-760+353)=0,NA(),INDEX(指数走势!$F$37:$ACK$37,1,LOOKUP(2,1/(指数走势!$F$37:$ACK$37&lt;&gt;""),COLUMN(指数走势!$F$37:$ACK$37))-COLUMN(指数走势!$F$37)+1-760+353)))</f>
        <v>9.33160018920898</v>
      </c>
      <c r="MQ101">
        <f>IF(ISERROR(INDEX(指数走势!$F$37:$ACK$37,1,LOOKUP(2,1/(指数走势!$F$37:$ACK$37&lt;&gt;""),COLUMN(指数走势!$F$37:$ACK$37))-COLUMN(指数走势!$F$37)+1-760+354)),NA(),IF(INDEX(指数走势!$F$37:$ACK$37,1,LOOKUP(2,1/(指数走势!$F$37:$ACK$37&lt;&gt;""),COLUMN(指数走势!$F$37:$ACK$37))-COLUMN(指数走势!$F$37)+1-760+354)=0,NA(),INDEX(指数走势!$F$37:$ACK$37,1,LOOKUP(2,1/(指数走势!$F$37:$ACK$37&lt;&gt;""),COLUMN(指数走势!$F$37:$ACK$37))-COLUMN(指数走势!$F$37)+1-760+354)))</f>
        <v>9.30780029296875</v>
      </c>
      <c r="MR101">
        <f>IF(ISERROR(INDEX(指数走势!$F$37:$ACK$37,1,LOOKUP(2,1/(指数走势!$F$37:$ACK$37&lt;&gt;""),COLUMN(指数走势!$F$37:$ACK$37))-COLUMN(指数走势!$F$37)+1-760+355)),NA(),IF(INDEX(指数走势!$F$37:$ACK$37,1,LOOKUP(2,1/(指数走势!$F$37:$ACK$37&lt;&gt;""),COLUMN(指数走势!$F$37:$ACK$37))-COLUMN(指数走势!$F$37)+1-760+355)=0,NA(),INDEX(指数走势!$F$37:$ACK$37,1,LOOKUP(2,1/(指数走势!$F$37:$ACK$37&lt;&gt;""),COLUMN(指数走势!$F$37:$ACK$37))-COLUMN(指数走势!$F$37)+1-760+355)))</f>
        <v>9.40950012207031</v>
      </c>
      <c r="MS101">
        <f>IF(ISERROR(INDEX(指数走势!$F$37:$ACK$37,1,LOOKUP(2,1/(指数走势!$F$37:$ACK$37&lt;&gt;""),COLUMN(指数走势!$F$37:$ACK$37))-COLUMN(指数走势!$F$37)+1-760+356)),NA(),IF(INDEX(指数走势!$F$37:$ACK$37,1,LOOKUP(2,1/(指数走势!$F$37:$ACK$37&lt;&gt;""),COLUMN(指数走势!$F$37:$ACK$37))-COLUMN(指数走势!$F$37)+1-760+356)=0,NA(),INDEX(指数走势!$F$37:$ACK$37,1,LOOKUP(2,1/(指数走势!$F$37:$ACK$37&lt;&gt;""),COLUMN(指数走势!$F$37:$ACK$37))-COLUMN(指数走势!$F$37)+1-760+356)))</f>
        <v>9.43560028076172</v>
      </c>
      <c r="MT101">
        <f>IF(ISERROR(INDEX(指数走势!$F$37:$ACK$37,1,LOOKUP(2,1/(指数走势!$F$37:$ACK$37&lt;&gt;""),COLUMN(指数走势!$F$37:$ACK$37))-COLUMN(指数走势!$F$37)+1-760+357)),NA(),IF(INDEX(指数走势!$F$37:$ACK$37,1,LOOKUP(2,1/(指数走势!$F$37:$ACK$37&lt;&gt;""),COLUMN(指数走势!$F$37:$ACK$37))-COLUMN(指数走势!$F$37)+1-760+357)=0,NA(),INDEX(指数走势!$F$37:$ACK$37,1,LOOKUP(2,1/(指数走势!$F$37:$ACK$37&lt;&gt;""),COLUMN(指数走势!$F$37:$ACK$37))-COLUMN(指数走势!$F$37)+1-760+357)))</f>
        <v>9.6318998336792</v>
      </c>
      <c r="MU101">
        <f>IF(ISERROR(INDEX(指数走势!$F$37:$ACK$37,1,LOOKUP(2,1/(指数走势!$F$37:$ACK$37&lt;&gt;""),COLUMN(指数走势!$F$37:$ACK$37))-COLUMN(指数走势!$F$37)+1-760+358)),NA(),IF(INDEX(指数走势!$F$37:$ACK$37,1,LOOKUP(2,1/(指数走势!$F$37:$ACK$37&lt;&gt;""),COLUMN(指数走势!$F$37:$ACK$37))-COLUMN(指数走势!$F$37)+1-760+358)=0,NA(),INDEX(指数走势!$F$37:$ACK$37,1,LOOKUP(2,1/(指数走势!$F$37:$ACK$37&lt;&gt;""),COLUMN(指数走势!$F$37:$ACK$37))-COLUMN(指数走势!$F$37)+1-760+358)))</f>
        <v>9.41839981079102</v>
      </c>
      <c r="MV101">
        <f>IF(ISERROR(INDEX(指数走势!$F$37:$ACK$37,1,LOOKUP(2,1/(指数走势!$F$37:$ACK$37&lt;&gt;""),COLUMN(指数走势!$F$37:$ACK$37))-COLUMN(指数走势!$F$37)+1-760+359)),NA(),IF(INDEX(指数走势!$F$37:$ACK$37,1,LOOKUP(2,1/(指数走势!$F$37:$ACK$37&lt;&gt;""),COLUMN(指数走势!$F$37:$ACK$37))-COLUMN(指数走势!$F$37)+1-760+359)=0,NA(),INDEX(指数走势!$F$37:$ACK$37,1,LOOKUP(2,1/(指数走势!$F$37:$ACK$37&lt;&gt;""),COLUMN(指数走势!$F$37:$ACK$37))-COLUMN(指数走势!$F$37)+1-760+359)))</f>
        <v>9.60560035705566</v>
      </c>
      <c r="MW101">
        <f>IF(ISERROR(INDEX(指数走势!$F$37:$ACK$37,1,LOOKUP(2,1/(指数走势!$F$37:$ACK$37&lt;&gt;""),COLUMN(指数走势!$F$37:$ACK$37))-COLUMN(指数走势!$F$37)+1-760+360)),NA(),IF(INDEX(指数走势!$F$37:$ACK$37,1,LOOKUP(2,1/(指数走势!$F$37:$ACK$37&lt;&gt;""),COLUMN(指数走势!$F$37:$ACK$37))-COLUMN(指数走势!$F$37)+1-760+360)=0,NA(),INDEX(指数走势!$F$37:$ACK$37,1,LOOKUP(2,1/(指数走势!$F$37:$ACK$37&lt;&gt;""),COLUMN(指数走势!$F$37:$ACK$37))-COLUMN(指数走势!$F$37)+1-760+360)))</f>
        <v>9.49009990692139</v>
      </c>
      <c r="MX101">
        <f>IF(ISERROR(INDEX(指数走势!$F$37:$ACK$37,1,LOOKUP(2,1/(指数走势!$F$37:$ACK$37&lt;&gt;""),COLUMN(指数走势!$F$37:$ACK$37))-COLUMN(指数走势!$F$37)+1-760+361)),NA(),IF(INDEX(指数走势!$F$37:$ACK$37,1,LOOKUP(2,1/(指数走势!$F$37:$ACK$37&lt;&gt;""),COLUMN(指数走势!$F$37:$ACK$37))-COLUMN(指数走势!$F$37)+1-760+361)=0,NA(),INDEX(指数走势!$F$37:$ACK$37,1,LOOKUP(2,1/(指数走势!$F$37:$ACK$37&lt;&gt;""),COLUMN(指数走势!$F$37:$ACK$37))-COLUMN(指数走势!$F$37)+1-760+361)))</f>
        <v>9.34609985351562</v>
      </c>
      <c r="MY101">
        <f>IF(ISERROR(INDEX(指数走势!$F$37:$ACK$37,1,LOOKUP(2,1/(指数走势!$F$37:$ACK$37&lt;&gt;""),COLUMN(指数走势!$F$37:$ACK$37))-COLUMN(指数走势!$F$37)+1-760+362)),NA(),IF(INDEX(指数走势!$F$37:$ACK$37,1,LOOKUP(2,1/(指数走势!$F$37:$ACK$37&lt;&gt;""),COLUMN(指数走势!$F$37:$ACK$37))-COLUMN(指数走势!$F$37)+1-760+362)=0,NA(),INDEX(指数走势!$F$37:$ACK$37,1,LOOKUP(2,1/(指数走势!$F$37:$ACK$37&lt;&gt;""),COLUMN(指数走势!$F$37:$ACK$37))-COLUMN(指数走势!$F$37)+1-760+362)))</f>
        <v>9.10179996490479</v>
      </c>
      <c r="MZ101">
        <f>IF(ISERROR(INDEX(指数走势!$F$37:$ACK$37,1,LOOKUP(2,1/(指数走势!$F$37:$ACK$37&lt;&gt;""),COLUMN(指数走势!$F$37:$ACK$37))-COLUMN(指数走势!$F$37)+1-760+363)),NA(),IF(INDEX(指数走势!$F$37:$ACK$37,1,LOOKUP(2,1/(指数走势!$F$37:$ACK$37&lt;&gt;""),COLUMN(指数走势!$F$37:$ACK$37))-COLUMN(指数走势!$F$37)+1-760+363)=0,NA(),INDEX(指数走势!$F$37:$ACK$37,1,LOOKUP(2,1/(指数走势!$F$37:$ACK$37&lt;&gt;""),COLUMN(指数走势!$F$37:$ACK$37))-COLUMN(指数走势!$F$37)+1-760+363)))</f>
        <v>9.03479957580566</v>
      </c>
      <c r="NA101">
        <f>IF(ISERROR(INDEX(指数走势!$F$37:$ACK$37,1,LOOKUP(2,1/(指数走势!$F$37:$ACK$37&lt;&gt;""),COLUMN(指数走势!$F$37:$ACK$37))-COLUMN(指数走势!$F$37)+1-760+364)),NA(),IF(INDEX(指数走势!$F$37:$ACK$37,1,LOOKUP(2,1/(指数走势!$F$37:$ACK$37&lt;&gt;""),COLUMN(指数走势!$F$37:$ACK$37))-COLUMN(指数走势!$F$37)+1-760+364)=0,NA(),INDEX(指数走势!$F$37:$ACK$37,1,LOOKUP(2,1/(指数走势!$F$37:$ACK$37&lt;&gt;""),COLUMN(指数走势!$F$37:$ACK$37))-COLUMN(指数走势!$F$37)+1-760+364)))</f>
        <v>8.87189960479736</v>
      </c>
      <c r="NB101">
        <f>IF(ISERROR(INDEX(指数走势!$F$37:$ACK$37,1,LOOKUP(2,1/(指数走势!$F$37:$ACK$37&lt;&gt;""),COLUMN(指数走势!$F$37:$ACK$37))-COLUMN(指数走势!$F$37)+1-760+365)),NA(),IF(INDEX(指数走势!$F$37:$ACK$37,1,LOOKUP(2,1/(指数走势!$F$37:$ACK$37&lt;&gt;""),COLUMN(指数走势!$F$37:$ACK$37))-COLUMN(指数走势!$F$37)+1-760+365)=0,NA(),INDEX(指数走势!$F$37:$ACK$37,1,LOOKUP(2,1/(指数走势!$F$37:$ACK$37&lt;&gt;""),COLUMN(指数走势!$F$37:$ACK$37))-COLUMN(指数走势!$F$37)+1-760+365)))</f>
        <v>8.83430004119873</v>
      </c>
      <c r="NC101">
        <f>IF(ISERROR(INDEX(指数走势!$F$37:$ACK$37,1,LOOKUP(2,1/(指数走势!$F$37:$ACK$37&lt;&gt;""),COLUMN(指数走势!$F$37:$ACK$37))-COLUMN(指数走势!$F$37)+1-760+366)),NA(),IF(INDEX(指数走势!$F$37:$ACK$37,1,LOOKUP(2,1/(指数走势!$F$37:$ACK$37&lt;&gt;""),COLUMN(指数走势!$F$37:$ACK$37))-COLUMN(指数走势!$F$37)+1-760+366)=0,NA(),INDEX(指数走势!$F$37:$ACK$37,1,LOOKUP(2,1/(指数走势!$F$37:$ACK$37&lt;&gt;""),COLUMN(指数走势!$F$37:$ACK$37))-COLUMN(指数走势!$F$37)+1-760+366)))</f>
        <v>8.92090034484863</v>
      </c>
      <c r="ND101">
        <f>IF(ISERROR(INDEX(指数走势!$F$37:$ACK$37,1,LOOKUP(2,1/(指数走势!$F$37:$ACK$37&lt;&gt;""),COLUMN(指数走势!$F$37:$ACK$37))-COLUMN(指数走势!$F$37)+1-760+367)),NA(),IF(INDEX(指数走势!$F$37:$ACK$37,1,LOOKUP(2,1/(指数走势!$F$37:$ACK$37&lt;&gt;""),COLUMN(指数走势!$F$37:$ACK$37))-COLUMN(指数走势!$F$37)+1-760+367)=0,NA(),INDEX(指数走势!$F$37:$ACK$37,1,LOOKUP(2,1/(指数走势!$F$37:$ACK$37&lt;&gt;""),COLUMN(指数走势!$F$37:$ACK$37))-COLUMN(指数走势!$F$37)+1-760+367)))</f>
        <v>8.94859981536865</v>
      </c>
      <c r="NE101">
        <f>IF(ISERROR(INDEX(指数走势!$F$37:$ACK$37,1,LOOKUP(2,1/(指数走势!$F$37:$ACK$37&lt;&gt;""),COLUMN(指数走势!$F$37:$ACK$37))-COLUMN(指数走势!$F$37)+1-760+368)),NA(),IF(INDEX(指数走势!$F$37:$ACK$37,1,LOOKUP(2,1/(指数走势!$F$37:$ACK$37&lt;&gt;""),COLUMN(指数走势!$F$37:$ACK$37))-COLUMN(指数走势!$F$37)+1-760+368)=0,NA(),INDEX(指数走势!$F$37:$ACK$37,1,LOOKUP(2,1/(指数走势!$F$37:$ACK$37&lt;&gt;""),COLUMN(指数走势!$F$37:$ACK$37))-COLUMN(指数走势!$F$37)+1-760+368)))</f>
        <v>8.96389961242676</v>
      </c>
      <c r="NF101">
        <f>IF(ISERROR(INDEX(指数走势!$F$37:$ACK$37,1,LOOKUP(2,1/(指数走势!$F$37:$ACK$37&lt;&gt;""),COLUMN(指数走势!$F$37:$ACK$37))-COLUMN(指数走势!$F$37)+1-760+369)),NA(),IF(INDEX(指数走势!$F$37:$ACK$37,1,LOOKUP(2,1/(指数走势!$F$37:$ACK$37&lt;&gt;""),COLUMN(指数走势!$F$37:$ACK$37))-COLUMN(指数走势!$F$37)+1-760+369)=0,NA(),INDEX(指数走势!$F$37:$ACK$37,1,LOOKUP(2,1/(指数走势!$F$37:$ACK$37&lt;&gt;""),COLUMN(指数走势!$F$37:$ACK$37))-COLUMN(指数走势!$F$37)+1-760+369)))</f>
        <v>8.90890026092529</v>
      </c>
      <c r="NG101">
        <f>IF(ISERROR(INDEX(指数走势!$F$37:$ACK$37,1,LOOKUP(2,1/(指数走势!$F$37:$ACK$37&lt;&gt;""),COLUMN(指数走势!$F$37:$ACK$37))-COLUMN(指数走势!$F$37)+1-760+370)),NA(),IF(INDEX(指数走势!$F$37:$ACK$37,1,LOOKUP(2,1/(指数走势!$F$37:$ACK$37&lt;&gt;""),COLUMN(指数走势!$F$37:$ACK$37))-COLUMN(指数走势!$F$37)+1-760+370)=0,NA(),INDEX(指数走势!$F$37:$ACK$37,1,LOOKUP(2,1/(指数走势!$F$37:$ACK$37&lt;&gt;""),COLUMN(指数走势!$F$37:$ACK$37))-COLUMN(指数走势!$F$37)+1-760+370)))</f>
        <v>8.74390029907227</v>
      </c>
      <c r="NH101">
        <f>IF(ISERROR(INDEX(指数走势!$F$37:$ACK$37,1,LOOKUP(2,1/(指数走势!$F$37:$ACK$37&lt;&gt;""),COLUMN(指数走势!$F$37:$ACK$37))-COLUMN(指数走势!$F$37)+1-760+371)),NA(),IF(INDEX(指数走势!$F$37:$ACK$37,1,LOOKUP(2,1/(指数走势!$F$37:$ACK$37&lt;&gt;""),COLUMN(指数走势!$F$37:$ACK$37))-COLUMN(指数走势!$F$37)+1-760+371)=0,NA(),INDEX(指数走势!$F$37:$ACK$37,1,LOOKUP(2,1/(指数走势!$F$37:$ACK$37&lt;&gt;""),COLUMN(指数走势!$F$37:$ACK$37))-COLUMN(指数走势!$F$37)+1-760+371)))</f>
        <v>8.71179962158203</v>
      </c>
      <c r="NI101">
        <f>IF(ISERROR(INDEX(指数走势!$F$37:$ACK$37,1,LOOKUP(2,1/(指数走势!$F$37:$ACK$37&lt;&gt;""),COLUMN(指数走势!$F$37:$ACK$37))-COLUMN(指数走势!$F$37)+1-760+372)),NA(),IF(INDEX(指数走势!$F$37:$ACK$37,1,LOOKUP(2,1/(指数走势!$F$37:$ACK$37&lt;&gt;""),COLUMN(指数走势!$F$37:$ACK$37))-COLUMN(指数走势!$F$37)+1-760+372)=0,NA(),INDEX(指数走势!$F$37:$ACK$37,1,LOOKUP(2,1/(指数走势!$F$37:$ACK$37&lt;&gt;""),COLUMN(指数走势!$F$37:$ACK$37))-COLUMN(指数走势!$F$37)+1-760+372)))</f>
        <v>8.71059989929199</v>
      </c>
      <c r="NJ101">
        <f>IF(ISERROR(INDEX(指数走势!$F$37:$ACK$37,1,LOOKUP(2,1/(指数走势!$F$37:$ACK$37&lt;&gt;""),COLUMN(指数走势!$F$37:$ACK$37))-COLUMN(指数走势!$F$37)+1-760+373)),NA(),IF(INDEX(指数走势!$F$37:$ACK$37,1,LOOKUP(2,1/(指数走势!$F$37:$ACK$37&lt;&gt;""),COLUMN(指数走势!$F$37:$ACK$37))-COLUMN(指数走势!$F$37)+1-760+373)=0,NA(),INDEX(指数走势!$F$37:$ACK$37,1,LOOKUP(2,1/(指数走势!$F$37:$ACK$37&lt;&gt;""),COLUMN(指数走势!$F$37:$ACK$37))-COLUMN(指数走势!$F$37)+1-760+373)))</f>
        <v>8.88129997253418</v>
      </c>
      <c r="NK101">
        <f>IF(ISERROR(INDEX(指数走势!$F$37:$ACK$37,1,LOOKUP(2,1/(指数走势!$F$37:$ACK$37&lt;&gt;""),COLUMN(指数走势!$F$37:$ACK$37))-COLUMN(指数走势!$F$37)+1-760+374)),NA(),IF(INDEX(指数走势!$F$37:$ACK$37,1,LOOKUP(2,1/(指数走势!$F$37:$ACK$37&lt;&gt;""),COLUMN(指数走势!$F$37:$ACK$37))-COLUMN(指数走势!$F$37)+1-760+374)=0,NA(),INDEX(指数走势!$F$37:$ACK$37,1,LOOKUP(2,1/(指数走势!$F$37:$ACK$37&lt;&gt;""),COLUMN(指数走势!$F$37:$ACK$37))-COLUMN(指数走势!$F$37)+1-760+374)))</f>
        <v>8.7721004486084</v>
      </c>
      <c r="NL101">
        <f>IF(ISERROR(INDEX(指数走势!$F$37:$ACK$37,1,LOOKUP(2,1/(指数走势!$F$37:$ACK$37&lt;&gt;""),COLUMN(指数走势!$F$37:$ACK$37))-COLUMN(指数走势!$F$37)+1-760+375)),NA(),IF(INDEX(指数走势!$F$37:$ACK$37,1,LOOKUP(2,1/(指数走势!$F$37:$ACK$37&lt;&gt;""),COLUMN(指数走势!$F$37:$ACK$37))-COLUMN(指数走势!$F$37)+1-760+375)=0,NA(),INDEX(指数走势!$F$37:$ACK$37,1,LOOKUP(2,1/(指数走势!$F$37:$ACK$37&lt;&gt;""),COLUMN(指数走势!$F$37:$ACK$37))-COLUMN(指数走势!$F$37)+1-760+375)))</f>
        <v>8.77680015563965</v>
      </c>
      <c r="NM101">
        <f>IF(ISERROR(INDEX(指数走势!$F$37:$ACK$37,1,LOOKUP(2,1/(指数走势!$F$37:$ACK$37&lt;&gt;""),COLUMN(指数走势!$F$37:$ACK$37))-COLUMN(指数走势!$F$37)+1-760+376)),NA(),IF(INDEX(指数走势!$F$37:$ACK$37,1,LOOKUP(2,1/(指数走势!$F$37:$ACK$37&lt;&gt;""),COLUMN(指数走势!$F$37:$ACK$37))-COLUMN(指数走势!$F$37)+1-760+376)=0,NA(),INDEX(指数走势!$F$37:$ACK$37,1,LOOKUP(2,1/(指数走势!$F$37:$ACK$37&lt;&gt;""),COLUMN(指数走势!$F$37:$ACK$37))-COLUMN(指数走势!$F$37)+1-760+376)))</f>
        <v>8.84389972686768</v>
      </c>
      <c r="NN101">
        <f>IF(ISERROR(INDEX(指数走势!$F$37:$ACK$37,1,LOOKUP(2,1/(指数走势!$F$37:$ACK$37&lt;&gt;""),COLUMN(指数走势!$F$37:$ACK$37))-COLUMN(指数走势!$F$37)+1-760+377)),NA(),IF(INDEX(指数走势!$F$37:$ACK$37,1,LOOKUP(2,1/(指数走势!$F$37:$ACK$37&lt;&gt;""),COLUMN(指数走势!$F$37:$ACK$37))-COLUMN(指数走势!$F$37)+1-760+377)=0,NA(),INDEX(指数走势!$F$37:$ACK$37,1,LOOKUP(2,1/(指数走势!$F$37:$ACK$37&lt;&gt;""),COLUMN(指数走势!$F$37:$ACK$37))-COLUMN(指数走势!$F$37)+1-760+377)))</f>
        <v>8.95170021057129</v>
      </c>
      <c r="NO101">
        <f>IF(ISERROR(INDEX(指数走势!$F$37:$ACK$37,1,LOOKUP(2,1/(指数走势!$F$37:$ACK$37&lt;&gt;""),COLUMN(指数走势!$F$37:$ACK$37))-COLUMN(指数走势!$F$37)+1-760+378)),NA(),IF(INDEX(指数走势!$F$37:$ACK$37,1,LOOKUP(2,1/(指数走势!$F$37:$ACK$37&lt;&gt;""),COLUMN(指数走势!$F$37:$ACK$37))-COLUMN(指数走势!$F$37)+1-760+378)=0,NA(),INDEX(指数走势!$F$37:$ACK$37,1,LOOKUP(2,1/(指数走势!$F$37:$ACK$37&lt;&gt;""),COLUMN(指数走势!$F$37:$ACK$37))-COLUMN(指数走势!$F$37)+1-760+378)))</f>
        <v>8.97249984741211</v>
      </c>
      <c r="NP101">
        <f>IF(ISERROR(INDEX(指数走势!$F$37:$ACK$37,1,LOOKUP(2,1/(指数走势!$F$37:$ACK$37&lt;&gt;""),COLUMN(指数走势!$F$37:$ACK$37))-COLUMN(指数走势!$F$37)+1-760+379)),NA(),IF(INDEX(指数走势!$F$37:$ACK$37,1,LOOKUP(2,1/(指数走势!$F$37:$ACK$37&lt;&gt;""),COLUMN(指数走势!$F$37:$ACK$37))-COLUMN(指数走势!$F$37)+1-760+379)=0,NA(),INDEX(指数走势!$F$37:$ACK$37,1,LOOKUP(2,1/(指数走势!$F$37:$ACK$37&lt;&gt;""),COLUMN(指数走势!$F$37:$ACK$37))-COLUMN(指数走势!$F$37)+1-760+379)))</f>
        <v>8.90740013122559</v>
      </c>
      <c r="NQ101">
        <f>IF(ISERROR(INDEX(指数走势!$F$37:$ACK$37,1,LOOKUP(2,1/(指数走势!$F$37:$ACK$37&lt;&gt;""),COLUMN(指数走势!$F$37:$ACK$37))-COLUMN(指数走势!$F$37)+1-760+380)),NA(),IF(INDEX(指数走势!$F$37:$ACK$37,1,LOOKUP(2,1/(指数走势!$F$37:$ACK$37&lt;&gt;""),COLUMN(指数走势!$F$37:$ACK$37))-COLUMN(指数走势!$F$37)+1-760+380)=0,NA(),INDEX(指数走势!$F$37:$ACK$37,1,LOOKUP(2,1/(指数走势!$F$37:$ACK$37&lt;&gt;""),COLUMN(指数走势!$F$37:$ACK$37))-COLUMN(指数走势!$F$37)+1-760+380)))</f>
        <v>9.04129981994629</v>
      </c>
      <c r="NR101">
        <f>IF(ISERROR(INDEX(指数走势!$F$37:$ACK$37,1,LOOKUP(2,1/(指数走势!$F$37:$ACK$37&lt;&gt;""),COLUMN(指数走势!$F$37:$ACK$37))-COLUMN(指数走势!$F$37)+1-760+381)),NA(),IF(INDEX(指数走势!$F$37:$ACK$37,1,LOOKUP(2,1/(指数走势!$F$37:$ACK$37&lt;&gt;""),COLUMN(指数走势!$F$37:$ACK$37))-COLUMN(指数走势!$F$37)+1-760+381)=0,NA(),INDEX(指数走势!$F$37:$ACK$37,1,LOOKUP(2,1/(指数走势!$F$37:$ACK$37&lt;&gt;""),COLUMN(指数走势!$F$37:$ACK$37))-COLUMN(指数走势!$F$37)+1-760+381)))</f>
        <v>9.25940036773682</v>
      </c>
      <c r="NS101">
        <f>IF(ISERROR(INDEX(指数走势!$F$37:$ACK$37,1,LOOKUP(2,1/(指数走势!$F$37:$ACK$37&lt;&gt;""),COLUMN(指数走势!$F$37:$ACK$37))-COLUMN(指数走势!$F$37)+1-760+382)),NA(),IF(INDEX(指数走势!$F$37:$ACK$37,1,LOOKUP(2,1/(指数走势!$F$37:$ACK$37&lt;&gt;""),COLUMN(指数走势!$F$37:$ACK$37))-COLUMN(指数走势!$F$37)+1-760+382)=0,NA(),INDEX(指数走势!$F$37:$ACK$37,1,LOOKUP(2,1/(指数走势!$F$37:$ACK$37&lt;&gt;""),COLUMN(指数走势!$F$37:$ACK$37))-COLUMN(指数走势!$F$37)+1-760+382)))</f>
        <v>9.19099998474121</v>
      </c>
      <c r="NT101">
        <f>IF(ISERROR(INDEX(指数走势!$F$37:$ACK$37,1,LOOKUP(2,1/(指数走势!$F$37:$ACK$37&lt;&gt;""),COLUMN(指数走势!$F$37:$ACK$37))-COLUMN(指数走势!$F$37)+1-760+383)),NA(),IF(INDEX(指数走势!$F$37:$ACK$37,1,LOOKUP(2,1/(指数走势!$F$37:$ACK$37&lt;&gt;""),COLUMN(指数走势!$F$37:$ACK$37))-COLUMN(指数走势!$F$37)+1-760+383)=0,NA(),INDEX(指数走势!$F$37:$ACK$37,1,LOOKUP(2,1/(指数走势!$F$37:$ACK$37&lt;&gt;""),COLUMN(指数走势!$F$37:$ACK$37))-COLUMN(指数走势!$F$37)+1-760+383)))</f>
        <v>9.14200019836426</v>
      </c>
      <c r="NU101">
        <f>IF(ISERROR(INDEX(指数走势!$F$37:$ACK$37,1,LOOKUP(2,1/(指数走势!$F$37:$ACK$37&lt;&gt;""),COLUMN(指数走势!$F$37:$ACK$37))-COLUMN(指数走势!$F$37)+1-760+384)),NA(),IF(INDEX(指数走势!$F$37:$ACK$37,1,LOOKUP(2,1/(指数走势!$F$37:$ACK$37&lt;&gt;""),COLUMN(指数走势!$F$37:$ACK$37))-COLUMN(指数走势!$F$37)+1-760+384)=0,NA(),INDEX(指数走势!$F$37:$ACK$37,1,LOOKUP(2,1/(指数走势!$F$37:$ACK$37&lt;&gt;""),COLUMN(指数走势!$F$37:$ACK$37))-COLUMN(指数走势!$F$37)+1-760+384)))</f>
        <v>9.25360012054443</v>
      </c>
      <c r="NV101">
        <f>IF(ISERROR(INDEX(指数走势!$F$37:$ACK$37,1,LOOKUP(2,1/(指数走势!$F$37:$ACK$37&lt;&gt;""),COLUMN(指数走势!$F$37:$ACK$37))-COLUMN(指数走势!$F$37)+1-760+385)),NA(),IF(INDEX(指数走势!$F$37:$ACK$37,1,LOOKUP(2,1/(指数走势!$F$37:$ACK$37&lt;&gt;""),COLUMN(指数走势!$F$37:$ACK$37))-COLUMN(指数走势!$F$37)+1-760+385)=0,NA(),INDEX(指数走势!$F$37:$ACK$37,1,LOOKUP(2,1/(指数走势!$F$37:$ACK$37&lt;&gt;""),COLUMN(指数走势!$F$37:$ACK$37))-COLUMN(指数走势!$F$37)+1-760+385)))</f>
        <v>9.0600004196167</v>
      </c>
      <c r="NW101">
        <f>IF(ISERROR(INDEX(指数走势!$F$37:$ACK$37,1,LOOKUP(2,1/(指数走势!$F$37:$ACK$37&lt;&gt;""),COLUMN(指数走势!$F$37:$ACK$37))-COLUMN(指数走势!$F$37)+1-760+386)),NA(),IF(INDEX(指数走势!$F$37:$ACK$37,1,LOOKUP(2,1/(指数走势!$F$37:$ACK$37&lt;&gt;""),COLUMN(指数走势!$F$37:$ACK$37))-COLUMN(指数走势!$F$37)+1-760+386)=0,NA(),INDEX(指数走势!$F$37:$ACK$37,1,LOOKUP(2,1/(指数走势!$F$37:$ACK$37&lt;&gt;""),COLUMN(指数走势!$F$37:$ACK$37))-COLUMN(指数走势!$F$37)+1-760+386)))</f>
        <v>9.01039981842041</v>
      </c>
      <c r="NX101">
        <f>IF(ISERROR(INDEX(指数走势!$F$37:$ACK$37,1,LOOKUP(2,1/(指数走势!$F$37:$ACK$37&lt;&gt;""),COLUMN(指数走势!$F$37:$ACK$37))-COLUMN(指数走势!$F$37)+1-760+387)),NA(),IF(INDEX(指数走势!$F$37:$ACK$37,1,LOOKUP(2,1/(指数走势!$F$37:$ACK$37&lt;&gt;""),COLUMN(指数走势!$F$37:$ACK$37))-COLUMN(指数走势!$F$37)+1-760+387)=0,NA(),INDEX(指数走势!$F$37:$ACK$37,1,LOOKUP(2,1/(指数走势!$F$37:$ACK$37&lt;&gt;""),COLUMN(指数走势!$F$37:$ACK$37))-COLUMN(指数走势!$F$37)+1-760+387)))</f>
        <v>8.97089958190918</v>
      </c>
      <c r="NY101">
        <f>IF(ISERROR(INDEX(指数走势!$F$37:$ACK$37,1,LOOKUP(2,1/(指数走势!$F$37:$ACK$37&lt;&gt;""),COLUMN(指数走势!$F$37:$ACK$37))-COLUMN(指数走势!$F$37)+1-760+388)),NA(),IF(INDEX(指数走势!$F$37:$ACK$37,1,LOOKUP(2,1/(指数走势!$F$37:$ACK$37&lt;&gt;""),COLUMN(指数走势!$F$37:$ACK$37))-COLUMN(指数走势!$F$37)+1-760+388)=0,NA(),INDEX(指数走势!$F$37:$ACK$37,1,LOOKUP(2,1/(指数走势!$F$37:$ACK$37&lt;&gt;""),COLUMN(指数走势!$F$37:$ACK$37))-COLUMN(指数走势!$F$37)+1-760+388)))</f>
        <v>9.04599952697754</v>
      </c>
      <c r="NZ101">
        <f>IF(ISERROR(INDEX(指数走势!$F$37:$ACK$37,1,LOOKUP(2,1/(指数走势!$F$37:$ACK$37&lt;&gt;""),COLUMN(指数走势!$F$37:$ACK$37))-COLUMN(指数走势!$F$37)+1-760+389)),NA(),IF(INDEX(指数走势!$F$37:$ACK$37,1,LOOKUP(2,1/(指数走势!$F$37:$ACK$37&lt;&gt;""),COLUMN(指数走势!$F$37:$ACK$37))-COLUMN(指数走势!$F$37)+1-760+389)=0,NA(),INDEX(指数走势!$F$37:$ACK$37,1,LOOKUP(2,1/(指数走势!$F$37:$ACK$37&lt;&gt;""),COLUMN(指数走势!$F$37:$ACK$37))-COLUMN(指数走势!$F$37)+1-760+389)))</f>
        <v>9.01169967651367</v>
      </c>
      <c r="OA101">
        <f>IF(ISERROR(INDEX(指数走势!$F$37:$ACK$37,1,LOOKUP(2,1/(指数走势!$F$37:$ACK$37&lt;&gt;""),COLUMN(指数走势!$F$37:$ACK$37))-COLUMN(指数走势!$F$37)+1-760+390)),NA(),IF(INDEX(指数走势!$F$37:$ACK$37,1,LOOKUP(2,1/(指数走势!$F$37:$ACK$37&lt;&gt;""),COLUMN(指数走势!$F$37:$ACK$37))-COLUMN(指数走势!$F$37)+1-760+390)=0,NA(),INDEX(指数走势!$F$37:$ACK$37,1,LOOKUP(2,1/(指数走势!$F$37:$ACK$37&lt;&gt;""),COLUMN(指数走势!$F$37:$ACK$37))-COLUMN(指数走势!$F$37)+1-760+390)))</f>
        <v>9.00189971923828</v>
      </c>
      <c r="OB101">
        <f>IF(ISERROR(INDEX(指数走势!$F$37:$ACK$37,1,LOOKUP(2,1/(指数走势!$F$37:$ACK$37&lt;&gt;""),COLUMN(指数走势!$F$37:$ACK$37))-COLUMN(指数走势!$F$37)+1-760+391)),NA(),IF(INDEX(指数走势!$F$37:$ACK$37,1,LOOKUP(2,1/(指数走势!$F$37:$ACK$37&lt;&gt;""),COLUMN(指数走势!$F$37:$ACK$37))-COLUMN(指数走势!$F$37)+1-760+391)=0,NA(),INDEX(指数走势!$F$37:$ACK$37,1,LOOKUP(2,1/(指数走势!$F$37:$ACK$37&lt;&gt;""),COLUMN(指数走势!$F$37:$ACK$37))-COLUMN(指数走势!$F$37)+1-760+391)))</f>
        <v>9.09430027008057</v>
      </c>
      <c r="OC101">
        <f>IF(ISERROR(INDEX(指数走势!$F$37:$ACK$37,1,LOOKUP(2,1/(指数走势!$F$37:$ACK$37&lt;&gt;""),COLUMN(指数走势!$F$37:$ACK$37))-COLUMN(指数走势!$F$37)+1-760+392)),NA(),IF(INDEX(指数走势!$F$37:$ACK$37,1,LOOKUP(2,1/(指数走势!$F$37:$ACK$37&lt;&gt;""),COLUMN(指数走势!$F$37:$ACK$37))-COLUMN(指数走势!$F$37)+1-760+392)=0,NA(),INDEX(指数走势!$F$37:$ACK$37,1,LOOKUP(2,1/(指数走势!$F$37:$ACK$37&lt;&gt;""),COLUMN(指数走势!$F$37:$ACK$37))-COLUMN(指数走势!$F$37)+1-760+392)))</f>
        <v>9.19139957427979</v>
      </c>
      <c r="OD101">
        <f>IF(ISERROR(INDEX(指数走势!$F$37:$ACK$37,1,LOOKUP(2,1/(指数走势!$F$37:$ACK$37&lt;&gt;""),COLUMN(指数走势!$F$37:$ACK$37))-COLUMN(指数走势!$F$37)+1-760+393)),NA(),IF(INDEX(指数走势!$F$37:$ACK$37,1,LOOKUP(2,1/(指数走势!$F$37:$ACK$37&lt;&gt;""),COLUMN(指数走势!$F$37:$ACK$37))-COLUMN(指数走势!$F$37)+1-760+393)=0,NA(),INDEX(指数走势!$F$37:$ACK$37,1,LOOKUP(2,1/(指数走势!$F$37:$ACK$37&lt;&gt;""),COLUMN(指数走势!$F$37:$ACK$37))-COLUMN(指数走势!$F$37)+1-760+393)))</f>
        <v>9.19139957427979</v>
      </c>
      <c r="OE101">
        <f>IF(ISERROR(INDEX(指数走势!$F$37:$ACK$37,1,LOOKUP(2,1/(指数走势!$F$37:$ACK$37&lt;&gt;""),COLUMN(指数走势!$F$37:$ACK$37))-COLUMN(指数走势!$F$37)+1-760+394)),NA(),IF(INDEX(指数走势!$F$37:$ACK$37,1,LOOKUP(2,1/(指数走势!$F$37:$ACK$37&lt;&gt;""),COLUMN(指数走势!$F$37:$ACK$37))-COLUMN(指数走势!$F$37)+1-760+394)=0,NA(),INDEX(指数走势!$F$37:$ACK$37,1,LOOKUP(2,1/(指数走势!$F$37:$ACK$37&lt;&gt;""),COLUMN(指数走势!$F$37:$ACK$37))-COLUMN(指数走势!$F$37)+1-760+394)))</f>
        <v>9.19120025634766</v>
      </c>
      <c r="OF101">
        <f>IF(ISERROR(INDEX(指数走势!$F$37:$ACK$37,1,LOOKUP(2,1/(指数走势!$F$37:$ACK$37&lt;&gt;""),COLUMN(指数走势!$F$37:$ACK$37))-COLUMN(指数走势!$F$37)+1-760+395)),NA(),IF(INDEX(指数走势!$F$37:$ACK$37,1,LOOKUP(2,1/(指数走势!$F$37:$ACK$37&lt;&gt;""),COLUMN(指数走势!$F$37:$ACK$37))-COLUMN(指数走势!$F$37)+1-760+395)=0,NA(),INDEX(指数走势!$F$37:$ACK$37,1,LOOKUP(2,1/(指数走势!$F$37:$ACK$37&lt;&gt;""),COLUMN(指数走势!$F$37:$ACK$37))-COLUMN(指数走势!$F$37)+1-760+395)))</f>
        <v>9.17910003662109</v>
      </c>
      <c r="OG101">
        <f>IF(ISERROR(INDEX(指数走势!$F$37:$ACK$37,1,LOOKUP(2,1/(指数走势!$F$37:$ACK$37&lt;&gt;""),COLUMN(指数走势!$F$37:$ACK$37))-COLUMN(指数走势!$F$37)+1-760+396)),NA(),IF(INDEX(指数走势!$F$37:$ACK$37,1,LOOKUP(2,1/(指数走势!$F$37:$ACK$37&lt;&gt;""),COLUMN(指数走势!$F$37:$ACK$37))-COLUMN(指数走势!$F$37)+1-760+396)=0,NA(),INDEX(指数走势!$F$37:$ACK$37,1,LOOKUP(2,1/(指数走势!$F$37:$ACK$37&lt;&gt;""),COLUMN(指数走势!$F$37:$ACK$37))-COLUMN(指数走势!$F$37)+1-760+396)))</f>
        <v>9.15489959716797</v>
      </c>
      <c r="OH101">
        <f>IF(ISERROR(INDEX(指数走势!$F$37:$ACK$37,1,LOOKUP(2,1/(指数走势!$F$37:$ACK$37&lt;&gt;""),COLUMN(指数走势!$F$37:$ACK$37))-COLUMN(指数走势!$F$37)+1-760+397)),NA(),IF(INDEX(指数走势!$F$37:$ACK$37,1,LOOKUP(2,1/(指数走势!$F$37:$ACK$37&lt;&gt;""),COLUMN(指数走势!$F$37:$ACK$37))-COLUMN(指数走势!$F$37)+1-760+397)=0,NA(),INDEX(指数走势!$F$37:$ACK$37,1,LOOKUP(2,1/(指数走势!$F$37:$ACK$37&lt;&gt;""),COLUMN(指数走势!$F$37:$ACK$37))-COLUMN(指数走势!$F$37)+1-760+397)))</f>
        <v>9.17640018463135</v>
      </c>
      <c r="OI101">
        <f>IF(ISERROR(INDEX(指数走势!$F$37:$ACK$37,1,LOOKUP(2,1/(指数走势!$F$37:$ACK$37&lt;&gt;""),COLUMN(指数走势!$F$37:$ACK$37))-COLUMN(指数走势!$F$37)+1-760+398)),NA(),IF(INDEX(指数走势!$F$37:$ACK$37,1,LOOKUP(2,1/(指数走势!$F$37:$ACK$37&lt;&gt;""),COLUMN(指数走势!$F$37:$ACK$37))-COLUMN(指数走势!$F$37)+1-760+398)=0,NA(),INDEX(指数走势!$F$37:$ACK$37,1,LOOKUP(2,1/(指数走势!$F$37:$ACK$37&lt;&gt;""),COLUMN(指数走势!$F$37:$ACK$37))-COLUMN(指数走势!$F$37)+1-760+398)))</f>
        <v>8.95639991760254</v>
      </c>
      <c r="OJ101">
        <f>IF(ISERROR(INDEX(指数走势!$F$37:$ACK$37,1,LOOKUP(2,1/(指数走势!$F$37:$ACK$37&lt;&gt;""),COLUMN(指数走势!$F$37:$ACK$37))-COLUMN(指数走势!$F$37)+1-760+399)),NA(),IF(INDEX(指数走势!$F$37:$ACK$37,1,LOOKUP(2,1/(指数走势!$F$37:$ACK$37&lt;&gt;""),COLUMN(指数走势!$F$37:$ACK$37))-COLUMN(指数走势!$F$37)+1-760+399)=0,NA(),INDEX(指数走势!$F$37:$ACK$37,1,LOOKUP(2,1/(指数走势!$F$37:$ACK$37&lt;&gt;""),COLUMN(指数走势!$F$37:$ACK$37))-COLUMN(指数走势!$F$37)+1-760+399)))</f>
        <v>9.0024995803833</v>
      </c>
      <c r="OK101">
        <f>IF(ISERROR(INDEX(指数走势!$F$37:$ACK$37,1,LOOKUP(2,1/(指数走势!$F$37:$ACK$37&lt;&gt;""),COLUMN(指数走势!$F$37:$ACK$37))-COLUMN(指数走势!$F$37)+1-760+400)),NA(),IF(INDEX(指数走势!$F$37:$ACK$37,1,LOOKUP(2,1/(指数走势!$F$37:$ACK$37&lt;&gt;""),COLUMN(指数走势!$F$37:$ACK$37))-COLUMN(指数走势!$F$37)+1-760+400)=0,NA(),INDEX(指数走势!$F$37:$ACK$37,1,LOOKUP(2,1/(指数走势!$F$37:$ACK$37&lt;&gt;""),COLUMN(指数走势!$F$37:$ACK$37))-COLUMN(指数走势!$F$37)+1-760+400)))</f>
        <v>8.97249984741211</v>
      </c>
      <c r="OL101">
        <f>IF(ISERROR(INDEX(指数走势!$F$37:$ACK$37,1,LOOKUP(2,1/(指数走势!$F$37:$ACK$37&lt;&gt;""),COLUMN(指数走势!$F$37:$ACK$37))-COLUMN(指数走势!$F$37)+1-760+401)),NA(),IF(INDEX(指数走势!$F$37:$ACK$37,1,LOOKUP(2,1/(指数走势!$F$37:$ACK$37&lt;&gt;""),COLUMN(指数走势!$F$37:$ACK$37))-COLUMN(指数走势!$F$37)+1-760+401)=0,NA(),INDEX(指数走势!$F$37:$ACK$37,1,LOOKUP(2,1/(指数走势!$F$37:$ACK$37&lt;&gt;""),COLUMN(指数走势!$F$37:$ACK$37))-COLUMN(指数走势!$F$37)+1-760+401)))</f>
        <v>8.85470008850098</v>
      </c>
      <c r="OM101">
        <f>IF(ISERROR(INDEX(指数走势!$F$37:$ACK$37,1,LOOKUP(2,1/(指数走势!$F$37:$ACK$37&lt;&gt;""),COLUMN(指数走势!$F$37:$ACK$37))-COLUMN(指数走势!$F$37)+1-760+402)),NA(),IF(INDEX(指数走势!$F$37:$ACK$37,1,LOOKUP(2,1/(指数走势!$F$37:$ACK$37&lt;&gt;""),COLUMN(指数走势!$F$37:$ACK$37))-COLUMN(指数走势!$F$37)+1-760+402)=0,NA(),INDEX(指数走势!$F$37:$ACK$37,1,LOOKUP(2,1/(指数走势!$F$37:$ACK$37&lt;&gt;""),COLUMN(指数走势!$F$37:$ACK$37))-COLUMN(指数走势!$F$37)+1-760+402)))</f>
        <v>8.79119968414307</v>
      </c>
      <c r="ON101">
        <f>IF(ISERROR(INDEX(指数走势!$F$37:$ACK$37,1,LOOKUP(2,1/(指数走势!$F$37:$ACK$37&lt;&gt;""),COLUMN(指数走势!$F$37:$ACK$37))-COLUMN(指数走势!$F$37)+1-760+403)),NA(),IF(INDEX(指数走势!$F$37:$ACK$37,1,LOOKUP(2,1/(指数走势!$F$37:$ACK$37&lt;&gt;""),COLUMN(指数走势!$F$37:$ACK$37))-COLUMN(指数走势!$F$37)+1-760+403)=0,NA(),INDEX(指数走势!$F$37:$ACK$37,1,LOOKUP(2,1/(指数走势!$F$37:$ACK$37&lt;&gt;""),COLUMN(指数走势!$F$37:$ACK$37))-COLUMN(指数走势!$F$37)+1-760+403)))</f>
        <v>8.77649974822998</v>
      </c>
      <c r="OO101">
        <f>IF(ISERROR(INDEX(指数走势!$F$37:$ACK$37,1,LOOKUP(2,1/(指数走势!$F$37:$ACK$37&lt;&gt;""),COLUMN(指数走势!$F$37:$ACK$37))-COLUMN(指数走势!$F$37)+1-760+404)),NA(),IF(INDEX(指数走势!$F$37:$ACK$37,1,LOOKUP(2,1/(指数走势!$F$37:$ACK$37&lt;&gt;""),COLUMN(指数走势!$F$37:$ACK$37))-COLUMN(指数走势!$F$37)+1-760+404)=0,NA(),INDEX(指数走势!$F$37:$ACK$37,1,LOOKUP(2,1/(指数走势!$F$37:$ACK$37&lt;&gt;""),COLUMN(指数走势!$F$37:$ACK$37))-COLUMN(指数走势!$F$37)+1-760+404)))</f>
        <v>8.69909954071045</v>
      </c>
      <c r="OP101">
        <f>IF(ISERROR(INDEX(指数走势!$F$37:$ACK$37,1,LOOKUP(2,1/(指数走势!$F$37:$ACK$37&lt;&gt;""),COLUMN(指数走势!$F$37:$ACK$37))-COLUMN(指数走势!$F$37)+1-760+405)),NA(),IF(INDEX(指数走势!$F$37:$ACK$37,1,LOOKUP(2,1/(指数走势!$F$37:$ACK$37&lt;&gt;""),COLUMN(指数走势!$F$37:$ACK$37))-COLUMN(指数走势!$F$37)+1-760+405)=0,NA(),INDEX(指数走势!$F$37:$ACK$37,1,LOOKUP(2,1/(指数走势!$F$37:$ACK$37&lt;&gt;""),COLUMN(指数走势!$F$37:$ACK$37))-COLUMN(指数走势!$F$37)+1-760+405)))</f>
        <v>8.63840007781982</v>
      </c>
      <c r="OQ101">
        <f>IF(ISERROR(INDEX(指数走势!$F$37:$ACK$37,1,LOOKUP(2,1/(指数走势!$F$37:$ACK$37&lt;&gt;""),COLUMN(指数走势!$F$37:$ACK$37))-COLUMN(指数走势!$F$37)+1-760+406)),NA(),IF(INDEX(指数走势!$F$37:$ACK$37,1,LOOKUP(2,1/(指数走势!$F$37:$ACK$37&lt;&gt;""),COLUMN(指数走势!$F$37:$ACK$37))-COLUMN(指数走势!$F$37)+1-760+406)=0,NA(),INDEX(指数走势!$F$37:$ACK$37,1,LOOKUP(2,1/(指数走势!$F$37:$ACK$37&lt;&gt;""),COLUMN(指数走势!$F$37:$ACK$37))-COLUMN(指数走势!$F$37)+1-760+406)))</f>
        <v>8.78260040283203</v>
      </c>
      <c r="OR101">
        <f>IF(ISERROR(INDEX(指数走势!$F$37:$ACK$37,1,LOOKUP(2,1/(指数走势!$F$37:$ACK$37&lt;&gt;""),COLUMN(指数走势!$F$37:$ACK$37))-COLUMN(指数走势!$F$37)+1-760+407)),NA(),IF(INDEX(指数走势!$F$37:$ACK$37,1,LOOKUP(2,1/(指数走势!$F$37:$ACK$37&lt;&gt;""),COLUMN(指数走势!$F$37:$ACK$37))-COLUMN(指数走势!$F$37)+1-760+407)=0,NA(),INDEX(指数走势!$F$37:$ACK$37,1,LOOKUP(2,1/(指数走势!$F$37:$ACK$37&lt;&gt;""),COLUMN(指数走势!$F$37:$ACK$37))-COLUMN(指数走势!$F$37)+1-760+407)))</f>
        <v>8.82019996643066</v>
      </c>
      <c r="OS101">
        <f>IF(ISERROR(INDEX(指数走势!$F$37:$ACK$37,1,LOOKUP(2,1/(指数走势!$F$37:$ACK$37&lt;&gt;""),COLUMN(指数走势!$F$37:$ACK$37))-COLUMN(指数走势!$F$37)+1-760+408)),NA(),IF(INDEX(指数走势!$F$37:$ACK$37,1,LOOKUP(2,1/(指数走势!$F$37:$ACK$37&lt;&gt;""),COLUMN(指数走势!$F$37:$ACK$37))-COLUMN(指数走势!$F$37)+1-760+408)=0,NA(),INDEX(指数走势!$F$37:$ACK$37,1,LOOKUP(2,1/(指数走势!$F$37:$ACK$37&lt;&gt;""),COLUMN(指数走势!$F$37:$ACK$37))-COLUMN(指数走势!$F$37)+1-760+408)))</f>
        <v>8.91819953918457</v>
      </c>
      <c r="OT101">
        <f>IF(ISERROR(INDEX(指数走势!$F$37:$ACK$37,1,LOOKUP(2,1/(指数走势!$F$37:$ACK$37&lt;&gt;""),COLUMN(指数走势!$F$37:$ACK$37))-COLUMN(指数走势!$F$37)+1-760+409)),NA(),IF(INDEX(指数走势!$F$37:$ACK$37,1,LOOKUP(2,1/(指数走势!$F$37:$ACK$37&lt;&gt;""),COLUMN(指数走势!$F$37:$ACK$37))-COLUMN(指数走势!$F$37)+1-760+409)=0,NA(),INDEX(指数走势!$F$37:$ACK$37,1,LOOKUP(2,1/(指数走势!$F$37:$ACK$37&lt;&gt;""),COLUMN(指数走势!$F$37:$ACK$37))-COLUMN(指数走势!$F$37)+1-760+409)))</f>
        <v>8.91689968109131</v>
      </c>
      <c r="OU101">
        <f>IF(ISERROR(INDEX(指数走势!$F$37:$ACK$37,1,LOOKUP(2,1/(指数走势!$F$37:$ACK$37&lt;&gt;""),COLUMN(指数走势!$F$37:$ACK$37))-COLUMN(指数走势!$F$37)+1-760+410)),NA(),IF(INDEX(指数走势!$F$37:$ACK$37,1,LOOKUP(2,1/(指数走势!$F$37:$ACK$37&lt;&gt;""),COLUMN(指数走势!$F$37:$ACK$37))-COLUMN(指数走势!$F$37)+1-760+410)=0,NA(),INDEX(指数走势!$F$37:$ACK$37,1,LOOKUP(2,1/(指数走势!$F$37:$ACK$37&lt;&gt;""),COLUMN(指数走势!$F$37:$ACK$37))-COLUMN(指数走势!$F$37)+1-760+410)))</f>
        <v>9.04319953918457</v>
      </c>
      <c r="OV101">
        <f>IF(ISERROR(INDEX(指数走势!$F$37:$ACK$37,1,LOOKUP(2,1/(指数走势!$F$37:$ACK$37&lt;&gt;""),COLUMN(指数走势!$F$37:$ACK$37))-COLUMN(指数走势!$F$37)+1-760+411)),NA(),IF(INDEX(指数走势!$F$37:$ACK$37,1,LOOKUP(2,1/(指数走势!$F$37:$ACK$37&lt;&gt;""),COLUMN(指数走势!$F$37:$ACK$37))-COLUMN(指数走势!$F$37)+1-760+411)=0,NA(),INDEX(指数走势!$F$37:$ACK$37,1,LOOKUP(2,1/(指数走势!$F$37:$ACK$37&lt;&gt;""),COLUMN(指数走势!$F$37:$ACK$37))-COLUMN(指数走势!$F$37)+1-760+411)))</f>
        <v>9.10249996185303</v>
      </c>
      <c r="OW101">
        <f>IF(ISERROR(INDEX(指数走势!$F$37:$ACK$37,1,LOOKUP(2,1/(指数走势!$F$37:$ACK$37&lt;&gt;""),COLUMN(指数走势!$F$37:$ACK$37))-COLUMN(指数走势!$F$37)+1-760+412)),NA(),IF(INDEX(指数走势!$F$37:$ACK$37,1,LOOKUP(2,1/(指数走势!$F$37:$ACK$37&lt;&gt;""),COLUMN(指数走势!$F$37:$ACK$37))-COLUMN(指数走势!$F$37)+1-760+412)=0,NA(),INDEX(指数走势!$F$37:$ACK$37,1,LOOKUP(2,1/(指数走势!$F$37:$ACK$37&lt;&gt;""),COLUMN(指数走势!$F$37:$ACK$37))-COLUMN(指数走势!$F$37)+1-760+412)))</f>
        <v>8.96469974517822</v>
      </c>
      <c r="OX101">
        <f>IF(ISERROR(INDEX(指数走势!$F$37:$ACK$37,1,LOOKUP(2,1/(指数走势!$F$37:$ACK$37&lt;&gt;""),COLUMN(指数走势!$F$37:$ACK$37))-COLUMN(指数走势!$F$37)+1-760+413)),NA(),IF(INDEX(指数走势!$F$37:$ACK$37,1,LOOKUP(2,1/(指数走势!$F$37:$ACK$37&lt;&gt;""),COLUMN(指数走势!$F$37:$ACK$37))-COLUMN(指数走势!$F$37)+1-760+413)=0,NA(),INDEX(指数走势!$F$37:$ACK$37,1,LOOKUP(2,1/(指数走势!$F$37:$ACK$37&lt;&gt;""),COLUMN(指数走势!$F$37:$ACK$37))-COLUMN(指数走势!$F$37)+1-760+413)))</f>
        <v>8.95139980316162</v>
      </c>
      <c r="OY101">
        <f>IF(ISERROR(INDEX(指数走势!$F$37:$ACK$37,1,LOOKUP(2,1/(指数走势!$F$37:$ACK$37&lt;&gt;""),COLUMN(指数走势!$F$37:$ACK$37))-COLUMN(指数走势!$F$37)+1-760+414)),NA(),IF(INDEX(指数走势!$F$37:$ACK$37,1,LOOKUP(2,1/(指数走势!$F$37:$ACK$37&lt;&gt;""),COLUMN(指数走势!$F$37:$ACK$37))-COLUMN(指数走势!$F$37)+1-760+414)=0,NA(),INDEX(指数走势!$F$37:$ACK$37,1,LOOKUP(2,1/(指数走势!$F$37:$ACK$37&lt;&gt;""),COLUMN(指数走势!$F$37:$ACK$37))-COLUMN(指数走势!$F$37)+1-760+414)))</f>
        <v>9.12180042266846</v>
      </c>
      <c r="OZ101">
        <f>IF(ISERROR(INDEX(指数走势!$F$37:$ACK$37,1,LOOKUP(2,1/(指数走势!$F$37:$ACK$37&lt;&gt;""),COLUMN(指数走势!$F$37:$ACK$37))-COLUMN(指数走势!$F$37)+1-760+415)),NA(),IF(INDEX(指数走势!$F$37:$ACK$37,1,LOOKUP(2,1/(指数走势!$F$37:$ACK$37&lt;&gt;""),COLUMN(指数走势!$F$37:$ACK$37))-COLUMN(指数走势!$F$37)+1-760+415)=0,NA(),INDEX(指数走势!$F$37:$ACK$37,1,LOOKUP(2,1/(指数走势!$F$37:$ACK$37&lt;&gt;""),COLUMN(指数走势!$F$37:$ACK$37))-COLUMN(指数走势!$F$37)+1-760+415)))</f>
        <v>9.19909954071045</v>
      </c>
      <c r="PA101">
        <f>IF(ISERROR(INDEX(指数走势!$F$37:$ACK$37,1,LOOKUP(2,1/(指数走势!$F$37:$ACK$37&lt;&gt;""),COLUMN(指数走势!$F$37:$ACK$37))-COLUMN(指数走势!$F$37)+1-760+416)),NA(),IF(INDEX(指数走势!$F$37:$ACK$37,1,LOOKUP(2,1/(指数走势!$F$37:$ACK$37&lt;&gt;""),COLUMN(指数走势!$F$37:$ACK$37))-COLUMN(指数走势!$F$37)+1-760+416)=0,NA(),INDEX(指数走势!$F$37:$ACK$37,1,LOOKUP(2,1/(指数走势!$F$37:$ACK$37&lt;&gt;""),COLUMN(指数走势!$F$37:$ACK$37))-COLUMN(指数走势!$F$37)+1-760+416)))</f>
        <v>9.33640003204346</v>
      </c>
      <c r="PB101">
        <f>IF(ISERROR(INDEX(指数走势!$F$37:$ACK$37,1,LOOKUP(2,1/(指数走势!$F$37:$ACK$37&lt;&gt;""),COLUMN(指数走势!$F$37:$ACK$37))-COLUMN(指数走势!$F$37)+1-760+417)),NA(),IF(INDEX(指数走势!$F$37:$ACK$37,1,LOOKUP(2,1/(指数走势!$F$37:$ACK$37&lt;&gt;""),COLUMN(指数走势!$F$37:$ACK$37))-COLUMN(指数走势!$F$37)+1-760+417)=0,NA(),INDEX(指数走势!$F$37:$ACK$37,1,LOOKUP(2,1/(指数走势!$F$37:$ACK$37&lt;&gt;""),COLUMN(指数走势!$F$37:$ACK$37))-COLUMN(指数走势!$F$37)+1-760+417)))</f>
        <v>9.46570014953613</v>
      </c>
      <c r="PC101">
        <f>IF(ISERROR(INDEX(指数走势!$F$37:$ACK$37,1,LOOKUP(2,1/(指数走势!$F$37:$ACK$37&lt;&gt;""),COLUMN(指数走势!$F$37:$ACK$37))-COLUMN(指数走势!$F$37)+1-760+418)),NA(),IF(INDEX(指数走势!$F$37:$ACK$37,1,LOOKUP(2,1/(指数走势!$F$37:$ACK$37&lt;&gt;""),COLUMN(指数走势!$F$37:$ACK$37))-COLUMN(指数走势!$F$37)+1-760+418)=0,NA(),INDEX(指数走势!$F$37:$ACK$37,1,LOOKUP(2,1/(指数走势!$F$37:$ACK$37&lt;&gt;""),COLUMN(指数走势!$F$37:$ACK$37))-COLUMN(指数走势!$F$37)+1-760+418)))</f>
        <v>9.54189968109131</v>
      </c>
      <c r="PD101">
        <f>IF(ISERROR(INDEX(指数走势!$F$37:$ACK$37,1,LOOKUP(2,1/(指数走势!$F$37:$ACK$37&lt;&gt;""),COLUMN(指数走势!$F$37:$ACK$37))-COLUMN(指数走势!$F$37)+1-760+419)),NA(),IF(INDEX(指数走势!$F$37:$ACK$37,1,LOOKUP(2,1/(指数走势!$F$37:$ACK$37&lt;&gt;""),COLUMN(指数走势!$F$37:$ACK$37))-COLUMN(指数走势!$F$37)+1-760+419)=0,NA(),INDEX(指数走势!$F$37:$ACK$37,1,LOOKUP(2,1/(指数走势!$F$37:$ACK$37&lt;&gt;""),COLUMN(指数走势!$F$37:$ACK$37))-COLUMN(指数走势!$F$37)+1-760+419)))</f>
        <v>9.6943998336792</v>
      </c>
      <c r="PE101">
        <f>IF(ISERROR(INDEX(指数走势!$F$37:$ACK$37,1,LOOKUP(2,1/(指数走势!$F$37:$ACK$37&lt;&gt;""),COLUMN(指数走势!$F$37:$ACK$37))-COLUMN(指数走势!$F$37)+1-760+420)),NA(),IF(INDEX(指数走势!$F$37:$ACK$37,1,LOOKUP(2,1/(指数走势!$F$37:$ACK$37&lt;&gt;""),COLUMN(指数走势!$F$37:$ACK$37))-COLUMN(指数走势!$F$37)+1-760+420)=0,NA(),INDEX(指数走势!$F$37:$ACK$37,1,LOOKUP(2,1/(指数走势!$F$37:$ACK$37&lt;&gt;""),COLUMN(指数走势!$F$37:$ACK$37))-COLUMN(指数走势!$F$37)+1-760+420)))</f>
        <v>9.60029983520508</v>
      </c>
      <c r="PF101">
        <f>IF(ISERROR(INDEX(指数走势!$F$37:$ACK$37,1,LOOKUP(2,1/(指数走势!$F$37:$ACK$37&lt;&gt;""),COLUMN(指数走势!$F$37:$ACK$37))-COLUMN(指数走势!$F$37)+1-760+421)),NA(),IF(INDEX(指数走势!$F$37:$ACK$37,1,LOOKUP(2,1/(指数走势!$F$37:$ACK$37&lt;&gt;""),COLUMN(指数走势!$F$37:$ACK$37))-COLUMN(指数走势!$F$37)+1-760+421)=0,NA(),INDEX(指数走势!$F$37:$ACK$37,1,LOOKUP(2,1/(指数走势!$F$37:$ACK$37&lt;&gt;""),COLUMN(指数走势!$F$37:$ACK$37))-COLUMN(指数走势!$F$37)+1-760+421)))</f>
        <v>9.85960006713867</v>
      </c>
      <c r="PG101">
        <f>IF(ISERROR(INDEX(指数走势!$F$37:$ACK$37,1,LOOKUP(2,1/(指数走势!$F$37:$ACK$37&lt;&gt;""),COLUMN(指数走势!$F$37:$ACK$37))-COLUMN(指数走势!$F$37)+1-760+422)),NA(),IF(INDEX(指数走势!$F$37:$ACK$37,1,LOOKUP(2,1/(指数走势!$F$37:$ACK$37&lt;&gt;""),COLUMN(指数走势!$F$37:$ACK$37))-COLUMN(指数走势!$F$37)+1-760+422)=0,NA(),INDEX(指数走势!$F$37:$ACK$37,1,LOOKUP(2,1/(指数走势!$F$37:$ACK$37&lt;&gt;""),COLUMN(指数走势!$F$37:$ACK$37))-COLUMN(指数走势!$F$37)+1-760+422)))</f>
        <v>9.81099987030029</v>
      </c>
      <c r="PH101">
        <f>IF(ISERROR(INDEX(指数走势!$F$37:$ACK$37,1,LOOKUP(2,1/(指数走势!$F$37:$ACK$37&lt;&gt;""),COLUMN(指数走势!$F$37:$ACK$37))-COLUMN(指数走势!$F$37)+1-760+423)),NA(),IF(INDEX(指数走势!$F$37:$ACK$37,1,LOOKUP(2,1/(指数走势!$F$37:$ACK$37&lt;&gt;""),COLUMN(指数走势!$F$37:$ACK$37))-COLUMN(指数走势!$F$37)+1-760+423)=0,NA(),INDEX(指数走势!$F$37:$ACK$37,1,LOOKUP(2,1/(指数走势!$F$37:$ACK$37&lt;&gt;""),COLUMN(指数走势!$F$37:$ACK$37))-COLUMN(指数走势!$F$37)+1-760+423)))</f>
        <v>10.1511001586914</v>
      </c>
      <c r="PI101">
        <f>IF(ISERROR(INDEX(指数走势!$F$37:$ACK$37,1,LOOKUP(2,1/(指数走势!$F$37:$ACK$37&lt;&gt;""),COLUMN(指数走势!$F$37:$ACK$37))-COLUMN(指数走势!$F$37)+1-760+424)),NA(),IF(INDEX(指数走势!$F$37:$ACK$37,1,LOOKUP(2,1/(指数走势!$F$37:$ACK$37&lt;&gt;""),COLUMN(指数走势!$F$37:$ACK$37))-COLUMN(指数走势!$F$37)+1-760+424)=0,NA(),INDEX(指数走势!$F$37:$ACK$37,1,LOOKUP(2,1/(指数走势!$F$37:$ACK$37&lt;&gt;""),COLUMN(指数走势!$F$37:$ACK$37))-COLUMN(指数走势!$F$37)+1-760+424)))</f>
        <v>10.1612997055054</v>
      </c>
      <c r="PJ101">
        <f>IF(ISERROR(INDEX(指数走势!$F$37:$ACK$37,1,LOOKUP(2,1/(指数走势!$F$37:$ACK$37&lt;&gt;""),COLUMN(指数走势!$F$37:$ACK$37))-COLUMN(指数走势!$F$37)+1-760+425)),NA(),IF(INDEX(指数走势!$F$37:$ACK$37,1,LOOKUP(2,1/(指数走势!$F$37:$ACK$37&lt;&gt;""),COLUMN(指数走势!$F$37:$ACK$37))-COLUMN(指数走势!$F$37)+1-760+425)=0,NA(),INDEX(指数走势!$F$37:$ACK$37,1,LOOKUP(2,1/(指数走势!$F$37:$ACK$37&lt;&gt;""),COLUMN(指数走势!$F$37:$ACK$37))-COLUMN(指数走势!$F$37)+1-760+425)))</f>
        <v>10.2795000076294</v>
      </c>
      <c r="PK101">
        <f>IF(ISERROR(INDEX(指数走势!$F$37:$ACK$37,1,LOOKUP(2,1/(指数走势!$F$37:$ACK$37&lt;&gt;""),COLUMN(指数走势!$F$37:$ACK$37))-COLUMN(指数走势!$F$37)+1-760+426)),NA(),IF(INDEX(指数走势!$F$37:$ACK$37,1,LOOKUP(2,1/(指数走势!$F$37:$ACK$37&lt;&gt;""),COLUMN(指数走势!$F$37:$ACK$37))-COLUMN(指数走势!$F$37)+1-760+426)=0,NA(),INDEX(指数走势!$F$37:$ACK$37,1,LOOKUP(2,1/(指数走势!$F$37:$ACK$37&lt;&gt;""),COLUMN(指数走势!$F$37:$ACK$37))-COLUMN(指数走势!$F$37)+1-760+426)))</f>
        <v>10.2403001785278</v>
      </c>
      <c r="PL101">
        <f>IF(ISERROR(INDEX(指数走势!$F$37:$ACK$37,1,LOOKUP(2,1/(指数走势!$F$37:$ACK$37&lt;&gt;""),COLUMN(指数走势!$F$37:$ACK$37))-COLUMN(指数走势!$F$37)+1-760+427)),NA(),IF(INDEX(指数走势!$F$37:$ACK$37,1,LOOKUP(2,1/(指数走势!$F$37:$ACK$37&lt;&gt;""),COLUMN(指数走势!$F$37:$ACK$37))-COLUMN(指数走势!$F$37)+1-760+427)=0,NA(),INDEX(指数走势!$F$37:$ACK$37,1,LOOKUP(2,1/(指数走势!$F$37:$ACK$37&lt;&gt;""),COLUMN(指数走势!$F$37:$ACK$37))-COLUMN(指数走势!$F$37)+1-760+427)))</f>
        <v>10</v>
      </c>
      <c r="PM101">
        <f>IF(ISERROR(INDEX(指数走势!$F$37:$ACK$37,1,LOOKUP(2,1/(指数走势!$F$37:$ACK$37&lt;&gt;""),COLUMN(指数走势!$F$37:$ACK$37))-COLUMN(指数走势!$F$37)+1-760+428)),NA(),IF(INDEX(指数走势!$F$37:$ACK$37,1,LOOKUP(2,1/(指数走势!$F$37:$ACK$37&lt;&gt;""),COLUMN(指数走势!$F$37:$ACK$37))-COLUMN(指数走势!$F$37)+1-760+428)=0,NA(),INDEX(指数走势!$F$37:$ACK$37,1,LOOKUP(2,1/(指数走势!$F$37:$ACK$37&lt;&gt;""),COLUMN(指数走势!$F$37:$ACK$37))-COLUMN(指数走势!$F$37)+1-760+428)))</f>
        <v>10.3283996582031</v>
      </c>
      <c r="PN101">
        <f>IF(ISERROR(INDEX(指数走势!$F$37:$ACK$37,1,LOOKUP(2,1/(指数走势!$F$37:$ACK$37&lt;&gt;""),COLUMN(指数走势!$F$37:$ACK$37))-COLUMN(指数走势!$F$37)+1-760+429)),NA(),IF(INDEX(指数走势!$F$37:$ACK$37,1,LOOKUP(2,1/(指数走势!$F$37:$ACK$37&lt;&gt;""),COLUMN(指数走势!$F$37:$ACK$37))-COLUMN(指数走势!$F$37)+1-760+429)=0,NA(),INDEX(指数走势!$F$37:$ACK$37,1,LOOKUP(2,1/(指数走势!$F$37:$ACK$37&lt;&gt;""),COLUMN(指数走势!$F$37:$ACK$37))-COLUMN(指数走势!$F$37)+1-760+429)))</f>
        <v>10.2404003143311</v>
      </c>
      <c r="PO101">
        <f>IF(ISERROR(INDEX(指数走势!$F$37:$ACK$37,1,LOOKUP(2,1/(指数走势!$F$37:$ACK$37&lt;&gt;""),COLUMN(指数走势!$F$37:$ACK$37))-COLUMN(指数走势!$F$37)+1-760+430)),NA(),IF(INDEX(指数走势!$F$37:$ACK$37,1,LOOKUP(2,1/(指数走势!$F$37:$ACK$37&lt;&gt;""),COLUMN(指数走势!$F$37:$ACK$37))-COLUMN(指数走势!$F$37)+1-760+430)=0,NA(),INDEX(指数走势!$F$37:$ACK$37,1,LOOKUP(2,1/(指数走势!$F$37:$ACK$37&lt;&gt;""),COLUMN(指数走势!$F$37:$ACK$37))-COLUMN(指数走势!$F$37)+1-760+430)))</f>
        <v>10.0873003005981</v>
      </c>
      <c r="PP101">
        <f>IF(ISERROR(INDEX(指数走势!$F$37:$ACK$37,1,LOOKUP(2,1/(指数走势!$F$37:$ACK$37&lt;&gt;""),COLUMN(指数走势!$F$37:$ACK$37))-COLUMN(指数走势!$F$37)+1-760+431)),NA(),IF(INDEX(指数走势!$F$37:$ACK$37,1,LOOKUP(2,1/(指数走势!$F$37:$ACK$37&lt;&gt;""),COLUMN(指数走势!$F$37:$ACK$37))-COLUMN(指数走势!$F$37)+1-760+431)=0,NA(),INDEX(指数走势!$F$37:$ACK$37,1,LOOKUP(2,1/(指数走势!$F$37:$ACK$37&lt;&gt;""),COLUMN(指数走势!$F$37:$ACK$37))-COLUMN(指数走势!$F$37)+1-760+431)))</f>
        <v>10.3572998046875</v>
      </c>
      <c r="PQ101">
        <f>IF(ISERROR(INDEX(指数走势!$F$37:$ACK$37,1,LOOKUP(2,1/(指数走势!$F$37:$ACK$37&lt;&gt;""),COLUMN(指数走势!$F$37:$ACK$37))-COLUMN(指数走势!$F$37)+1-760+432)),NA(),IF(INDEX(指数走势!$F$37:$ACK$37,1,LOOKUP(2,1/(指数走势!$F$37:$ACK$37&lt;&gt;""),COLUMN(指数走势!$F$37:$ACK$37))-COLUMN(指数走势!$F$37)+1-760+432)=0,NA(),INDEX(指数走势!$F$37:$ACK$37,1,LOOKUP(2,1/(指数走势!$F$37:$ACK$37&lt;&gt;""),COLUMN(指数走势!$F$37:$ACK$37))-COLUMN(指数走势!$F$37)+1-760+432)))</f>
        <v>10.3263998031616</v>
      </c>
      <c r="PR101">
        <f>IF(ISERROR(INDEX(指数走势!$F$37:$ACK$37,1,LOOKUP(2,1/(指数走势!$F$37:$ACK$37&lt;&gt;""),COLUMN(指数走势!$F$37:$ACK$37))-COLUMN(指数走势!$F$37)+1-760+433)),NA(),IF(INDEX(指数走势!$F$37:$ACK$37,1,LOOKUP(2,1/(指数走势!$F$37:$ACK$37&lt;&gt;""),COLUMN(指数走势!$F$37:$ACK$37))-COLUMN(指数走势!$F$37)+1-760+433)=0,NA(),INDEX(指数走势!$F$37:$ACK$37,1,LOOKUP(2,1/(指数走势!$F$37:$ACK$37&lt;&gt;""),COLUMN(指数走势!$F$37:$ACK$37))-COLUMN(指数走势!$F$37)+1-760+433)))</f>
        <v>10.0327997207642</v>
      </c>
      <c r="PS101">
        <f>IF(ISERROR(INDEX(指数走势!$F$37:$ACK$37,1,LOOKUP(2,1/(指数走势!$F$37:$ACK$37&lt;&gt;""),COLUMN(指数走势!$F$37:$ACK$37))-COLUMN(指数走势!$F$37)+1-760+434)),NA(),IF(INDEX(指数走势!$F$37:$ACK$37,1,LOOKUP(2,1/(指数走势!$F$37:$ACK$37&lt;&gt;""),COLUMN(指数走势!$F$37:$ACK$37))-COLUMN(指数走势!$F$37)+1-760+434)=0,NA(),INDEX(指数走势!$F$37:$ACK$37,1,LOOKUP(2,1/(指数走势!$F$37:$ACK$37&lt;&gt;""),COLUMN(指数走势!$F$37:$ACK$37))-COLUMN(指数走势!$F$37)+1-760+434)))</f>
        <v>10.0708999633789</v>
      </c>
      <c r="PT101">
        <f>IF(ISERROR(INDEX(指数走势!$F$37:$ACK$37,1,LOOKUP(2,1/(指数走势!$F$37:$ACK$37&lt;&gt;""),COLUMN(指数走势!$F$37:$ACK$37))-COLUMN(指数走势!$F$37)+1-760+435)),NA(),IF(INDEX(指数走势!$F$37:$ACK$37,1,LOOKUP(2,1/(指数走势!$F$37:$ACK$37&lt;&gt;""),COLUMN(指数走势!$F$37:$ACK$37))-COLUMN(指数走势!$F$37)+1-760+435)=0,NA(),INDEX(指数走势!$F$37:$ACK$37,1,LOOKUP(2,1/(指数走势!$F$37:$ACK$37&lt;&gt;""),COLUMN(指数走势!$F$37:$ACK$37))-COLUMN(指数走势!$F$37)+1-760+435)))</f>
        <v>10.0504999160767</v>
      </c>
      <c r="PU101">
        <f>IF(ISERROR(INDEX(指数走势!$F$37:$ACK$37,1,LOOKUP(2,1/(指数走势!$F$37:$ACK$37&lt;&gt;""),COLUMN(指数走势!$F$37:$ACK$37))-COLUMN(指数走势!$F$37)+1-760+436)),NA(),IF(INDEX(指数走势!$F$37:$ACK$37,1,LOOKUP(2,1/(指数走势!$F$37:$ACK$37&lt;&gt;""),COLUMN(指数走势!$F$37:$ACK$37))-COLUMN(指数走势!$F$37)+1-760+436)=0,NA(),INDEX(指数走势!$F$37:$ACK$37,1,LOOKUP(2,1/(指数走势!$F$37:$ACK$37&lt;&gt;""),COLUMN(指数走势!$F$37:$ACK$37))-COLUMN(指数走势!$F$37)+1-760+436)))</f>
        <v>10.3200998306274</v>
      </c>
      <c r="PV101">
        <f>IF(ISERROR(INDEX(指数走势!$F$37:$ACK$37,1,LOOKUP(2,1/(指数走势!$F$37:$ACK$37&lt;&gt;""),COLUMN(指数走势!$F$37:$ACK$37))-COLUMN(指数走势!$F$37)+1-760+437)),NA(),IF(INDEX(指数走势!$F$37:$ACK$37,1,LOOKUP(2,1/(指数走势!$F$37:$ACK$37&lt;&gt;""),COLUMN(指数走势!$F$37:$ACK$37))-COLUMN(指数走势!$F$37)+1-760+437)=0,NA(),INDEX(指数走势!$F$37:$ACK$37,1,LOOKUP(2,1/(指数走势!$F$37:$ACK$37&lt;&gt;""),COLUMN(指数走势!$F$37:$ACK$37))-COLUMN(指数走势!$F$37)+1-760+437)))</f>
        <v>10.5966997146606</v>
      </c>
      <c r="PW101">
        <f>IF(ISERROR(INDEX(指数走势!$F$37:$ACK$37,1,LOOKUP(2,1/(指数走势!$F$37:$ACK$37&lt;&gt;""),COLUMN(指数走势!$F$37:$ACK$37))-COLUMN(指数走势!$F$37)+1-760+438)),NA(),IF(INDEX(指数走势!$F$37:$ACK$37,1,LOOKUP(2,1/(指数走势!$F$37:$ACK$37&lt;&gt;""),COLUMN(指数走势!$F$37:$ACK$37))-COLUMN(指数走势!$F$37)+1-760+438)=0,NA(),INDEX(指数走势!$F$37:$ACK$37,1,LOOKUP(2,1/(指数走势!$F$37:$ACK$37&lt;&gt;""),COLUMN(指数走势!$F$37:$ACK$37))-COLUMN(指数走势!$F$37)+1-760+438)))</f>
        <v>10.5509004592896</v>
      </c>
      <c r="PX101">
        <f>IF(ISERROR(INDEX(指数走势!$F$37:$ACK$37,1,LOOKUP(2,1/(指数走势!$F$37:$ACK$37&lt;&gt;""),COLUMN(指数走势!$F$37:$ACK$37))-COLUMN(指数走势!$F$37)+1-760+439)),NA(),IF(INDEX(指数走势!$F$37:$ACK$37,1,LOOKUP(2,1/(指数走势!$F$37:$ACK$37&lt;&gt;""),COLUMN(指数走势!$F$37:$ACK$37))-COLUMN(指数走势!$F$37)+1-760+439)=0,NA(),INDEX(指数走势!$F$37:$ACK$37,1,LOOKUP(2,1/(指数走势!$F$37:$ACK$37&lt;&gt;""),COLUMN(指数走势!$F$37:$ACK$37))-COLUMN(指数走势!$F$37)+1-760+439)))</f>
        <v>10.3804998397827</v>
      </c>
      <c r="PY101">
        <f>IF(ISERROR(INDEX(指数走势!$F$37:$ACK$37,1,LOOKUP(2,1/(指数走势!$F$37:$ACK$37&lt;&gt;""),COLUMN(指数走势!$F$37:$ACK$37))-COLUMN(指数走势!$F$37)+1-760+440)),NA(),IF(INDEX(指数走势!$F$37:$ACK$37,1,LOOKUP(2,1/(指数走势!$F$37:$ACK$37&lt;&gt;""),COLUMN(指数走势!$F$37:$ACK$37))-COLUMN(指数走势!$F$37)+1-760+440)=0,NA(),INDEX(指数走势!$F$37:$ACK$37,1,LOOKUP(2,1/(指数走势!$F$37:$ACK$37&lt;&gt;""),COLUMN(指数走势!$F$37:$ACK$37))-COLUMN(指数走势!$F$37)+1-760+440)))</f>
        <v>10.4013004302979</v>
      </c>
      <c r="PZ101">
        <f>IF(ISERROR(INDEX(指数走势!$F$37:$ACK$37,1,LOOKUP(2,1/(指数走势!$F$37:$ACK$37&lt;&gt;""),COLUMN(指数走势!$F$37:$ACK$37))-COLUMN(指数走势!$F$37)+1-760+441)),NA(),IF(INDEX(指数走势!$F$37:$ACK$37,1,LOOKUP(2,1/(指数走势!$F$37:$ACK$37&lt;&gt;""),COLUMN(指数走势!$F$37:$ACK$37))-COLUMN(指数走势!$F$37)+1-760+441)=0,NA(),INDEX(指数走势!$F$37:$ACK$37,1,LOOKUP(2,1/(指数走势!$F$37:$ACK$37&lt;&gt;""),COLUMN(指数走势!$F$37:$ACK$37))-COLUMN(指数走势!$F$37)+1-760+441)))</f>
        <v>10.3354997634888</v>
      </c>
      <c r="QA101">
        <f>IF(ISERROR(INDEX(指数走势!$F$37:$ACK$37,1,LOOKUP(2,1/(指数走势!$F$37:$ACK$37&lt;&gt;""),COLUMN(指数走势!$F$37:$ACK$37))-COLUMN(指数走势!$F$37)+1-760+442)),NA(),IF(INDEX(指数走势!$F$37:$ACK$37,1,LOOKUP(2,1/(指数走势!$F$37:$ACK$37&lt;&gt;""),COLUMN(指数走势!$F$37:$ACK$37))-COLUMN(指数走势!$F$37)+1-760+442)=0,NA(),INDEX(指数走势!$F$37:$ACK$37,1,LOOKUP(2,1/(指数走势!$F$37:$ACK$37&lt;&gt;""),COLUMN(指数走势!$F$37:$ACK$37))-COLUMN(指数走势!$F$37)+1-760+442)))</f>
        <v>10.2645998001099</v>
      </c>
      <c r="QB101">
        <f>IF(ISERROR(INDEX(指数走势!$F$37:$ACK$37,1,LOOKUP(2,1/(指数走势!$F$37:$ACK$37&lt;&gt;""),COLUMN(指数走势!$F$37:$ACK$37))-COLUMN(指数走势!$F$37)+1-760+443)),NA(),IF(INDEX(指数走势!$F$37:$ACK$37,1,LOOKUP(2,1/(指数走势!$F$37:$ACK$37&lt;&gt;""),COLUMN(指数走势!$F$37:$ACK$37))-COLUMN(指数走势!$F$37)+1-760+443)=0,NA(),INDEX(指数走势!$F$37:$ACK$37,1,LOOKUP(2,1/(指数走势!$F$37:$ACK$37&lt;&gt;""),COLUMN(指数走势!$F$37:$ACK$37))-COLUMN(指数走势!$F$37)+1-760+443)))</f>
        <v>10.4361000061035</v>
      </c>
      <c r="QC101">
        <f>IF(ISERROR(INDEX(指数走势!$F$37:$ACK$37,1,LOOKUP(2,1/(指数走势!$F$37:$ACK$37&lt;&gt;""),COLUMN(指数走势!$F$37:$ACK$37))-COLUMN(指数走势!$F$37)+1-760+444)),NA(),IF(INDEX(指数走势!$F$37:$ACK$37,1,LOOKUP(2,1/(指数走势!$F$37:$ACK$37&lt;&gt;""),COLUMN(指数走势!$F$37:$ACK$37))-COLUMN(指数走势!$F$37)+1-760+444)=0,NA(),INDEX(指数走势!$F$37:$ACK$37,1,LOOKUP(2,1/(指数走势!$F$37:$ACK$37&lt;&gt;""),COLUMN(指数走势!$F$37:$ACK$37))-COLUMN(指数走势!$F$37)+1-760+444)))</f>
        <v>10.496600151062</v>
      </c>
      <c r="QD101">
        <f>IF(ISERROR(INDEX(指数走势!$F$37:$ACK$37,1,LOOKUP(2,1/(指数走势!$F$37:$ACK$37&lt;&gt;""),COLUMN(指数走势!$F$37:$ACK$37))-COLUMN(指数走势!$F$37)+1-760+445)),NA(),IF(INDEX(指数走势!$F$37:$ACK$37,1,LOOKUP(2,1/(指数走势!$F$37:$ACK$37&lt;&gt;""),COLUMN(指数走势!$F$37:$ACK$37))-COLUMN(指数走势!$F$37)+1-760+445)=0,NA(),INDEX(指数走势!$F$37:$ACK$37,1,LOOKUP(2,1/(指数走势!$F$37:$ACK$37&lt;&gt;""),COLUMN(指数走势!$F$37:$ACK$37))-COLUMN(指数走势!$F$37)+1-760+445)))</f>
        <v>10.7517004013062</v>
      </c>
      <c r="QE101">
        <f>IF(ISERROR(INDEX(指数走势!$F$37:$ACK$37,1,LOOKUP(2,1/(指数走势!$F$37:$ACK$37&lt;&gt;""),COLUMN(指数走势!$F$37:$ACK$37))-COLUMN(指数走势!$F$37)+1-760+446)),NA(),IF(INDEX(指数走势!$F$37:$ACK$37,1,LOOKUP(2,1/(指数走势!$F$37:$ACK$37&lt;&gt;""),COLUMN(指数走势!$F$37:$ACK$37))-COLUMN(指数走势!$F$37)+1-760+446)=0,NA(),INDEX(指数走势!$F$37:$ACK$37,1,LOOKUP(2,1/(指数走势!$F$37:$ACK$37&lt;&gt;""),COLUMN(指数走势!$F$37:$ACK$37))-COLUMN(指数走势!$F$37)+1-760+446)))</f>
        <v>10.6603002548218</v>
      </c>
      <c r="QF101">
        <f>IF(ISERROR(INDEX(指数走势!$F$37:$ACK$37,1,LOOKUP(2,1/(指数走势!$F$37:$ACK$37&lt;&gt;""),COLUMN(指数走势!$F$37:$ACK$37))-COLUMN(指数走势!$F$37)+1-760+447)),NA(),IF(INDEX(指数走势!$F$37:$ACK$37,1,LOOKUP(2,1/(指数走势!$F$37:$ACK$37&lt;&gt;""),COLUMN(指数走势!$F$37:$ACK$37))-COLUMN(指数走势!$F$37)+1-760+447)=0,NA(),INDEX(指数走势!$F$37:$ACK$37,1,LOOKUP(2,1/(指数走势!$F$37:$ACK$37&lt;&gt;""),COLUMN(指数走势!$F$37:$ACK$37))-COLUMN(指数走势!$F$37)+1-760+447)))</f>
        <v>10.4593000411987</v>
      </c>
      <c r="QG101">
        <f>IF(ISERROR(INDEX(指数走势!$F$37:$ACK$37,1,LOOKUP(2,1/(指数走势!$F$37:$ACK$37&lt;&gt;""),COLUMN(指数走势!$F$37:$ACK$37))-COLUMN(指数走势!$F$37)+1-760+448)),NA(),IF(INDEX(指数走势!$F$37:$ACK$37,1,LOOKUP(2,1/(指数走势!$F$37:$ACK$37&lt;&gt;""),COLUMN(指数走势!$F$37:$ACK$37))-COLUMN(指数走势!$F$37)+1-760+448)=0,NA(),INDEX(指数走势!$F$37:$ACK$37,1,LOOKUP(2,1/(指数走势!$F$37:$ACK$37&lt;&gt;""),COLUMN(指数走势!$F$37:$ACK$37))-COLUMN(指数走势!$F$37)+1-760+448)))</f>
        <v>10.2469997406006</v>
      </c>
      <c r="QH101">
        <f>IF(ISERROR(INDEX(指数走势!$F$37:$ACK$37,1,LOOKUP(2,1/(指数走势!$F$37:$ACK$37&lt;&gt;""),COLUMN(指数走势!$F$37:$ACK$37))-COLUMN(指数走势!$F$37)+1-760+449)),NA(),IF(INDEX(指数走势!$F$37:$ACK$37,1,LOOKUP(2,1/(指数走势!$F$37:$ACK$37&lt;&gt;""),COLUMN(指数走势!$F$37:$ACK$37))-COLUMN(指数走势!$F$37)+1-760+449)=0,NA(),INDEX(指数走势!$F$37:$ACK$37,1,LOOKUP(2,1/(指数走势!$F$37:$ACK$37&lt;&gt;""),COLUMN(指数走势!$F$37:$ACK$37))-COLUMN(指数走势!$F$37)+1-760+449)))</f>
        <v>10.3246002197266</v>
      </c>
      <c r="QI101">
        <f>IF(ISERROR(INDEX(指数走势!$F$37:$ACK$37,1,LOOKUP(2,1/(指数走势!$F$37:$ACK$37&lt;&gt;""),COLUMN(指数走势!$F$37:$ACK$37))-COLUMN(指数走势!$F$37)+1-760+450)),NA(),IF(INDEX(指数走势!$F$37:$ACK$37,1,LOOKUP(2,1/(指数走势!$F$37:$ACK$37&lt;&gt;""),COLUMN(指数走势!$F$37:$ACK$37))-COLUMN(指数走势!$F$37)+1-760+450)=0,NA(),INDEX(指数走势!$F$37:$ACK$37,1,LOOKUP(2,1/(指数走势!$F$37:$ACK$37&lt;&gt;""),COLUMN(指数走势!$F$37:$ACK$37))-COLUMN(指数走势!$F$37)+1-760+450)))</f>
        <v>10.1141996383667</v>
      </c>
      <c r="QJ101">
        <f>IF(ISERROR(INDEX(指数走势!$F$37:$ACK$37,1,LOOKUP(2,1/(指数走势!$F$37:$ACK$37&lt;&gt;""),COLUMN(指数走势!$F$37:$ACK$37))-COLUMN(指数走势!$F$37)+1-760+451)),NA(),IF(INDEX(指数走势!$F$37:$ACK$37,1,LOOKUP(2,1/(指数走势!$F$37:$ACK$37&lt;&gt;""),COLUMN(指数走势!$F$37:$ACK$37))-COLUMN(指数走势!$F$37)+1-760+451)=0,NA(),INDEX(指数走势!$F$37:$ACK$37,1,LOOKUP(2,1/(指数走势!$F$37:$ACK$37&lt;&gt;""),COLUMN(指数走势!$F$37:$ACK$37))-COLUMN(指数走势!$F$37)+1-760+451)))</f>
        <v>10.2593002319336</v>
      </c>
      <c r="QK101">
        <f>IF(ISERROR(INDEX(指数走势!$F$37:$ACK$37,1,LOOKUP(2,1/(指数走势!$F$37:$ACK$37&lt;&gt;""),COLUMN(指数走势!$F$37:$ACK$37))-COLUMN(指数走势!$F$37)+1-760+452)),NA(),IF(INDEX(指数走势!$F$37:$ACK$37,1,LOOKUP(2,1/(指数走势!$F$37:$ACK$37&lt;&gt;""),COLUMN(指数走势!$F$37:$ACK$37))-COLUMN(指数走势!$F$37)+1-760+452)=0,NA(),INDEX(指数走势!$F$37:$ACK$37,1,LOOKUP(2,1/(指数走势!$F$37:$ACK$37&lt;&gt;""),COLUMN(指数走势!$F$37:$ACK$37))-COLUMN(指数走势!$F$37)+1-760+452)))</f>
        <v>10.3420000076294</v>
      </c>
      <c r="QL101">
        <f>IF(ISERROR(INDEX(指数走势!$F$37:$ACK$37,1,LOOKUP(2,1/(指数走势!$F$37:$ACK$37&lt;&gt;""),COLUMN(指数走势!$F$37:$ACK$37))-COLUMN(指数走势!$F$37)+1-760+453)),NA(),IF(INDEX(指数走势!$F$37:$ACK$37,1,LOOKUP(2,1/(指数走势!$F$37:$ACK$37&lt;&gt;""),COLUMN(指数走势!$F$37:$ACK$37))-COLUMN(指数走势!$F$37)+1-760+453)=0,NA(),INDEX(指数走势!$F$37:$ACK$37,1,LOOKUP(2,1/(指数走势!$F$37:$ACK$37&lt;&gt;""),COLUMN(指数走势!$F$37:$ACK$37))-COLUMN(指数走势!$F$37)+1-760+453)))</f>
        <v>10.3430004119873</v>
      </c>
      <c r="QM101">
        <f>IF(ISERROR(INDEX(指数走势!$F$37:$ACK$37,1,LOOKUP(2,1/(指数走势!$F$37:$ACK$37&lt;&gt;""),COLUMN(指数走势!$F$37:$ACK$37))-COLUMN(指数走势!$F$37)+1-760+454)),NA(),IF(INDEX(指数走势!$F$37:$ACK$37,1,LOOKUP(2,1/(指数走势!$F$37:$ACK$37&lt;&gt;""),COLUMN(指数走势!$F$37:$ACK$37))-COLUMN(指数走势!$F$37)+1-760+454)=0,NA(),INDEX(指数走势!$F$37:$ACK$37,1,LOOKUP(2,1/(指数走势!$F$37:$ACK$37&lt;&gt;""),COLUMN(指数走势!$F$37:$ACK$37))-COLUMN(指数走势!$F$37)+1-760+454)))</f>
        <v>10.2862997055054</v>
      </c>
      <c r="QN101">
        <f>IF(ISERROR(INDEX(指数走势!$F$37:$ACK$37,1,LOOKUP(2,1/(指数走势!$F$37:$ACK$37&lt;&gt;""),COLUMN(指数走势!$F$37:$ACK$37))-COLUMN(指数走势!$F$37)+1-760+455)),NA(),IF(INDEX(指数走势!$F$37:$ACK$37,1,LOOKUP(2,1/(指数走势!$F$37:$ACK$37&lt;&gt;""),COLUMN(指数走势!$F$37:$ACK$37))-COLUMN(指数走势!$F$37)+1-760+455)=0,NA(),INDEX(指数走势!$F$37:$ACK$37,1,LOOKUP(2,1/(指数走势!$F$37:$ACK$37&lt;&gt;""),COLUMN(指数走势!$F$37:$ACK$37))-COLUMN(指数走势!$F$37)+1-760+455)))</f>
        <v>10.3385000228882</v>
      </c>
      <c r="QO101">
        <f>IF(ISERROR(INDEX(指数走势!$F$37:$ACK$37,1,LOOKUP(2,1/(指数走势!$F$37:$ACK$37&lt;&gt;""),COLUMN(指数走势!$F$37:$ACK$37))-COLUMN(指数走势!$F$37)+1-760+456)),NA(),IF(INDEX(指数走势!$F$37:$ACK$37,1,LOOKUP(2,1/(指数走势!$F$37:$ACK$37&lt;&gt;""),COLUMN(指数走势!$F$37:$ACK$37))-COLUMN(指数走势!$F$37)+1-760+456)=0,NA(),INDEX(指数走势!$F$37:$ACK$37,1,LOOKUP(2,1/(指数走势!$F$37:$ACK$37&lt;&gt;""),COLUMN(指数走势!$F$37:$ACK$37))-COLUMN(指数走势!$F$37)+1-760+456)))</f>
        <v>10.3432998657227</v>
      </c>
      <c r="QP101">
        <f>IF(ISERROR(INDEX(指数走势!$F$37:$ACK$37,1,LOOKUP(2,1/(指数走势!$F$37:$ACK$37&lt;&gt;""),COLUMN(指数走势!$F$37:$ACK$37))-COLUMN(指数走势!$F$37)+1-760+457)),NA(),IF(INDEX(指数走势!$F$37:$ACK$37,1,LOOKUP(2,1/(指数走势!$F$37:$ACK$37&lt;&gt;""),COLUMN(指数走势!$F$37:$ACK$37))-COLUMN(指数走势!$F$37)+1-760+457)=0,NA(),INDEX(指数走势!$F$37:$ACK$37,1,LOOKUP(2,1/(指数走势!$F$37:$ACK$37&lt;&gt;""),COLUMN(指数走势!$F$37:$ACK$37))-COLUMN(指数走势!$F$37)+1-760+457)))</f>
        <v>10.1892995834351</v>
      </c>
      <c r="QQ101">
        <f>IF(ISERROR(INDEX(指数走势!$F$37:$ACK$37,1,LOOKUP(2,1/(指数走势!$F$37:$ACK$37&lt;&gt;""),COLUMN(指数走势!$F$37:$ACK$37))-COLUMN(指数走势!$F$37)+1-760+458)),NA(),IF(INDEX(指数走势!$F$37:$ACK$37,1,LOOKUP(2,1/(指数走势!$F$37:$ACK$37&lt;&gt;""),COLUMN(指数走势!$F$37:$ACK$37))-COLUMN(指数走势!$F$37)+1-760+458)=0,NA(),INDEX(指数走势!$F$37:$ACK$37,1,LOOKUP(2,1/(指数走势!$F$37:$ACK$37&lt;&gt;""),COLUMN(指数走势!$F$37:$ACK$37))-COLUMN(指数走势!$F$37)+1-760+458)))</f>
        <v>8.9055004119873</v>
      </c>
      <c r="QR101">
        <f>IF(ISERROR(INDEX(指数走势!$F$37:$ACK$37,1,LOOKUP(2,1/(指数走势!$F$37:$ACK$37&lt;&gt;""),COLUMN(指数走势!$F$37:$ACK$37))-COLUMN(指数走势!$F$37)+1-760+459)),NA(),IF(INDEX(指数走势!$F$37:$ACK$37,1,LOOKUP(2,1/(指数走势!$F$37:$ACK$37&lt;&gt;""),COLUMN(指数走势!$F$37:$ACK$37))-COLUMN(指数走势!$F$37)+1-760+459)=0,NA(),INDEX(指数走势!$F$37:$ACK$37,1,LOOKUP(2,1/(指数走势!$F$37:$ACK$37&lt;&gt;""),COLUMN(指数走势!$F$37:$ACK$37))-COLUMN(指数走势!$F$37)+1-760+459)))</f>
        <v>9.04109954833984</v>
      </c>
      <c r="QS101">
        <f>IF(ISERROR(INDEX(指数走势!$F$37:$ACK$37,1,LOOKUP(2,1/(指数走势!$F$37:$ACK$37&lt;&gt;""),COLUMN(指数走势!$F$37:$ACK$37))-COLUMN(指数走势!$F$37)+1-760+460)),NA(),IF(INDEX(指数走势!$F$37:$ACK$37,1,LOOKUP(2,1/(指数走势!$F$37:$ACK$37&lt;&gt;""),COLUMN(指数走势!$F$37:$ACK$37))-COLUMN(指数走势!$F$37)+1-760+460)=0,NA(),INDEX(指数走势!$F$37:$ACK$37,1,LOOKUP(2,1/(指数走势!$F$37:$ACK$37&lt;&gt;""),COLUMN(指数走势!$F$37:$ACK$37))-COLUMN(指数走势!$F$37)+1-760+460)))</f>
        <v>9.07719993591309</v>
      </c>
      <c r="QT101">
        <f>IF(ISERROR(INDEX(指数走势!$F$37:$ACK$37,1,LOOKUP(2,1/(指数走势!$F$37:$ACK$37&lt;&gt;""),COLUMN(指数走势!$F$37:$ACK$37))-COLUMN(指数走势!$F$37)+1-760+461)),NA(),IF(INDEX(指数走势!$F$37:$ACK$37,1,LOOKUP(2,1/(指数走势!$F$37:$ACK$37&lt;&gt;""),COLUMN(指数走势!$F$37:$ACK$37))-COLUMN(指数走势!$F$37)+1-760+461)=0,NA(),INDEX(指数走势!$F$37:$ACK$37,1,LOOKUP(2,1/(指数走势!$F$37:$ACK$37&lt;&gt;""),COLUMN(指数走势!$F$37:$ACK$37))-COLUMN(指数走势!$F$37)+1-760+461)))</f>
        <v>9.24650001525879</v>
      </c>
      <c r="QU101">
        <f>IF(ISERROR(INDEX(指数走势!$F$37:$ACK$37,1,LOOKUP(2,1/(指数走势!$F$37:$ACK$37&lt;&gt;""),COLUMN(指数走势!$F$37:$ACK$37))-COLUMN(指数走势!$F$37)+1-760+462)),NA(),IF(INDEX(指数走势!$F$37:$ACK$37,1,LOOKUP(2,1/(指数走势!$F$37:$ACK$37&lt;&gt;""),COLUMN(指数走势!$F$37:$ACK$37))-COLUMN(指数走势!$F$37)+1-760+462)=0,NA(),INDEX(指数走势!$F$37:$ACK$37,1,LOOKUP(2,1/(指数走势!$F$37:$ACK$37&lt;&gt;""),COLUMN(指数走势!$F$37:$ACK$37))-COLUMN(指数走势!$F$37)+1-760+462)))</f>
        <v>9.36779975891113</v>
      </c>
      <c r="QV101">
        <f>IF(ISERROR(INDEX(指数走势!$F$37:$ACK$37,1,LOOKUP(2,1/(指数走势!$F$37:$ACK$37&lt;&gt;""),COLUMN(指数走势!$F$37:$ACK$37))-COLUMN(指数走势!$F$37)+1-760+463)),NA(),IF(INDEX(指数走势!$F$37:$ACK$37,1,LOOKUP(2,1/(指数走势!$F$37:$ACK$37&lt;&gt;""),COLUMN(指数走势!$F$37:$ACK$37))-COLUMN(指数走势!$F$37)+1-760+463)=0,NA(),INDEX(指数走势!$F$37:$ACK$37,1,LOOKUP(2,1/(指数走势!$F$37:$ACK$37&lt;&gt;""),COLUMN(指数走势!$F$37:$ACK$37))-COLUMN(指数走势!$F$37)+1-760+463)))</f>
        <v>9.58199977874756</v>
      </c>
      <c r="QW101">
        <f>IF(ISERROR(INDEX(指数走势!$F$37:$ACK$37,1,LOOKUP(2,1/(指数走势!$F$37:$ACK$37&lt;&gt;""),COLUMN(指数走势!$F$37:$ACK$37))-COLUMN(指数走势!$F$37)+1-760+464)),NA(),IF(INDEX(指数走势!$F$37:$ACK$37,1,LOOKUP(2,1/(指数走势!$F$37:$ACK$37&lt;&gt;""),COLUMN(指数走势!$F$37:$ACK$37))-COLUMN(指数走势!$F$37)+1-760+464)=0,NA(),INDEX(指数走势!$F$37:$ACK$37,1,LOOKUP(2,1/(指数走势!$F$37:$ACK$37&lt;&gt;""),COLUMN(指数走势!$F$37:$ACK$37))-COLUMN(指数走势!$F$37)+1-760+464)))</f>
        <v>9.60919952392578</v>
      </c>
      <c r="QX101">
        <f>IF(ISERROR(INDEX(指数走势!$F$37:$ACK$37,1,LOOKUP(2,1/(指数走势!$F$37:$ACK$37&lt;&gt;""),COLUMN(指数走势!$F$37:$ACK$37))-COLUMN(指数走势!$F$37)+1-760+465)),NA(),IF(INDEX(指数走势!$F$37:$ACK$37,1,LOOKUP(2,1/(指数走势!$F$37:$ACK$37&lt;&gt;""),COLUMN(指数走势!$F$37:$ACK$37))-COLUMN(指数走势!$F$37)+1-760+465)=0,NA(),INDEX(指数走势!$F$37:$ACK$37,1,LOOKUP(2,1/(指数走势!$F$37:$ACK$37&lt;&gt;""),COLUMN(指数走势!$F$37:$ACK$37))-COLUMN(指数走势!$F$37)+1-760+465)))</f>
        <v>9.45460033416748</v>
      </c>
      <c r="QY101">
        <f>IF(ISERROR(INDEX(指数走势!$F$37:$ACK$37,1,LOOKUP(2,1/(指数走势!$F$37:$ACK$37&lt;&gt;""),COLUMN(指数走势!$F$37:$ACK$37))-COLUMN(指数走势!$F$37)+1-760+466)),NA(),IF(INDEX(指数走势!$F$37:$ACK$37,1,LOOKUP(2,1/(指数走势!$F$37:$ACK$37&lt;&gt;""),COLUMN(指数走势!$F$37:$ACK$37))-COLUMN(指数走势!$F$37)+1-760+466)=0,NA(),INDEX(指数走势!$F$37:$ACK$37,1,LOOKUP(2,1/(指数走势!$F$37:$ACK$37&lt;&gt;""),COLUMN(指数走势!$F$37:$ACK$37))-COLUMN(指数走势!$F$37)+1-760+466)))</f>
        <v>9.60070037841797</v>
      </c>
      <c r="QZ101">
        <f>IF(ISERROR(INDEX(指数走势!$F$37:$ACK$37,1,LOOKUP(2,1/(指数走势!$F$37:$ACK$37&lt;&gt;""),COLUMN(指数走势!$F$37:$ACK$37))-COLUMN(指数走势!$F$37)+1-760+467)),NA(),IF(INDEX(指数走势!$F$37:$ACK$37,1,LOOKUP(2,1/(指数走势!$F$37:$ACK$37&lt;&gt;""),COLUMN(指数走势!$F$37:$ACK$37))-COLUMN(指数走势!$F$37)+1-760+467)=0,NA(),INDEX(指数走势!$F$37:$ACK$37,1,LOOKUP(2,1/(指数走势!$F$37:$ACK$37&lt;&gt;""),COLUMN(指数走势!$F$37:$ACK$37))-COLUMN(指数走势!$F$37)+1-760+467)))</f>
        <v>9.60070037841797</v>
      </c>
      <c r="RA101">
        <f>IF(ISERROR(INDEX(指数走势!$F$37:$ACK$37,1,LOOKUP(2,1/(指数走势!$F$37:$ACK$37&lt;&gt;""),COLUMN(指数走势!$F$37:$ACK$37))-COLUMN(指数走势!$F$37)+1-760+468)),NA(),IF(INDEX(指数走势!$F$37:$ACK$37,1,LOOKUP(2,1/(指数走势!$F$37:$ACK$37&lt;&gt;""),COLUMN(指数走势!$F$37:$ACK$37))-COLUMN(指数走势!$F$37)+1-760+468)=0,NA(),INDEX(指数走势!$F$37:$ACK$37,1,LOOKUP(2,1/(指数走势!$F$37:$ACK$37&lt;&gt;""),COLUMN(指数走势!$F$37:$ACK$37))-COLUMN(指数走势!$F$37)+1-760+468)))</f>
        <v>9.60070037841797</v>
      </c>
      <c r="RB101">
        <f>IF(ISERROR(INDEX(指数走势!$F$37:$ACK$37,1,LOOKUP(2,1/(指数走势!$F$37:$ACK$37&lt;&gt;""),COLUMN(指数走势!$F$37:$ACK$37))-COLUMN(指数走势!$F$37)+1-760+469)),NA(),IF(INDEX(指数走势!$F$37:$ACK$37,1,LOOKUP(2,1/(指数走势!$F$37:$ACK$37&lt;&gt;""),COLUMN(指数走势!$F$37:$ACK$37))-COLUMN(指数走势!$F$37)+1-760+469)=0,NA(),INDEX(指数走势!$F$37:$ACK$37,1,LOOKUP(2,1/(指数走势!$F$37:$ACK$37&lt;&gt;""),COLUMN(指数走势!$F$37:$ACK$37))-COLUMN(指数走势!$F$37)+1-760+469)))</f>
        <v>9.67210006713867</v>
      </c>
      <c r="RC101">
        <f>IF(ISERROR(INDEX(指数走势!$F$37:$ACK$37,1,LOOKUP(2,1/(指数走势!$F$37:$ACK$37&lt;&gt;""),COLUMN(指数走势!$F$37:$ACK$37))-COLUMN(指数走势!$F$37)+1-760+470)),NA(),IF(INDEX(指数走势!$F$37:$ACK$37,1,LOOKUP(2,1/(指数走势!$F$37:$ACK$37&lt;&gt;""),COLUMN(指数走势!$F$37:$ACK$37))-COLUMN(指数走势!$F$37)+1-760+470)=0,NA(),INDEX(指数走势!$F$37:$ACK$37,1,LOOKUP(2,1/(指数走势!$F$37:$ACK$37&lt;&gt;""),COLUMN(指数走势!$F$37:$ACK$37))-COLUMN(指数走势!$F$37)+1-760+470)))</f>
        <v>9.85219955444336</v>
      </c>
      <c r="RD101">
        <f>IF(ISERROR(INDEX(指数走势!$F$37:$ACK$37,1,LOOKUP(2,1/(指数走势!$F$37:$ACK$37&lt;&gt;""),COLUMN(指数走势!$F$37:$ACK$37))-COLUMN(指数走势!$F$37)+1-760+471)),NA(),IF(INDEX(指数走势!$F$37:$ACK$37,1,LOOKUP(2,1/(指数走势!$F$37:$ACK$37&lt;&gt;""),COLUMN(指数走势!$F$37:$ACK$37))-COLUMN(指数走势!$F$37)+1-760+471)=0,NA(),INDEX(指数走势!$F$37:$ACK$37,1,LOOKUP(2,1/(指数走势!$F$37:$ACK$37&lt;&gt;""),COLUMN(指数走势!$F$37:$ACK$37))-COLUMN(指数走势!$F$37)+1-760+471)))</f>
        <v>9.78969955444336</v>
      </c>
      <c r="RE101">
        <f>IF(ISERROR(INDEX(指数走势!$F$37:$ACK$37,1,LOOKUP(2,1/(指数走势!$F$37:$ACK$37&lt;&gt;""),COLUMN(指数走势!$F$37:$ACK$37))-COLUMN(指数走势!$F$37)+1-760+472)),NA(),IF(INDEX(指数走势!$F$37:$ACK$37,1,LOOKUP(2,1/(指数走势!$F$37:$ACK$37&lt;&gt;""),COLUMN(指数走势!$F$37:$ACK$37))-COLUMN(指数走势!$F$37)+1-760+472)=0,NA(),INDEX(指数走势!$F$37:$ACK$37,1,LOOKUP(2,1/(指数走势!$F$37:$ACK$37&lt;&gt;""),COLUMN(指数走势!$F$37:$ACK$37))-COLUMN(指数走势!$F$37)+1-760+472)))</f>
        <v>9.85999965667725</v>
      </c>
      <c r="RF101">
        <f>IF(ISERROR(INDEX(指数走势!$F$37:$ACK$37,1,LOOKUP(2,1/(指数走势!$F$37:$ACK$37&lt;&gt;""),COLUMN(指数走势!$F$37:$ACK$37))-COLUMN(指数走势!$F$37)+1-760+473)),NA(),IF(INDEX(指数走势!$F$37:$ACK$37,1,LOOKUP(2,1/(指数走势!$F$37:$ACK$37&lt;&gt;""),COLUMN(指数走势!$F$37:$ACK$37))-COLUMN(指数走势!$F$37)+1-760+473)=0,NA(),INDEX(指数走势!$F$37:$ACK$37,1,LOOKUP(2,1/(指数走势!$F$37:$ACK$37&lt;&gt;""),COLUMN(指数走势!$F$37:$ACK$37))-COLUMN(指数走势!$F$37)+1-760+473)))</f>
        <v>9.8705997467041</v>
      </c>
      <c r="RG101">
        <f>IF(ISERROR(INDEX(指数走势!$F$37:$ACK$37,1,LOOKUP(2,1/(指数走势!$F$37:$ACK$37&lt;&gt;""),COLUMN(指数走势!$F$37:$ACK$37))-COLUMN(指数走势!$F$37)+1-760+474)),NA(),IF(INDEX(指数走势!$F$37:$ACK$37,1,LOOKUP(2,1/(指数走势!$F$37:$ACK$37&lt;&gt;""),COLUMN(指数走势!$F$37:$ACK$37))-COLUMN(指数走势!$F$37)+1-760+474)=0,NA(),INDEX(指数走势!$F$37:$ACK$37,1,LOOKUP(2,1/(指数走势!$F$37:$ACK$37&lt;&gt;""),COLUMN(指数走势!$F$37:$ACK$37))-COLUMN(指数走势!$F$37)+1-760+474)))</f>
        <v>9.92259979248047</v>
      </c>
      <c r="RH101">
        <f>IF(ISERROR(INDEX(指数走势!$F$37:$ACK$37,1,LOOKUP(2,1/(指数走势!$F$37:$ACK$37&lt;&gt;""),COLUMN(指数走势!$F$37:$ACK$37))-COLUMN(指数走势!$F$37)+1-760+475)),NA(),IF(INDEX(指数走势!$F$37:$ACK$37,1,LOOKUP(2,1/(指数走势!$F$37:$ACK$37&lt;&gt;""),COLUMN(指数走势!$F$37:$ACK$37))-COLUMN(指数走势!$F$37)+1-760+475)=0,NA(),INDEX(指数走势!$F$37:$ACK$37,1,LOOKUP(2,1/(指数走势!$F$37:$ACK$37&lt;&gt;""),COLUMN(指数走势!$F$37:$ACK$37))-COLUMN(指数走势!$F$37)+1-760+475)))</f>
        <v>9.93900012969971</v>
      </c>
      <c r="RI101">
        <f>IF(ISERROR(INDEX(指数走势!$F$37:$ACK$37,1,LOOKUP(2,1/(指数走势!$F$37:$ACK$37&lt;&gt;""),COLUMN(指数走势!$F$37:$ACK$37))-COLUMN(指数走势!$F$37)+1-760+476)),NA(),IF(INDEX(指数走势!$F$37:$ACK$37,1,LOOKUP(2,1/(指数走势!$F$37:$ACK$37&lt;&gt;""),COLUMN(指数走势!$F$37:$ACK$37))-COLUMN(指数走势!$F$37)+1-760+476)=0,NA(),INDEX(指数走势!$F$37:$ACK$37,1,LOOKUP(2,1/(指数走势!$F$37:$ACK$37&lt;&gt;""),COLUMN(指数走势!$F$37:$ACK$37))-COLUMN(指数走势!$F$37)+1-760+476)))</f>
        <v>10.1611995697021</v>
      </c>
      <c r="RJ101">
        <f>IF(ISERROR(INDEX(指数走势!$F$37:$ACK$37,1,LOOKUP(2,1/(指数走势!$F$37:$ACK$37&lt;&gt;""),COLUMN(指数走势!$F$37:$ACK$37))-COLUMN(指数走势!$F$37)+1-760+477)),NA(),IF(INDEX(指数走势!$F$37:$ACK$37,1,LOOKUP(2,1/(指数走势!$F$37:$ACK$37&lt;&gt;""),COLUMN(指数走势!$F$37:$ACK$37))-COLUMN(指数走势!$F$37)+1-760+477)=0,NA(),INDEX(指数走势!$F$37:$ACK$37,1,LOOKUP(2,1/(指数走势!$F$37:$ACK$37&lt;&gt;""),COLUMN(指数走势!$F$37:$ACK$37))-COLUMN(指数走势!$F$37)+1-760+477)))</f>
        <v>10.1696996688843</v>
      </c>
      <c r="RK101">
        <f>IF(ISERROR(INDEX(指数走势!$F$37:$ACK$37,1,LOOKUP(2,1/(指数走势!$F$37:$ACK$37&lt;&gt;""),COLUMN(指数走势!$F$37:$ACK$37))-COLUMN(指数走势!$F$37)+1-760+478)),NA(),IF(INDEX(指数走势!$F$37:$ACK$37,1,LOOKUP(2,1/(指数走势!$F$37:$ACK$37&lt;&gt;""),COLUMN(指数走势!$F$37:$ACK$37))-COLUMN(指数走势!$F$37)+1-760+478)=0,NA(),INDEX(指数走势!$F$37:$ACK$37,1,LOOKUP(2,1/(指数走势!$F$37:$ACK$37&lt;&gt;""),COLUMN(指数走势!$F$37:$ACK$37))-COLUMN(指数走势!$F$37)+1-760+478)))</f>
        <v>10.2131004333496</v>
      </c>
      <c r="RL101">
        <f>IF(ISERROR(INDEX(指数走势!$F$37:$ACK$37,1,LOOKUP(2,1/(指数走势!$F$37:$ACK$37&lt;&gt;""),COLUMN(指数走势!$F$37:$ACK$37))-COLUMN(指数走势!$F$37)+1-760+479)),NA(),IF(INDEX(指数走势!$F$37:$ACK$37,1,LOOKUP(2,1/(指数走势!$F$37:$ACK$37&lt;&gt;""),COLUMN(指数走势!$F$37:$ACK$37))-COLUMN(指数走势!$F$37)+1-760+479)=0,NA(),INDEX(指数走势!$F$37:$ACK$37,1,LOOKUP(2,1/(指数走势!$F$37:$ACK$37&lt;&gt;""),COLUMN(指数走势!$F$37:$ACK$37))-COLUMN(指数走势!$F$37)+1-760+479)))</f>
        <v>10.2468004226685</v>
      </c>
      <c r="RM101">
        <f>IF(ISERROR(INDEX(指数走势!$F$37:$ACK$37,1,LOOKUP(2,1/(指数走势!$F$37:$ACK$37&lt;&gt;""),COLUMN(指数走势!$F$37:$ACK$37))-COLUMN(指数走势!$F$37)+1-760+480)),NA(),IF(INDEX(指数走势!$F$37:$ACK$37,1,LOOKUP(2,1/(指数走势!$F$37:$ACK$37&lt;&gt;""),COLUMN(指数走势!$F$37:$ACK$37))-COLUMN(指数走势!$F$37)+1-760+480)=0,NA(),INDEX(指数走势!$F$37:$ACK$37,1,LOOKUP(2,1/(指数走势!$F$37:$ACK$37&lt;&gt;""),COLUMN(指数走势!$F$37:$ACK$37))-COLUMN(指数走势!$F$37)+1-760+480)))</f>
        <v>10.5628995895386</v>
      </c>
      <c r="RN101">
        <f>IF(ISERROR(INDEX(指数走势!$F$37:$ACK$37,1,LOOKUP(2,1/(指数走势!$F$37:$ACK$37&lt;&gt;""),COLUMN(指数走势!$F$37:$ACK$37))-COLUMN(指数走势!$F$37)+1-760+481)),NA(),IF(INDEX(指数走势!$F$37:$ACK$37,1,LOOKUP(2,1/(指数走势!$F$37:$ACK$37&lt;&gt;""),COLUMN(指数走势!$F$37:$ACK$37))-COLUMN(指数走势!$F$37)+1-760+481)=0,NA(),INDEX(指数走势!$F$37:$ACK$37,1,LOOKUP(2,1/(指数走势!$F$37:$ACK$37&lt;&gt;""),COLUMN(指数走势!$F$37:$ACK$37))-COLUMN(指数走势!$F$37)+1-760+481)))</f>
        <v>10.3870000839233</v>
      </c>
      <c r="RO101">
        <f>IF(ISERROR(INDEX(指数走势!$F$37:$ACK$37,1,LOOKUP(2,1/(指数走势!$F$37:$ACK$37&lt;&gt;""),COLUMN(指数走势!$F$37:$ACK$37))-COLUMN(指数走势!$F$37)+1-760+482)),NA(),IF(INDEX(指数走势!$F$37:$ACK$37,1,LOOKUP(2,1/(指数走势!$F$37:$ACK$37&lt;&gt;""),COLUMN(指数走势!$F$37:$ACK$37))-COLUMN(指数走势!$F$37)+1-760+482)=0,NA(),INDEX(指数走势!$F$37:$ACK$37,1,LOOKUP(2,1/(指数走势!$F$37:$ACK$37&lt;&gt;""),COLUMN(指数走势!$F$37:$ACK$37))-COLUMN(指数走势!$F$37)+1-760+482)))</f>
        <v>10.6000995635986</v>
      </c>
      <c r="RP101">
        <f>IF(ISERROR(INDEX(指数走势!$F$37:$ACK$37,1,LOOKUP(2,1/(指数走势!$F$37:$ACK$37&lt;&gt;""),COLUMN(指数走势!$F$37:$ACK$37))-COLUMN(指数走势!$F$37)+1-760+483)),NA(),IF(INDEX(指数走势!$F$37:$ACK$37,1,LOOKUP(2,1/(指数走势!$F$37:$ACK$37&lt;&gt;""),COLUMN(指数走势!$F$37:$ACK$37))-COLUMN(指数走势!$F$37)+1-760+483)=0,NA(),INDEX(指数走势!$F$37:$ACK$37,1,LOOKUP(2,1/(指数走势!$F$37:$ACK$37&lt;&gt;""),COLUMN(指数走势!$F$37:$ACK$37))-COLUMN(指数走势!$F$37)+1-760+483)))</f>
        <v>10.4715995788574</v>
      </c>
      <c r="RQ101">
        <f>IF(ISERROR(INDEX(指数走势!$F$37:$ACK$37,1,LOOKUP(2,1/(指数走势!$F$37:$ACK$37&lt;&gt;""),COLUMN(指数走势!$F$37:$ACK$37))-COLUMN(指数走势!$F$37)+1-760+484)),NA(),IF(INDEX(指数走势!$F$37:$ACK$37,1,LOOKUP(2,1/(指数走势!$F$37:$ACK$37&lt;&gt;""),COLUMN(指数走势!$F$37:$ACK$37))-COLUMN(指数走势!$F$37)+1-760+484)=0,NA(),INDEX(指数走势!$F$37:$ACK$37,1,LOOKUP(2,1/(指数走势!$F$37:$ACK$37&lt;&gt;""),COLUMN(指数走势!$F$37:$ACK$37))-COLUMN(指数走势!$F$37)+1-760+484)))</f>
        <v>10.4202995300293</v>
      </c>
      <c r="RR101">
        <f>IF(ISERROR(INDEX(指数走势!$F$37:$ACK$37,1,LOOKUP(2,1/(指数走势!$F$37:$ACK$37&lt;&gt;""),COLUMN(指数走势!$F$37:$ACK$37))-COLUMN(指数走势!$F$37)+1-760+485)),NA(),IF(INDEX(指数走势!$F$37:$ACK$37,1,LOOKUP(2,1/(指数走势!$F$37:$ACK$37&lt;&gt;""),COLUMN(指数走势!$F$37:$ACK$37))-COLUMN(指数走势!$F$37)+1-760+485)=0,NA(),INDEX(指数走势!$F$37:$ACK$37,1,LOOKUP(2,1/(指数走势!$F$37:$ACK$37&lt;&gt;""),COLUMN(指数走势!$F$37:$ACK$37))-COLUMN(指数走势!$F$37)+1-760+485)))</f>
        <v>10.413800239563</v>
      </c>
      <c r="RS101">
        <f>IF(ISERROR(INDEX(指数走势!$F$37:$ACK$37,1,LOOKUP(2,1/(指数走势!$F$37:$ACK$37&lt;&gt;""),COLUMN(指数走势!$F$37:$ACK$37))-COLUMN(指数走势!$F$37)+1-760+486)),NA(),IF(INDEX(指数走势!$F$37:$ACK$37,1,LOOKUP(2,1/(指数走势!$F$37:$ACK$37&lt;&gt;""),COLUMN(指数走势!$F$37:$ACK$37))-COLUMN(指数走势!$F$37)+1-760+486)=0,NA(),INDEX(指数走势!$F$37:$ACK$37,1,LOOKUP(2,1/(指数走势!$F$37:$ACK$37&lt;&gt;""),COLUMN(指数走势!$F$37:$ACK$37))-COLUMN(指数走势!$F$37)+1-760+486)))</f>
        <v>10.5528001785278</v>
      </c>
      <c r="RT101">
        <f>IF(ISERROR(INDEX(指数走势!$F$37:$ACK$37,1,LOOKUP(2,1/(指数走势!$F$37:$ACK$37&lt;&gt;""),COLUMN(指数走势!$F$37:$ACK$37))-COLUMN(指数走势!$F$37)+1-760+487)),NA(),IF(INDEX(指数走势!$F$37:$ACK$37,1,LOOKUP(2,1/(指数走势!$F$37:$ACK$37&lt;&gt;""),COLUMN(指数走势!$F$37:$ACK$37))-COLUMN(指数走势!$F$37)+1-760+487)=0,NA(),INDEX(指数走势!$F$37:$ACK$37,1,LOOKUP(2,1/(指数走势!$F$37:$ACK$37&lt;&gt;""),COLUMN(指数走势!$F$37:$ACK$37))-COLUMN(指数走势!$F$37)+1-760+487)))</f>
        <v>10.6183004379272</v>
      </c>
      <c r="RU101">
        <f>IF(ISERROR(INDEX(指数走势!$F$37:$ACK$37,1,LOOKUP(2,1/(指数走势!$F$37:$ACK$37&lt;&gt;""),COLUMN(指数走势!$F$37:$ACK$37))-COLUMN(指数走势!$F$37)+1-760+488)),NA(),IF(INDEX(指数走势!$F$37:$ACK$37,1,LOOKUP(2,1/(指数走势!$F$37:$ACK$37&lt;&gt;""),COLUMN(指数走势!$F$37:$ACK$37))-COLUMN(指数走势!$F$37)+1-760+488)=0,NA(),INDEX(指数走势!$F$37:$ACK$37,1,LOOKUP(2,1/(指数走势!$F$37:$ACK$37&lt;&gt;""),COLUMN(指数走势!$F$37:$ACK$37))-COLUMN(指数走势!$F$37)+1-760+488)))</f>
        <v>10.5107002258301</v>
      </c>
      <c r="RV101">
        <f>IF(ISERROR(INDEX(指数走势!$F$37:$ACK$37,1,LOOKUP(2,1/(指数走势!$F$37:$ACK$37&lt;&gt;""),COLUMN(指数走势!$F$37:$ACK$37))-COLUMN(指数走势!$F$37)+1-760+489)),NA(),IF(INDEX(指数走势!$F$37:$ACK$37,1,LOOKUP(2,1/(指数走势!$F$37:$ACK$37&lt;&gt;""),COLUMN(指数走势!$F$37:$ACK$37))-COLUMN(指数走势!$F$37)+1-760+489)=0,NA(),INDEX(指数走势!$F$37:$ACK$37,1,LOOKUP(2,1/(指数走势!$F$37:$ACK$37&lt;&gt;""),COLUMN(指数走势!$F$37:$ACK$37))-COLUMN(指数走势!$F$37)+1-760+489)))</f>
        <v>10.5438003540039</v>
      </c>
      <c r="RW101">
        <f>IF(ISERROR(INDEX(指数走势!$F$37:$ACK$37,1,LOOKUP(2,1/(指数走势!$F$37:$ACK$37&lt;&gt;""),COLUMN(指数走势!$F$37:$ACK$37))-COLUMN(指数走势!$F$37)+1-760+490)),NA(),IF(INDEX(指数走势!$F$37:$ACK$37,1,LOOKUP(2,1/(指数走势!$F$37:$ACK$37&lt;&gt;""),COLUMN(指数走势!$F$37:$ACK$37))-COLUMN(指数走势!$F$37)+1-760+490)=0,NA(),INDEX(指数走势!$F$37:$ACK$37,1,LOOKUP(2,1/(指数走势!$F$37:$ACK$37&lt;&gt;""),COLUMN(指数走势!$F$37:$ACK$37))-COLUMN(指数走势!$F$37)+1-760+490)))</f>
        <v>10.4193000793457</v>
      </c>
      <c r="RX101">
        <f>IF(ISERROR(INDEX(指数走势!$F$37:$ACK$37,1,LOOKUP(2,1/(指数走势!$F$37:$ACK$37&lt;&gt;""),COLUMN(指数走势!$F$37:$ACK$37))-COLUMN(指数走势!$F$37)+1-760+491)),NA(),IF(INDEX(指数走势!$F$37:$ACK$37,1,LOOKUP(2,1/(指数走势!$F$37:$ACK$37&lt;&gt;""),COLUMN(指数走势!$F$37:$ACK$37))-COLUMN(指数走势!$F$37)+1-760+491)=0,NA(),INDEX(指数走势!$F$37:$ACK$37,1,LOOKUP(2,1/(指数走势!$F$37:$ACK$37&lt;&gt;""),COLUMN(指数走势!$F$37:$ACK$37))-COLUMN(指数走势!$F$37)+1-760+491)))</f>
        <v>10.4525995254517</v>
      </c>
      <c r="RY101">
        <f>IF(ISERROR(INDEX(指数走势!$F$37:$ACK$37,1,LOOKUP(2,1/(指数走势!$F$37:$ACK$37&lt;&gt;""),COLUMN(指数走势!$F$37:$ACK$37))-COLUMN(指数走势!$F$37)+1-760+492)),NA(),IF(INDEX(指数走势!$F$37:$ACK$37,1,LOOKUP(2,1/(指数走势!$F$37:$ACK$37&lt;&gt;""),COLUMN(指数走势!$F$37:$ACK$37))-COLUMN(指数走势!$F$37)+1-760+492)=0,NA(),INDEX(指数走势!$F$37:$ACK$37,1,LOOKUP(2,1/(指数走势!$F$37:$ACK$37&lt;&gt;""),COLUMN(指数走势!$F$37:$ACK$37))-COLUMN(指数走势!$F$37)+1-760+492)))</f>
        <v>10.417200088501</v>
      </c>
      <c r="RZ101">
        <f>IF(ISERROR(INDEX(指数走势!$F$37:$ACK$37,1,LOOKUP(2,1/(指数走势!$F$37:$ACK$37&lt;&gt;""),COLUMN(指数走势!$F$37:$ACK$37))-COLUMN(指数走势!$F$37)+1-760+493)),NA(),IF(INDEX(指数走势!$F$37:$ACK$37,1,LOOKUP(2,1/(指数走势!$F$37:$ACK$37&lt;&gt;""),COLUMN(指数走势!$F$37:$ACK$37))-COLUMN(指数走势!$F$37)+1-760+493)=0,NA(),INDEX(指数走势!$F$37:$ACK$37,1,LOOKUP(2,1/(指数走势!$F$37:$ACK$37&lt;&gt;""),COLUMN(指数走势!$F$37:$ACK$37))-COLUMN(指数走势!$F$37)+1-760+493)))</f>
        <v>10.5206003189087</v>
      </c>
      <c r="SA101">
        <f>IF(ISERROR(INDEX(指数走势!$F$37:$ACK$37,1,LOOKUP(2,1/(指数走势!$F$37:$ACK$37&lt;&gt;""),COLUMN(指数走势!$F$37:$ACK$37))-COLUMN(指数走势!$F$37)+1-760+494)),NA(),IF(INDEX(指数走势!$F$37:$ACK$37,1,LOOKUP(2,1/(指数走势!$F$37:$ACK$37&lt;&gt;""),COLUMN(指数走势!$F$37:$ACK$37))-COLUMN(指数走势!$F$37)+1-760+494)=0,NA(),INDEX(指数走势!$F$37:$ACK$37,1,LOOKUP(2,1/(指数走势!$F$37:$ACK$37&lt;&gt;""),COLUMN(指数走势!$F$37:$ACK$37))-COLUMN(指数走势!$F$37)+1-760+494)))</f>
        <v>10.3743000030518</v>
      </c>
      <c r="SB101">
        <f>IF(ISERROR(INDEX(指数走势!$F$37:$ACK$37,1,LOOKUP(2,1/(指数走势!$F$37:$ACK$37&lt;&gt;""),COLUMN(指数走势!$F$37:$ACK$37))-COLUMN(指数走势!$F$37)+1-760+495)),NA(),IF(INDEX(指数走势!$F$37:$ACK$37,1,LOOKUP(2,1/(指数走势!$F$37:$ACK$37&lt;&gt;""),COLUMN(指数走势!$F$37:$ACK$37))-COLUMN(指数走势!$F$37)+1-760+495)=0,NA(),INDEX(指数走势!$F$37:$ACK$37,1,LOOKUP(2,1/(指数走势!$F$37:$ACK$37&lt;&gt;""),COLUMN(指数走势!$F$37:$ACK$37))-COLUMN(指数走势!$F$37)+1-760+495)))</f>
        <v>10.4863004684448</v>
      </c>
      <c r="SC101">
        <f>IF(ISERROR(INDEX(指数走势!$F$37:$ACK$37,1,LOOKUP(2,1/(指数走势!$F$37:$ACK$37&lt;&gt;""),COLUMN(指数走势!$F$37:$ACK$37))-COLUMN(指数走势!$F$37)+1-760+496)),NA(),IF(INDEX(指数走势!$F$37:$ACK$37,1,LOOKUP(2,1/(指数走势!$F$37:$ACK$37&lt;&gt;""),COLUMN(指数走势!$F$37:$ACK$37))-COLUMN(指数走势!$F$37)+1-760+496)=0,NA(),INDEX(指数走势!$F$37:$ACK$37,1,LOOKUP(2,1/(指数走势!$F$37:$ACK$37&lt;&gt;""),COLUMN(指数走势!$F$37:$ACK$37))-COLUMN(指数走势!$F$37)+1-760+496)))</f>
        <v>10.5474004745483</v>
      </c>
      <c r="SD101">
        <f>IF(ISERROR(INDEX(指数走势!$F$37:$ACK$37,1,LOOKUP(2,1/(指数走势!$F$37:$ACK$37&lt;&gt;""),COLUMN(指数走势!$F$37:$ACK$37))-COLUMN(指数走势!$F$37)+1-760+497)),NA(),IF(INDEX(指数走势!$F$37:$ACK$37,1,LOOKUP(2,1/(指数走势!$F$37:$ACK$37&lt;&gt;""),COLUMN(指数走势!$F$37:$ACK$37))-COLUMN(指数走势!$F$37)+1-760+497)=0,NA(),INDEX(指数走势!$F$37:$ACK$37,1,LOOKUP(2,1/(指数走势!$F$37:$ACK$37&lt;&gt;""),COLUMN(指数走势!$F$37:$ACK$37))-COLUMN(指数走势!$F$37)+1-760+497)))</f>
        <v>10.6430997848511</v>
      </c>
      <c r="SE101">
        <f>IF(ISERROR(INDEX(指数走势!$F$37:$ACK$37,1,LOOKUP(2,1/(指数走势!$F$37:$ACK$37&lt;&gt;""),COLUMN(指数走势!$F$37:$ACK$37))-COLUMN(指数走势!$F$37)+1-760+498)),NA(),IF(INDEX(指数走势!$F$37:$ACK$37,1,LOOKUP(2,1/(指数走势!$F$37:$ACK$37&lt;&gt;""),COLUMN(指数走势!$F$37:$ACK$37))-COLUMN(指数走势!$F$37)+1-760+498)=0,NA(),INDEX(指数走势!$F$37:$ACK$37,1,LOOKUP(2,1/(指数走势!$F$37:$ACK$37&lt;&gt;""),COLUMN(指数走势!$F$37:$ACK$37))-COLUMN(指数走势!$F$37)+1-760+498)))</f>
        <v>10.6017999649048</v>
      </c>
      <c r="SF101">
        <f>IF(ISERROR(INDEX(指数走势!$F$37:$ACK$37,1,LOOKUP(2,1/(指数走势!$F$37:$ACK$37&lt;&gt;""),COLUMN(指数走势!$F$37:$ACK$37))-COLUMN(指数走势!$F$37)+1-760+499)),NA(),IF(INDEX(指数走势!$F$37:$ACK$37,1,LOOKUP(2,1/(指数走势!$F$37:$ACK$37&lt;&gt;""),COLUMN(指数走势!$F$37:$ACK$37))-COLUMN(指数走势!$F$37)+1-760+499)=0,NA(),INDEX(指数走势!$F$37:$ACK$37,1,LOOKUP(2,1/(指数走势!$F$37:$ACK$37&lt;&gt;""),COLUMN(指数走势!$F$37:$ACK$37))-COLUMN(指数走势!$F$37)+1-760+499)))</f>
        <v>10.7650995254517</v>
      </c>
      <c r="SG101">
        <f>IF(ISERROR(INDEX(指数走势!$F$37:$ACK$37,1,LOOKUP(2,1/(指数走势!$F$37:$ACK$37&lt;&gt;""),COLUMN(指数走势!$F$37:$ACK$37))-COLUMN(指数走势!$F$37)+1-760+500)),NA(),IF(INDEX(指数走势!$F$37:$ACK$37,1,LOOKUP(2,1/(指数走势!$F$37:$ACK$37&lt;&gt;""),COLUMN(指数走势!$F$37:$ACK$37))-COLUMN(指数走势!$F$37)+1-760+500)=0,NA(),INDEX(指数走势!$F$37:$ACK$37,1,LOOKUP(2,1/(指数走势!$F$37:$ACK$37&lt;&gt;""),COLUMN(指数走势!$F$37:$ACK$37))-COLUMN(指数走势!$F$37)+1-760+500)))</f>
        <v>10.6382999420166</v>
      </c>
      <c r="SH101">
        <f>IF(ISERROR(INDEX(指数走势!$F$37:$ACK$37,1,LOOKUP(2,1/(指数走势!$F$37:$ACK$37&lt;&gt;""),COLUMN(指数走势!$F$37:$ACK$37))-COLUMN(指数走势!$F$37)+1-760+501)),NA(),IF(INDEX(指数走势!$F$37:$ACK$37,1,LOOKUP(2,1/(指数走势!$F$37:$ACK$37&lt;&gt;""),COLUMN(指数走势!$F$37:$ACK$37))-COLUMN(指数走势!$F$37)+1-760+501)=0,NA(),INDEX(指数走势!$F$37:$ACK$37,1,LOOKUP(2,1/(指数走势!$F$37:$ACK$37&lt;&gt;""),COLUMN(指数走势!$F$37:$ACK$37))-COLUMN(指数走势!$F$37)+1-760+501)))</f>
        <v>10.7503004074097</v>
      </c>
      <c r="SI101">
        <f>IF(ISERROR(INDEX(指数走势!$F$37:$ACK$37,1,LOOKUP(2,1/(指数走势!$F$37:$ACK$37&lt;&gt;""),COLUMN(指数走势!$F$37:$ACK$37))-COLUMN(指数走势!$F$37)+1-760+502)),NA(),IF(INDEX(指数走势!$F$37:$ACK$37,1,LOOKUP(2,1/(指数走势!$F$37:$ACK$37&lt;&gt;""),COLUMN(指数走势!$F$37:$ACK$37))-COLUMN(指数走势!$F$37)+1-760+502)=0,NA(),INDEX(指数走势!$F$37:$ACK$37,1,LOOKUP(2,1/(指数走势!$F$37:$ACK$37&lt;&gt;""),COLUMN(指数走势!$F$37:$ACK$37))-COLUMN(指数走势!$F$37)+1-760+502)))</f>
        <v>10.6363000869751</v>
      </c>
      <c r="SJ101">
        <f>IF(ISERROR(INDEX(指数走势!$F$37:$ACK$37,1,LOOKUP(2,1/(指数走势!$F$37:$ACK$37&lt;&gt;""),COLUMN(指数走势!$F$37:$ACK$37))-COLUMN(指数走势!$F$37)+1-760+503)),NA(),IF(INDEX(指数走势!$F$37:$ACK$37,1,LOOKUP(2,1/(指数走势!$F$37:$ACK$37&lt;&gt;""),COLUMN(指数走势!$F$37:$ACK$37))-COLUMN(指数走势!$F$37)+1-760+503)=0,NA(),INDEX(指数走势!$F$37:$ACK$37,1,LOOKUP(2,1/(指数走势!$F$37:$ACK$37&lt;&gt;""),COLUMN(指数走势!$F$37:$ACK$37))-COLUMN(指数走势!$F$37)+1-760+503)))</f>
        <v>10.5984001159668</v>
      </c>
      <c r="SK101">
        <f>IF(ISERROR(INDEX(指数走势!$F$37:$ACK$37,1,LOOKUP(2,1/(指数走势!$F$37:$ACK$37&lt;&gt;""),COLUMN(指数走势!$F$37:$ACK$37))-COLUMN(指数走势!$F$37)+1-760+504)),NA(),IF(INDEX(指数走势!$F$37:$ACK$37,1,LOOKUP(2,1/(指数走势!$F$37:$ACK$37&lt;&gt;""),COLUMN(指数走势!$F$37:$ACK$37))-COLUMN(指数走势!$F$37)+1-760+504)=0,NA(),INDEX(指数走势!$F$37:$ACK$37,1,LOOKUP(2,1/(指数走势!$F$37:$ACK$37&lt;&gt;""),COLUMN(指数走势!$F$37:$ACK$37))-COLUMN(指数走势!$F$37)+1-760+504)))</f>
        <v>10.6700000762939</v>
      </c>
      <c r="SL101">
        <f>IF(ISERROR(INDEX(指数走势!$F$37:$ACK$37,1,LOOKUP(2,1/(指数走势!$F$37:$ACK$37&lt;&gt;""),COLUMN(指数走势!$F$37:$ACK$37))-COLUMN(指数走势!$F$37)+1-760+505)),NA(),IF(INDEX(指数走势!$F$37:$ACK$37,1,LOOKUP(2,1/(指数走势!$F$37:$ACK$37&lt;&gt;""),COLUMN(指数走势!$F$37:$ACK$37))-COLUMN(指数走势!$F$37)+1-760+505)=0,NA(),INDEX(指数走势!$F$37:$ACK$37,1,LOOKUP(2,1/(指数走势!$F$37:$ACK$37&lt;&gt;""),COLUMN(指数走势!$F$37:$ACK$37))-COLUMN(指数走势!$F$37)+1-760+505)))</f>
        <v>10.6651000976562</v>
      </c>
      <c r="SM101">
        <f>IF(ISERROR(INDEX(指数走势!$F$37:$ACK$37,1,LOOKUP(2,1/(指数走势!$F$37:$ACK$37&lt;&gt;""),COLUMN(指数走势!$F$37:$ACK$37))-COLUMN(指数走势!$F$37)+1-760+506)),NA(),IF(INDEX(指数走势!$F$37:$ACK$37,1,LOOKUP(2,1/(指数走势!$F$37:$ACK$37&lt;&gt;""),COLUMN(指数走势!$F$37:$ACK$37))-COLUMN(指数走势!$F$37)+1-760+506)=0,NA(),INDEX(指数走势!$F$37:$ACK$37,1,LOOKUP(2,1/(指数走势!$F$37:$ACK$37&lt;&gt;""),COLUMN(指数走势!$F$37:$ACK$37))-COLUMN(指数走势!$F$37)+1-760+506)))</f>
        <v>10.5601997375488</v>
      </c>
      <c r="SN101">
        <f>IF(ISERROR(INDEX(指数走势!$F$37:$ACK$37,1,LOOKUP(2,1/(指数走势!$F$37:$ACK$37&lt;&gt;""),COLUMN(指数走势!$F$37:$ACK$37))-COLUMN(指数走势!$F$37)+1-760+507)),NA(),IF(INDEX(指数走势!$F$37:$ACK$37,1,LOOKUP(2,1/(指数走势!$F$37:$ACK$37&lt;&gt;""),COLUMN(指数走势!$F$37:$ACK$37))-COLUMN(指数走势!$F$37)+1-760+507)=0,NA(),INDEX(指数走势!$F$37:$ACK$37,1,LOOKUP(2,1/(指数走势!$F$37:$ACK$37&lt;&gt;""),COLUMN(指数走势!$F$37:$ACK$37))-COLUMN(指数走势!$F$37)+1-760+507)))</f>
        <v>10.3540000915527</v>
      </c>
      <c r="SO101">
        <f>IF(ISERROR(INDEX(指数走势!$F$37:$ACK$37,1,LOOKUP(2,1/(指数走势!$F$37:$ACK$37&lt;&gt;""),COLUMN(指数走势!$F$37:$ACK$37))-COLUMN(指数走势!$F$37)+1-760+508)),NA(),IF(INDEX(指数走势!$F$37:$ACK$37,1,LOOKUP(2,1/(指数走势!$F$37:$ACK$37&lt;&gt;""),COLUMN(指数走势!$F$37:$ACK$37))-COLUMN(指数走势!$F$37)+1-760+508)=0,NA(),INDEX(指数走势!$F$37:$ACK$37,1,LOOKUP(2,1/(指数走势!$F$37:$ACK$37&lt;&gt;""),COLUMN(指数走势!$F$37:$ACK$37))-COLUMN(指数走势!$F$37)+1-760+508)))</f>
        <v>10.4853000640869</v>
      </c>
      <c r="SP101">
        <f>IF(ISERROR(INDEX(指数走势!$F$37:$ACK$37,1,LOOKUP(2,1/(指数走势!$F$37:$ACK$37&lt;&gt;""),COLUMN(指数走势!$F$37:$ACK$37))-COLUMN(指数走势!$F$37)+1-760+509)),NA(),IF(INDEX(指数走势!$F$37:$ACK$37,1,LOOKUP(2,1/(指数走势!$F$37:$ACK$37&lt;&gt;""),COLUMN(指数走势!$F$37:$ACK$37))-COLUMN(指数走势!$F$37)+1-760+509)=0,NA(),INDEX(指数走势!$F$37:$ACK$37,1,LOOKUP(2,1/(指数走势!$F$37:$ACK$37&lt;&gt;""),COLUMN(指数走势!$F$37:$ACK$37))-COLUMN(指数走势!$F$37)+1-760+509)))</f>
        <v>10.5448999404907</v>
      </c>
      <c r="SQ101">
        <f>IF(ISERROR(INDEX(指数走势!$F$37:$ACK$37,1,LOOKUP(2,1/(指数走势!$F$37:$ACK$37&lt;&gt;""),COLUMN(指数走势!$F$37:$ACK$37))-COLUMN(指数走势!$F$37)+1-760+510)),NA(),IF(INDEX(指数走势!$F$37:$ACK$37,1,LOOKUP(2,1/(指数走势!$F$37:$ACK$37&lt;&gt;""),COLUMN(指数走势!$F$37:$ACK$37))-COLUMN(指数走势!$F$37)+1-760+510)=0,NA(),INDEX(指数走势!$F$37:$ACK$37,1,LOOKUP(2,1/(指数走势!$F$37:$ACK$37&lt;&gt;""),COLUMN(指数走势!$F$37:$ACK$37))-COLUMN(指数走势!$F$37)+1-760+510)))</f>
        <v>10.7615003585815</v>
      </c>
      <c r="SR101">
        <f>IF(ISERROR(INDEX(指数走势!$F$37:$ACK$37,1,LOOKUP(2,1/(指数走势!$F$37:$ACK$37&lt;&gt;""),COLUMN(指数走势!$F$37:$ACK$37))-COLUMN(指数走势!$F$37)+1-760+511)),NA(),IF(INDEX(指数走势!$F$37:$ACK$37,1,LOOKUP(2,1/(指数走势!$F$37:$ACK$37&lt;&gt;""),COLUMN(指数走势!$F$37:$ACK$37))-COLUMN(指数走势!$F$37)+1-760+511)=0,NA(),INDEX(指数走势!$F$37:$ACK$37,1,LOOKUP(2,1/(指数走势!$F$37:$ACK$37&lt;&gt;""),COLUMN(指数走势!$F$37:$ACK$37))-COLUMN(指数走势!$F$37)+1-760+511)))</f>
        <v>10.8901996612549</v>
      </c>
      <c r="SS101">
        <f>IF(ISERROR(INDEX(指数走势!$F$37:$ACK$37,1,LOOKUP(2,1/(指数走势!$F$37:$ACK$37&lt;&gt;""),COLUMN(指数走势!$F$37:$ACK$37))-COLUMN(指数走势!$F$37)+1-760+512)),NA(),IF(INDEX(指数走势!$F$37:$ACK$37,1,LOOKUP(2,1/(指数走势!$F$37:$ACK$37&lt;&gt;""),COLUMN(指数走势!$F$37:$ACK$37))-COLUMN(指数走势!$F$37)+1-760+512)=0,NA(),INDEX(指数走势!$F$37:$ACK$37,1,LOOKUP(2,1/(指数走势!$F$37:$ACK$37&lt;&gt;""),COLUMN(指数走势!$F$37:$ACK$37))-COLUMN(指数走势!$F$37)+1-760+512)))</f>
        <v>10.8306999206543</v>
      </c>
      <c r="ST101">
        <f>IF(ISERROR(INDEX(指数走势!$F$37:$ACK$37,1,LOOKUP(2,1/(指数走势!$F$37:$ACK$37&lt;&gt;""),COLUMN(指数走势!$F$37:$ACK$37))-COLUMN(指数走势!$F$37)+1-760+513)),NA(),IF(INDEX(指数走势!$F$37:$ACK$37,1,LOOKUP(2,1/(指数走势!$F$37:$ACK$37&lt;&gt;""),COLUMN(指数走势!$F$37:$ACK$37))-COLUMN(指数走势!$F$37)+1-760+513)=0,NA(),INDEX(指数走势!$F$37:$ACK$37,1,LOOKUP(2,1/(指数走势!$F$37:$ACK$37&lt;&gt;""),COLUMN(指数走势!$F$37:$ACK$37))-COLUMN(指数走势!$F$37)+1-760+513)))</f>
        <v>10.7846002578735</v>
      </c>
      <c r="SU101">
        <f>IF(ISERROR(INDEX(指数走势!$F$37:$ACK$37,1,LOOKUP(2,1/(指数走势!$F$37:$ACK$37&lt;&gt;""),COLUMN(指数走势!$F$37:$ACK$37))-COLUMN(指数走势!$F$37)+1-760+514)),NA(),IF(INDEX(指数走势!$F$37:$ACK$37,1,LOOKUP(2,1/(指数走势!$F$37:$ACK$37&lt;&gt;""),COLUMN(指数走势!$F$37:$ACK$37))-COLUMN(指数走势!$F$37)+1-760+514)=0,NA(),INDEX(指数走势!$F$37:$ACK$37,1,LOOKUP(2,1/(指数走势!$F$37:$ACK$37&lt;&gt;""),COLUMN(指数走势!$F$37:$ACK$37))-COLUMN(指数走势!$F$37)+1-760+514)))</f>
        <v>10.6827001571655</v>
      </c>
      <c r="SV101">
        <f>IF(ISERROR(INDEX(指数走势!$F$37:$ACK$37,1,LOOKUP(2,1/(指数走势!$F$37:$ACK$37&lt;&gt;""),COLUMN(指数走势!$F$37:$ACK$37))-COLUMN(指数走势!$F$37)+1-760+515)),NA(),IF(INDEX(指数走势!$F$37:$ACK$37,1,LOOKUP(2,1/(指数走势!$F$37:$ACK$37&lt;&gt;""),COLUMN(指数走势!$F$37:$ACK$37))-COLUMN(指数走势!$F$37)+1-760+515)=0,NA(),INDEX(指数走势!$F$37:$ACK$37,1,LOOKUP(2,1/(指数走势!$F$37:$ACK$37&lt;&gt;""),COLUMN(指数走势!$F$37:$ACK$37))-COLUMN(指数走势!$F$37)+1-760+515)))</f>
        <v>10.6827001571655</v>
      </c>
      <c r="SW101">
        <f>IF(ISERROR(INDEX(指数走势!$F$37:$ACK$37,1,LOOKUP(2,1/(指数走势!$F$37:$ACK$37&lt;&gt;""),COLUMN(指数走势!$F$37:$ACK$37))-COLUMN(指数走势!$F$37)+1-760+516)),NA(),IF(INDEX(指数走势!$F$37:$ACK$37,1,LOOKUP(2,1/(指数走势!$F$37:$ACK$37&lt;&gt;""),COLUMN(指数走势!$F$37:$ACK$37))-COLUMN(指数走势!$F$37)+1-760+516)=0,NA(),INDEX(指数走势!$F$37:$ACK$37,1,LOOKUP(2,1/(指数走势!$F$37:$ACK$37&lt;&gt;""),COLUMN(指数走势!$F$37:$ACK$37))-COLUMN(指数走势!$F$37)+1-760+516)))</f>
        <v>10.7653999328613</v>
      </c>
      <c r="SX101">
        <f>IF(ISERROR(INDEX(指数走势!$F$37:$ACK$37,1,LOOKUP(2,1/(指数走势!$F$37:$ACK$37&lt;&gt;""),COLUMN(指数走势!$F$37:$ACK$37))-COLUMN(指数走势!$F$37)+1-760+517)),NA(),IF(INDEX(指数走势!$F$37:$ACK$37,1,LOOKUP(2,1/(指数走势!$F$37:$ACK$37&lt;&gt;""),COLUMN(指数走势!$F$37:$ACK$37))-COLUMN(指数走势!$F$37)+1-760+517)=0,NA(),INDEX(指数走势!$F$37:$ACK$37,1,LOOKUP(2,1/(指数走势!$F$37:$ACK$37&lt;&gt;""),COLUMN(指数走势!$F$37:$ACK$37))-COLUMN(指数走势!$F$37)+1-760+517)))</f>
        <v>10.6920003890991</v>
      </c>
      <c r="SY101">
        <f>IF(ISERROR(INDEX(指数走势!$F$37:$ACK$37,1,LOOKUP(2,1/(指数走势!$F$37:$ACK$37&lt;&gt;""),COLUMN(指数走势!$F$37:$ACK$37))-COLUMN(指数走势!$F$37)+1-760+518)),NA(),IF(INDEX(指数走势!$F$37:$ACK$37,1,LOOKUP(2,1/(指数走势!$F$37:$ACK$37&lt;&gt;""),COLUMN(指数走势!$F$37:$ACK$37))-COLUMN(指数走势!$F$37)+1-760+518)=0,NA(),INDEX(指数走势!$F$37:$ACK$37,1,LOOKUP(2,1/(指数走势!$F$37:$ACK$37&lt;&gt;""),COLUMN(指数走势!$F$37:$ACK$37))-COLUMN(指数走势!$F$37)+1-760+518)))</f>
        <v>10.6463003158569</v>
      </c>
      <c r="SZ101">
        <f>IF(ISERROR(INDEX(指数走势!$F$37:$ACK$37,1,LOOKUP(2,1/(指数走势!$F$37:$ACK$37&lt;&gt;""),COLUMN(指数走势!$F$37:$ACK$37))-COLUMN(指数走势!$F$37)+1-760+519)),NA(),IF(INDEX(指数走势!$F$37:$ACK$37,1,LOOKUP(2,1/(指数走势!$F$37:$ACK$37&lt;&gt;""),COLUMN(指数走势!$F$37:$ACK$37))-COLUMN(指数走势!$F$37)+1-760+519)=0,NA(),INDEX(指数走势!$F$37:$ACK$37,1,LOOKUP(2,1/(指数走势!$F$37:$ACK$37&lt;&gt;""),COLUMN(指数走势!$F$37:$ACK$37))-COLUMN(指数走势!$F$37)+1-760+519)))</f>
        <v>10.6403999328613</v>
      </c>
      <c r="TA101">
        <f>IF(ISERROR(INDEX(指数走势!$F$37:$ACK$37,1,LOOKUP(2,1/(指数走势!$F$37:$ACK$37&lt;&gt;""),COLUMN(指数走势!$F$37:$ACK$37))-COLUMN(指数走势!$F$37)+1-760+520)),NA(),IF(INDEX(指数走势!$F$37:$ACK$37,1,LOOKUP(2,1/(指数走势!$F$37:$ACK$37&lt;&gt;""),COLUMN(指数走势!$F$37:$ACK$37))-COLUMN(指数走势!$F$37)+1-760+520)=0,NA(),INDEX(指数走势!$F$37:$ACK$37,1,LOOKUP(2,1/(指数走势!$F$37:$ACK$37&lt;&gt;""),COLUMN(指数走势!$F$37:$ACK$37))-COLUMN(指数走势!$F$37)+1-760+520)))</f>
        <v>10.7312002182007</v>
      </c>
      <c r="TB101">
        <f>IF(ISERROR(INDEX(指数走势!$F$37:$ACK$37,1,LOOKUP(2,1/(指数走势!$F$37:$ACK$37&lt;&gt;""),COLUMN(指数走势!$F$37:$ACK$37))-COLUMN(指数走势!$F$37)+1-760+521)),NA(),IF(INDEX(指数走势!$F$37:$ACK$37,1,LOOKUP(2,1/(指数走势!$F$37:$ACK$37&lt;&gt;""),COLUMN(指数走势!$F$37:$ACK$37))-COLUMN(指数走势!$F$37)+1-760+521)=0,NA(),INDEX(指数走势!$F$37:$ACK$37,1,LOOKUP(2,1/(指数走势!$F$37:$ACK$37&lt;&gt;""),COLUMN(指数走势!$F$37:$ACK$37))-COLUMN(指数走势!$F$37)+1-760+521)))</f>
        <v>10.6291999816895</v>
      </c>
      <c r="TC101">
        <f>IF(ISERROR(INDEX(指数走势!$F$37:$ACK$37,1,LOOKUP(2,1/(指数走势!$F$37:$ACK$37&lt;&gt;""),COLUMN(指数走势!$F$37:$ACK$37))-COLUMN(指数走势!$F$37)+1-760+522)),NA(),IF(INDEX(指数走势!$F$37:$ACK$37,1,LOOKUP(2,1/(指数走势!$F$37:$ACK$37&lt;&gt;""),COLUMN(指数走势!$F$37:$ACK$37))-COLUMN(指数走势!$F$37)+1-760+522)=0,NA(),INDEX(指数走势!$F$37:$ACK$37,1,LOOKUP(2,1/(指数走势!$F$37:$ACK$37&lt;&gt;""),COLUMN(指数走势!$F$37:$ACK$37))-COLUMN(指数走势!$F$37)+1-760+522)))</f>
        <v>10.7163000106812</v>
      </c>
      <c r="TD101">
        <f>IF(ISERROR(INDEX(指数走势!$F$37:$ACK$37,1,LOOKUP(2,1/(指数走势!$F$37:$ACK$37&lt;&gt;""),COLUMN(指数走势!$F$37:$ACK$37))-COLUMN(指数走势!$F$37)+1-760+523)),NA(),IF(INDEX(指数走势!$F$37:$ACK$37,1,LOOKUP(2,1/(指数走势!$F$37:$ACK$37&lt;&gt;""),COLUMN(指数走势!$F$37:$ACK$37))-COLUMN(指数走势!$F$37)+1-760+523)=0,NA(),INDEX(指数走势!$F$37:$ACK$37,1,LOOKUP(2,1/(指数走势!$F$37:$ACK$37&lt;&gt;""),COLUMN(指数走势!$F$37:$ACK$37))-COLUMN(指数走势!$F$37)+1-760+523)))</f>
        <v>10.7470998764038</v>
      </c>
      <c r="TE101">
        <f>IF(ISERROR(INDEX(指数走势!$F$37:$ACK$37,1,LOOKUP(2,1/(指数走势!$F$37:$ACK$37&lt;&gt;""),COLUMN(指数走势!$F$37:$ACK$37))-COLUMN(指数走势!$F$37)+1-760+524)),NA(),IF(INDEX(指数走势!$F$37:$ACK$37,1,LOOKUP(2,1/(指数走势!$F$37:$ACK$37&lt;&gt;""),COLUMN(指数走势!$F$37:$ACK$37))-COLUMN(指数走势!$F$37)+1-760+524)=0,NA(),INDEX(指数走势!$F$37:$ACK$37,1,LOOKUP(2,1/(指数走势!$F$37:$ACK$37&lt;&gt;""),COLUMN(指数走势!$F$37:$ACK$37))-COLUMN(指数走势!$F$37)+1-760+524)))</f>
        <v>10.7952995300293</v>
      </c>
      <c r="TF101">
        <f>IF(ISERROR(INDEX(指数走势!$F$37:$ACK$37,1,LOOKUP(2,1/(指数走势!$F$37:$ACK$37&lt;&gt;""),COLUMN(指数走势!$F$37:$ACK$37))-COLUMN(指数走势!$F$37)+1-760+525)),NA(),IF(INDEX(指数走势!$F$37:$ACK$37,1,LOOKUP(2,1/(指数走势!$F$37:$ACK$37&lt;&gt;""),COLUMN(指数走势!$F$37:$ACK$37))-COLUMN(指数走势!$F$37)+1-760+525)=0,NA(),INDEX(指数走势!$F$37:$ACK$37,1,LOOKUP(2,1/(指数走势!$F$37:$ACK$37&lt;&gt;""),COLUMN(指数走势!$F$37:$ACK$37))-COLUMN(指数走势!$F$37)+1-760+525)))</f>
        <v>10.9378004074097</v>
      </c>
      <c r="TG101">
        <f>IF(ISERROR(INDEX(指数走势!$F$37:$ACK$37,1,LOOKUP(2,1/(指数走势!$F$37:$ACK$37&lt;&gt;""),COLUMN(指数走势!$F$37:$ACK$37))-COLUMN(指数走势!$F$37)+1-760+526)),NA(),IF(INDEX(指数走势!$F$37:$ACK$37,1,LOOKUP(2,1/(指数走势!$F$37:$ACK$37&lt;&gt;""),COLUMN(指数走势!$F$37:$ACK$37))-COLUMN(指数走势!$F$37)+1-760+526)=0,NA(),INDEX(指数走势!$F$37:$ACK$37,1,LOOKUP(2,1/(指数走势!$F$37:$ACK$37&lt;&gt;""),COLUMN(指数走势!$F$37:$ACK$37))-COLUMN(指数走势!$F$37)+1-760+526)))</f>
        <v>10.9186000823975</v>
      </c>
      <c r="TH101">
        <f>IF(ISERROR(INDEX(指数走势!$F$37:$ACK$37,1,LOOKUP(2,1/(指数走势!$F$37:$ACK$37&lt;&gt;""),COLUMN(指数走势!$F$37:$ACK$37))-COLUMN(指数走势!$F$37)+1-760+527)),NA(),IF(INDEX(指数走势!$F$37:$ACK$37,1,LOOKUP(2,1/(指数走势!$F$37:$ACK$37&lt;&gt;""),COLUMN(指数走势!$F$37:$ACK$37))-COLUMN(指数走势!$F$37)+1-760+527)=0,NA(),INDEX(指数走势!$F$37:$ACK$37,1,LOOKUP(2,1/(指数走势!$F$37:$ACK$37&lt;&gt;""),COLUMN(指数走势!$F$37:$ACK$37))-COLUMN(指数走势!$F$37)+1-760+527)))</f>
        <v>10.8950004577637</v>
      </c>
      <c r="TI101">
        <f>IF(ISERROR(INDEX(指数走势!$F$37:$ACK$37,1,LOOKUP(2,1/(指数走势!$F$37:$ACK$37&lt;&gt;""),COLUMN(指数走势!$F$37:$ACK$37))-COLUMN(指数走势!$F$37)+1-760+528)),NA(),IF(INDEX(指数走势!$F$37:$ACK$37,1,LOOKUP(2,1/(指数走势!$F$37:$ACK$37&lt;&gt;""),COLUMN(指数走势!$F$37:$ACK$37))-COLUMN(指数走势!$F$37)+1-760+528)=0,NA(),INDEX(指数走势!$F$37:$ACK$37,1,LOOKUP(2,1/(指数走势!$F$37:$ACK$37&lt;&gt;""),COLUMN(指数走势!$F$37:$ACK$37))-COLUMN(指数走势!$F$37)+1-760+528)))</f>
        <v>11.03600025177</v>
      </c>
      <c r="TJ101">
        <f>IF(ISERROR(INDEX(指数走势!$F$37:$ACK$37,1,LOOKUP(2,1/(指数走势!$F$37:$ACK$37&lt;&gt;""),COLUMN(指数走势!$F$37:$ACK$37))-COLUMN(指数走势!$F$37)+1-760+529)),NA(),IF(INDEX(指数走势!$F$37:$ACK$37,1,LOOKUP(2,1/(指数走势!$F$37:$ACK$37&lt;&gt;""),COLUMN(指数走势!$F$37:$ACK$37))-COLUMN(指数走势!$F$37)+1-760+529)=0,NA(),INDEX(指数走势!$F$37:$ACK$37,1,LOOKUP(2,1/(指数走势!$F$37:$ACK$37&lt;&gt;""),COLUMN(指数走势!$F$37:$ACK$37))-COLUMN(指数走势!$F$37)+1-760+529)))</f>
        <v>11.1141004562378</v>
      </c>
      <c r="TK101">
        <f>IF(ISERROR(INDEX(指数走势!$F$37:$ACK$37,1,LOOKUP(2,1/(指数走势!$F$37:$ACK$37&lt;&gt;""),COLUMN(指数走势!$F$37:$ACK$37))-COLUMN(指数走势!$F$37)+1-760+530)),NA(),IF(INDEX(指数走势!$F$37:$ACK$37,1,LOOKUP(2,1/(指数走势!$F$37:$ACK$37&lt;&gt;""),COLUMN(指数走势!$F$37:$ACK$37))-COLUMN(指数走势!$F$37)+1-760+530)=0,NA(),INDEX(指数走势!$F$37:$ACK$37,1,LOOKUP(2,1/(指数走势!$F$37:$ACK$37&lt;&gt;""),COLUMN(指数走势!$F$37:$ACK$37))-COLUMN(指数走势!$F$37)+1-760+530)))</f>
        <v>11.1772003173828</v>
      </c>
      <c r="TL101">
        <f>IF(ISERROR(INDEX(指数走势!$F$37:$ACK$37,1,LOOKUP(2,1/(指数走势!$F$37:$ACK$37&lt;&gt;""),COLUMN(指数走势!$F$37:$ACK$37))-COLUMN(指数走势!$F$37)+1-760+531)),NA(),IF(INDEX(指数走势!$F$37:$ACK$37,1,LOOKUP(2,1/(指数走势!$F$37:$ACK$37&lt;&gt;""),COLUMN(指数走势!$F$37:$ACK$37))-COLUMN(指数走势!$F$37)+1-760+531)=0,NA(),INDEX(指数走势!$F$37:$ACK$37,1,LOOKUP(2,1/(指数走势!$F$37:$ACK$37&lt;&gt;""),COLUMN(指数走势!$F$37:$ACK$37))-COLUMN(指数走势!$F$37)+1-760+531)))</f>
        <v>11.3685998916626</v>
      </c>
      <c r="TM101">
        <f>IF(ISERROR(INDEX(指数走势!$F$37:$ACK$37,1,LOOKUP(2,1/(指数走势!$F$37:$ACK$37&lt;&gt;""),COLUMN(指数走势!$F$37:$ACK$37))-COLUMN(指数走势!$F$37)+1-760+532)),NA(),IF(INDEX(指数走势!$F$37:$ACK$37,1,LOOKUP(2,1/(指数走势!$F$37:$ACK$37&lt;&gt;""),COLUMN(指数走势!$F$37:$ACK$37))-COLUMN(指数走势!$F$37)+1-760+532)=0,NA(),INDEX(指数走势!$F$37:$ACK$37,1,LOOKUP(2,1/(指数走势!$F$37:$ACK$37&lt;&gt;""),COLUMN(指数走势!$F$37:$ACK$37))-COLUMN(指数走势!$F$37)+1-760+532)))</f>
        <v>11.4200000762939</v>
      </c>
      <c r="TN101">
        <f>IF(ISERROR(INDEX(指数走势!$F$37:$ACK$37,1,LOOKUP(2,1/(指数走势!$F$37:$ACK$37&lt;&gt;""),COLUMN(指数走势!$F$37:$ACK$37))-COLUMN(指数走势!$F$37)+1-760+533)),NA(),IF(INDEX(指数走势!$F$37:$ACK$37,1,LOOKUP(2,1/(指数走势!$F$37:$ACK$37&lt;&gt;""),COLUMN(指数走势!$F$37:$ACK$37))-COLUMN(指数走势!$F$37)+1-760+533)=0,NA(),INDEX(指数走势!$F$37:$ACK$37,1,LOOKUP(2,1/(指数走势!$F$37:$ACK$37&lt;&gt;""),COLUMN(指数走势!$F$37:$ACK$37))-COLUMN(指数走势!$F$37)+1-760+533)))</f>
        <v>11.3149995803833</v>
      </c>
      <c r="TO101">
        <f>IF(ISERROR(INDEX(指数走势!$F$37:$ACK$37,1,LOOKUP(2,1/(指数走势!$F$37:$ACK$37&lt;&gt;""),COLUMN(指数走势!$F$37:$ACK$37))-COLUMN(指数走势!$F$37)+1-760+534)),NA(),IF(INDEX(指数走势!$F$37:$ACK$37,1,LOOKUP(2,1/(指数走势!$F$37:$ACK$37&lt;&gt;""),COLUMN(指数走势!$F$37:$ACK$37))-COLUMN(指数走势!$F$37)+1-760+534)=0,NA(),INDEX(指数走势!$F$37:$ACK$37,1,LOOKUP(2,1/(指数走势!$F$37:$ACK$37&lt;&gt;""),COLUMN(指数走势!$F$37:$ACK$37))-COLUMN(指数走势!$F$37)+1-760+534)))</f>
        <v>11.3617000579834</v>
      </c>
      <c r="TP101">
        <f>IF(ISERROR(INDEX(指数走势!$F$37:$ACK$37,1,LOOKUP(2,1/(指数走势!$F$37:$ACK$37&lt;&gt;""),COLUMN(指数走势!$F$37:$ACK$37))-COLUMN(指数走势!$F$37)+1-760+535)),NA(),IF(INDEX(指数走势!$F$37:$ACK$37,1,LOOKUP(2,1/(指数走势!$F$37:$ACK$37&lt;&gt;""),COLUMN(指数走势!$F$37:$ACK$37))-COLUMN(指数走势!$F$37)+1-760+535)=0,NA(),INDEX(指数走势!$F$37:$ACK$37,1,LOOKUP(2,1/(指数走势!$F$37:$ACK$37&lt;&gt;""),COLUMN(指数走势!$F$37:$ACK$37))-COLUMN(指数走势!$F$37)+1-760+535)))</f>
        <v>11.4905996322632</v>
      </c>
      <c r="TQ101">
        <f>IF(ISERROR(INDEX(指数走势!$F$37:$ACK$37,1,LOOKUP(2,1/(指数走势!$F$37:$ACK$37&lt;&gt;""),COLUMN(指数走势!$F$37:$ACK$37))-COLUMN(指数走势!$F$37)+1-760+536)),NA(),IF(INDEX(指数走势!$F$37:$ACK$37,1,LOOKUP(2,1/(指数走势!$F$37:$ACK$37&lt;&gt;""),COLUMN(指数走势!$F$37:$ACK$37))-COLUMN(指数走势!$F$37)+1-760+536)=0,NA(),INDEX(指数走势!$F$37:$ACK$37,1,LOOKUP(2,1/(指数走势!$F$37:$ACK$37&lt;&gt;""),COLUMN(指数走势!$F$37:$ACK$37))-COLUMN(指数走势!$F$37)+1-760+536)))</f>
        <v>11.4448003768921</v>
      </c>
      <c r="TR101">
        <f>IF(ISERROR(INDEX(指数走势!$F$37:$ACK$37,1,LOOKUP(2,1/(指数走势!$F$37:$ACK$37&lt;&gt;""),COLUMN(指数走势!$F$37:$ACK$37))-COLUMN(指数走势!$F$37)+1-760+537)),NA(),IF(INDEX(指数走势!$F$37:$ACK$37,1,LOOKUP(2,1/(指数走势!$F$37:$ACK$37&lt;&gt;""),COLUMN(指数走势!$F$37:$ACK$37))-COLUMN(指数走势!$F$37)+1-760+537)=0,NA(),INDEX(指数走势!$F$37:$ACK$37,1,LOOKUP(2,1/(指数走势!$F$37:$ACK$37&lt;&gt;""),COLUMN(指数走势!$F$37:$ACK$37))-COLUMN(指数走势!$F$37)+1-760+537)))</f>
        <v>11.2616996765137</v>
      </c>
      <c r="TS101">
        <f>IF(ISERROR(INDEX(指数走势!$F$37:$ACK$37,1,LOOKUP(2,1/(指数走势!$F$37:$ACK$37&lt;&gt;""),COLUMN(指数走势!$F$37:$ACK$37))-COLUMN(指数走势!$F$37)+1-760+538)),NA(),IF(INDEX(指数走势!$F$37:$ACK$37,1,LOOKUP(2,1/(指数走势!$F$37:$ACK$37&lt;&gt;""),COLUMN(指数走势!$F$37:$ACK$37))-COLUMN(指数走势!$F$37)+1-760+538)=0,NA(),INDEX(指数走势!$F$37:$ACK$37,1,LOOKUP(2,1/(指数走势!$F$37:$ACK$37&lt;&gt;""),COLUMN(指数走势!$F$37:$ACK$37))-COLUMN(指数走势!$F$37)+1-760+538)))</f>
        <v>11.1269998550415</v>
      </c>
      <c r="TT101">
        <f>IF(ISERROR(INDEX(指数走势!$F$37:$ACK$37,1,LOOKUP(2,1/(指数走势!$F$37:$ACK$37&lt;&gt;""),COLUMN(指数走势!$F$37:$ACK$37))-COLUMN(指数走势!$F$37)+1-760+539)),NA(),IF(INDEX(指数走势!$F$37:$ACK$37,1,LOOKUP(2,1/(指数走势!$F$37:$ACK$37&lt;&gt;""),COLUMN(指数走势!$F$37:$ACK$37))-COLUMN(指数走势!$F$37)+1-760+539)=0,NA(),INDEX(指数走势!$F$37:$ACK$37,1,LOOKUP(2,1/(指数走势!$F$37:$ACK$37&lt;&gt;""),COLUMN(指数走势!$F$37:$ACK$37))-COLUMN(指数走势!$F$37)+1-760+539)))</f>
        <v>11.2360000610352</v>
      </c>
      <c r="TU101">
        <f>IF(ISERROR(INDEX(指数走势!$F$37:$ACK$37,1,LOOKUP(2,1/(指数走势!$F$37:$ACK$37&lt;&gt;""),COLUMN(指数走势!$F$37:$ACK$37))-COLUMN(指数走势!$F$37)+1-760+540)),NA(),IF(INDEX(指数走势!$F$37:$ACK$37,1,LOOKUP(2,1/(指数走势!$F$37:$ACK$37&lt;&gt;""),COLUMN(指数走势!$F$37:$ACK$37))-COLUMN(指数走势!$F$37)+1-760+540)=0,NA(),INDEX(指数走势!$F$37:$ACK$37,1,LOOKUP(2,1/(指数走势!$F$37:$ACK$37&lt;&gt;""),COLUMN(指数走势!$F$37:$ACK$37))-COLUMN(指数走势!$F$37)+1-760+540)))</f>
        <v>11.3227996826172</v>
      </c>
      <c r="TV101">
        <f>IF(ISERROR(INDEX(指数走势!$F$37:$ACK$37,1,LOOKUP(2,1/(指数走势!$F$37:$ACK$37&lt;&gt;""),COLUMN(指数走势!$F$37:$ACK$37))-COLUMN(指数走势!$F$37)+1-760+541)),NA(),IF(INDEX(指数走势!$F$37:$ACK$37,1,LOOKUP(2,1/(指数走势!$F$37:$ACK$37&lt;&gt;""),COLUMN(指数走势!$F$37:$ACK$37))-COLUMN(指数走势!$F$37)+1-760+541)=0,NA(),INDEX(指数走势!$F$37:$ACK$37,1,LOOKUP(2,1/(指数走势!$F$37:$ACK$37&lt;&gt;""),COLUMN(指数走势!$F$37:$ACK$37))-COLUMN(指数走势!$F$37)+1-760+541)))</f>
        <v>11.3402996063232</v>
      </c>
      <c r="TW101">
        <f>IF(ISERROR(INDEX(指数走势!$F$37:$ACK$37,1,LOOKUP(2,1/(指数走势!$F$37:$ACK$37&lt;&gt;""),COLUMN(指数走势!$F$37:$ACK$37))-COLUMN(指数走势!$F$37)+1-760+542)),NA(),IF(INDEX(指数走势!$F$37:$ACK$37,1,LOOKUP(2,1/(指数走势!$F$37:$ACK$37&lt;&gt;""),COLUMN(指数走势!$F$37:$ACK$37))-COLUMN(指数走势!$F$37)+1-760+542)=0,NA(),INDEX(指数走势!$F$37:$ACK$37,1,LOOKUP(2,1/(指数走势!$F$37:$ACK$37&lt;&gt;""),COLUMN(指数走势!$F$37:$ACK$37))-COLUMN(指数走势!$F$37)+1-760+542)))</f>
        <v>11.4125003814697</v>
      </c>
      <c r="TX101">
        <f>IF(ISERROR(INDEX(指数走势!$F$37:$ACK$37,1,LOOKUP(2,1/(指数走势!$F$37:$ACK$37&lt;&gt;""),COLUMN(指数走势!$F$37:$ACK$37))-COLUMN(指数走势!$F$37)+1-760+543)),NA(),IF(INDEX(指数走势!$F$37:$ACK$37,1,LOOKUP(2,1/(指数走势!$F$37:$ACK$37&lt;&gt;""),COLUMN(指数走势!$F$37:$ACK$37))-COLUMN(指数走势!$F$37)+1-760+543)=0,NA(),INDEX(指数走势!$F$37:$ACK$37,1,LOOKUP(2,1/(指数走势!$F$37:$ACK$37&lt;&gt;""),COLUMN(指数走势!$F$37:$ACK$37))-COLUMN(指数走势!$F$37)+1-760+543)))</f>
        <v>11.3311996459961</v>
      </c>
      <c r="TY101">
        <f>IF(ISERROR(INDEX(指数走势!$F$37:$ACK$37,1,LOOKUP(2,1/(指数走势!$F$37:$ACK$37&lt;&gt;""),COLUMN(指数走势!$F$37:$ACK$37))-COLUMN(指数走势!$F$37)+1-760+544)),NA(),IF(INDEX(指数走势!$F$37:$ACK$37,1,LOOKUP(2,1/(指数走势!$F$37:$ACK$37&lt;&gt;""),COLUMN(指数走势!$F$37:$ACK$37))-COLUMN(指数走势!$F$37)+1-760+544)=0,NA(),INDEX(指数走势!$F$37:$ACK$37,1,LOOKUP(2,1/(指数走势!$F$37:$ACK$37&lt;&gt;""),COLUMN(指数走势!$F$37:$ACK$37))-COLUMN(指数走势!$F$37)+1-760+544)))</f>
        <v>11.3338003158569</v>
      </c>
      <c r="TZ101">
        <f>IF(ISERROR(INDEX(指数走势!$F$37:$ACK$37,1,LOOKUP(2,1/(指数走势!$F$37:$ACK$37&lt;&gt;""),COLUMN(指数走势!$F$37:$ACK$37))-COLUMN(指数走势!$F$37)+1-760+545)),NA(),IF(INDEX(指数走势!$F$37:$ACK$37,1,LOOKUP(2,1/(指数走势!$F$37:$ACK$37&lt;&gt;""),COLUMN(指数走势!$F$37:$ACK$37))-COLUMN(指数走势!$F$37)+1-760+545)=0,NA(),INDEX(指数走势!$F$37:$ACK$37,1,LOOKUP(2,1/(指数走势!$F$37:$ACK$37&lt;&gt;""),COLUMN(指数走势!$F$37:$ACK$37))-COLUMN(指数走势!$F$37)+1-760+545)))</f>
        <v>11.375</v>
      </c>
      <c r="UA101">
        <f>IF(ISERROR(INDEX(指数走势!$F$37:$ACK$37,1,LOOKUP(2,1/(指数走势!$F$37:$ACK$37&lt;&gt;""),COLUMN(指数走势!$F$37:$ACK$37))-COLUMN(指数走势!$F$37)+1-760+546)),NA(),IF(INDEX(指数走势!$F$37:$ACK$37,1,LOOKUP(2,1/(指数走势!$F$37:$ACK$37&lt;&gt;""),COLUMN(指数走势!$F$37:$ACK$37))-COLUMN(指数走势!$F$37)+1-760+546)=0,NA(),INDEX(指数走势!$F$37:$ACK$37,1,LOOKUP(2,1/(指数走势!$F$37:$ACK$37&lt;&gt;""),COLUMN(指数走势!$F$37:$ACK$37))-COLUMN(指数走势!$F$37)+1-760+546)))</f>
        <v>11.6028995513916</v>
      </c>
      <c r="UB101">
        <f>IF(ISERROR(INDEX(指数走势!$F$37:$ACK$37,1,LOOKUP(2,1/(指数走势!$F$37:$ACK$37&lt;&gt;""),COLUMN(指数走势!$F$37:$ACK$37))-COLUMN(指数走势!$F$37)+1-760+547)),NA(),IF(INDEX(指数走势!$F$37:$ACK$37,1,LOOKUP(2,1/(指数走势!$F$37:$ACK$37&lt;&gt;""),COLUMN(指数走势!$F$37:$ACK$37))-COLUMN(指数走势!$F$37)+1-760+547)=0,NA(),INDEX(指数走势!$F$37:$ACK$37,1,LOOKUP(2,1/(指数走势!$F$37:$ACK$37&lt;&gt;""),COLUMN(指数走势!$F$37:$ACK$37))-COLUMN(指数走势!$F$37)+1-760+547)))</f>
        <v>11.6359996795654</v>
      </c>
      <c r="UC101">
        <f>IF(ISERROR(INDEX(指数走势!$F$37:$ACK$37,1,LOOKUP(2,1/(指数走势!$F$37:$ACK$37&lt;&gt;""),COLUMN(指数走势!$F$37:$ACK$37))-COLUMN(指数走势!$F$37)+1-760+548)),NA(),IF(INDEX(指数走势!$F$37:$ACK$37,1,LOOKUP(2,1/(指数走势!$F$37:$ACK$37&lt;&gt;""),COLUMN(指数走势!$F$37:$ACK$37))-COLUMN(指数走势!$F$37)+1-760+548)=0,NA(),INDEX(指数走势!$F$37:$ACK$37,1,LOOKUP(2,1/(指数走势!$F$37:$ACK$37&lt;&gt;""),COLUMN(指数走势!$F$37:$ACK$37))-COLUMN(指数走势!$F$37)+1-760+548)))</f>
        <v>11.5213003158569</v>
      </c>
      <c r="UD101">
        <f>IF(ISERROR(INDEX(指数走势!$F$37:$ACK$37,1,LOOKUP(2,1/(指数走势!$F$37:$ACK$37&lt;&gt;""),COLUMN(指数走势!$F$37:$ACK$37))-COLUMN(指数走势!$F$37)+1-760+549)),NA(),IF(INDEX(指数走势!$F$37:$ACK$37,1,LOOKUP(2,1/(指数走势!$F$37:$ACK$37&lt;&gt;""),COLUMN(指数走势!$F$37:$ACK$37))-COLUMN(指数走势!$F$37)+1-760+549)=0,NA(),INDEX(指数走势!$F$37:$ACK$37,1,LOOKUP(2,1/(指数走势!$F$37:$ACK$37&lt;&gt;""),COLUMN(指数走势!$F$37:$ACK$37))-COLUMN(指数走势!$F$37)+1-760+549)))</f>
        <v>11.4625997543335</v>
      </c>
      <c r="UE101">
        <f>IF(ISERROR(INDEX(指数走势!$F$37:$ACK$37,1,LOOKUP(2,1/(指数走势!$F$37:$ACK$37&lt;&gt;""),COLUMN(指数走势!$F$37:$ACK$37))-COLUMN(指数走势!$F$37)+1-760+550)),NA(),IF(INDEX(指数走势!$F$37:$ACK$37,1,LOOKUP(2,1/(指数走势!$F$37:$ACK$37&lt;&gt;""),COLUMN(指数走势!$F$37:$ACK$37))-COLUMN(指数走势!$F$37)+1-760+550)=0,NA(),INDEX(指数走势!$F$37:$ACK$37,1,LOOKUP(2,1/(指数走势!$F$37:$ACK$37&lt;&gt;""),COLUMN(指数走势!$F$37:$ACK$37))-COLUMN(指数走势!$F$37)+1-760+550)))</f>
        <v>11.4147996902466</v>
      </c>
      <c r="UF101">
        <f>IF(ISERROR(INDEX(指数走势!$F$37:$ACK$37,1,LOOKUP(2,1/(指数走势!$F$37:$ACK$37&lt;&gt;""),COLUMN(指数走势!$F$37:$ACK$37))-COLUMN(指数走势!$F$37)+1-760+551)),NA(),IF(INDEX(指数走势!$F$37:$ACK$37,1,LOOKUP(2,1/(指数走势!$F$37:$ACK$37&lt;&gt;""),COLUMN(指数走势!$F$37:$ACK$37))-COLUMN(指数走势!$F$37)+1-760+551)=0,NA(),INDEX(指数走势!$F$37:$ACK$37,1,LOOKUP(2,1/(指数走势!$F$37:$ACK$37&lt;&gt;""),COLUMN(指数走势!$F$37:$ACK$37))-COLUMN(指数走势!$F$37)+1-760+551)))</f>
        <v>11.4204998016357</v>
      </c>
      <c r="UG101">
        <f>IF(ISERROR(INDEX(指数走势!$F$37:$ACK$37,1,LOOKUP(2,1/(指数走势!$F$37:$ACK$37&lt;&gt;""),COLUMN(指数走势!$F$37:$ACK$37))-COLUMN(指数走势!$F$37)+1-760+552)),NA(),IF(INDEX(指数走势!$F$37:$ACK$37,1,LOOKUP(2,1/(指数走势!$F$37:$ACK$37&lt;&gt;""),COLUMN(指数走势!$F$37:$ACK$37))-COLUMN(指数走势!$F$37)+1-760+552)=0,NA(),INDEX(指数走势!$F$37:$ACK$37,1,LOOKUP(2,1/(指数走势!$F$37:$ACK$37&lt;&gt;""),COLUMN(指数走势!$F$37:$ACK$37))-COLUMN(指数走势!$F$37)+1-760+552)))</f>
        <v>11.4628000259399</v>
      </c>
      <c r="UH101">
        <f>IF(ISERROR(INDEX(指数走势!$F$37:$ACK$37,1,LOOKUP(2,1/(指数走势!$F$37:$ACK$37&lt;&gt;""),COLUMN(指数走势!$F$37:$ACK$37))-COLUMN(指数走势!$F$37)+1-760+553)),NA(),IF(INDEX(指数走势!$F$37:$ACK$37,1,LOOKUP(2,1/(指数走势!$F$37:$ACK$37&lt;&gt;""),COLUMN(指数走势!$F$37:$ACK$37))-COLUMN(指数走势!$F$37)+1-760+553)=0,NA(),INDEX(指数走势!$F$37:$ACK$37,1,LOOKUP(2,1/(指数走势!$F$37:$ACK$37&lt;&gt;""),COLUMN(指数走势!$F$37:$ACK$37))-COLUMN(指数走势!$F$37)+1-760+553)))</f>
        <v>11.5446996688843</v>
      </c>
      <c r="UI101">
        <f>IF(ISERROR(INDEX(指数走势!$F$37:$ACK$37,1,LOOKUP(2,1/(指数走势!$F$37:$ACK$37&lt;&gt;""),COLUMN(指数走势!$F$37:$ACK$37))-COLUMN(指数走势!$F$37)+1-760+554)),NA(),IF(INDEX(指数走势!$F$37:$ACK$37,1,LOOKUP(2,1/(指数走势!$F$37:$ACK$37&lt;&gt;""),COLUMN(指数走势!$F$37:$ACK$37))-COLUMN(指数走势!$F$37)+1-760+554)=0,NA(),INDEX(指数走势!$F$37:$ACK$37,1,LOOKUP(2,1/(指数走势!$F$37:$ACK$37&lt;&gt;""),COLUMN(指数走势!$F$37:$ACK$37))-COLUMN(指数走势!$F$37)+1-760+554)))</f>
        <v>11.7452001571655</v>
      </c>
      <c r="UJ101">
        <f>IF(ISERROR(INDEX(指数走势!$F$37:$ACK$37,1,LOOKUP(2,1/(指数走势!$F$37:$ACK$37&lt;&gt;""),COLUMN(指数走势!$F$37:$ACK$37))-COLUMN(指数走势!$F$37)+1-760+555)),NA(),IF(INDEX(指数走势!$F$37:$ACK$37,1,LOOKUP(2,1/(指数走势!$F$37:$ACK$37&lt;&gt;""),COLUMN(指数走势!$F$37:$ACK$37))-COLUMN(指数走势!$F$37)+1-760+555)=0,NA(),INDEX(指数走势!$F$37:$ACK$37,1,LOOKUP(2,1/(指数走势!$F$37:$ACK$37&lt;&gt;""),COLUMN(指数走势!$F$37:$ACK$37))-COLUMN(指数走势!$F$37)+1-760+555)))</f>
        <v>11.5920000076294</v>
      </c>
      <c r="UK101">
        <f>IF(ISERROR(INDEX(指数走势!$F$37:$ACK$37,1,LOOKUP(2,1/(指数走势!$F$37:$ACK$37&lt;&gt;""),COLUMN(指数走势!$F$37:$ACK$37))-COLUMN(指数走势!$F$37)+1-760+556)),NA(),IF(INDEX(指数走势!$F$37:$ACK$37,1,LOOKUP(2,1/(指数走势!$F$37:$ACK$37&lt;&gt;""),COLUMN(指数走势!$F$37:$ACK$37))-COLUMN(指数走势!$F$37)+1-760+556)=0,NA(),INDEX(指数走势!$F$37:$ACK$37,1,LOOKUP(2,1/(指数走势!$F$37:$ACK$37&lt;&gt;""),COLUMN(指数走势!$F$37:$ACK$37))-COLUMN(指数走势!$F$37)+1-760+556)))</f>
        <v>11.5193996429443</v>
      </c>
      <c r="UL101">
        <f>IF(ISERROR(INDEX(指数走势!$F$37:$ACK$37,1,LOOKUP(2,1/(指数走势!$F$37:$ACK$37&lt;&gt;""),COLUMN(指数走势!$F$37:$ACK$37))-COLUMN(指数走势!$F$37)+1-760+557)),NA(),IF(INDEX(指数走势!$F$37:$ACK$37,1,LOOKUP(2,1/(指数走势!$F$37:$ACK$37&lt;&gt;""),COLUMN(指数走势!$F$37:$ACK$37))-COLUMN(指数走势!$F$37)+1-760+557)=0,NA(),INDEX(指数走势!$F$37:$ACK$37,1,LOOKUP(2,1/(指数走势!$F$37:$ACK$37&lt;&gt;""),COLUMN(指数走势!$F$37:$ACK$37))-COLUMN(指数走势!$F$37)+1-760+557)))</f>
        <v>11.4580001831055</v>
      </c>
      <c r="UM101">
        <f>IF(ISERROR(INDEX(指数走势!$F$37:$ACK$37,1,LOOKUP(2,1/(指数走势!$F$37:$ACK$37&lt;&gt;""),COLUMN(指数走势!$F$37:$ACK$37))-COLUMN(指数走势!$F$37)+1-760+558)),NA(),IF(INDEX(指数走势!$F$37:$ACK$37,1,LOOKUP(2,1/(指数走势!$F$37:$ACK$37&lt;&gt;""),COLUMN(指数走势!$F$37:$ACK$37))-COLUMN(指数走势!$F$37)+1-760+558)=0,NA(),INDEX(指数走势!$F$37:$ACK$37,1,LOOKUP(2,1/(指数走势!$F$37:$ACK$37&lt;&gt;""),COLUMN(指数走势!$F$37:$ACK$37))-COLUMN(指数走势!$F$37)+1-760+558)))</f>
        <v>11.3573999404907</v>
      </c>
      <c r="UN101">
        <f>IF(ISERROR(INDEX(指数走势!$F$37:$ACK$37,1,LOOKUP(2,1/(指数走势!$F$37:$ACK$37&lt;&gt;""),COLUMN(指数走势!$F$37:$ACK$37))-COLUMN(指数走势!$F$37)+1-760+559)),NA(),IF(INDEX(指数走势!$F$37:$ACK$37,1,LOOKUP(2,1/(指数走势!$F$37:$ACK$37&lt;&gt;""),COLUMN(指数走势!$F$37:$ACK$37))-COLUMN(指数走势!$F$37)+1-760+559)=0,NA(),INDEX(指数走势!$F$37:$ACK$37,1,LOOKUP(2,1/(指数走势!$F$37:$ACK$37&lt;&gt;""),COLUMN(指数走势!$F$37:$ACK$37))-COLUMN(指数走势!$F$37)+1-760+559)))</f>
        <v>11.559100151062</v>
      </c>
      <c r="UO101">
        <f>IF(ISERROR(INDEX(指数走势!$F$37:$ACK$37,1,LOOKUP(2,1/(指数走势!$F$37:$ACK$37&lt;&gt;""),COLUMN(指数走势!$F$37:$ACK$37))-COLUMN(指数走势!$F$37)+1-760+560)),NA(),IF(INDEX(指数走势!$F$37:$ACK$37,1,LOOKUP(2,1/(指数走势!$F$37:$ACK$37&lt;&gt;""),COLUMN(指数走势!$F$37:$ACK$37))-COLUMN(指数走势!$F$37)+1-760+560)=0,NA(),INDEX(指数走势!$F$37:$ACK$37,1,LOOKUP(2,1/(指数走势!$F$37:$ACK$37&lt;&gt;""),COLUMN(指数走势!$F$37:$ACK$37))-COLUMN(指数走势!$F$37)+1-760+560)))</f>
        <v>11.5310001373291</v>
      </c>
      <c r="UP101">
        <f>IF(ISERROR(INDEX(指数走势!$F$37:$ACK$37,1,LOOKUP(2,1/(指数走势!$F$37:$ACK$37&lt;&gt;""),COLUMN(指数走势!$F$37:$ACK$37))-COLUMN(指数走势!$F$37)+1-760+561)),NA(),IF(INDEX(指数走势!$F$37:$ACK$37,1,LOOKUP(2,1/(指数走势!$F$37:$ACK$37&lt;&gt;""),COLUMN(指数走势!$F$37:$ACK$37))-COLUMN(指数走势!$F$37)+1-760+561)=0,NA(),INDEX(指数走势!$F$37:$ACK$37,1,LOOKUP(2,1/(指数走势!$F$37:$ACK$37&lt;&gt;""),COLUMN(指数走势!$F$37:$ACK$37))-COLUMN(指数走势!$F$37)+1-760+561)))</f>
        <v>11.4680004119873</v>
      </c>
      <c r="UQ101">
        <f>IF(ISERROR(INDEX(指数走势!$F$37:$ACK$37,1,LOOKUP(2,1/(指数走势!$F$37:$ACK$37&lt;&gt;""),COLUMN(指数走势!$F$37:$ACK$37))-COLUMN(指数走势!$F$37)+1-760+562)),NA(),IF(INDEX(指数走势!$F$37:$ACK$37,1,LOOKUP(2,1/(指数走势!$F$37:$ACK$37&lt;&gt;""),COLUMN(指数走势!$F$37:$ACK$37))-COLUMN(指数走势!$F$37)+1-760+562)=0,NA(),INDEX(指数走势!$F$37:$ACK$37,1,LOOKUP(2,1/(指数走势!$F$37:$ACK$37&lt;&gt;""),COLUMN(指数走势!$F$37:$ACK$37))-COLUMN(指数走势!$F$37)+1-760+562)))</f>
        <v>11.3303003311157</v>
      </c>
      <c r="UR101">
        <f>IF(ISERROR(INDEX(指数走势!$F$37:$ACK$37,1,LOOKUP(2,1/(指数走势!$F$37:$ACK$37&lt;&gt;""),COLUMN(指数走势!$F$37:$ACK$37))-COLUMN(指数走势!$F$37)+1-760+563)),NA(),IF(INDEX(指数走势!$F$37:$ACK$37,1,LOOKUP(2,1/(指数走势!$F$37:$ACK$37&lt;&gt;""),COLUMN(指数走势!$F$37:$ACK$37))-COLUMN(指数走势!$F$37)+1-760+563)=0,NA(),INDEX(指数走势!$F$37:$ACK$37,1,LOOKUP(2,1/(指数走势!$F$37:$ACK$37&lt;&gt;""),COLUMN(指数走势!$F$37:$ACK$37))-COLUMN(指数走势!$F$37)+1-760+563)))</f>
        <v>11.4968996047974</v>
      </c>
      <c r="US101">
        <f>IF(ISERROR(INDEX(指数走势!$F$37:$ACK$37,1,LOOKUP(2,1/(指数走势!$F$37:$ACK$37&lt;&gt;""),COLUMN(指数走势!$F$37:$ACK$37))-COLUMN(指数走势!$F$37)+1-760+564)),NA(),IF(INDEX(指数走势!$F$37:$ACK$37,1,LOOKUP(2,1/(指数走势!$F$37:$ACK$37&lt;&gt;""),COLUMN(指数走势!$F$37:$ACK$37))-COLUMN(指数走势!$F$37)+1-760+564)=0,NA(),INDEX(指数走势!$F$37:$ACK$37,1,LOOKUP(2,1/(指数走势!$F$37:$ACK$37&lt;&gt;""),COLUMN(指数走势!$F$37:$ACK$37))-COLUMN(指数走势!$F$37)+1-760+564)))</f>
        <v>11.7215003967285</v>
      </c>
      <c r="UT101">
        <f>IF(ISERROR(INDEX(指数走势!$F$37:$ACK$37,1,LOOKUP(2,1/(指数走势!$F$37:$ACK$37&lt;&gt;""),COLUMN(指数走势!$F$37:$ACK$37))-COLUMN(指数走势!$F$37)+1-760+565)),NA(),IF(INDEX(指数走势!$F$37:$ACK$37,1,LOOKUP(2,1/(指数走势!$F$37:$ACK$37&lt;&gt;""),COLUMN(指数走势!$F$37:$ACK$37))-COLUMN(指数走势!$F$37)+1-760+565)=0,NA(),INDEX(指数走势!$F$37:$ACK$37,1,LOOKUP(2,1/(指数走势!$F$37:$ACK$37&lt;&gt;""),COLUMN(指数走势!$F$37:$ACK$37))-COLUMN(指数走势!$F$37)+1-760+565)))</f>
        <v>11.8421001434326</v>
      </c>
      <c r="UU101">
        <f>IF(ISERROR(INDEX(指数走势!$F$37:$ACK$37,1,LOOKUP(2,1/(指数走势!$F$37:$ACK$37&lt;&gt;""),COLUMN(指数走势!$F$37:$ACK$37))-COLUMN(指数走势!$F$37)+1-760+566)),NA(),IF(INDEX(指数走势!$F$37:$ACK$37,1,LOOKUP(2,1/(指数走势!$F$37:$ACK$37&lt;&gt;""),COLUMN(指数走势!$F$37:$ACK$37))-COLUMN(指数走势!$F$37)+1-760+566)=0,NA(),INDEX(指数走势!$F$37:$ACK$37,1,LOOKUP(2,1/(指数走势!$F$37:$ACK$37&lt;&gt;""),COLUMN(指数走势!$F$37:$ACK$37))-COLUMN(指数走势!$F$37)+1-760+566)))</f>
        <v>11.9688997268677</v>
      </c>
      <c r="UV101">
        <f>IF(ISERROR(INDEX(指数走势!$F$37:$ACK$37,1,LOOKUP(2,1/(指数走势!$F$37:$ACK$37&lt;&gt;""),COLUMN(指数走势!$F$37:$ACK$37))-COLUMN(指数走势!$F$37)+1-760+567)),NA(),IF(INDEX(指数走势!$F$37:$ACK$37,1,LOOKUP(2,1/(指数走势!$F$37:$ACK$37&lt;&gt;""),COLUMN(指数走势!$F$37:$ACK$37))-COLUMN(指数走势!$F$37)+1-760+567)=0,NA(),INDEX(指数走势!$F$37:$ACK$37,1,LOOKUP(2,1/(指数走势!$F$37:$ACK$37&lt;&gt;""),COLUMN(指数走势!$F$37:$ACK$37))-COLUMN(指数走势!$F$37)+1-760+567)))</f>
        <v>11.9260997772217</v>
      </c>
      <c r="UW101">
        <f>IF(ISERROR(INDEX(指数走势!$F$37:$ACK$37,1,LOOKUP(2,1/(指数走势!$F$37:$ACK$37&lt;&gt;""),COLUMN(指数走势!$F$37:$ACK$37))-COLUMN(指数走势!$F$37)+1-760+568)),NA(),IF(INDEX(指数走势!$F$37:$ACK$37,1,LOOKUP(2,1/(指数走势!$F$37:$ACK$37&lt;&gt;""),COLUMN(指数走势!$F$37:$ACK$37))-COLUMN(指数走势!$F$37)+1-760+568)=0,NA(),INDEX(指数走势!$F$37:$ACK$37,1,LOOKUP(2,1/(指数走势!$F$37:$ACK$37&lt;&gt;""),COLUMN(指数走势!$F$37:$ACK$37))-COLUMN(指数走势!$F$37)+1-760+568)))</f>
        <v>12.0367002487183</v>
      </c>
      <c r="UX101">
        <f>IF(ISERROR(INDEX(指数走势!$F$37:$ACK$37,1,LOOKUP(2,1/(指数走势!$F$37:$ACK$37&lt;&gt;""),COLUMN(指数走势!$F$37:$ACK$37))-COLUMN(指数走势!$F$37)+1-760+569)),NA(),IF(INDEX(指数走势!$F$37:$ACK$37,1,LOOKUP(2,1/(指数走势!$F$37:$ACK$37&lt;&gt;""),COLUMN(指数走势!$F$37:$ACK$37))-COLUMN(指数走势!$F$37)+1-760+569)=0,NA(),INDEX(指数走势!$F$37:$ACK$37,1,LOOKUP(2,1/(指数走势!$F$37:$ACK$37&lt;&gt;""),COLUMN(指数走势!$F$37:$ACK$37))-COLUMN(指数走势!$F$37)+1-760+569)))</f>
        <v>12.0509996414185</v>
      </c>
      <c r="UY101">
        <f>IF(ISERROR(INDEX(指数走势!$F$37:$ACK$37,1,LOOKUP(2,1/(指数走势!$F$37:$ACK$37&lt;&gt;""),COLUMN(指数走势!$F$37:$ACK$37))-COLUMN(指数走势!$F$37)+1-760+570)),NA(),IF(INDEX(指数走势!$F$37:$ACK$37,1,LOOKUP(2,1/(指数走势!$F$37:$ACK$37&lt;&gt;""),COLUMN(指数走势!$F$37:$ACK$37))-COLUMN(指数走势!$F$37)+1-760+570)=0,NA(),INDEX(指数走势!$F$37:$ACK$37,1,LOOKUP(2,1/(指数走势!$F$37:$ACK$37&lt;&gt;""),COLUMN(指数走势!$F$37:$ACK$37))-COLUMN(指数走势!$F$37)+1-760+570)))</f>
        <v>12.0284996032715</v>
      </c>
      <c r="UZ101">
        <f>IF(ISERROR(INDEX(指数走势!$F$37:$ACK$37,1,LOOKUP(2,1/(指数走势!$F$37:$ACK$37&lt;&gt;""),COLUMN(指数走势!$F$37:$ACK$37))-COLUMN(指数走势!$F$37)+1-760+571)),NA(),IF(INDEX(指数走势!$F$37:$ACK$37,1,LOOKUP(2,1/(指数走势!$F$37:$ACK$37&lt;&gt;""),COLUMN(指数走势!$F$37:$ACK$37))-COLUMN(指数走势!$F$37)+1-760+571)=0,NA(),INDEX(指数走势!$F$37:$ACK$37,1,LOOKUP(2,1/(指数走势!$F$37:$ACK$37&lt;&gt;""),COLUMN(指数走势!$F$37:$ACK$37))-COLUMN(指数走势!$F$37)+1-760+571)))</f>
        <v>12.2189998626709</v>
      </c>
      <c r="VA101">
        <f>IF(ISERROR(INDEX(指数走势!$F$37:$ACK$37,1,LOOKUP(2,1/(指数走势!$F$37:$ACK$37&lt;&gt;""),COLUMN(指数走势!$F$37:$ACK$37))-COLUMN(指数走势!$F$37)+1-760+572)),NA(),IF(INDEX(指数走势!$F$37:$ACK$37,1,LOOKUP(2,1/(指数走势!$F$37:$ACK$37&lt;&gt;""),COLUMN(指数走势!$F$37:$ACK$37))-COLUMN(指数走势!$F$37)+1-760+572)=0,NA(),INDEX(指数走势!$F$37:$ACK$37,1,LOOKUP(2,1/(指数走势!$F$37:$ACK$37&lt;&gt;""),COLUMN(指数走势!$F$37:$ACK$37))-COLUMN(指数走势!$F$37)+1-760+572)))</f>
        <v>12.0292997360229</v>
      </c>
      <c r="VB101">
        <f>IF(ISERROR(INDEX(指数走势!$F$37:$ACK$37,1,LOOKUP(2,1/(指数走势!$F$37:$ACK$37&lt;&gt;""),COLUMN(指数走势!$F$37:$ACK$37))-COLUMN(指数走势!$F$37)+1-760+573)),NA(),IF(INDEX(指数走势!$F$37:$ACK$37,1,LOOKUP(2,1/(指数走势!$F$37:$ACK$37&lt;&gt;""),COLUMN(指数走势!$F$37:$ACK$37))-COLUMN(指数走势!$F$37)+1-760+573)=0,NA(),INDEX(指数走势!$F$37:$ACK$37,1,LOOKUP(2,1/(指数走势!$F$37:$ACK$37&lt;&gt;""),COLUMN(指数走势!$F$37:$ACK$37))-COLUMN(指数走势!$F$37)+1-760+573)))</f>
        <v>12.0401000976562</v>
      </c>
      <c r="VC101">
        <f>IF(ISERROR(INDEX(指数走势!$F$37:$ACK$37,1,LOOKUP(2,1/(指数走势!$F$37:$ACK$37&lt;&gt;""),COLUMN(指数走势!$F$37:$ACK$37))-COLUMN(指数走势!$F$37)+1-760+574)),NA(),IF(INDEX(指数走势!$F$37:$ACK$37,1,LOOKUP(2,1/(指数走势!$F$37:$ACK$37&lt;&gt;""),COLUMN(指数走势!$F$37:$ACK$37))-COLUMN(指数走势!$F$37)+1-760+574)=0,NA(),INDEX(指数走势!$F$37:$ACK$37,1,LOOKUP(2,1/(指数走势!$F$37:$ACK$37&lt;&gt;""),COLUMN(指数走势!$F$37:$ACK$37))-COLUMN(指数走势!$F$37)+1-760+574)))</f>
        <v>11.9247999191284</v>
      </c>
      <c r="VD101">
        <f>IF(ISERROR(INDEX(指数走势!$F$37:$ACK$37,1,LOOKUP(2,1/(指数走势!$F$37:$ACK$37&lt;&gt;""),COLUMN(指数走势!$F$37:$ACK$37))-COLUMN(指数走势!$F$37)+1-760+575)),NA(),IF(INDEX(指数走势!$F$37:$ACK$37,1,LOOKUP(2,1/(指数走势!$F$37:$ACK$37&lt;&gt;""),COLUMN(指数走势!$F$37:$ACK$37))-COLUMN(指数走势!$F$37)+1-760+575)=0,NA(),INDEX(指数走势!$F$37:$ACK$37,1,LOOKUP(2,1/(指数走势!$F$37:$ACK$37&lt;&gt;""),COLUMN(指数走势!$F$37:$ACK$37))-COLUMN(指数走势!$F$37)+1-760+575)))</f>
        <v>11.8520002365112</v>
      </c>
      <c r="VE101">
        <f>IF(ISERROR(INDEX(指数走势!$F$37:$ACK$37,1,LOOKUP(2,1/(指数走势!$F$37:$ACK$37&lt;&gt;""),COLUMN(指数走势!$F$37:$ACK$37))-COLUMN(指数走势!$F$37)+1-760+576)),NA(),IF(INDEX(指数走势!$F$37:$ACK$37,1,LOOKUP(2,1/(指数走势!$F$37:$ACK$37&lt;&gt;""),COLUMN(指数走势!$F$37:$ACK$37))-COLUMN(指数走势!$F$37)+1-760+576)=0,NA(),INDEX(指数走势!$F$37:$ACK$37,1,LOOKUP(2,1/(指数走势!$F$37:$ACK$37&lt;&gt;""),COLUMN(指数走势!$F$37:$ACK$37))-COLUMN(指数走势!$F$37)+1-760+576)))</f>
        <v>11.9947004318237</v>
      </c>
      <c r="VF101">
        <f>IF(ISERROR(INDEX(指数走势!$F$37:$ACK$37,1,LOOKUP(2,1/(指数走势!$F$37:$ACK$37&lt;&gt;""),COLUMN(指数走势!$F$37:$ACK$37))-COLUMN(指数走势!$F$37)+1-760+577)),NA(),IF(INDEX(指数走势!$F$37:$ACK$37,1,LOOKUP(2,1/(指数走势!$F$37:$ACK$37&lt;&gt;""),COLUMN(指数走势!$F$37:$ACK$37))-COLUMN(指数走势!$F$37)+1-760+577)=0,NA(),INDEX(指数走势!$F$37:$ACK$37,1,LOOKUP(2,1/(指数走势!$F$37:$ACK$37&lt;&gt;""),COLUMN(指数走势!$F$37:$ACK$37))-COLUMN(指数走势!$F$37)+1-760+577)))</f>
        <v>11.9497003555298</v>
      </c>
      <c r="VG101">
        <f>IF(ISERROR(INDEX(指数走势!$F$37:$ACK$37,1,LOOKUP(2,1/(指数走势!$F$37:$ACK$37&lt;&gt;""),COLUMN(指数走势!$F$37:$ACK$37))-COLUMN(指数走势!$F$37)+1-760+578)),NA(),IF(INDEX(指数走势!$F$37:$ACK$37,1,LOOKUP(2,1/(指数走势!$F$37:$ACK$37&lt;&gt;""),COLUMN(指数走势!$F$37:$ACK$37))-COLUMN(指数走势!$F$37)+1-760+578)=0,NA(),INDEX(指数走势!$F$37:$ACK$37,1,LOOKUP(2,1/(指数走势!$F$37:$ACK$37&lt;&gt;""),COLUMN(指数走势!$F$37:$ACK$37))-COLUMN(指数走势!$F$37)+1-760+578)))</f>
        <v>11.8354997634888</v>
      </c>
      <c r="VH101">
        <f>IF(ISERROR(INDEX(指数走势!$F$37:$ACK$37,1,LOOKUP(2,1/(指数走势!$F$37:$ACK$37&lt;&gt;""),COLUMN(指数走势!$F$37:$ACK$37))-COLUMN(指数走势!$F$37)+1-760+579)),NA(),IF(INDEX(指数走势!$F$37:$ACK$37,1,LOOKUP(2,1/(指数走势!$F$37:$ACK$37&lt;&gt;""),COLUMN(指数走势!$F$37:$ACK$37))-COLUMN(指数走势!$F$37)+1-760+579)=0,NA(),INDEX(指数走势!$F$37:$ACK$37,1,LOOKUP(2,1/(指数走势!$F$37:$ACK$37&lt;&gt;""),COLUMN(指数走势!$F$37:$ACK$37))-COLUMN(指数走势!$F$37)+1-760+579)))</f>
        <v>12.0550003051758</v>
      </c>
      <c r="VI101">
        <f>IF(ISERROR(INDEX(指数走势!$F$37:$ACK$37,1,LOOKUP(2,1/(指数走势!$F$37:$ACK$37&lt;&gt;""),COLUMN(指数走势!$F$37:$ACK$37))-COLUMN(指数走势!$F$37)+1-760+580)),NA(),IF(INDEX(指数走势!$F$37:$ACK$37,1,LOOKUP(2,1/(指数走势!$F$37:$ACK$37&lt;&gt;""),COLUMN(指数走势!$F$37:$ACK$37))-COLUMN(指数走势!$F$37)+1-760+580)=0,NA(),INDEX(指数走势!$F$37:$ACK$37,1,LOOKUP(2,1/(指数走势!$F$37:$ACK$37&lt;&gt;""),COLUMN(指数走势!$F$37:$ACK$37))-COLUMN(指数走势!$F$37)+1-760+580)))</f>
        <v>12.1282997131348</v>
      </c>
      <c r="VJ101">
        <f>IF(ISERROR(INDEX(指数走势!$F$37:$ACK$37,1,LOOKUP(2,1/(指数走势!$F$37:$ACK$37&lt;&gt;""),COLUMN(指数走势!$F$37:$ACK$37))-COLUMN(指数走势!$F$37)+1-760+581)),NA(),IF(INDEX(指数走势!$F$37:$ACK$37,1,LOOKUP(2,1/(指数走势!$F$37:$ACK$37&lt;&gt;""),COLUMN(指数走势!$F$37:$ACK$37))-COLUMN(指数走势!$F$37)+1-760+581)=0,NA(),INDEX(指数走势!$F$37:$ACK$37,1,LOOKUP(2,1/(指数走势!$F$37:$ACK$37&lt;&gt;""),COLUMN(指数走势!$F$37:$ACK$37))-COLUMN(指数走势!$F$37)+1-760+581)))</f>
        <v>12.1408004760742</v>
      </c>
      <c r="VK101">
        <f>IF(ISERROR(INDEX(指数走势!$F$37:$ACK$37,1,LOOKUP(2,1/(指数走势!$F$37:$ACK$37&lt;&gt;""),COLUMN(指数走势!$F$37:$ACK$37))-COLUMN(指数走势!$F$37)+1-760+582)),NA(),IF(INDEX(指数走势!$F$37:$ACK$37,1,LOOKUP(2,1/(指数走势!$F$37:$ACK$37&lt;&gt;""),COLUMN(指数走势!$F$37:$ACK$37))-COLUMN(指数走势!$F$37)+1-760+582)=0,NA(),INDEX(指数走势!$F$37:$ACK$37,1,LOOKUP(2,1/(指数走势!$F$37:$ACK$37&lt;&gt;""),COLUMN(指数走势!$F$37:$ACK$37))-COLUMN(指数走势!$F$37)+1-760+582)))</f>
        <v>11.9517002105713</v>
      </c>
      <c r="VL101">
        <f>IF(ISERROR(INDEX(指数走势!$F$37:$ACK$37,1,LOOKUP(2,1/(指数走势!$F$37:$ACK$37&lt;&gt;""),COLUMN(指数走势!$F$37:$ACK$37))-COLUMN(指数走势!$F$37)+1-760+583)),NA(),IF(INDEX(指数走势!$F$37:$ACK$37,1,LOOKUP(2,1/(指数走势!$F$37:$ACK$37&lt;&gt;""),COLUMN(指数走势!$F$37:$ACK$37))-COLUMN(指数走势!$F$37)+1-760+583)=0,NA(),INDEX(指数走势!$F$37:$ACK$37,1,LOOKUP(2,1/(指数走势!$F$37:$ACK$37&lt;&gt;""),COLUMN(指数走势!$F$37:$ACK$37))-COLUMN(指数走势!$F$37)+1-760+583)))</f>
        <v>11.8069000244141</v>
      </c>
      <c r="VM101">
        <f>IF(ISERROR(INDEX(指数走势!$F$37:$ACK$37,1,LOOKUP(2,1/(指数走势!$F$37:$ACK$37&lt;&gt;""),COLUMN(指数走势!$F$37:$ACK$37))-COLUMN(指数走势!$F$37)+1-760+584)),NA(),IF(INDEX(指数走势!$F$37:$ACK$37,1,LOOKUP(2,1/(指数走势!$F$37:$ACK$37&lt;&gt;""),COLUMN(指数走势!$F$37:$ACK$37))-COLUMN(指数走势!$F$37)+1-760+584)=0,NA(),INDEX(指数走势!$F$37:$ACK$37,1,LOOKUP(2,1/(指数走势!$F$37:$ACK$37&lt;&gt;""),COLUMN(指数走势!$F$37:$ACK$37))-COLUMN(指数走势!$F$37)+1-760+584)))</f>
        <v>11.6400995254517</v>
      </c>
      <c r="VN101">
        <f>IF(ISERROR(INDEX(指数走势!$F$37:$ACK$37,1,LOOKUP(2,1/(指数走势!$F$37:$ACK$37&lt;&gt;""),COLUMN(指数走势!$F$37:$ACK$37))-COLUMN(指数走势!$F$37)+1-760+585)),NA(),IF(INDEX(指数走势!$F$37:$ACK$37,1,LOOKUP(2,1/(指数走势!$F$37:$ACK$37&lt;&gt;""),COLUMN(指数走势!$F$37:$ACK$37))-COLUMN(指数走势!$F$37)+1-760+585)=0,NA(),INDEX(指数走势!$F$37:$ACK$37,1,LOOKUP(2,1/(指数走势!$F$37:$ACK$37&lt;&gt;""),COLUMN(指数走势!$F$37:$ACK$37))-COLUMN(指数走势!$F$37)+1-760+585)))</f>
        <v>11.8368997573853</v>
      </c>
      <c r="VO101">
        <f>IF(ISERROR(INDEX(指数走势!$F$37:$ACK$37,1,LOOKUP(2,1/(指数走势!$F$37:$ACK$37&lt;&gt;""),COLUMN(指数走势!$F$37:$ACK$37))-COLUMN(指数走势!$F$37)+1-760+586)),NA(),IF(INDEX(指数走势!$F$37:$ACK$37,1,LOOKUP(2,1/(指数走势!$F$37:$ACK$37&lt;&gt;""),COLUMN(指数走势!$F$37:$ACK$37))-COLUMN(指数走势!$F$37)+1-760+586)=0,NA(),INDEX(指数走势!$F$37:$ACK$37,1,LOOKUP(2,1/(指数走势!$F$37:$ACK$37&lt;&gt;""),COLUMN(指数走势!$F$37:$ACK$37))-COLUMN(指数走势!$F$37)+1-760+586)))</f>
        <v>11.8663997650146</v>
      </c>
      <c r="VP101">
        <f>IF(ISERROR(INDEX(指数走势!$F$37:$ACK$37,1,LOOKUP(2,1/(指数走势!$F$37:$ACK$37&lt;&gt;""),COLUMN(指数走势!$F$37:$ACK$37))-COLUMN(指数走势!$F$37)+1-760+587)),NA(),IF(INDEX(指数走势!$F$37:$ACK$37,1,LOOKUP(2,1/(指数走势!$F$37:$ACK$37&lt;&gt;""),COLUMN(指数走势!$F$37:$ACK$37))-COLUMN(指数走势!$F$37)+1-760+587)=0,NA(),INDEX(指数走势!$F$37:$ACK$37,1,LOOKUP(2,1/(指数走势!$F$37:$ACK$37&lt;&gt;""),COLUMN(指数走势!$F$37:$ACK$37))-COLUMN(指数走势!$F$37)+1-760+587)))</f>
        <v>11.5927000045776</v>
      </c>
      <c r="VQ101">
        <f>IF(ISERROR(INDEX(指数走势!$F$37:$ACK$37,1,LOOKUP(2,1/(指数走势!$F$37:$ACK$37&lt;&gt;""),COLUMN(指数走势!$F$37:$ACK$37))-COLUMN(指数走势!$F$37)+1-760+588)),NA(),IF(INDEX(指数走势!$F$37:$ACK$37,1,LOOKUP(2,1/(指数走势!$F$37:$ACK$37&lt;&gt;""),COLUMN(指数走势!$F$37:$ACK$37))-COLUMN(指数走势!$F$37)+1-760+588)=0,NA(),INDEX(指数走势!$F$37:$ACK$37,1,LOOKUP(2,1/(指数走势!$F$37:$ACK$37&lt;&gt;""),COLUMN(指数走势!$F$37:$ACK$37))-COLUMN(指数走势!$F$37)+1-760+588)))</f>
        <v>11.8573999404907</v>
      </c>
      <c r="VR101">
        <f>IF(ISERROR(INDEX(指数走势!$F$37:$ACK$37,1,LOOKUP(2,1/(指数走势!$F$37:$ACK$37&lt;&gt;""),COLUMN(指数走势!$F$37:$ACK$37))-COLUMN(指数走势!$F$37)+1-760+589)),NA(),IF(INDEX(指数走势!$F$37:$ACK$37,1,LOOKUP(2,1/(指数走势!$F$37:$ACK$37&lt;&gt;""),COLUMN(指数走势!$F$37:$ACK$37))-COLUMN(指数走势!$F$37)+1-760+589)=0,NA(),INDEX(指数走势!$F$37:$ACK$37,1,LOOKUP(2,1/(指数走势!$F$37:$ACK$37&lt;&gt;""),COLUMN(指数走势!$F$37:$ACK$37))-COLUMN(指数走势!$F$37)+1-760+589)))</f>
        <v>11.9351997375488</v>
      </c>
      <c r="VS101">
        <f>IF(ISERROR(INDEX(指数走势!$F$37:$ACK$37,1,LOOKUP(2,1/(指数走势!$F$37:$ACK$37&lt;&gt;""),COLUMN(指数走势!$F$37:$ACK$37))-COLUMN(指数走势!$F$37)+1-760+590)),NA(),IF(INDEX(指数走势!$F$37:$ACK$37,1,LOOKUP(2,1/(指数走势!$F$37:$ACK$37&lt;&gt;""),COLUMN(指数走势!$F$37:$ACK$37))-COLUMN(指数走势!$F$37)+1-760+590)=0,NA(),INDEX(指数走势!$F$37:$ACK$37,1,LOOKUP(2,1/(指数走势!$F$37:$ACK$37&lt;&gt;""),COLUMN(指数走势!$F$37:$ACK$37))-COLUMN(指数走势!$F$37)+1-760+590)))</f>
        <v>11.8378000259399</v>
      </c>
      <c r="VT101">
        <f>IF(ISERROR(INDEX(指数走势!$F$37:$ACK$37,1,LOOKUP(2,1/(指数走势!$F$37:$ACK$37&lt;&gt;""),COLUMN(指数走势!$F$37:$ACK$37))-COLUMN(指数走势!$F$37)+1-760+591)),NA(),IF(INDEX(指数走势!$F$37:$ACK$37,1,LOOKUP(2,1/(指数走势!$F$37:$ACK$37&lt;&gt;""),COLUMN(指数走势!$F$37:$ACK$37))-COLUMN(指数走势!$F$37)+1-760+591)=0,NA(),INDEX(指数走势!$F$37:$ACK$37,1,LOOKUP(2,1/(指数走势!$F$37:$ACK$37&lt;&gt;""),COLUMN(指数走势!$F$37:$ACK$37))-COLUMN(指数走势!$F$37)+1-760+591)))</f>
        <v>11.9385995864868</v>
      </c>
      <c r="VU101">
        <f>IF(ISERROR(INDEX(指数走势!$F$37:$ACK$37,1,LOOKUP(2,1/(指数走势!$F$37:$ACK$37&lt;&gt;""),COLUMN(指数走势!$F$37:$ACK$37))-COLUMN(指数走势!$F$37)+1-760+592)),NA(),IF(INDEX(指数走势!$F$37:$ACK$37,1,LOOKUP(2,1/(指数走势!$F$37:$ACK$37&lt;&gt;""),COLUMN(指数走势!$F$37:$ACK$37))-COLUMN(指数走势!$F$37)+1-760+592)=0,NA(),INDEX(指数走势!$F$37:$ACK$37,1,LOOKUP(2,1/(指数走势!$F$37:$ACK$37&lt;&gt;""),COLUMN(指数走势!$F$37:$ACK$37))-COLUMN(指数走势!$F$37)+1-760+592)))</f>
        <v>12.0383996963501</v>
      </c>
      <c r="VV101">
        <f>IF(ISERROR(INDEX(指数走势!$F$37:$ACK$37,1,LOOKUP(2,1/(指数走势!$F$37:$ACK$37&lt;&gt;""),COLUMN(指数走势!$F$37:$ACK$37))-COLUMN(指数走势!$F$37)+1-760+593)),NA(),IF(INDEX(指数走势!$F$37:$ACK$37,1,LOOKUP(2,1/(指数走势!$F$37:$ACK$37&lt;&gt;""),COLUMN(指数走势!$F$37:$ACK$37))-COLUMN(指数走势!$F$37)+1-760+593)=0,NA(),INDEX(指数走势!$F$37:$ACK$37,1,LOOKUP(2,1/(指数走势!$F$37:$ACK$37&lt;&gt;""),COLUMN(指数走势!$F$37:$ACK$37))-COLUMN(指数走势!$F$37)+1-760+593)))</f>
        <v>12.1625995635986</v>
      </c>
      <c r="VW101">
        <f>IF(ISERROR(INDEX(指数走势!$F$37:$ACK$37,1,LOOKUP(2,1/(指数走势!$F$37:$ACK$37&lt;&gt;""),COLUMN(指数走势!$F$37:$ACK$37))-COLUMN(指数走势!$F$37)+1-760+594)),NA(),IF(INDEX(指数走势!$F$37:$ACK$37,1,LOOKUP(2,1/(指数走势!$F$37:$ACK$37&lt;&gt;""),COLUMN(指数走势!$F$37:$ACK$37))-COLUMN(指数走势!$F$37)+1-760+594)=0,NA(),INDEX(指数走势!$F$37:$ACK$37,1,LOOKUP(2,1/(指数走势!$F$37:$ACK$37&lt;&gt;""),COLUMN(指数走势!$F$37:$ACK$37))-COLUMN(指数走势!$F$37)+1-760+594)))</f>
        <v>12.0536003112793</v>
      </c>
      <c r="VX101">
        <f>IF(ISERROR(INDEX(指数走势!$F$37:$ACK$37,1,LOOKUP(2,1/(指数走势!$F$37:$ACK$37&lt;&gt;""),COLUMN(指数走势!$F$37:$ACK$37))-COLUMN(指数走势!$F$37)+1-760+595)),NA(),IF(INDEX(指数走势!$F$37:$ACK$37,1,LOOKUP(2,1/(指数走势!$F$37:$ACK$37&lt;&gt;""),COLUMN(指数走势!$F$37:$ACK$37))-COLUMN(指数走势!$F$37)+1-760+595)=0,NA(),INDEX(指数走势!$F$37:$ACK$37,1,LOOKUP(2,1/(指数走势!$F$37:$ACK$37&lt;&gt;""),COLUMN(指数走势!$F$37:$ACK$37))-COLUMN(指数走势!$F$37)+1-760+595)))</f>
        <v>12.0559997558594</v>
      </c>
      <c r="VY101">
        <f>IF(ISERROR(INDEX(指数走势!$F$37:$ACK$37,1,LOOKUP(2,1/(指数走势!$F$37:$ACK$37&lt;&gt;""),COLUMN(指数走势!$F$37:$ACK$37))-COLUMN(指数走势!$F$37)+1-760+596)),NA(),IF(INDEX(指数走势!$F$37:$ACK$37,1,LOOKUP(2,1/(指数走势!$F$37:$ACK$37&lt;&gt;""),COLUMN(指数走势!$F$37:$ACK$37))-COLUMN(指数走势!$F$37)+1-760+596)=0,NA(),INDEX(指数走势!$F$37:$ACK$37,1,LOOKUP(2,1/(指数走势!$F$37:$ACK$37&lt;&gt;""),COLUMN(指数走势!$F$37:$ACK$37))-COLUMN(指数走势!$F$37)+1-760+596)))</f>
        <v>11.8308000564575</v>
      </c>
      <c r="VZ101">
        <f>IF(ISERROR(INDEX(指数走势!$F$37:$ACK$37,1,LOOKUP(2,1/(指数走势!$F$37:$ACK$37&lt;&gt;""),COLUMN(指数走势!$F$37:$ACK$37))-COLUMN(指数走势!$F$37)+1-760+597)),NA(),IF(INDEX(指数走势!$F$37:$ACK$37,1,LOOKUP(2,1/(指数走势!$F$37:$ACK$37&lt;&gt;""),COLUMN(指数走势!$F$37:$ACK$37))-COLUMN(指数走势!$F$37)+1-760+597)=0,NA(),INDEX(指数走势!$F$37:$ACK$37,1,LOOKUP(2,1/(指数走势!$F$37:$ACK$37&lt;&gt;""),COLUMN(指数走势!$F$37:$ACK$37))-COLUMN(指数走势!$F$37)+1-760+597)))</f>
        <v>11.6579999923706</v>
      </c>
      <c r="WA101">
        <f>IF(ISERROR(INDEX(指数走势!$F$37:$ACK$37,1,LOOKUP(2,1/(指数走势!$F$37:$ACK$37&lt;&gt;""),COLUMN(指数走势!$F$37:$ACK$37))-COLUMN(指数走势!$F$37)+1-760+598)),NA(),IF(INDEX(指数走势!$F$37:$ACK$37,1,LOOKUP(2,1/(指数走势!$F$37:$ACK$37&lt;&gt;""),COLUMN(指数走势!$F$37:$ACK$37))-COLUMN(指数走势!$F$37)+1-760+598)=0,NA(),INDEX(指数走势!$F$37:$ACK$37,1,LOOKUP(2,1/(指数走势!$F$37:$ACK$37&lt;&gt;""),COLUMN(指数走势!$F$37:$ACK$37))-COLUMN(指数走势!$F$37)+1-760+598)))</f>
        <v>11.7638998031616</v>
      </c>
      <c r="WB101">
        <f>IF(ISERROR(INDEX(指数走势!$F$37:$ACK$37,1,LOOKUP(2,1/(指数走势!$F$37:$ACK$37&lt;&gt;""),COLUMN(指数走势!$F$37:$ACK$37))-COLUMN(指数走势!$F$37)+1-760+599)),NA(),IF(INDEX(指数走势!$F$37:$ACK$37,1,LOOKUP(2,1/(指数走势!$F$37:$ACK$37&lt;&gt;""),COLUMN(指数走势!$F$37:$ACK$37))-COLUMN(指数走势!$F$37)+1-760+599)=0,NA(),INDEX(指数走势!$F$37:$ACK$37,1,LOOKUP(2,1/(指数走势!$F$37:$ACK$37&lt;&gt;""),COLUMN(指数走势!$F$37:$ACK$37))-COLUMN(指数走势!$F$37)+1-760+599)))</f>
        <v>11.7129001617432</v>
      </c>
      <c r="WC101">
        <f>IF(ISERROR(INDEX(指数走势!$F$37:$ACK$37,1,LOOKUP(2,1/(指数走势!$F$37:$ACK$37&lt;&gt;""),COLUMN(指数走势!$F$37:$ACK$37))-COLUMN(指数走势!$F$37)+1-760+600)),NA(),IF(INDEX(指数走势!$F$37:$ACK$37,1,LOOKUP(2,1/(指数走势!$F$37:$ACK$37&lt;&gt;""),COLUMN(指数走势!$F$37:$ACK$37))-COLUMN(指数走势!$F$37)+1-760+600)=0,NA(),INDEX(指数走势!$F$37:$ACK$37,1,LOOKUP(2,1/(指数走势!$F$37:$ACK$37&lt;&gt;""),COLUMN(指数走势!$F$37:$ACK$37))-COLUMN(指数走势!$F$37)+1-760+600)))</f>
        <v>11.7048997879028</v>
      </c>
      <c r="WD101">
        <f>IF(ISERROR(INDEX(指数走势!$F$37:$ACK$37,1,LOOKUP(2,1/(指数走势!$F$37:$ACK$37&lt;&gt;""),COLUMN(指数走势!$F$37:$ACK$37))-COLUMN(指数走势!$F$37)+1-760+601)),NA(),IF(INDEX(指数走势!$F$37:$ACK$37,1,LOOKUP(2,1/(指数走势!$F$37:$ACK$37&lt;&gt;""),COLUMN(指数走势!$F$37:$ACK$37))-COLUMN(指数走势!$F$37)+1-760+601)=0,NA(),INDEX(指数走势!$F$37:$ACK$37,1,LOOKUP(2,1/(指数走势!$F$37:$ACK$37&lt;&gt;""),COLUMN(指数走势!$F$37:$ACK$37))-COLUMN(指数走势!$F$37)+1-760+601)))</f>
        <v>11.9483003616333</v>
      </c>
      <c r="WE101">
        <f>IF(ISERROR(INDEX(指数走势!$F$37:$ACK$37,1,LOOKUP(2,1/(指数走势!$F$37:$ACK$37&lt;&gt;""),COLUMN(指数走势!$F$37:$ACK$37))-COLUMN(指数走势!$F$37)+1-760+602)),NA(),IF(INDEX(指数走势!$F$37:$ACK$37,1,LOOKUP(2,1/(指数走势!$F$37:$ACK$37&lt;&gt;""),COLUMN(指数走势!$F$37:$ACK$37))-COLUMN(指数走势!$F$37)+1-760+602)=0,NA(),INDEX(指数走势!$F$37:$ACK$37,1,LOOKUP(2,1/(指数走势!$F$37:$ACK$37&lt;&gt;""),COLUMN(指数走势!$F$37:$ACK$37))-COLUMN(指数走势!$F$37)+1-760+602)))</f>
        <v>11.8691997528076</v>
      </c>
      <c r="WF101">
        <f>IF(ISERROR(INDEX(指数走势!$F$37:$ACK$37,1,LOOKUP(2,1/(指数走势!$F$37:$ACK$37&lt;&gt;""),COLUMN(指数走势!$F$37:$ACK$37))-COLUMN(指数走势!$F$37)+1-760+603)),NA(),IF(INDEX(指数走势!$F$37:$ACK$37,1,LOOKUP(2,1/(指数走势!$F$37:$ACK$37&lt;&gt;""),COLUMN(指数走势!$F$37:$ACK$37))-COLUMN(指数走势!$F$37)+1-760+603)=0,NA(),INDEX(指数走势!$F$37:$ACK$37,1,LOOKUP(2,1/(指数走势!$F$37:$ACK$37&lt;&gt;""),COLUMN(指数走势!$F$37:$ACK$37))-COLUMN(指数走势!$F$37)+1-760+603)))</f>
        <v>12.0767002105713</v>
      </c>
      <c r="WG101">
        <f>IF(ISERROR(INDEX(指数走势!$F$37:$ACK$37,1,LOOKUP(2,1/(指数走势!$F$37:$ACK$37&lt;&gt;""),COLUMN(指数走势!$F$37:$ACK$37))-COLUMN(指数走势!$F$37)+1-760+604)),NA(),IF(INDEX(指数走势!$F$37:$ACK$37,1,LOOKUP(2,1/(指数走势!$F$37:$ACK$37&lt;&gt;""),COLUMN(指数走势!$F$37:$ACK$37))-COLUMN(指数走势!$F$37)+1-760+604)=0,NA(),INDEX(指数走势!$F$37:$ACK$37,1,LOOKUP(2,1/(指数走势!$F$37:$ACK$37&lt;&gt;""),COLUMN(指数走势!$F$37:$ACK$37))-COLUMN(指数走势!$F$37)+1-760+604)))</f>
        <v>12.0944995880127</v>
      </c>
      <c r="WH101">
        <f>IF(ISERROR(INDEX(指数走势!$F$37:$ACK$37,1,LOOKUP(2,1/(指数走势!$F$37:$ACK$37&lt;&gt;""),COLUMN(指数走势!$F$37:$ACK$37))-COLUMN(指数走势!$F$37)+1-760+605)),NA(),IF(INDEX(指数走势!$F$37:$ACK$37,1,LOOKUP(2,1/(指数走势!$F$37:$ACK$37&lt;&gt;""),COLUMN(指数走势!$F$37:$ACK$37))-COLUMN(指数走势!$F$37)+1-760+605)=0,NA(),INDEX(指数走势!$F$37:$ACK$37,1,LOOKUP(2,1/(指数走势!$F$37:$ACK$37&lt;&gt;""),COLUMN(指数走势!$F$37:$ACK$37))-COLUMN(指数走势!$F$37)+1-760+605)))</f>
        <v>12.2180995941162</v>
      </c>
      <c r="WI101">
        <f>IF(ISERROR(INDEX(指数走势!$F$37:$ACK$37,1,LOOKUP(2,1/(指数走势!$F$37:$ACK$37&lt;&gt;""),COLUMN(指数走势!$F$37:$ACK$37))-COLUMN(指数走势!$F$37)+1-760+606)),NA(),IF(INDEX(指数走势!$F$37:$ACK$37,1,LOOKUP(2,1/(指数走势!$F$37:$ACK$37&lt;&gt;""),COLUMN(指数走势!$F$37:$ACK$37))-COLUMN(指数走势!$F$37)+1-760+606)=0,NA(),INDEX(指数走势!$F$37:$ACK$37,1,LOOKUP(2,1/(指数走势!$F$37:$ACK$37&lt;&gt;""),COLUMN(指数走势!$F$37:$ACK$37))-COLUMN(指数走势!$F$37)+1-760+606)))</f>
        <v>12.2540998458862</v>
      </c>
      <c r="WJ101">
        <f>IF(ISERROR(INDEX(指数走势!$F$37:$ACK$37,1,LOOKUP(2,1/(指数走势!$F$37:$ACK$37&lt;&gt;""),COLUMN(指数走势!$F$37:$ACK$37))-COLUMN(指数走势!$F$37)+1-760+607)),NA(),IF(INDEX(指数走势!$F$37:$ACK$37,1,LOOKUP(2,1/(指数走势!$F$37:$ACK$37&lt;&gt;""),COLUMN(指数走势!$F$37:$ACK$37))-COLUMN(指数走势!$F$37)+1-760+607)=0,NA(),INDEX(指数走势!$F$37:$ACK$37,1,LOOKUP(2,1/(指数走势!$F$37:$ACK$37&lt;&gt;""),COLUMN(指数走势!$F$37:$ACK$37))-COLUMN(指数走势!$F$37)+1-760+607)))</f>
        <v>12.0513000488281</v>
      </c>
      <c r="WK101">
        <f>IF(ISERROR(INDEX(指数走势!$F$37:$ACK$37,1,LOOKUP(2,1/(指数走势!$F$37:$ACK$37&lt;&gt;""),COLUMN(指数走势!$F$37:$ACK$37))-COLUMN(指数走势!$F$37)+1-760+608)),NA(),IF(INDEX(指数走势!$F$37:$ACK$37,1,LOOKUP(2,1/(指数走势!$F$37:$ACK$37&lt;&gt;""),COLUMN(指数走势!$F$37:$ACK$37))-COLUMN(指数走势!$F$37)+1-760+608)=0,NA(),INDEX(指数走势!$F$37:$ACK$37,1,LOOKUP(2,1/(指数走势!$F$37:$ACK$37&lt;&gt;""),COLUMN(指数走势!$F$37:$ACK$37))-COLUMN(指数走势!$F$37)+1-760+608)))</f>
        <v>11.9644002914429</v>
      </c>
      <c r="WL101">
        <f>IF(ISERROR(INDEX(指数走势!$F$37:$ACK$37,1,LOOKUP(2,1/(指数走势!$F$37:$ACK$37&lt;&gt;""),COLUMN(指数走势!$F$37:$ACK$37))-COLUMN(指数走势!$F$37)+1-760+609)),NA(),IF(INDEX(指数走势!$F$37:$ACK$37,1,LOOKUP(2,1/(指数走势!$F$37:$ACK$37&lt;&gt;""),COLUMN(指数走势!$F$37:$ACK$37))-COLUMN(指数走势!$F$37)+1-760+609)=0,NA(),INDEX(指数走势!$F$37:$ACK$37,1,LOOKUP(2,1/(指数走势!$F$37:$ACK$37&lt;&gt;""),COLUMN(指数走势!$F$37:$ACK$37))-COLUMN(指数走势!$F$37)+1-760+609)))</f>
        <v>11.7571001052856</v>
      </c>
      <c r="WM101">
        <f>IF(ISERROR(INDEX(指数走势!$F$37:$ACK$37,1,LOOKUP(2,1/(指数走势!$F$37:$ACK$37&lt;&gt;""),COLUMN(指数走势!$F$37:$ACK$37))-COLUMN(指数走势!$F$37)+1-760+610)),NA(),IF(INDEX(指数走势!$F$37:$ACK$37,1,LOOKUP(2,1/(指数走势!$F$37:$ACK$37&lt;&gt;""),COLUMN(指数走势!$F$37:$ACK$37))-COLUMN(指数走势!$F$37)+1-760+610)=0,NA(),INDEX(指数走势!$F$37:$ACK$37,1,LOOKUP(2,1/(指数走势!$F$37:$ACK$37&lt;&gt;""),COLUMN(指数走势!$F$37:$ACK$37))-COLUMN(指数走势!$F$37)+1-760+610)))</f>
        <v>11.7510004043579</v>
      </c>
      <c r="WN101">
        <f>IF(ISERROR(INDEX(指数走势!$F$37:$ACK$37,1,LOOKUP(2,1/(指数走势!$F$37:$ACK$37&lt;&gt;""),COLUMN(指数走势!$F$37:$ACK$37))-COLUMN(指数走势!$F$37)+1-760+611)),NA(),IF(INDEX(指数走势!$F$37:$ACK$37,1,LOOKUP(2,1/(指数走势!$F$37:$ACK$37&lt;&gt;""),COLUMN(指数走势!$F$37:$ACK$37))-COLUMN(指数走势!$F$37)+1-760+611)=0,NA(),INDEX(指数走势!$F$37:$ACK$37,1,LOOKUP(2,1/(指数走势!$F$37:$ACK$37&lt;&gt;""),COLUMN(指数走势!$F$37:$ACK$37))-COLUMN(指数走势!$F$37)+1-760+611)))</f>
        <v>11.7468996047974</v>
      </c>
      <c r="WO101">
        <f>IF(ISERROR(INDEX(指数走势!$F$37:$ACK$37,1,LOOKUP(2,1/(指数走势!$F$37:$ACK$37&lt;&gt;""),COLUMN(指数走势!$F$37:$ACK$37))-COLUMN(指数走势!$F$37)+1-760+612)),NA(),IF(INDEX(指数走势!$F$37:$ACK$37,1,LOOKUP(2,1/(指数走势!$F$37:$ACK$37&lt;&gt;""),COLUMN(指数走势!$F$37:$ACK$37))-COLUMN(指数走势!$F$37)+1-760+612)=0,NA(),INDEX(指数走势!$F$37:$ACK$37,1,LOOKUP(2,1/(指数走势!$F$37:$ACK$37&lt;&gt;""),COLUMN(指数走势!$F$37:$ACK$37))-COLUMN(指数走势!$F$37)+1-760+612)))</f>
        <v>11.4819002151489</v>
      </c>
      <c r="WP101">
        <f>IF(ISERROR(INDEX(指数走势!$F$37:$ACK$37,1,LOOKUP(2,1/(指数走势!$F$37:$ACK$37&lt;&gt;""),COLUMN(指数走势!$F$37:$ACK$37))-COLUMN(指数走势!$F$37)+1-760+613)),NA(),IF(INDEX(指数走势!$F$37:$ACK$37,1,LOOKUP(2,1/(指数走势!$F$37:$ACK$37&lt;&gt;""),COLUMN(指数走势!$F$37:$ACK$37))-COLUMN(指数走势!$F$37)+1-760+613)=0,NA(),INDEX(指数走势!$F$37:$ACK$37,1,LOOKUP(2,1/(指数走势!$F$37:$ACK$37&lt;&gt;""),COLUMN(指数走势!$F$37:$ACK$37))-COLUMN(指数走势!$F$37)+1-760+613)))</f>
        <v>11.6806001663208</v>
      </c>
      <c r="WQ101">
        <f>IF(ISERROR(INDEX(指数走势!$F$37:$ACK$37,1,LOOKUP(2,1/(指数走势!$F$37:$ACK$37&lt;&gt;""),COLUMN(指数走势!$F$37:$ACK$37))-COLUMN(指数走势!$F$37)+1-760+614)),NA(),IF(INDEX(指数走势!$F$37:$ACK$37,1,LOOKUP(2,1/(指数走势!$F$37:$ACK$37&lt;&gt;""),COLUMN(指数走势!$F$37:$ACK$37))-COLUMN(指数走势!$F$37)+1-760+614)=0,NA(),INDEX(指数走势!$F$37:$ACK$37,1,LOOKUP(2,1/(指数走势!$F$37:$ACK$37&lt;&gt;""),COLUMN(指数走势!$F$37:$ACK$37))-COLUMN(指数走势!$F$37)+1-760+614)))</f>
        <v>11.8360004425049</v>
      </c>
      <c r="WR101">
        <f>IF(ISERROR(INDEX(指数走势!$F$37:$ACK$37,1,LOOKUP(2,1/(指数走势!$F$37:$ACK$37&lt;&gt;""),COLUMN(指数走势!$F$37:$ACK$37))-COLUMN(指数走势!$F$37)+1-760+615)),NA(),IF(INDEX(指数走势!$F$37:$ACK$37,1,LOOKUP(2,1/(指数走势!$F$37:$ACK$37&lt;&gt;""),COLUMN(指数走势!$F$37:$ACK$37))-COLUMN(指数走势!$F$37)+1-760+615)=0,NA(),INDEX(指数走势!$F$37:$ACK$37,1,LOOKUP(2,1/(指数走势!$F$37:$ACK$37&lt;&gt;""),COLUMN(指数走势!$F$37:$ACK$37))-COLUMN(指数走势!$F$37)+1-760+615)))</f>
        <v>11.8371000289917</v>
      </c>
      <c r="WS101">
        <f>IF(ISERROR(INDEX(指数走势!$F$37:$ACK$37,1,LOOKUP(2,1/(指数走势!$F$37:$ACK$37&lt;&gt;""),COLUMN(指数走势!$F$37:$ACK$37))-COLUMN(指数走势!$F$37)+1-760+616)),NA(),IF(INDEX(指数走势!$F$37:$ACK$37,1,LOOKUP(2,1/(指数走势!$F$37:$ACK$37&lt;&gt;""),COLUMN(指数走势!$F$37:$ACK$37))-COLUMN(指数走势!$F$37)+1-760+616)=0,NA(),INDEX(指数走势!$F$37:$ACK$37,1,LOOKUP(2,1/(指数走势!$F$37:$ACK$37&lt;&gt;""),COLUMN(指数走势!$F$37:$ACK$37))-COLUMN(指数走势!$F$37)+1-760+616)))</f>
        <v>11.8278999328613</v>
      </c>
      <c r="WT101">
        <f>IF(ISERROR(INDEX(指数走势!$F$37:$ACK$37,1,LOOKUP(2,1/(指数走势!$F$37:$ACK$37&lt;&gt;""),COLUMN(指数走势!$F$37:$ACK$37))-COLUMN(指数走势!$F$37)+1-760+617)),NA(),IF(INDEX(指数走势!$F$37:$ACK$37,1,LOOKUP(2,1/(指数走势!$F$37:$ACK$37&lt;&gt;""),COLUMN(指数走势!$F$37:$ACK$37))-COLUMN(指数走势!$F$37)+1-760+617)=0,NA(),INDEX(指数走势!$F$37:$ACK$37,1,LOOKUP(2,1/(指数走势!$F$37:$ACK$37&lt;&gt;""),COLUMN(指数走势!$F$37:$ACK$37))-COLUMN(指数走势!$F$37)+1-760+617)))</f>
        <v>11.8909997940063</v>
      </c>
      <c r="WU101">
        <f>IF(ISERROR(INDEX(指数走势!$F$37:$ACK$37,1,LOOKUP(2,1/(指数走势!$F$37:$ACK$37&lt;&gt;""),COLUMN(指数走势!$F$37:$ACK$37))-COLUMN(指数走势!$F$37)+1-760+618)),NA(),IF(INDEX(指数走势!$F$37:$ACK$37,1,LOOKUP(2,1/(指数走势!$F$37:$ACK$37&lt;&gt;""),COLUMN(指数走势!$F$37:$ACK$37))-COLUMN(指数走势!$F$37)+1-760+618)=0,NA(),INDEX(指数走势!$F$37:$ACK$37,1,LOOKUP(2,1/(指数走势!$F$37:$ACK$37&lt;&gt;""),COLUMN(指数走势!$F$37:$ACK$37))-COLUMN(指数走势!$F$37)+1-760+618)))</f>
        <v>11.9933004379272</v>
      </c>
      <c r="WV101">
        <f>IF(ISERROR(INDEX(指数走势!$F$37:$ACK$37,1,LOOKUP(2,1/(指数走势!$F$37:$ACK$37&lt;&gt;""),COLUMN(指数走势!$F$37:$ACK$37))-COLUMN(指数走势!$F$37)+1-760+619)),NA(),IF(INDEX(指数走势!$F$37:$ACK$37,1,LOOKUP(2,1/(指数走势!$F$37:$ACK$37&lt;&gt;""),COLUMN(指数走势!$F$37:$ACK$37))-COLUMN(指数走势!$F$37)+1-760+619)=0,NA(),INDEX(指数走势!$F$37:$ACK$37,1,LOOKUP(2,1/(指数走势!$F$37:$ACK$37&lt;&gt;""),COLUMN(指数走势!$F$37:$ACK$37))-COLUMN(指数走势!$F$37)+1-760+619)))</f>
        <v>12.0240001678467</v>
      </c>
      <c r="WW101">
        <f>IF(ISERROR(INDEX(指数走势!$F$37:$ACK$37,1,LOOKUP(2,1/(指数走势!$F$37:$ACK$37&lt;&gt;""),COLUMN(指数走势!$F$37:$ACK$37))-COLUMN(指数走势!$F$37)+1-760+620)),NA(),IF(INDEX(指数走势!$F$37:$ACK$37,1,LOOKUP(2,1/(指数走势!$F$37:$ACK$37&lt;&gt;""),COLUMN(指数走势!$F$37:$ACK$37))-COLUMN(指数走势!$F$37)+1-760+620)=0,NA(),INDEX(指数走势!$F$37:$ACK$37,1,LOOKUP(2,1/(指数走势!$F$37:$ACK$37&lt;&gt;""),COLUMN(指数走势!$F$37:$ACK$37))-COLUMN(指数走势!$F$37)+1-760+620)))</f>
        <v>11.8704996109009</v>
      </c>
      <c r="WX101">
        <f>IF(ISERROR(INDEX(指数走势!$F$37:$ACK$37,1,LOOKUP(2,1/(指数走势!$F$37:$ACK$37&lt;&gt;""),COLUMN(指数走势!$F$37:$ACK$37))-COLUMN(指数走势!$F$37)+1-760+621)),NA(),IF(INDEX(指数走势!$F$37:$ACK$37,1,LOOKUP(2,1/(指数走势!$F$37:$ACK$37&lt;&gt;""),COLUMN(指数走势!$F$37:$ACK$37))-COLUMN(指数走势!$F$37)+1-760+621)=0,NA(),INDEX(指数走势!$F$37:$ACK$37,1,LOOKUP(2,1/(指数走势!$F$37:$ACK$37&lt;&gt;""),COLUMN(指数走势!$F$37:$ACK$37))-COLUMN(指数走势!$F$37)+1-760+621)))</f>
        <v>11.9350996017456</v>
      </c>
      <c r="WY101">
        <f>IF(ISERROR(INDEX(指数走势!$F$37:$ACK$37,1,LOOKUP(2,1/(指数走势!$F$37:$ACK$37&lt;&gt;""),COLUMN(指数走势!$F$37:$ACK$37))-COLUMN(指数走势!$F$37)+1-760+622)),NA(),IF(INDEX(指数走势!$F$37:$ACK$37,1,LOOKUP(2,1/(指数走势!$F$37:$ACK$37&lt;&gt;""),COLUMN(指数走势!$F$37:$ACK$37))-COLUMN(指数走势!$F$37)+1-760+622)=0,NA(),INDEX(指数走势!$F$37:$ACK$37,1,LOOKUP(2,1/(指数走势!$F$37:$ACK$37&lt;&gt;""),COLUMN(指数走势!$F$37:$ACK$37))-COLUMN(指数走势!$F$37)+1-760+622)))</f>
        <v>12.0178003311157</v>
      </c>
      <c r="WZ101">
        <f>IF(ISERROR(INDEX(指数走势!$F$37:$ACK$37,1,LOOKUP(2,1/(指数走势!$F$37:$ACK$37&lt;&gt;""),COLUMN(指数走势!$F$37:$ACK$37))-COLUMN(指数走势!$F$37)+1-760+623)),NA(),IF(INDEX(指数走势!$F$37:$ACK$37,1,LOOKUP(2,1/(指数走势!$F$37:$ACK$37&lt;&gt;""),COLUMN(指数走势!$F$37:$ACK$37))-COLUMN(指数走势!$F$37)+1-760+623)=0,NA(),INDEX(指数走势!$F$37:$ACK$37,1,LOOKUP(2,1/(指数走势!$F$37:$ACK$37&lt;&gt;""),COLUMN(指数走势!$F$37:$ACK$37))-COLUMN(指数走势!$F$37)+1-760+623)))</f>
        <v>11.8884000778198</v>
      </c>
      <c r="XA101">
        <f>IF(ISERROR(INDEX(指数走势!$F$37:$ACK$37,1,LOOKUP(2,1/(指数走势!$F$37:$ACK$37&lt;&gt;""),COLUMN(指数走势!$F$37:$ACK$37))-COLUMN(指数走势!$F$37)+1-760+624)),NA(),IF(INDEX(指数走势!$F$37:$ACK$37,1,LOOKUP(2,1/(指数走势!$F$37:$ACK$37&lt;&gt;""),COLUMN(指数走势!$F$37:$ACK$37))-COLUMN(指数走势!$F$37)+1-760+624)=0,NA(),INDEX(指数走势!$F$37:$ACK$37,1,LOOKUP(2,1/(指数走势!$F$37:$ACK$37&lt;&gt;""),COLUMN(指数走势!$F$37:$ACK$37))-COLUMN(指数走势!$F$37)+1-760+624)))</f>
        <v>11.7398996353149</v>
      </c>
      <c r="XB101">
        <f>IF(ISERROR(INDEX(指数走势!$F$37:$ACK$37,1,LOOKUP(2,1/(指数走势!$F$37:$ACK$37&lt;&gt;""),COLUMN(指数走势!$F$37:$ACK$37))-COLUMN(指数走势!$F$37)+1-760+625)),NA(),IF(INDEX(指数走势!$F$37:$ACK$37,1,LOOKUP(2,1/(指数走势!$F$37:$ACK$37&lt;&gt;""),COLUMN(指数走势!$F$37:$ACK$37))-COLUMN(指数走势!$F$37)+1-760+625)=0,NA(),INDEX(指数走势!$F$37:$ACK$37,1,LOOKUP(2,1/(指数走势!$F$37:$ACK$37&lt;&gt;""),COLUMN(指数走势!$F$37:$ACK$37))-COLUMN(指数走势!$F$37)+1-760+625)))</f>
        <v>11.7490997314453</v>
      </c>
      <c r="XC101">
        <f>IF(ISERROR(INDEX(指数走势!$F$37:$ACK$37,1,LOOKUP(2,1/(指数走势!$F$37:$ACK$37&lt;&gt;""),COLUMN(指数走势!$F$37:$ACK$37))-COLUMN(指数走势!$F$37)+1-760+626)),NA(),IF(INDEX(指数走势!$F$37:$ACK$37,1,LOOKUP(2,1/(指数走势!$F$37:$ACK$37&lt;&gt;""),COLUMN(指数走势!$F$37:$ACK$37))-COLUMN(指数走势!$F$37)+1-760+626)=0,NA(),INDEX(指数走势!$F$37:$ACK$37,1,LOOKUP(2,1/(指数走势!$F$37:$ACK$37&lt;&gt;""),COLUMN(指数走势!$F$37:$ACK$37))-COLUMN(指数走势!$F$37)+1-760+626)))</f>
        <v>11.7354001998901</v>
      </c>
      <c r="XD101">
        <f>IF(ISERROR(INDEX(指数走势!$F$37:$ACK$37,1,LOOKUP(2,1/(指数走势!$F$37:$ACK$37&lt;&gt;""),COLUMN(指数走势!$F$37:$ACK$37))-COLUMN(指数走势!$F$37)+1-760+627)),NA(),IF(INDEX(指数走势!$F$37:$ACK$37,1,LOOKUP(2,1/(指数走势!$F$37:$ACK$37&lt;&gt;""),COLUMN(指数走势!$F$37:$ACK$37))-COLUMN(指数走势!$F$37)+1-760+627)=0,NA(),INDEX(指数走势!$F$37:$ACK$37,1,LOOKUP(2,1/(指数走势!$F$37:$ACK$37&lt;&gt;""),COLUMN(指数走势!$F$37:$ACK$37))-COLUMN(指数走势!$F$37)+1-760+627)))</f>
        <v>11.927300453186</v>
      </c>
      <c r="XE101">
        <f>IF(ISERROR(INDEX(指数走势!$F$37:$ACK$37,1,LOOKUP(2,1/(指数走势!$F$37:$ACK$37&lt;&gt;""),COLUMN(指数走势!$F$37:$ACK$37))-COLUMN(指数走势!$F$37)+1-760+628)),NA(),IF(INDEX(指数走势!$F$37:$ACK$37,1,LOOKUP(2,1/(指数走势!$F$37:$ACK$37&lt;&gt;""),COLUMN(指数走势!$F$37:$ACK$37))-COLUMN(指数走势!$F$37)+1-760+628)=0,NA(),INDEX(指数走势!$F$37:$ACK$37,1,LOOKUP(2,1/(指数走势!$F$37:$ACK$37&lt;&gt;""),COLUMN(指数走势!$F$37:$ACK$37))-COLUMN(指数走势!$F$37)+1-760+628)))</f>
        <v>11.7631998062134</v>
      </c>
      <c r="XF101">
        <f>IF(ISERROR(INDEX(指数走势!$F$37:$ACK$37,1,LOOKUP(2,1/(指数走势!$F$37:$ACK$37&lt;&gt;""),COLUMN(指数走势!$F$37:$ACK$37))-COLUMN(指数走势!$F$37)+1-760+629)),NA(),IF(INDEX(指数走势!$F$37:$ACK$37,1,LOOKUP(2,1/(指数走势!$F$37:$ACK$37&lt;&gt;""),COLUMN(指数走势!$F$37:$ACK$37))-COLUMN(指数走势!$F$37)+1-760+629)=0,NA(),INDEX(指数走势!$F$37:$ACK$37,1,LOOKUP(2,1/(指数走势!$F$37:$ACK$37&lt;&gt;""),COLUMN(指数走势!$F$37:$ACK$37))-COLUMN(指数走势!$F$37)+1-760+629)))</f>
        <v>11.5767002105713</v>
      </c>
      <c r="XG101">
        <f>IF(ISERROR(INDEX(指数走势!$F$37:$ACK$37,1,LOOKUP(2,1/(指数走势!$F$37:$ACK$37&lt;&gt;""),COLUMN(指数走势!$F$37:$ACK$37))-COLUMN(指数走势!$F$37)+1-760+630)),NA(),IF(INDEX(指数走势!$F$37:$ACK$37,1,LOOKUP(2,1/(指数走势!$F$37:$ACK$37&lt;&gt;""),COLUMN(指数走势!$F$37:$ACK$37))-COLUMN(指数走势!$F$37)+1-760+630)=0,NA(),INDEX(指数走势!$F$37:$ACK$37,1,LOOKUP(2,1/(指数走势!$F$37:$ACK$37&lt;&gt;""),COLUMN(指数走势!$F$37:$ACK$37))-COLUMN(指数走势!$F$37)+1-760+630)))</f>
        <v>11.6758003234863</v>
      </c>
      <c r="XH101">
        <f>IF(ISERROR(INDEX(指数走势!$F$37:$ACK$37,1,LOOKUP(2,1/(指数走势!$F$37:$ACK$37&lt;&gt;""),COLUMN(指数走势!$F$37:$ACK$37))-COLUMN(指数走势!$F$37)+1-760+631)),NA(),IF(INDEX(指数走势!$F$37:$ACK$37,1,LOOKUP(2,1/(指数走势!$F$37:$ACK$37&lt;&gt;""),COLUMN(指数走势!$F$37:$ACK$37))-COLUMN(指数走势!$F$37)+1-760+631)=0,NA(),INDEX(指数走势!$F$37:$ACK$37,1,LOOKUP(2,1/(指数走势!$F$37:$ACK$37&lt;&gt;""),COLUMN(指数走势!$F$37:$ACK$37))-COLUMN(指数走势!$F$37)+1-760+631)))</f>
        <v>11.6998996734619</v>
      </c>
      <c r="XI101">
        <f>IF(ISERROR(INDEX(指数走势!$F$37:$ACK$37,1,LOOKUP(2,1/(指数走势!$F$37:$ACK$37&lt;&gt;""),COLUMN(指数走势!$F$37:$ACK$37))-COLUMN(指数走势!$F$37)+1-760+632)),NA(),IF(INDEX(指数走势!$F$37:$ACK$37,1,LOOKUP(2,1/(指数走势!$F$37:$ACK$37&lt;&gt;""),COLUMN(指数走势!$F$37:$ACK$37))-COLUMN(指数走势!$F$37)+1-760+632)=0,NA(),INDEX(指数走势!$F$37:$ACK$37,1,LOOKUP(2,1/(指数走势!$F$37:$ACK$37&lt;&gt;""),COLUMN(指数走势!$F$37:$ACK$37))-COLUMN(指数走势!$F$37)+1-760+632)))</f>
        <v>11.7812995910645</v>
      </c>
      <c r="XJ101">
        <f>IF(ISERROR(INDEX(指数走势!$F$37:$ACK$37,1,LOOKUP(2,1/(指数走势!$F$37:$ACK$37&lt;&gt;""),COLUMN(指数走势!$F$37:$ACK$37))-COLUMN(指数走势!$F$37)+1-760+633)),NA(),IF(INDEX(指数走势!$F$37:$ACK$37,1,LOOKUP(2,1/(指数走势!$F$37:$ACK$37&lt;&gt;""),COLUMN(指数走势!$F$37:$ACK$37))-COLUMN(指数走势!$F$37)+1-760+633)=0,NA(),INDEX(指数走势!$F$37:$ACK$37,1,LOOKUP(2,1/(指数走势!$F$37:$ACK$37&lt;&gt;""),COLUMN(指数走势!$F$37:$ACK$37))-COLUMN(指数走势!$F$37)+1-760+633)))</f>
        <v>11.8276996612549</v>
      </c>
      <c r="XK101">
        <f>IF(ISERROR(INDEX(指数走势!$F$37:$ACK$37,1,LOOKUP(2,1/(指数走势!$F$37:$ACK$37&lt;&gt;""),COLUMN(指数走势!$F$37:$ACK$37))-COLUMN(指数走势!$F$37)+1-760+634)),NA(),IF(INDEX(指数走势!$F$37:$ACK$37,1,LOOKUP(2,1/(指数走势!$F$37:$ACK$37&lt;&gt;""),COLUMN(指数走势!$F$37:$ACK$37))-COLUMN(指数走势!$F$37)+1-760+634)=0,NA(),INDEX(指数走势!$F$37:$ACK$37,1,LOOKUP(2,1/(指数走势!$F$37:$ACK$37&lt;&gt;""),COLUMN(指数走势!$F$37:$ACK$37))-COLUMN(指数走势!$F$37)+1-760+634)))</f>
        <v>11.8014001846313</v>
      </c>
      <c r="XL101">
        <f>IF(ISERROR(INDEX(指数走势!$F$37:$ACK$37,1,LOOKUP(2,1/(指数走势!$F$37:$ACK$37&lt;&gt;""),COLUMN(指数走势!$F$37:$ACK$37))-COLUMN(指数走势!$F$37)+1-760+635)),NA(),IF(INDEX(指数走势!$F$37:$ACK$37,1,LOOKUP(2,1/(指数走势!$F$37:$ACK$37&lt;&gt;""),COLUMN(指数走势!$F$37:$ACK$37))-COLUMN(指数走势!$F$37)+1-760+635)=0,NA(),INDEX(指数走势!$F$37:$ACK$37,1,LOOKUP(2,1/(指数走势!$F$37:$ACK$37&lt;&gt;""),COLUMN(指数走势!$F$37:$ACK$37))-COLUMN(指数走势!$F$37)+1-760+635)))</f>
        <v>11.8099002838135</v>
      </c>
      <c r="XM101">
        <f>IF(ISERROR(INDEX(指数走势!$F$37:$ACK$37,1,LOOKUP(2,1/(指数走势!$F$37:$ACK$37&lt;&gt;""),COLUMN(指数走势!$F$37:$ACK$37))-COLUMN(指数走势!$F$37)+1-760+636)),NA(),IF(INDEX(指数走势!$F$37:$ACK$37,1,LOOKUP(2,1/(指数走势!$F$37:$ACK$37&lt;&gt;""),COLUMN(指数走势!$F$37:$ACK$37))-COLUMN(指数走势!$F$37)+1-760+636)=0,NA(),INDEX(指数走势!$F$37:$ACK$37,1,LOOKUP(2,1/(指数走势!$F$37:$ACK$37&lt;&gt;""),COLUMN(指数走势!$F$37:$ACK$37))-COLUMN(指数走势!$F$37)+1-760+636)))</f>
        <v>11.8099002838135</v>
      </c>
      <c r="XN101">
        <f>IF(ISERROR(INDEX(指数走势!$F$37:$ACK$37,1,LOOKUP(2,1/(指数走势!$F$37:$ACK$37&lt;&gt;""),COLUMN(指数走势!$F$37:$ACK$37))-COLUMN(指数走势!$F$37)+1-760+637)),NA(),IF(INDEX(指数走势!$F$37:$ACK$37,1,LOOKUP(2,1/(指数走势!$F$37:$ACK$37&lt;&gt;""),COLUMN(指数走势!$F$37:$ACK$37))-COLUMN(指数走势!$F$37)+1-760+637)=0,NA(),INDEX(指数走势!$F$37:$ACK$37,1,LOOKUP(2,1/(指数走势!$F$37:$ACK$37&lt;&gt;""),COLUMN(指数走势!$F$37:$ACK$37))-COLUMN(指数走势!$F$37)+1-760+637)))</f>
        <v>11.8099002838135</v>
      </c>
      <c r="XO101">
        <f>IF(ISERROR(INDEX(指数走势!$F$37:$ACK$37,1,LOOKUP(2,1/(指数走势!$F$37:$ACK$37&lt;&gt;""),COLUMN(指数走势!$F$37:$ACK$37))-COLUMN(指数走势!$F$37)+1-760+638)),NA(),IF(INDEX(指数走势!$F$37:$ACK$37,1,LOOKUP(2,1/(指数走势!$F$37:$ACK$37&lt;&gt;""),COLUMN(指数走势!$F$37:$ACK$37))-COLUMN(指数走势!$F$37)+1-760+638)=0,NA(),INDEX(指数走势!$F$37:$ACK$37,1,LOOKUP(2,1/(指数走势!$F$37:$ACK$37&lt;&gt;""),COLUMN(指数走势!$F$37:$ACK$37))-COLUMN(指数走势!$F$37)+1-760+638)))</f>
        <v>11.7420997619629</v>
      </c>
      <c r="XP101">
        <f>IF(ISERROR(INDEX(指数走势!$F$37:$ACK$37,1,LOOKUP(2,1/(指数走势!$F$37:$ACK$37&lt;&gt;""),COLUMN(指数走势!$F$37:$ACK$37))-COLUMN(指数走势!$F$37)+1-760+639)),NA(),IF(INDEX(指数走势!$F$37:$ACK$37,1,LOOKUP(2,1/(指数走势!$F$37:$ACK$37&lt;&gt;""),COLUMN(指数走势!$F$37:$ACK$37))-COLUMN(指数走势!$F$37)+1-760+639)=0,NA(),INDEX(指数走势!$F$37:$ACK$37,1,LOOKUP(2,1/(指数走势!$F$37:$ACK$37&lt;&gt;""),COLUMN(指数走势!$F$37:$ACK$37))-COLUMN(指数走势!$F$37)+1-760+639)))</f>
        <v>11.8563995361328</v>
      </c>
      <c r="XQ101">
        <f>IF(ISERROR(INDEX(指数走势!$F$37:$ACK$37,1,LOOKUP(2,1/(指数走势!$F$37:$ACK$37&lt;&gt;""),COLUMN(指数走势!$F$37:$ACK$37))-COLUMN(指数走势!$F$37)+1-760+640)),NA(),IF(INDEX(指数走势!$F$37:$ACK$37,1,LOOKUP(2,1/(指数走势!$F$37:$ACK$37&lt;&gt;""),COLUMN(指数走势!$F$37:$ACK$37))-COLUMN(指数走势!$F$37)+1-760+640)=0,NA(),INDEX(指数走势!$F$37:$ACK$37,1,LOOKUP(2,1/(指数走势!$F$37:$ACK$37&lt;&gt;""),COLUMN(指数走势!$F$37:$ACK$37))-COLUMN(指数走势!$F$37)+1-760+640)))</f>
        <v>11.7651996612549</v>
      </c>
      <c r="XR101">
        <f>IF(ISERROR(INDEX(指数走势!$F$37:$ACK$37,1,LOOKUP(2,1/(指数走势!$F$37:$ACK$37&lt;&gt;""),COLUMN(指数走势!$F$37:$ACK$37))-COLUMN(指数走势!$F$37)+1-760+641)),NA(),IF(INDEX(指数走势!$F$37:$ACK$37,1,LOOKUP(2,1/(指数走势!$F$37:$ACK$37&lt;&gt;""),COLUMN(指数走势!$F$37:$ACK$37))-COLUMN(指数走势!$F$37)+1-760+641)=0,NA(),INDEX(指数走势!$F$37:$ACK$37,1,LOOKUP(2,1/(指数走势!$F$37:$ACK$37&lt;&gt;""),COLUMN(指数走势!$F$37:$ACK$37))-COLUMN(指数走势!$F$37)+1-760+641)))</f>
        <v>12.0425996780396</v>
      </c>
      <c r="XS101">
        <f>IF(ISERROR(INDEX(指数走势!$F$37:$ACK$37,1,LOOKUP(2,1/(指数走势!$F$37:$ACK$37&lt;&gt;""),COLUMN(指数走势!$F$37:$ACK$37))-COLUMN(指数走势!$F$37)+1-760+642)),NA(),IF(INDEX(指数走势!$F$37:$ACK$37,1,LOOKUP(2,1/(指数走势!$F$37:$ACK$37&lt;&gt;""),COLUMN(指数走势!$F$37:$ACK$37))-COLUMN(指数走势!$F$37)+1-760+642)=0,NA(),INDEX(指数走势!$F$37:$ACK$37,1,LOOKUP(2,1/(指数走势!$F$37:$ACK$37&lt;&gt;""),COLUMN(指数走势!$F$37:$ACK$37))-COLUMN(指数走势!$F$37)+1-760+642)))</f>
        <v>12.1971998214722</v>
      </c>
      <c r="XT101">
        <f>IF(ISERROR(INDEX(指数走势!$F$37:$ACK$37,1,LOOKUP(2,1/(指数走势!$F$37:$ACK$37&lt;&gt;""),COLUMN(指数走势!$F$37:$ACK$37))-COLUMN(指数走势!$F$37)+1-760+643)),NA(),IF(INDEX(指数走势!$F$37:$ACK$37,1,LOOKUP(2,1/(指数走势!$F$37:$ACK$37&lt;&gt;""),COLUMN(指数走势!$F$37:$ACK$37))-COLUMN(指数走势!$F$37)+1-760+643)=0,NA(),INDEX(指数走势!$F$37:$ACK$37,1,LOOKUP(2,1/(指数走势!$F$37:$ACK$37&lt;&gt;""),COLUMN(指数走势!$F$37:$ACK$37))-COLUMN(指数走势!$F$37)+1-760+643)))</f>
        <v>12.0804004669189</v>
      </c>
      <c r="XU101">
        <f>IF(ISERROR(INDEX(指数走势!$F$37:$ACK$37,1,LOOKUP(2,1/(指数走势!$F$37:$ACK$37&lt;&gt;""),COLUMN(指数走势!$F$37:$ACK$37))-COLUMN(指数走势!$F$37)+1-760+644)),NA(),IF(INDEX(指数走势!$F$37:$ACK$37,1,LOOKUP(2,1/(指数走势!$F$37:$ACK$37&lt;&gt;""),COLUMN(指数走势!$F$37:$ACK$37))-COLUMN(指数走势!$F$37)+1-760+644)=0,NA(),INDEX(指数走势!$F$37:$ACK$37,1,LOOKUP(2,1/(指数走势!$F$37:$ACK$37&lt;&gt;""),COLUMN(指数走势!$F$37:$ACK$37))-COLUMN(指数走势!$F$37)+1-760+644)))</f>
        <v>11.9561996459961</v>
      </c>
      <c r="XV101">
        <f>IF(ISERROR(INDEX(指数走势!$F$37:$ACK$37,1,LOOKUP(2,1/(指数走势!$F$37:$ACK$37&lt;&gt;""),COLUMN(指数走势!$F$37:$ACK$37))-COLUMN(指数走势!$F$37)+1-760+645)),NA(),IF(INDEX(指数走势!$F$37:$ACK$37,1,LOOKUP(2,1/(指数走势!$F$37:$ACK$37&lt;&gt;""),COLUMN(指数走势!$F$37:$ACK$37))-COLUMN(指数走势!$F$37)+1-760+645)=0,NA(),INDEX(指数走势!$F$37:$ACK$37,1,LOOKUP(2,1/(指数走势!$F$37:$ACK$37&lt;&gt;""),COLUMN(指数走势!$F$37:$ACK$37))-COLUMN(指数走势!$F$37)+1-760+645)))</f>
        <v>11.992600440979</v>
      </c>
      <c r="XW101">
        <f>IF(ISERROR(INDEX(指数走势!$F$37:$ACK$37,1,LOOKUP(2,1/(指数走势!$F$37:$ACK$37&lt;&gt;""),COLUMN(指数走势!$F$37:$ACK$37))-COLUMN(指数走势!$F$37)+1-760+646)),NA(),IF(INDEX(指数走势!$F$37:$ACK$37,1,LOOKUP(2,1/(指数走势!$F$37:$ACK$37&lt;&gt;""),COLUMN(指数走势!$F$37:$ACK$37))-COLUMN(指数走势!$F$37)+1-760+646)=0,NA(),INDEX(指数走势!$F$37:$ACK$37,1,LOOKUP(2,1/(指数走势!$F$37:$ACK$37&lt;&gt;""),COLUMN(指数走势!$F$37:$ACK$37))-COLUMN(指数走势!$F$37)+1-760+646)))</f>
        <v>12.1515998840332</v>
      </c>
      <c r="XX101">
        <f>IF(ISERROR(INDEX(指数走势!$F$37:$ACK$37,1,LOOKUP(2,1/(指数走势!$F$37:$ACK$37&lt;&gt;""),COLUMN(指数走势!$F$37:$ACK$37))-COLUMN(指数走势!$F$37)+1-760+647)),NA(),IF(INDEX(指数走势!$F$37:$ACK$37,1,LOOKUP(2,1/(指数走势!$F$37:$ACK$37&lt;&gt;""),COLUMN(指数走势!$F$37:$ACK$37))-COLUMN(指数走势!$F$37)+1-760+647)=0,NA(),INDEX(指数走势!$F$37:$ACK$37,1,LOOKUP(2,1/(指数走势!$F$37:$ACK$37&lt;&gt;""),COLUMN(指数走势!$F$37:$ACK$37))-COLUMN(指数走势!$F$37)+1-760+647)))</f>
        <v>12.2658996582031</v>
      </c>
      <c r="XY101">
        <f>IF(ISERROR(INDEX(指数走势!$F$37:$ACK$37,1,LOOKUP(2,1/(指数走势!$F$37:$ACK$37&lt;&gt;""),COLUMN(指数走势!$F$37:$ACK$37))-COLUMN(指数走势!$F$37)+1-760+648)),NA(),IF(INDEX(指数走势!$F$37:$ACK$37,1,LOOKUP(2,1/(指数走势!$F$37:$ACK$37&lt;&gt;""),COLUMN(指数走势!$F$37:$ACK$37))-COLUMN(指数走势!$F$37)+1-760+648)=0,NA(),INDEX(指数走势!$F$37:$ACK$37,1,LOOKUP(2,1/(指数走势!$F$37:$ACK$37&lt;&gt;""),COLUMN(指数走势!$F$37:$ACK$37))-COLUMN(指数走势!$F$37)+1-760+648)))</f>
        <v>12.3308000564575</v>
      </c>
      <c r="XZ101">
        <f>IF(ISERROR(INDEX(指数走势!$F$37:$ACK$37,1,LOOKUP(2,1/(指数走势!$F$37:$ACK$37&lt;&gt;""),COLUMN(指数走势!$F$37:$ACK$37))-COLUMN(指数走势!$F$37)+1-760+649)),NA(),IF(INDEX(指数走势!$F$37:$ACK$37,1,LOOKUP(2,1/(指数走势!$F$37:$ACK$37&lt;&gt;""),COLUMN(指数走势!$F$37:$ACK$37))-COLUMN(指数走势!$F$37)+1-760+649)=0,NA(),INDEX(指数走势!$F$37:$ACK$37,1,LOOKUP(2,1/(指数走势!$F$37:$ACK$37&lt;&gt;""),COLUMN(指数走势!$F$37:$ACK$37))-COLUMN(指数走势!$F$37)+1-760+649)))</f>
        <v>12.2496004104614</v>
      </c>
      <c r="YA101">
        <f>IF(ISERROR(INDEX(指数走势!$F$37:$ACK$37,1,LOOKUP(2,1/(指数走势!$F$37:$ACK$37&lt;&gt;""),COLUMN(指数走势!$F$37:$ACK$37))-COLUMN(指数走势!$F$37)+1-760+650)),NA(),IF(INDEX(指数走势!$F$37:$ACK$37,1,LOOKUP(2,1/(指数走势!$F$37:$ACK$37&lt;&gt;""),COLUMN(指数走势!$F$37:$ACK$37))-COLUMN(指数走势!$F$37)+1-760+650)=0,NA(),INDEX(指数走势!$F$37:$ACK$37,1,LOOKUP(2,1/(指数走势!$F$37:$ACK$37&lt;&gt;""),COLUMN(指数走势!$F$37:$ACK$37))-COLUMN(指数走势!$F$37)+1-760+650)))</f>
        <v>12.2046003341675</v>
      </c>
      <c r="YB101">
        <f>IF(ISERROR(INDEX(指数走势!$F$37:$ACK$37,1,LOOKUP(2,1/(指数走势!$F$37:$ACK$37&lt;&gt;""),COLUMN(指数走势!$F$37:$ACK$37))-COLUMN(指数走势!$F$37)+1-760+651)),NA(),IF(INDEX(指数走势!$F$37:$ACK$37,1,LOOKUP(2,1/(指数走势!$F$37:$ACK$37&lt;&gt;""),COLUMN(指数走势!$F$37:$ACK$37))-COLUMN(指数走势!$F$37)+1-760+651)=0,NA(),INDEX(指数走势!$F$37:$ACK$37,1,LOOKUP(2,1/(指数走势!$F$37:$ACK$37&lt;&gt;""),COLUMN(指数走势!$F$37:$ACK$37))-COLUMN(指数走势!$F$37)+1-760+651)))</f>
        <v>12.0956001281738</v>
      </c>
      <c r="YC101">
        <f>IF(ISERROR(INDEX(指数走势!$F$37:$ACK$37,1,LOOKUP(2,1/(指数走势!$F$37:$ACK$37&lt;&gt;""),COLUMN(指数走势!$F$37:$ACK$37))-COLUMN(指数走势!$F$37)+1-760+652)),NA(),IF(INDEX(指数走势!$F$37:$ACK$37,1,LOOKUP(2,1/(指数走势!$F$37:$ACK$37&lt;&gt;""),COLUMN(指数走势!$F$37:$ACK$37))-COLUMN(指数走势!$F$37)+1-760+652)=0,NA(),INDEX(指数走势!$F$37:$ACK$37,1,LOOKUP(2,1/(指数走势!$F$37:$ACK$37&lt;&gt;""),COLUMN(指数走势!$F$37:$ACK$37))-COLUMN(指数走势!$F$37)+1-760+652)))</f>
        <v>12.0675001144409</v>
      </c>
      <c r="YD101">
        <f>IF(ISERROR(INDEX(指数走势!$F$37:$ACK$37,1,LOOKUP(2,1/(指数走势!$F$37:$ACK$37&lt;&gt;""),COLUMN(指数走势!$F$37:$ACK$37))-COLUMN(指数走势!$F$37)+1-760+653)),NA(),IF(INDEX(指数走势!$F$37:$ACK$37,1,LOOKUP(2,1/(指数走势!$F$37:$ACK$37&lt;&gt;""),COLUMN(指数走势!$F$37:$ACK$37))-COLUMN(指数走势!$F$37)+1-760+653)=0,NA(),INDEX(指数走势!$F$37:$ACK$37,1,LOOKUP(2,1/(指数走势!$F$37:$ACK$37&lt;&gt;""),COLUMN(指数走势!$F$37:$ACK$37))-COLUMN(指数走势!$F$37)+1-760+653)))</f>
        <v>12.112099647522</v>
      </c>
      <c r="YE101">
        <f>IF(ISERROR(INDEX(指数走势!$F$37:$ACK$37,1,LOOKUP(2,1/(指数走势!$F$37:$ACK$37&lt;&gt;""),COLUMN(指数走势!$F$37:$ACK$37))-COLUMN(指数走势!$F$37)+1-760+654)),NA(),IF(INDEX(指数走势!$F$37:$ACK$37,1,LOOKUP(2,1/(指数走势!$F$37:$ACK$37&lt;&gt;""),COLUMN(指数走势!$F$37:$ACK$37))-COLUMN(指数走势!$F$37)+1-760+654)=0,NA(),INDEX(指数走势!$F$37:$ACK$37,1,LOOKUP(2,1/(指数走势!$F$37:$ACK$37&lt;&gt;""),COLUMN(指数走势!$F$37:$ACK$37))-COLUMN(指数走势!$F$37)+1-760+654)))</f>
        <v>12.1164999008179</v>
      </c>
      <c r="YF101">
        <f>IF(ISERROR(INDEX(指数走势!$F$37:$ACK$37,1,LOOKUP(2,1/(指数走势!$F$37:$ACK$37&lt;&gt;""),COLUMN(指数走势!$F$37:$ACK$37))-COLUMN(指数走势!$F$37)+1-760+655)),NA(),IF(INDEX(指数走势!$F$37:$ACK$37,1,LOOKUP(2,1/(指数走势!$F$37:$ACK$37&lt;&gt;""),COLUMN(指数走势!$F$37:$ACK$37))-COLUMN(指数走势!$F$37)+1-760+655)=0,NA(),INDEX(指数走势!$F$37:$ACK$37,1,LOOKUP(2,1/(指数走势!$F$37:$ACK$37&lt;&gt;""),COLUMN(指数走势!$F$37:$ACK$37))-COLUMN(指数走势!$F$37)+1-760+655)))</f>
        <v>12.1399002075195</v>
      </c>
      <c r="YG101">
        <f>IF(ISERROR(INDEX(指数走势!$F$37:$ACK$37,1,LOOKUP(2,1/(指数走势!$F$37:$ACK$37&lt;&gt;""),COLUMN(指数走势!$F$37:$ACK$37))-COLUMN(指数走势!$F$37)+1-760+656)),NA(),IF(INDEX(指数走势!$F$37:$ACK$37,1,LOOKUP(2,1/(指数走势!$F$37:$ACK$37&lt;&gt;""),COLUMN(指数走势!$F$37:$ACK$37))-COLUMN(指数走势!$F$37)+1-760+656)=0,NA(),INDEX(指数走势!$F$37:$ACK$37,1,LOOKUP(2,1/(指数走势!$F$37:$ACK$37&lt;&gt;""),COLUMN(指数走势!$F$37:$ACK$37))-COLUMN(指数走势!$F$37)+1-760+656)))</f>
        <v>12.1949996948242</v>
      </c>
      <c r="YH101">
        <f>IF(ISERROR(INDEX(指数走势!$F$37:$ACK$37,1,LOOKUP(2,1/(指数走势!$F$37:$ACK$37&lt;&gt;""),COLUMN(指数走势!$F$37:$ACK$37))-COLUMN(指数走势!$F$37)+1-760+657)),NA(),IF(INDEX(指数走势!$F$37:$ACK$37,1,LOOKUP(2,1/(指数走势!$F$37:$ACK$37&lt;&gt;""),COLUMN(指数走势!$F$37:$ACK$37))-COLUMN(指数走势!$F$37)+1-760+657)=0,NA(),INDEX(指数走势!$F$37:$ACK$37,1,LOOKUP(2,1/(指数走势!$F$37:$ACK$37&lt;&gt;""),COLUMN(指数走势!$F$37:$ACK$37))-COLUMN(指数走势!$F$37)+1-760+657)))</f>
        <v>12.3407001495361</v>
      </c>
      <c r="YI101">
        <f>IF(ISERROR(INDEX(指数走势!$F$37:$ACK$37,1,LOOKUP(2,1/(指数走势!$F$37:$ACK$37&lt;&gt;""),COLUMN(指数走势!$F$37:$ACK$37))-COLUMN(指数走势!$F$37)+1-760+658)),NA(),IF(INDEX(指数走势!$F$37:$ACK$37,1,LOOKUP(2,1/(指数走势!$F$37:$ACK$37&lt;&gt;""),COLUMN(指数走势!$F$37:$ACK$37))-COLUMN(指数走势!$F$37)+1-760+658)=0,NA(),INDEX(指数走势!$F$37:$ACK$37,1,LOOKUP(2,1/(指数走势!$F$37:$ACK$37&lt;&gt;""),COLUMN(指数走势!$F$37:$ACK$37))-COLUMN(指数走势!$F$37)+1-760+658)))</f>
        <v>12.6738004684448</v>
      </c>
      <c r="YJ101">
        <f>IF(ISERROR(INDEX(指数走势!$F$37:$ACK$37,1,LOOKUP(2,1/(指数走势!$F$37:$ACK$37&lt;&gt;""),COLUMN(指数走势!$F$37:$ACK$37))-COLUMN(指数走势!$F$37)+1-760+659)),NA(),IF(INDEX(指数走势!$F$37:$ACK$37,1,LOOKUP(2,1/(指数走势!$F$37:$ACK$37&lt;&gt;""),COLUMN(指数走势!$F$37:$ACK$37))-COLUMN(指数走势!$F$37)+1-760+659)=0,NA(),INDEX(指数走势!$F$37:$ACK$37,1,LOOKUP(2,1/(指数走势!$F$37:$ACK$37&lt;&gt;""),COLUMN(指数走势!$F$37:$ACK$37))-COLUMN(指数走势!$F$37)+1-760+659)))</f>
        <v>12.7483997344971</v>
      </c>
      <c r="YK101">
        <f>IF(ISERROR(INDEX(指数走势!$F$37:$ACK$37,1,LOOKUP(2,1/(指数走势!$F$37:$ACK$37&lt;&gt;""),COLUMN(指数走势!$F$37:$ACK$37))-COLUMN(指数走势!$F$37)+1-760+660)),NA(),IF(INDEX(指数走势!$F$37:$ACK$37,1,LOOKUP(2,1/(指数走势!$F$37:$ACK$37&lt;&gt;""),COLUMN(指数走势!$F$37:$ACK$37))-COLUMN(指数走势!$F$37)+1-760+660)=0,NA(),INDEX(指数走势!$F$37:$ACK$37,1,LOOKUP(2,1/(指数走势!$F$37:$ACK$37&lt;&gt;""),COLUMN(指数走势!$F$37:$ACK$37))-COLUMN(指数走势!$F$37)+1-760+660)))</f>
        <v>12.4715003967285</v>
      </c>
      <c r="YL101">
        <f>IF(ISERROR(INDEX(指数走势!$F$37:$ACK$37,1,LOOKUP(2,1/(指数走势!$F$37:$ACK$37&lt;&gt;""),COLUMN(指数走势!$F$37:$ACK$37))-COLUMN(指数走势!$F$37)+1-760+661)),NA(),IF(INDEX(指数走势!$F$37:$ACK$37,1,LOOKUP(2,1/(指数走势!$F$37:$ACK$37&lt;&gt;""),COLUMN(指数走势!$F$37:$ACK$37))-COLUMN(指数走势!$F$37)+1-760+661)=0,NA(),INDEX(指数走势!$F$37:$ACK$37,1,LOOKUP(2,1/(指数走势!$F$37:$ACK$37&lt;&gt;""),COLUMN(指数走势!$F$37:$ACK$37))-COLUMN(指数走势!$F$37)+1-760+661)))</f>
        <v>12.1878995895386</v>
      </c>
      <c r="YM101">
        <f>IF(ISERROR(INDEX(指数走势!$F$37:$ACK$37,1,LOOKUP(2,1/(指数走势!$F$37:$ACK$37&lt;&gt;""),COLUMN(指数走势!$F$37:$ACK$37))-COLUMN(指数走势!$F$37)+1-760+662)),NA(),IF(INDEX(指数走势!$F$37:$ACK$37,1,LOOKUP(2,1/(指数走势!$F$37:$ACK$37&lt;&gt;""),COLUMN(指数走势!$F$37:$ACK$37))-COLUMN(指数走势!$F$37)+1-760+662)=0,NA(),INDEX(指数走势!$F$37:$ACK$37,1,LOOKUP(2,1/(指数走势!$F$37:$ACK$37&lt;&gt;""),COLUMN(指数走势!$F$37:$ACK$37))-COLUMN(指数走势!$F$37)+1-760+662)))</f>
        <v>12.1890001296997</v>
      </c>
      <c r="YN101">
        <f>IF(ISERROR(INDEX(指数走势!$F$37:$ACK$37,1,LOOKUP(2,1/(指数走势!$F$37:$ACK$37&lt;&gt;""),COLUMN(指数走势!$F$37:$ACK$37))-COLUMN(指数走势!$F$37)+1-760+663)),NA(),IF(INDEX(指数走势!$F$37:$ACK$37,1,LOOKUP(2,1/(指数走势!$F$37:$ACK$37&lt;&gt;""),COLUMN(指数走势!$F$37:$ACK$37))-COLUMN(指数走势!$F$37)+1-760+663)=0,NA(),INDEX(指数走势!$F$37:$ACK$37,1,LOOKUP(2,1/(指数走势!$F$37:$ACK$37&lt;&gt;""),COLUMN(指数走势!$F$37:$ACK$37))-COLUMN(指数走势!$F$37)+1-760+663)))</f>
        <v>12.1967000961304</v>
      </c>
      <c r="YO101">
        <f>IF(ISERROR(INDEX(指数走势!$F$37:$ACK$37,1,LOOKUP(2,1/(指数走势!$F$37:$ACK$37&lt;&gt;""),COLUMN(指数走势!$F$37:$ACK$37))-COLUMN(指数走势!$F$37)+1-760+664)),NA(),IF(INDEX(指数走势!$F$37:$ACK$37,1,LOOKUP(2,1/(指数走势!$F$37:$ACK$37&lt;&gt;""),COLUMN(指数走势!$F$37:$ACK$37))-COLUMN(指数走势!$F$37)+1-760+664)=0,NA(),INDEX(指数走势!$F$37:$ACK$37,1,LOOKUP(2,1/(指数走势!$F$37:$ACK$37&lt;&gt;""),COLUMN(指数走势!$F$37:$ACK$37))-COLUMN(指数走势!$F$37)+1-760+664)))</f>
        <v>12.2121000289917</v>
      </c>
      <c r="YP101">
        <f>IF(ISERROR(INDEX(指数走势!$F$37:$ACK$37,1,LOOKUP(2,1/(指数走势!$F$37:$ACK$37&lt;&gt;""),COLUMN(指数走势!$F$37:$ACK$37))-COLUMN(指数走势!$F$37)+1-760+665)),NA(),IF(INDEX(指数走势!$F$37:$ACK$37,1,LOOKUP(2,1/(指数走势!$F$37:$ACK$37&lt;&gt;""),COLUMN(指数走势!$F$37:$ACK$37))-COLUMN(指数走势!$F$37)+1-760+665)=0,NA(),INDEX(指数走势!$F$37:$ACK$37,1,LOOKUP(2,1/(指数走势!$F$37:$ACK$37&lt;&gt;""),COLUMN(指数走势!$F$37:$ACK$37))-COLUMN(指数走势!$F$37)+1-760+665)))</f>
        <v>12.1128997802734</v>
      </c>
      <c r="YQ101">
        <f>IF(ISERROR(INDEX(指数走势!$F$37:$ACK$37,1,LOOKUP(2,1/(指数走势!$F$37:$ACK$37&lt;&gt;""),COLUMN(指数走势!$F$37:$ACK$37))-COLUMN(指数走势!$F$37)+1-760+666)),NA(),IF(INDEX(指数走势!$F$37:$ACK$37,1,LOOKUP(2,1/(指数走势!$F$37:$ACK$37&lt;&gt;""),COLUMN(指数走势!$F$37:$ACK$37))-COLUMN(指数走势!$F$37)+1-760+666)=0,NA(),INDEX(指数走势!$F$37:$ACK$37,1,LOOKUP(2,1/(指数走势!$F$37:$ACK$37&lt;&gt;""),COLUMN(指数走势!$F$37:$ACK$37))-COLUMN(指数走势!$F$37)+1-760+666)))</f>
        <v>12.296799659729</v>
      </c>
      <c r="YR101">
        <f>IF(ISERROR(INDEX(指数走势!$F$37:$ACK$37,1,LOOKUP(2,1/(指数走势!$F$37:$ACK$37&lt;&gt;""),COLUMN(指数走势!$F$37:$ACK$37))-COLUMN(指数走势!$F$37)+1-760+667)),NA(),IF(INDEX(指数走势!$F$37:$ACK$37,1,LOOKUP(2,1/(指数走势!$F$37:$ACK$37&lt;&gt;""),COLUMN(指数走势!$F$37:$ACK$37))-COLUMN(指数走势!$F$37)+1-760+667)=0,NA(),INDEX(指数走势!$F$37:$ACK$37,1,LOOKUP(2,1/(指数走势!$F$37:$ACK$37&lt;&gt;""),COLUMN(指数走势!$F$37:$ACK$37))-COLUMN(指数走势!$F$37)+1-760+667)))</f>
        <v>12.3641996383667</v>
      </c>
      <c r="YS101">
        <f>IF(ISERROR(INDEX(指数走势!$F$37:$ACK$37,1,LOOKUP(2,1/(指数走势!$F$37:$ACK$37&lt;&gt;""),COLUMN(指数走势!$F$37:$ACK$37))-COLUMN(指数走势!$F$37)+1-760+668)),NA(),IF(INDEX(指数走势!$F$37:$ACK$37,1,LOOKUP(2,1/(指数走势!$F$37:$ACK$37&lt;&gt;""),COLUMN(指数走势!$F$37:$ACK$37))-COLUMN(指数走势!$F$37)+1-760+668)=0,NA(),INDEX(指数走势!$F$37:$ACK$37,1,LOOKUP(2,1/(指数走势!$F$37:$ACK$37&lt;&gt;""),COLUMN(指数走势!$F$37:$ACK$37))-COLUMN(指数走势!$F$37)+1-760+668)))</f>
        <v>12.4017000198364</v>
      </c>
      <c r="YT101">
        <f>IF(ISERROR(INDEX(指数走势!$F$37:$ACK$37,1,LOOKUP(2,1/(指数走势!$F$37:$ACK$37&lt;&gt;""),COLUMN(指数走势!$F$37:$ACK$37))-COLUMN(指数走势!$F$37)+1-760+669)),NA(),IF(INDEX(指数走势!$F$37:$ACK$37,1,LOOKUP(2,1/(指数走势!$F$37:$ACK$37&lt;&gt;""),COLUMN(指数走势!$F$37:$ACK$37))-COLUMN(指数走势!$F$37)+1-760+669)=0,NA(),INDEX(指数走势!$F$37:$ACK$37,1,LOOKUP(2,1/(指数走势!$F$37:$ACK$37&lt;&gt;""),COLUMN(指数走势!$F$37:$ACK$37))-COLUMN(指数走势!$F$37)+1-760+669)))</f>
        <v>12.3305997848511</v>
      </c>
      <c r="YU101">
        <f>IF(ISERROR(INDEX(指数走势!$F$37:$ACK$37,1,LOOKUP(2,1/(指数走势!$F$37:$ACK$37&lt;&gt;""),COLUMN(指数走势!$F$37:$ACK$37))-COLUMN(指数走势!$F$37)+1-760+670)),NA(),IF(INDEX(指数走势!$F$37:$ACK$37,1,LOOKUP(2,1/(指数走势!$F$37:$ACK$37&lt;&gt;""),COLUMN(指数走势!$F$37:$ACK$37))-COLUMN(指数走势!$F$37)+1-760+670)=0,NA(),INDEX(指数走势!$F$37:$ACK$37,1,LOOKUP(2,1/(指数走势!$F$37:$ACK$37&lt;&gt;""),COLUMN(指数走势!$F$37:$ACK$37))-COLUMN(指数走势!$F$37)+1-760+670)))</f>
        <v>12.1100997924805</v>
      </c>
      <c r="YV101">
        <f>IF(ISERROR(INDEX(指数走势!$F$37:$ACK$37,1,LOOKUP(2,1/(指数走势!$F$37:$ACK$37&lt;&gt;""),COLUMN(指数走势!$F$37:$ACK$37))-COLUMN(指数走势!$F$37)+1-760+671)),NA(),IF(INDEX(指数走势!$F$37:$ACK$37,1,LOOKUP(2,1/(指数走势!$F$37:$ACK$37&lt;&gt;""),COLUMN(指数走势!$F$37:$ACK$37))-COLUMN(指数走势!$F$37)+1-760+671)=0,NA(),INDEX(指数走势!$F$37:$ACK$37,1,LOOKUP(2,1/(指数走势!$F$37:$ACK$37&lt;&gt;""),COLUMN(指数走势!$F$37:$ACK$37))-COLUMN(指数走势!$F$37)+1-760+671)))</f>
        <v>12.1400003433228</v>
      </c>
      <c r="YW101">
        <f>IF(ISERROR(INDEX(指数走势!$F$37:$ACK$37,1,LOOKUP(2,1/(指数走势!$F$37:$ACK$37&lt;&gt;""),COLUMN(指数走势!$F$37:$ACK$37))-COLUMN(指数走势!$F$37)+1-760+672)),NA(),IF(INDEX(指数走势!$F$37:$ACK$37,1,LOOKUP(2,1/(指数走势!$F$37:$ACK$37&lt;&gt;""),COLUMN(指数走势!$F$37:$ACK$37))-COLUMN(指数走势!$F$37)+1-760+672)=0,NA(),INDEX(指数走势!$F$37:$ACK$37,1,LOOKUP(2,1/(指数走势!$F$37:$ACK$37&lt;&gt;""),COLUMN(指数走势!$F$37:$ACK$37))-COLUMN(指数走势!$F$37)+1-760+672)))</f>
        <v>12.0832996368408</v>
      </c>
      <c r="YX101">
        <f>IF(ISERROR(INDEX(指数走势!$F$37:$ACK$37,1,LOOKUP(2,1/(指数走势!$F$37:$ACK$37&lt;&gt;""),COLUMN(指数走势!$F$37:$ACK$37))-COLUMN(指数走势!$F$37)+1-760+673)),NA(),IF(INDEX(指数走势!$F$37:$ACK$37,1,LOOKUP(2,1/(指数走势!$F$37:$ACK$37&lt;&gt;""),COLUMN(指数走势!$F$37:$ACK$37))-COLUMN(指数走势!$F$37)+1-760+673)=0,NA(),INDEX(指数走势!$F$37:$ACK$37,1,LOOKUP(2,1/(指数走势!$F$37:$ACK$37&lt;&gt;""),COLUMN(指数走势!$F$37:$ACK$37))-COLUMN(指数走势!$F$37)+1-760+673)))</f>
        <v>11.8846998214722</v>
      </c>
      <c r="YY101">
        <f>IF(ISERROR(INDEX(指数走势!$F$37:$ACK$37,1,LOOKUP(2,1/(指数走势!$F$37:$ACK$37&lt;&gt;""),COLUMN(指数走势!$F$37:$ACK$37))-COLUMN(指数走势!$F$37)+1-760+674)),NA(),IF(INDEX(指数走势!$F$37:$ACK$37,1,LOOKUP(2,1/(指数走势!$F$37:$ACK$37&lt;&gt;""),COLUMN(指数走势!$F$37:$ACK$37))-COLUMN(指数走势!$F$37)+1-760+674)=0,NA(),INDEX(指数走势!$F$37:$ACK$37,1,LOOKUP(2,1/(指数走势!$F$37:$ACK$37&lt;&gt;""),COLUMN(指数走势!$F$37:$ACK$37))-COLUMN(指数走势!$F$37)+1-760+674)))</f>
        <v>11.9793996810913</v>
      </c>
      <c r="YZ101">
        <f>IF(ISERROR(INDEX(指数走势!$F$37:$ACK$37,1,LOOKUP(2,1/(指数走势!$F$37:$ACK$37&lt;&gt;""),COLUMN(指数走势!$F$37:$ACK$37))-COLUMN(指数走势!$F$37)+1-760+675)),NA(),IF(INDEX(指数走势!$F$37:$ACK$37,1,LOOKUP(2,1/(指数走势!$F$37:$ACK$37&lt;&gt;""),COLUMN(指数走势!$F$37:$ACK$37))-COLUMN(指数走势!$F$37)+1-760+675)=0,NA(),INDEX(指数走势!$F$37:$ACK$37,1,LOOKUP(2,1/(指数走势!$F$37:$ACK$37&lt;&gt;""),COLUMN(指数走势!$F$37:$ACK$37))-COLUMN(指数走势!$F$37)+1-760+675)))</f>
        <v>11.8013000488281</v>
      </c>
      <c r="ZA101">
        <f>IF(ISERROR(INDEX(指数走势!$F$37:$ACK$37,1,LOOKUP(2,1/(指数走势!$F$37:$ACK$37&lt;&gt;""),COLUMN(指数走势!$F$37:$ACK$37))-COLUMN(指数走势!$F$37)+1-760+676)),NA(),IF(INDEX(指数走势!$F$37:$ACK$37,1,LOOKUP(2,1/(指数走势!$F$37:$ACK$37&lt;&gt;""),COLUMN(指数走势!$F$37:$ACK$37))-COLUMN(指数走势!$F$37)+1-760+676)=0,NA(),INDEX(指数走势!$F$37:$ACK$37,1,LOOKUP(2,1/(指数走势!$F$37:$ACK$37&lt;&gt;""),COLUMN(指数走势!$F$37:$ACK$37))-COLUMN(指数走势!$F$37)+1-760+676)))</f>
        <v>11.7159996032715</v>
      </c>
      <c r="ZB101">
        <f>IF(ISERROR(INDEX(指数走势!$F$37:$ACK$37,1,LOOKUP(2,1/(指数走势!$F$37:$ACK$37&lt;&gt;""),COLUMN(指数走势!$F$37:$ACK$37))-COLUMN(指数走势!$F$37)+1-760+677)),NA(),IF(INDEX(指数走势!$F$37:$ACK$37,1,LOOKUP(2,1/(指数走势!$F$37:$ACK$37&lt;&gt;""),COLUMN(指数走势!$F$37:$ACK$37))-COLUMN(指数走势!$F$37)+1-760+677)=0,NA(),INDEX(指数走势!$F$37:$ACK$37,1,LOOKUP(2,1/(指数走势!$F$37:$ACK$37&lt;&gt;""),COLUMN(指数走势!$F$37:$ACK$37))-COLUMN(指数走势!$F$37)+1-760+677)))</f>
        <v>11.5026998519897</v>
      </c>
      <c r="ZC101">
        <f>IF(ISERROR(INDEX(指数走势!$F$37:$ACK$37,1,LOOKUP(2,1/(指数走势!$F$37:$ACK$37&lt;&gt;""),COLUMN(指数走势!$F$37:$ACK$37))-COLUMN(指数走势!$F$37)+1-760+678)),NA(),IF(INDEX(指数走势!$F$37:$ACK$37,1,LOOKUP(2,1/(指数走势!$F$37:$ACK$37&lt;&gt;""),COLUMN(指数走势!$F$37:$ACK$37))-COLUMN(指数走势!$F$37)+1-760+678)=0,NA(),INDEX(指数走势!$F$37:$ACK$37,1,LOOKUP(2,1/(指数走势!$F$37:$ACK$37&lt;&gt;""),COLUMN(指数走势!$F$37:$ACK$37))-COLUMN(指数走势!$F$37)+1-760+678)))</f>
        <v>11.5432996749878</v>
      </c>
      <c r="ZD101">
        <f>IF(ISERROR(INDEX(指数走势!$F$37:$ACK$37,1,LOOKUP(2,1/(指数走势!$F$37:$ACK$37&lt;&gt;""),COLUMN(指数走势!$F$37:$ACK$37))-COLUMN(指数走势!$F$37)+1-760+679)),NA(),IF(INDEX(指数走势!$F$37:$ACK$37,1,LOOKUP(2,1/(指数走势!$F$37:$ACK$37&lt;&gt;""),COLUMN(指数走势!$F$37:$ACK$37))-COLUMN(指数走势!$F$37)+1-760+679)=0,NA(),INDEX(指数走势!$F$37:$ACK$37,1,LOOKUP(2,1/(指数走势!$F$37:$ACK$37&lt;&gt;""),COLUMN(指数走势!$F$37:$ACK$37))-COLUMN(指数走势!$F$37)+1-760+679)))</f>
        <v>11.729100227356</v>
      </c>
      <c r="ZE101">
        <f>IF(ISERROR(INDEX(指数走势!$F$37:$ACK$37,1,LOOKUP(2,1/(指数走势!$F$37:$ACK$37&lt;&gt;""),COLUMN(指数走势!$F$37:$ACK$37))-COLUMN(指数走势!$F$37)+1-760+680)),NA(),IF(INDEX(指数走势!$F$37:$ACK$37,1,LOOKUP(2,1/(指数走势!$F$37:$ACK$37&lt;&gt;""),COLUMN(指数走势!$F$37:$ACK$37))-COLUMN(指数走势!$F$37)+1-760+680)=0,NA(),INDEX(指数走势!$F$37:$ACK$37,1,LOOKUP(2,1/(指数走势!$F$37:$ACK$37&lt;&gt;""),COLUMN(指数走势!$F$37:$ACK$37))-COLUMN(指数走势!$F$37)+1-760+680)))</f>
        <v>12.0820999145508</v>
      </c>
      <c r="ZF101">
        <f>IF(ISERROR(INDEX(指数走势!$F$37:$ACK$37,1,LOOKUP(2,1/(指数走势!$F$37:$ACK$37&lt;&gt;""),COLUMN(指数走势!$F$37:$ACK$37))-COLUMN(指数走势!$F$37)+1-760+681)),NA(),IF(INDEX(指数走势!$F$37:$ACK$37,1,LOOKUP(2,1/(指数走势!$F$37:$ACK$37&lt;&gt;""),COLUMN(指数走势!$F$37:$ACK$37))-COLUMN(指数走势!$F$37)+1-760+681)=0,NA(),INDEX(指数走势!$F$37:$ACK$37,1,LOOKUP(2,1/(指数走势!$F$37:$ACK$37&lt;&gt;""),COLUMN(指数走势!$F$37:$ACK$37))-COLUMN(指数走势!$F$37)+1-760+681)))</f>
        <v>12.3254995346069</v>
      </c>
      <c r="ZG101">
        <f>IF(ISERROR(INDEX(指数走势!$F$37:$ACK$37,1,LOOKUP(2,1/(指数走势!$F$37:$ACK$37&lt;&gt;""),COLUMN(指数走势!$F$37:$ACK$37))-COLUMN(指数走势!$F$37)+1-760+682)),NA(),IF(INDEX(指数走势!$F$37:$ACK$37,1,LOOKUP(2,1/(指数走势!$F$37:$ACK$37&lt;&gt;""),COLUMN(指数走势!$F$37:$ACK$37))-COLUMN(指数走势!$F$37)+1-760+682)=0,NA(),INDEX(指数走势!$F$37:$ACK$37,1,LOOKUP(2,1/(指数走势!$F$37:$ACK$37&lt;&gt;""),COLUMN(指数走势!$F$37:$ACK$37))-COLUMN(指数走势!$F$37)+1-760+682)))</f>
        <v>12.3798999786377</v>
      </c>
      <c r="ZH101">
        <f>IF(ISERROR(INDEX(指数走势!$F$37:$ACK$37,1,LOOKUP(2,1/(指数走势!$F$37:$ACK$37&lt;&gt;""),COLUMN(指数走势!$F$37:$ACK$37))-COLUMN(指数走势!$F$37)+1-760+683)),NA(),IF(INDEX(指数走势!$F$37:$ACK$37,1,LOOKUP(2,1/(指数走势!$F$37:$ACK$37&lt;&gt;""),COLUMN(指数走势!$F$37:$ACK$37))-COLUMN(指数走势!$F$37)+1-760+683)=0,NA(),INDEX(指数走势!$F$37:$ACK$37,1,LOOKUP(2,1/(指数走势!$F$37:$ACK$37&lt;&gt;""),COLUMN(指数走势!$F$37:$ACK$37))-COLUMN(指数走势!$F$37)+1-760+683)))</f>
        <v>12.3992004394531</v>
      </c>
      <c r="ZI101">
        <f>IF(ISERROR(INDEX(指数走势!$F$37:$ACK$37,1,LOOKUP(2,1/(指数走势!$F$37:$ACK$37&lt;&gt;""),COLUMN(指数走势!$F$37:$ACK$37))-COLUMN(指数走势!$F$37)+1-760+684)),NA(),IF(INDEX(指数走势!$F$37:$ACK$37,1,LOOKUP(2,1/(指数走势!$F$37:$ACK$37&lt;&gt;""),COLUMN(指数走势!$F$37:$ACK$37))-COLUMN(指数走势!$F$37)+1-760+684)=0,NA(),INDEX(指数走势!$F$37:$ACK$37,1,LOOKUP(2,1/(指数走势!$F$37:$ACK$37&lt;&gt;""),COLUMN(指数走势!$F$37:$ACK$37))-COLUMN(指数走势!$F$37)+1-760+684)))</f>
        <v>12.326000213623</v>
      </c>
      <c r="ZJ101">
        <f>IF(ISERROR(INDEX(指数走势!$F$37:$ACK$37,1,LOOKUP(2,1/(指数走势!$F$37:$ACK$37&lt;&gt;""),COLUMN(指数走势!$F$37:$ACK$37))-COLUMN(指数走势!$F$37)+1-760+685)),NA(),IF(INDEX(指数走势!$F$37:$ACK$37,1,LOOKUP(2,1/(指数走势!$F$37:$ACK$37&lt;&gt;""),COLUMN(指数走势!$F$37:$ACK$37))-COLUMN(指数走势!$F$37)+1-760+685)=0,NA(),INDEX(指数走势!$F$37:$ACK$37,1,LOOKUP(2,1/(指数走势!$F$37:$ACK$37&lt;&gt;""),COLUMN(指数走势!$F$37:$ACK$37))-COLUMN(指数走势!$F$37)+1-760+685)))</f>
        <v>12.5319995880127</v>
      </c>
      <c r="ZK101">
        <f>IF(ISERROR(INDEX(指数走势!$F$37:$ACK$37,1,LOOKUP(2,1/(指数走势!$F$37:$ACK$37&lt;&gt;""),COLUMN(指数走势!$F$37:$ACK$37))-COLUMN(指数走势!$F$37)+1-760+686)),NA(),IF(INDEX(指数走势!$F$37:$ACK$37,1,LOOKUP(2,1/(指数走势!$F$37:$ACK$37&lt;&gt;""),COLUMN(指数走势!$F$37:$ACK$37))-COLUMN(指数走势!$F$37)+1-760+686)=0,NA(),INDEX(指数走势!$F$37:$ACK$37,1,LOOKUP(2,1/(指数走势!$F$37:$ACK$37&lt;&gt;""),COLUMN(指数走势!$F$37:$ACK$37))-COLUMN(指数走势!$F$37)+1-760+686)))</f>
        <v>12.5087995529175</v>
      </c>
      <c r="ZL101">
        <f>IF(ISERROR(INDEX(指数走势!$F$37:$ACK$37,1,LOOKUP(2,1/(指数走势!$F$37:$ACK$37&lt;&gt;""),COLUMN(指数走势!$F$37:$ACK$37))-COLUMN(指数走势!$F$37)+1-760+687)),NA(),IF(INDEX(指数走势!$F$37:$ACK$37,1,LOOKUP(2,1/(指数走势!$F$37:$ACK$37&lt;&gt;""),COLUMN(指数走势!$F$37:$ACK$37))-COLUMN(指数走势!$F$37)+1-760+687)=0,NA(),INDEX(指数走势!$F$37:$ACK$37,1,LOOKUP(2,1/(指数走势!$F$37:$ACK$37&lt;&gt;""),COLUMN(指数走势!$F$37:$ACK$37))-COLUMN(指数走势!$F$37)+1-760+687)))</f>
        <v>12.5160999298096</v>
      </c>
      <c r="ZM101">
        <f>IF(ISERROR(INDEX(指数走势!$F$37:$ACK$37,1,LOOKUP(2,1/(指数走势!$F$37:$ACK$37&lt;&gt;""),COLUMN(指数走势!$F$37:$ACK$37))-COLUMN(指数走势!$F$37)+1-760+688)),NA(),IF(INDEX(指数走势!$F$37:$ACK$37,1,LOOKUP(2,1/(指数走势!$F$37:$ACK$37&lt;&gt;""),COLUMN(指数走势!$F$37:$ACK$37))-COLUMN(指数走势!$F$37)+1-760+688)=0,NA(),INDEX(指数走势!$F$37:$ACK$37,1,LOOKUP(2,1/(指数走势!$F$37:$ACK$37&lt;&gt;""),COLUMN(指数走势!$F$37:$ACK$37))-COLUMN(指数走势!$F$37)+1-760+688)))</f>
        <v>12.3832998275757</v>
      </c>
      <c r="ZN101">
        <f>IF(ISERROR(INDEX(指数走势!$F$37:$ACK$37,1,LOOKUP(2,1/(指数走势!$F$37:$ACK$37&lt;&gt;""),COLUMN(指数走势!$F$37:$ACK$37))-COLUMN(指数走势!$F$37)+1-760+689)),NA(),IF(INDEX(指数走势!$F$37:$ACK$37,1,LOOKUP(2,1/(指数走势!$F$37:$ACK$37&lt;&gt;""),COLUMN(指数走势!$F$37:$ACK$37))-COLUMN(指数走势!$F$37)+1-760+689)=0,NA(),INDEX(指数走势!$F$37:$ACK$37,1,LOOKUP(2,1/(指数走势!$F$37:$ACK$37&lt;&gt;""),COLUMN(指数走势!$F$37:$ACK$37))-COLUMN(指数走势!$F$37)+1-760+689)))</f>
        <v>12.3788995742798</v>
      </c>
      <c r="ZO101">
        <f>IF(ISERROR(INDEX(指数走势!$F$37:$ACK$37,1,LOOKUP(2,1/(指数走势!$F$37:$ACK$37&lt;&gt;""),COLUMN(指数走势!$F$37:$ACK$37))-COLUMN(指数走势!$F$37)+1-760+690)),NA(),IF(INDEX(指数走势!$F$37:$ACK$37,1,LOOKUP(2,1/(指数走势!$F$37:$ACK$37&lt;&gt;""),COLUMN(指数走势!$F$37:$ACK$37))-COLUMN(指数走势!$F$37)+1-760+690)=0,NA(),INDEX(指数走势!$F$37:$ACK$37,1,LOOKUP(2,1/(指数走势!$F$37:$ACK$37&lt;&gt;""),COLUMN(指数走势!$F$37:$ACK$37))-COLUMN(指数走势!$F$37)+1-760+690)))</f>
        <v>11.9391002655029</v>
      </c>
      <c r="ZP101">
        <f>IF(ISERROR(INDEX(指数走势!$F$37:$ACK$37,1,LOOKUP(2,1/(指数走势!$F$37:$ACK$37&lt;&gt;""),COLUMN(指数走势!$F$37:$ACK$37))-COLUMN(指数走势!$F$37)+1-760+691)),NA(),IF(INDEX(指数走势!$F$37:$ACK$37,1,LOOKUP(2,1/(指数走势!$F$37:$ACK$37&lt;&gt;""),COLUMN(指数走势!$F$37:$ACK$37))-COLUMN(指数走势!$F$37)+1-760+691)=0,NA(),INDEX(指数走势!$F$37:$ACK$37,1,LOOKUP(2,1/(指数走势!$F$37:$ACK$37&lt;&gt;""),COLUMN(指数走势!$F$37:$ACK$37))-COLUMN(指数走势!$F$37)+1-760+691)))</f>
        <v>12.192099571228</v>
      </c>
      <c r="ZQ101">
        <f>IF(ISERROR(INDEX(指数走势!$F$37:$ACK$37,1,LOOKUP(2,1/(指数走势!$F$37:$ACK$37&lt;&gt;""),COLUMN(指数走势!$F$37:$ACK$37))-COLUMN(指数走势!$F$37)+1-760+692)),NA(),IF(INDEX(指数走势!$F$37:$ACK$37,1,LOOKUP(2,1/(指数走势!$F$37:$ACK$37&lt;&gt;""),COLUMN(指数走势!$F$37:$ACK$37))-COLUMN(指数走势!$F$37)+1-760+692)=0,NA(),INDEX(指数走势!$F$37:$ACK$37,1,LOOKUP(2,1/(指数走势!$F$37:$ACK$37&lt;&gt;""),COLUMN(指数走势!$F$37:$ACK$37))-COLUMN(指数走势!$F$37)+1-760+692)))</f>
        <v>12.2910995483398</v>
      </c>
      <c r="ZR101">
        <f>IF(ISERROR(INDEX(指数走势!$F$37:$ACK$37,1,LOOKUP(2,1/(指数走势!$F$37:$ACK$37&lt;&gt;""),COLUMN(指数走势!$F$37:$ACK$37))-COLUMN(指数走势!$F$37)+1-760+693)),NA(),IF(INDEX(指数走势!$F$37:$ACK$37,1,LOOKUP(2,1/(指数走势!$F$37:$ACK$37&lt;&gt;""),COLUMN(指数走势!$F$37:$ACK$37))-COLUMN(指数走势!$F$37)+1-760+693)=0,NA(),INDEX(指数走势!$F$37:$ACK$37,1,LOOKUP(2,1/(指数走势!$F$37:$ACK$37&lt;&gt;""),COLUMN(指数走势!$F$37:$ACK$37))-COLUMN(指数走势!$F$37)+1-760+693)))</f>
        <v>12.1969003677368</v>
      </c>
      <c r="ZS101">
        <f>IF(ISERROR(INDEX(指数走势!$F$37:$ACK$37,1,LOOKUP(2,1/(指数走势!$F$37:$ACK$37&lt;&gt;""),COLUMN(指数走势!$F$37:$ACK$37))-COLUMN(指数走势!$F$37)+1-760+694)),NA(),IF(INDEX(指数走势!$F$37:$ACK$37,1,LOOKUP(2,1/(指数走势!$F$37:$ACK$37&lt;&gt;""),COLUMN(指数走势!$F$37:$ACK$37))-COLUMN(指数走势!$F$37)+1-760+694)=0,NA(),INDEX(指数走势!$F$37:$ACK$37,1,LOOKUP(2,1/(指数走势!$F$37:$ACK$37&lt;&gt;""),COLUMN(指数走势!$F$37:$ACK$37))-COLUMN(指数走势!$F$37)+1-760+694)))</f>
        <v>12.2356004714966</v>
      </c>
      <c r="ZT101">
        <f>IF(ISERROR(INDEX(指数走势!$F$37:$ACK$37,1,LOOKUP(2,1/(指数走势!$F$37:$ACK$37&lt;&gt;""),COLUMN(指数走势!$F$37:$ACK$37))-COLUMN(指数走势!$F$37)+1-760+695)),NA(),IF(INDEX(指数走势!$F$37:$ACK$37,1,LOOKUP(2,1/(指数走势!$F$37:$ACK$37&lt;&gt;""),COLUMN(指数走势!$F$37:$ACK$37))-COLUMN(指数走势!$F$37)+1-760+695)=0,NA(),INDEX(指数走势!$F$37:$ACK$37,1,LOOKUP(2,1/(指数走势!$F$37:$ACK$37&lt;&gt;""),COLUMN(指数走势!$F$37:$ACK$37))-COLUMN(指数走势!$F$37)+1-760+695)))</f>
        <v>12.1377000808716</v>
      </c>
      <c r="ZU101">
        <f>IF(ISERROR(INDEX(指数走势!$F$37:$ACK$37,1,LOOKUP(2,1/(指数走势!$F$37:$ACK$37&lt;&gt;""),COLUMN(指数走势!$F$37:$ACK$37))-COLUMN(指数走势!$F$37)+1-760+696)),NA(),IF(INDEX(指数走势!$F$37:$ACK$37,1,LOOKUP(2,1/(指数走势!$F$37:$ACK$37&lt;&gt;""),COLUMN(指数走势!$F$37:$ACK$37))-COLUMN(指数走势!$F$37)+1-760+696)=0,NA(),INDEX(指数走势!$F$37:$ACK$37,1,LOOKUP(2,1/(指数走势!$F$37:$ACK$37&lt;&gt;""),COLUMN(指数走势!$F$37:$ACK$37))-COLUMN(指数走势!$F$37)+1-760+696)))</f>
        <v>12.1434001922607</v>
      </c>
      <c r="ZV101">
        <f>IF(ISERROR(INDEX(指数走势!$F$37:$ACK$37,1,LOOKUP(2,1/(指数走势!$F$37:$ACK$37&lt;&gt;""),COLUMN(指数走势!$F$37:$ACK$37))-COLUMN(指数走势!$F$37)+1-760+697)),NA(),IF(INDEX(指数走势!$F$37:$ACK$37,1,LOOKUP(2,1/(指数走势!$F$37:$ACK$37&lt;&gt;""),COLUMN(指数走势!$F$37:$ACK$37))-COLUMN(指数走势!$F$37)+1-760+697)=0,NA(),INDEX(指数走势!$F$37:$ACK$37,1,LOOKUP(2,1/(指数走势!$F$37:$ACK$37&lt;&gt;""),COLUMN(指数走势!$F$37:$ACK$37))-COLUMN(指数走势!$F$37)+1-760+697)))</f>
        <v>12.3573999404907</v>
      </c>
      <c r="ZW101">
        <f>IF(ISERROR(INDEX(指数走势!$F$37:$ACK$37,1,LOOKUP(2,1/(指数走势!$F$37:$ACK$37&lt;&gt;""),COLUMN(指数走势!$F$37:$ACK$37))-COLUMN(指数走势!$F$37)+1-760+698)),NA(),IF(INDEX(指数走势!$F$37:$ACK$37,1,LOOKUP(2,1/(指数走势!$F$37:$ACK$37&lt;&gt;""),COLUMN(指数走势!$F$37:$ACK$37))-COLUMN(指数走势!$F$37)+1-760+698)=0,NA(),INDEX(指数走势!$F$37:$ACK$37,1,LOOKUP(2,1/(指数走势!$F$37:$ACK$37&lt;&gt;""),COLUMN(指数走势!$F$37:$ACK$37))-COLUMN(指数走势!$F$37)+1-760+698)))</f>
        <v>12.3059997558594</v>
      </c>
      <c r="ZX101">
        <f>IF(ISERROR(INDEX(指数走势!$F$37:$ACK$37,1,LOOKUP(2,1/(指数走势!$F$37:$ACK$37&lt;&gt;""),COLUMN(指数走势!$F$37:$ACK$37))-COLUMN(指数走势!$F$37)+1-760+699)),NA(),IF(INDEX(指数走势!$F$37:$ACK$37,1,LOOKUP(2,1/(指数走势!$F$37:$ACK$37&lt;&gt;""),COLUMN(指数走势!$F$37:$ACK$37))-COLUMN(指数走势!$F$37)+1-760+699)=0,NA(),INDEX(指数走势!$F$37:$ACK$37,1,LOOKUP(2,1/(指数走势!$F$37:$ACK$37&lt;&gt;""),COLUMN(指数走势!$F$37:$ACK$37))-COLUMN(指数走势!$F$37)+1-760+699)))</f>
        <v>12.3059997558594</v>
      </c>
      <c r="ZY101">
        <f>IF(ISERROR(INDEX(指数走势!$F$37:$ACK$37,1,LOOKUP(2,1/(指数走势!$F$37:$ACK$37&lt;&gt;""),COLUMN(指数走势!$F$37:$ACK$37))-COLUMN(指数走势!$F$37)+1-760+700)),NA(),IF(INDEX(指数走势!$F$37:$ACK$37,1,LOOKUP(2,1/(指数走势!$F$37:$ACK$37&lt;&gt;""),COLUMN(指数走势!$F$37:$ACK$37))-COLUMN(指数走势!$F$37)+1-760+700)=0,NA(),INDEX(指数走势!$F$37:$ACK$37,1,LOOKUP(2,1/(指数走势!$F$37:$ACK$37&lt;&gt;""),COLUMN(指数走势!$F$37:$ACK$37))-COLUMN(指数走势!$F$37)+1-760+700)))</f>
        <v>12.313099861145</v>
      </c>
      <c r="ZZ101">
        <f>IF(ISERROR(INDEX(指数走势!$F$37:$ACK$37,1,LOOKUP(2,1/(指数走势!$F$37:$ACK$37&lt;&gt;""),COLUMN(指数走势!$F$37:$ACK$37))-COLUMN(指数走势!$F$37)+1-760+701)),NA(),IF(INDEX(指数走势!$F$37:$ACK$37,1,LOOKUP(2,1/(指数走势!$F$37:$ACK$37&lt;&gt;""),COLUMN(指数走势!$F$37:$ACK$37))-COLUMN(指数走势!$F$37)+1-760+701)=0,NA(),INDEX(指数走势!$F$37:$ACK$37,1,LOOKUP(2,1/(指数走势!$F$37:$ACK$37&lt;&gt;""),COLUMN(指数走势!$F$37:$ACK$37))-COLUMN(指数走势!$F$37)+1-760+701)))</f>
        <v>12.5916996002197</v>
      </c>
      <c r="AAA101">
        <f>IF(ISERROR(INDEX(指数走势!$F$37:$ACK$37,1,LOOKUP(2,1/(指数走势!$F$37:$ACK$37&lt;&gt;""),COLUMN(指数走势!$F$37:$ACK$37))-COLUMN(指数走势!$F$37)+1-760+702)),NA(),IF(INDEX(指数走势!$F$37:$ACK$37,1,LOOKUP(2,1/(指数走势!$F$37:$ACK$37&lt;&gt;""),COLUMN(指数走势!$F$37:$ACK$37))-COLUMN(指数走势!$F$37)+1-760+702)=0,NA(),INDEX(指数走势!$F$37:$ACK$37,1,LOOKUP(2,1/(指数走势!$F$37:$ACK$37&lt;&gt;""),COLUMN(指数走势!$F$37:$ACK$37))-COLUMN(指数走势!$F$37)+1-760+702)))</f>
        <v>12.5514001846313</v>
      </c>
      <c r="AAB101">
        <f>IF(ISERROR(INDEX(指数走势!$F$37:$ACK$37,1,LOOKUP(2,1/(指数走势!$F$37:$ACK$37&lt;&gt;""),COLUMN(指数走势!$F$37:$ACK$37))-COLUMN(指数走势!$F$37)+1-760+703)),NA(),IF(INDEX(指数走势!$F$37:$ACK$37,1,LOOKUP(2,1/(指数走势!$F$37:$ACK$37&lt;&gt;""),COLUMN(指数走势!$F$37:$ACK$37))-COLUMN(指数走势!$F$37)+1-760+703)=0,NA(),INDEX(指数走势!$F$37:$ACK$37,1,LOOKUP(2,1/(指数走势!$F$37:$ACK$37&lt;&gt;""),COLUMN(指数走势!$F$37:$ACK$37))-COLUMN(指数走势!$F$37)+1-760+703)))</f>
        <v>12.6583995819092</v>
      </c>
      <c r="AAC101">
        <f>IF(ISERROR(INDEX(指数走势!$F$37:$ACK$37,1,LOOKUP(2,1/(指数走势!$F$37:$ACK$37&lt;&gt;""),COLUMN(指数走势!$F$37:$ACK$37))-COLUMN(指数走势!$F$37)+1-760+704)),NA(),IF(INDEX(指数走势!$F$37:$ACK$37,1,LOOKUP(2,1/(指数走势!$F$37:$ACK$37&lt;&gt;""),COLUMN(指数走势!$F$37:$ACK$37))-COLUMN(指数走势!$F$37)+1-760+704)=0,NA(),INDEX(指数走势!$F$37:$ACK$37,1,LOOKUP(2,1/(指数走势!$F$37:$ACK$37&lt;&gt;""),COLUMN(指数走势!$F$37:$ACK$37))-COLUMN(指数走势!$F$37)+1-760+704)))</f>
        <v>12.5755996704102</v>
      </c>
      <c r="AAD101">
        <f>IF(ISERROR(INDEX(指数走势!$F$37:$ACK$37,1,LOOKUP(2,1/(指数走势!$F$37:$ACK$37&lt;&gt;""),COLUMN(指数走势!$F$37:$ACK$37))-COLUMN(指数走势!$F$37)+1-760+705)),NA(),IF(INDEX(指数走势!$F$37:$ACK$37,1,LOOKUP(2,1/(指数走势!$F$37:$ACK$37&lt;&gt;""),COLUMN(指数走势!$F$37:$ACK$37))-COLUMN(指数走势!$F$37)+1-760+705)=0,NA(),INDEX(指数走势!$F$37:$ACK$37,1,LOOKUP(2,1/(指数走势!$F$37:$ACK$37&lt;&gt;""),COLUMN(指数走势!$F$37:$ACK$37))-COLUMN(指数走势!$F$37)+1-760+705)))</f>
        <v>12.648699760437</v>
      </c>
      <c r="AAE101">
        <f>IF(ISERROR(INDEX(指数走势!$F$37:$ACK$37,1,LOOKUP(2,1/(指数走势!$F$37:$ACK$37&lt;&gt;""),COLUMN(指数走势!$F$37:$ACK$37))-COLUMN(指数走势!$F$37)+1-760+706)),NA(),IF(INDEX(指数走势!$F$37:$ACK$37,1,LOOKUP(2,1/(指数走势!$F$37:$ACK$37&lt;&gt;""),COLUMN(指数走势!$F$37:$ACK$37))-COLUMN(指数走势!$F$37)+1-760+706)=0,NA(),INDEX(指数走势!$F$37:$ACK$37,1,LOOKUP(2,1/(指数走势!$F$37:$ACK$37&lt;&gt;""),COLUMN(指数走势!$F$37:$ACK$37))-COLUMN(指数走势!$F$37)+1-760+706)))</f>
        <v>12.6372995376587</v>
      </c>
      <c r="AAF101">
        <f>IF(ISERROR(INDEX(指数走势!$F$37:$ACK$37,1,LOOKUP(2,1/(指数走势!$F$37:$ACK$37&lt;&gt;""),COLUMN(指数走势!$F$37:$ACK$37))-COLUMN(指数走势!$F$37)+1-760+707)),NA(),IF(INDEX(指数走势!$F$37:$ACK$37,1,LOOKUP(2,1/(指数走势!$F$37:$ACK$37&lt;&gt;""),COLUMN(指数走势!$F$37:$ACK$37))-COLUMN(指数走势!$F$37)+1-760+707)=0,NA(),INDEX(指数走势!$F$37:$ACK$37,1,LOOKUP(2,1/(指数走势!$F$37:$ACK$37&lt;&gt;""),COLUMN(指数走势!$F$37:$ACK$37))-COLUMN(指数走势!$F$37)+1-760+707)))</f>
        <v>12.8823003768921</v>
      </c>
      <c r="AAG101">
        <f>IF(ISERROR(INDEX(指数走势!$F$37:$ACK$37,1,LOOKUP(2,1/(指数走势!$F$37:$ACK$37&lt;&gt;""),COLUMN(指数走势!$F$37:$ACK$37))-COLUMN(指数走势!$F$37)+1-760+708)),NA(),IF(INDEX(指数走势!$F$37:$ACK$37,1,LOOKUP(2,1/(指数走势!$F$37:$ACK$37&lt;&gt;""),COLUMN(指数走势!$F$37:$ACK$37))-COLUMN(指数走势!$F$37)+1-760+708)=0,NA(),INDEX(指数走势!$F$37:$ACK$37,1,LOOKUP(2,1/(指数走势!$F$37:$ACK$37&lt;&gt;""),COLUMN(指数走势!$F$37:$ACK$37))-COLUMN(指数走势!$F$37)+1-760+708)))</f>
        <v>12.768500328064</v>
      </c>
      <c r="AAH101">
        <f>IF(ISERROR(INDEX(指数走势!$F$37:$ACK$37,1,LOOKUP(2,1/(指数走势!$F$37:$ACK$37&lt;&gt;""),COLUMN(指数走势!$F$37:$ACK$37))-COLUMN(指数走势!$F$37)+1-760+709)),NA(),IF(INDEX(指数走势!$F$37:$ACK$37,1,LOOKUP(2,1/(指数走势!$F$37:$ACK$37&lt;&gt;""),COLUMN(指数走势!$F$37:$ACK$37))-COLUMN(指数走势!$F$37)+1-760+709)=0,NA(),INDEX(指数走势!$F$37:$ACK$37,1,LOOKUP(2,1/(指数走势!$F$37:$ACK$37&lt;&gt;""),COLUMN(指数走势!$F$37:$ACK$37))-COLUMN(指数走势!$F$37)+1-760+709)))</f>
        <v>12.8604001998901</v>
      </c>
      <c r="AAI101">
        <f>IF(ISERROR(INDEX(指数走势!$F$37:$ACK$37,1,LOOKUP(2,1/(指数走势!$F$37:$ACK$37&lt;&gt;""),COLUMN(指数走势!$F$37:$ACK$37))-COLUMN(指数走势!$F$37)+1-760+710)),NA(),IF(INDEX(指数走势!$F$37:$ACK$37,1,LOOKUP(2,1/(指数走势!$F$37:$ACK$37&lt;&gt;""),COLUMN(指数走势!$F$37:$ACK$37))-COLUMN(指数走势!$F$37)+1-760+710)=0,NA(),INDEX(指数走势!$F$37:$ACK$37,1,LOOKUP(2,1/(指数走势!$F$37:$ACK$37&lt;&gt;""),COLUMN(指数走势!$F$37:$ACK$37))-COLUMN(指数走势!$F$37)+1-760+710)))</f>
        <v>12.9707002639771</v>
      </c>
      <c r="AAJ101">
        <f>IF(ISERROR(INDEX(指数走势!$F$37:$ACK$37,1,LOOKUP(2,1/(指数走势!$F$37:$ACK$37&lt;&gt;""),COLUMN(指数走势!$F$37:$ACK$37))-COLUMN(指数走势!$F$37)+1-760+711)),NA(),IF(INDEX(指数走势!$F$37:$ACK$37,1,LOOKUP(2,1/(指数走势!$F$37:$ACK$37&lt;&gt;""),COLUMN(指数走势!$F$37:$ACK$37))-COLUMN(指数走势!$F$37)+1-760+711)=0,NA(),INDEX(指数走势!$F$37:$ACK$37,1,LOOKUP(2,1/(指数走势!$F$37:$ACK$37&lt;&gt;""),COLUMN(指数走势!$F$37:$ACK$37))-COLUMN(指数走势!$F$37)+1-760+711)))</f>
        <v>12.7805004119873</v>
      </c>
      <c r="AAK101">
        <f>IF(ISERROR(INDEX(指数走势!$F$37:$ACK$37,1,LOOKUP(2,1/(指数走势!$F$37:$ACK$37&lt;&gt;""),COLUMN(指数走势!$F$37:$ACK$37))-COLUMN(指数走势!$F$37)+1-760+712)),NA(),IF(INDEX(指数走势!$F$37:$ACK$37,1,LOOKUP(2,1/(指数走势!$F$37:$ACK$37&lt;&gt;""),COLUMN(指数走势!$F$37:$ACK$37))-COLUMN(指数走势!$F$37)+1-760+712)=0,NA(),INDEX(指数走势!$F$37:$ACK$37,1,LOOKUP(2,1/(指数走势!$F$37:$ACK$37&lt;&gt;""),COLUMN(指数走势!$F$37:$ACK$37))-COLUMN(指数走势!$F$37)+1-760+712)))</f>
        <v>12.7255001068115</v>
      </c>
      <c r="AAL101">
        <f>IF(ISERROR(INDEX(指数走势!$F$37:$ACK$37,1,LOOKUP(2,1/(指数走势!$F$37:$ACK$37&lt;&gt;""),COLUMN(指数走势!$F$37:$ACK$37))-COLUMN(指数走势!$F$37)+1-760+713)),NA(),IF(INDEX(指数走势!$F$37:$ACK$37,1,LOOKUP(2,1/(指数走势!$F$37:$ACK$37&lt;&gt;""),COLUMN(指数走势!$F$37:$ACK$37))-COLUMN(指数走势!$F$37)+1-760+713)=0,NA(),INDEX(指数走势!$F$37:$ACK$37,1,LOOKUP(2,1/(指数走势!$F$37:$ACK$37&lt;&gt;""),COLUMN(指数走势!$F$37:$ACK$37))-COLUMN(指数走势!$F$37)+1-760+713)))</f>
        <v>12.7327003479004</v>
      </c>
      <c r="AAM101">
        <f>IF(ISERROR(INDEX(指数走势!$F$37:$ACK$37,1,LOOKUP(2,1/(指数走势!$F$37:$ACK$37&lt;&gt;""),COLUMN(指数走势!$F$37:$ACK$37))-COLUMN(指数走势!$F$37)+1-760+714)),NA(),IF(INDEX(指数走势!$F$37:$ACK$37,1,LOOKUP(2,1/(指数走势!$F$37:$ACK$37&lt;&gt;""),COLUMN(指数走势!$F$37:$ACK$37))-COLUMN(指数走势!$F$37)+1-760+714)=0,NA(),INDEX(指数走势!$F$37:$ACK$37,1,LOOKUP(2,1/(指数走势!$F$37:$ACK$37&lt;&gt;""),COLUMN(指数走势!$F$37:$ACK$37))-COLUMN(指数走势!$F$37)+1-760+714)))</f>
        <v>12.628999710083</v>
      </c>
      <c r="AAN101">
        <f>IF(ISERROR(INDEX(指数走势!$F$37:$ACK$37,1,LOOKUP(2,1/(指数走势!$F$37:$ACK$37&lt;&gt;""),COLUMN(指数走势!$F$37:$ACK$37))-COLUMN(指数走势!$F$37)+1-760+715)),NA(),IF(INDEX(指数走势!$F$37:$ACK$37,1,LOOKUP(2,1/(指数走势!$F$37:$ACK$37&lt;&gt;""),COLUMN(指数走势!$F$37:$ACK$37))-COLUMN(指数走势!$F$37)+1-760+715)=0,NA(),INDEX(指数走势!$F$37:$ACK$37,1,LOOKUP(2,1/(指数走势!$F$37:$ACK$37&lt;&gt;""),COLUMN(指数走势!$F$37:$ACK$37))-COLUMN(指数走势!$F$37)+1-760+715)))</f>
        <v>12.4604997634888</v>
      </c>
      <c r="AAO101">
        <f>IF(ISERROR(INDEX(指数走势!$F$37:$ACK$37,1,LOOKUP(2,1/(指数走势!$F$37:$ACK$37&lt;&gt;""),COLUMN(指数走势!$F$37:$ACK$37))-COLUMN(指数走势!$F$37)+1-760+716)),NA(),IF(INDEX(指数走势!$F$37:$ACK$37,1,LOOKUP(2,1/(指数走势!$F$37:$ACK$37&lt;&gt;""),COLUMN(指数走势!$F$37:$ACK$37))-COLUMN(指数走势!$F$37)+1-760+716)=0,NA(),INDEX(指数走势!$F$37:$ACK$37,1,LOOKUP(2,1/(指数走势!$F$37:$ACK$37&lt;&gt;""),COLUMN(指数走势!$F$37:$ACK$37))-COLUMN(指数走势!$F$37)+1-760+716)))</f>
        <v>12.5333003997803</v>
      </c>
      <c r="AAP101">
        <f>IF(ISERROR(INDEX(指数走势!$F$37:$ACK$37,1,LOOKUP(2,1/(指数走势!$F$37:$ACK$37&lt;&gt;""),COLUMN(指数走势!$F$37:$ACK$37))-COLUMN(指数走势!$F$37)+1-760+717)),NA(),IF(INDEX(指数走势!$F$37:$ACK$37,1,LOOKUP(2,1/(指数走势!$F$37:$ACK$37&lt;&gt;""),COLUMN(指数走势!$F$37:$ACK$37))-COLUMN(指数走势!$F$37)+1-760+717)=0,NA(),INDEX(指数走势!$F$37:$ACK$37,1,LOOKUP(2,1/(指数走势!$F$37:$ACK$37&lt;&gt;""),COLUMN(指数走势!$F$37:$ACK$37))-COLUMN(指数走势!$F$37)+1-760+717)))</f>
        <v>12.3576002120972</v>
      </c>
      <c r="AAQ101">
        <f>IF(ISERROR(INDEX(指数走势!$F$37:$ACK$37,1,LOOKUP(2,1/(指数走势!$F$37:$ACK$37&lt;&gt;""),COLUMN(指数走势!$F$37:$ACK$37))-COLUMN(指数走势!$F$37)+1-760+718)),NA(),IF(INDEX(指数走势!$F$37:$ACK$37,1,LOOKUP(2,1/(指数走势!$F$37:$ACK$37&lt;&gt;""),COLUMN(指数走势!$F$37:$ACK$37))-COLUMN(指数走势!$F$37)+1-760+718)=0,NA(),INDEX(指数走势!$F$37:$ACK$37,1,LOOKUP(2,1/(指数走势!$F$37:$ACK$37&lt;&gt;""),COLUMN(指数走势!$F$37:$ACK$37))-COLUMN(指数走势!$F$37)+1-760+718)))</f>
        <v>12.5546998977661</v>
      </c>
      <c r="AAR101">
        <f>IF(ISERROR(INDEX(指数走势!$F$37:$ACK$37,1,LOOKUP(2,1/(指数走势!$F$37:$ACK$37&lt;&gt;""),COLUMN(指数走势!$F$37:$ACK$37))-COLUMN(指数走势!$F$37)+1-760+719)),NA(),IF(INDEX(指数走势!$F$37:$ACK$37,1,LOOKUP(2,1/(指数走势!$F$37:$ACK$37&lt;&gt;""),COLUMN(指数走势!$F$37:$ACK$37))-COLUMN(指数走势!$F$37)+1-760+719)=0,NA(),INDEX(指数走势!$F$37:$ACK$37,1,LOOKUP(2,1/(指数走势!$F$37:$ACK$37&lt;&gt;""),COLUMN(指数走势!$F$37:$ACK$37))-COLUMN(指数走势!$F$37)+1-760+719)))</f>
        <v>12.6590003967285</v>
      </c>
      <c r="AAS101">
        <f>IF(ISERROR(INDEX(指数走势!$F$37:$ACK$37,1,LOOKUP(2,1/(指数走势!$F$37:$ACK$37&lt;&gt;""),COLUMN(指数走势!$F$37:$ACK$37))-COLUMN(指数走势!$F$37)+1-760+720)),NA(),IF(INDEX(指数走势!$F$37:$ACK$37,1,LOOKUP(2,1/(指数走势!$F$37:$ACK$37&lt;&gt;""),COLUMN(指数走势!$F$37:$ACK$37))-COLUMN(指数走势!$F$37)+1-760+720)=0,NA(),INDEX(指数走势!$F$37:$ACK$37,1,LOOKUP(2,1/(指数走势!$F$37:$ACK$37&lt;&gt;""),COLUMN(指数走势!$F$37:$ACK$37))-COLUMN(指数走势!$F$37)+1-760+720)))</f>
        <v>12.5481004714966</v>
      </c>
      <c r="AAT101">
        <f>IF(ISERROR(INDEX(指数走势!$F$37:$ACK$37,1,LOOKUP(2,1/(指数走势!$F$37:$ACK$37&lt;&gt;""),COLUMN(指数走势!$F$37:$ACK$37))-COLUMN(指数走势!$F$37)+1-760+721)),NA(),IF(INDEX(指数走势!$F$37:$ACK$37,1,LOOKUP(2,1/(指数走势!$F$37:$ACK$37&lt;&gt;""),COLUMN(指数走势!$F$37:$ACK$37))-COLUMN(指数走势!$F$37)+1-760+721)=0,NA(),INDEX(指数走势!$F$37:$ACK$37,1,LOOKUP(2,1/(指数走势!$F$37:$ACK$37&lt;&gt;""),COLUMN(指数走势!$F$37:$ACK$37))-COLUMN(指数走势!$F$37)+1-760+721)))</f>
        <v>12.5642004013062</v>
      </c>
      <c r="AAU101">
        <f>IF(ISERROR(INDEX(指数走势!$F$37:$ACK$37,1,LOOKUP(2,1/(指数走势!$F$37:$ACK$37&lt;&gt;""),COLUMN(指数走势!$F$37:$ACK$37))-COLUMN(指数走势!$F$37)+1-760+722)),NA(),IF(INDEX(指数走势!$F$37:$ACK$37,1,LOOKUP(2,1/(指数走势!$F$37:$ACK$37&lt;&gt;""),COLUMN(指数走势!$F$37:$ACK$37))-COLUMN(指数走势!$F$37)+1-760+722)=0,NA(),INDEX(指数走势!$F$37:$ACK$37,1,LOOKUP(2,1/(指数走势!$F$37:$ACK$37&lt;&gt;""),COLUMN(指数走势!$F$37:$ACK$37))-COLUMN(指数走势!$F$37)+1-760+722)))</f>
        <v>12.5776996612549</v>
      </c>
      <c r="AAV101">
        <f>IF(ISERROR(INDEX(指数走势!$F$37:$ACK$37,1,LOOKUP(2,1/(指数走势!$F$37:$ACK$37&lt;&gt;""),COLUMN(指数走势!$F$37:$ACK$37))-COLUMN(指数走势!$F$37)+1-760+723)),NA(),IF(INDEX(指数走势!$F$37:$ACK$37,1,LOOKUP(2,1/(指数走势!$F$37:$ACK$37&lt;&gt;""),COLUMN(指数走势!$F$37:$ACK$37))-COLUMN(指数走势!$F$37)+1-760+723)=0,NA(),INDEX(指数走势!$F$37:$ACK$37,1,LOOKUP(2,1/(指数走势!$F$37:$ACK$37&lt;&gt;""),COLUMN(指数走势!$F$37:$ACK$37))-COLUMN(指数走势!$F$37)+1-760+723)))</f>
        <v>12.4879999160767</v>
      </c>
      <c r="AAW101">
        <f>IF(ISERROR(INDEX(指数走势!$F$37:$ACK$37,1,LOOKUP(2,1/(指数走势!$F$37:$ACK$37&lt;&gt;""),COLUMN(指数走势!$F$37:$ACK$37))-COLUMN(指数走势!$F$37)+1-760+724)),NA(),IF(INDEX(指数走势!$F$37:$ACK$37,1,LOOKUP(2,1/(指数走势!$F$37:$ACK$37&lt;&gt;""),COLUMN(指数走势!$F$37:$ACK$37))-COLUMN(指数走势!$F$37)+1-760+724)=0,NA(),INDEX(指数走势!$F$37:$ACK$37,1,LOOKUP(2,1/(指数走势!$F$37:$ACK$37&lt;&gt;""),COLUMN(指数走势!$F$37:$ACK$37))-COLUMN(指数走势!$F$37)+1-760+724)))</f>
        <v>12.4907999038696</v>
      </c>
      <c r="AAX101">
        <f>IF(ISERROR(INDEX(指数走势!$F$37:$ACK$37,1,LOOKUP(2,1/(指数走势!$F$37:$ACK$37&lt;&gt;""),COLUMN(指数走势!$F$37:$ACK$37))-COLUMN(指数走势!$F$37)+1-760+725)),NA(),IF(INDEX(指数走势!$F$37:$ACK$37,1,LOOKUP(2,1/(指数走势!$F$37:$ACK$37&lt;&gt;""),COLUMN(指数走势!$F$37:$ACK$37))-COLUMN(指数走势!$F$37)+1-760+725)=0,NA(),INDEX(指数走势!$F$37:$ACK$37,1,LOOKUP(2,1/(指数走势!$F$37:$ACK$37&lt;&gt;""),COLUMN(指数走势!$F$37:$ACK$37))-COLUMN(指数走势!$F$37)+1-760+725)))</f>
        <v>12.3052997589111</v>
      </c>
      <c r="AAY101">
        <f>IF(ISERROR(INDEX(指数走势!$F$37:$ACK$37,1,LOOKUP(2,1/(指数走势!$F$37:$ACK$37&lt;&gt;""),COLUMN(指数走势!$F$37:$ACK$37))-COLUMN(指数走势!$F$37)+1-760+726)),NA(),IF(INDEX(指数走势!$F$37:$ACK$37,1,LOOKUP(2,1/(指数走势!$F$37:$ACK$37&lt;&gt;""),COLUMN(指数走势!$F$37:$ACK$37))-COLUMN(指数走势!$F$37)+1-760+726)=0,NA(),INDEX(指数走势!$F$37:$ACK$37,1,LOOKUP(2,1/(指数走势!$F$37:$ACK$37&lt;&gt;""),COLUMN(指数走势!$F$37:$ACK$37))-COLUMN(指数走势!$F$37)+1-760+726)))</f>
        <v>12.2136001586914</v>
      </c>
      <c r="AAZ101">
        <f>IF(ISERROR(INDEX(指数走势!$F$37:$ACK$37,1,LOOKUP(2,1/(指数走势!$F$37:$ACK$37&lt;&gt;""),COLUMN(指数走势!$F$37:$ACK$37))-COLUMN(指数走势!$F$37)+1-760+727)),NA(),IF(INDEX(指数走势!$F$37:$ACK$37,1,LOOKUP(2,1/(指数走势!$F$37:$ACK$37&lt;&gt;""),COLUMN(指数走势!$F$37:$ACK$37))-COLUMN(指数走势!$F$37)+1-760+727)=0,NA(),INDEX(指数走势!$F$37:$ACK$37,1,LOOKUP(2,1/(指数走势!$F$37:$ACK$37&lt;&gt;""),COLUMN(指数走势!$F$37:$ACK$37))-COLUMN(指数走势!$F$37)+1-760+727)))</f>
        <v>12.2589998245239</v>
      </c>
      <c r="ABA101">
        <f>IF(ISERROR(INDEX(指数走势!$F$37:$ACK$37,1,LOOKUP(2,1/(指数走势!$F$37:$ACK$37&lt;&gt;""),COLUMN(指数走势!$F$37:$ACK$37))-COLUMN(指数走势!$F$37)+1-760+728)),NA(),IF(INDEX(指数走势!$F$37:$ACK$37,1,LOOKUP(2,1/(指数走势!$F$37:$ACK$37&lt;&gt;""),COLUMN(指数走势!$F$37:$ACK$37))-COLUMN(指数走势!$F$37)+1-760+728)=0,NA(),INDEX(指数走势!$F$37:$ACK$37,1,LOOKUP(2,1/(指数走势!$F$37:$ACK$37&lt;&gt;""),COLUMN(指数走势!$F$37:$ACK$37))-COLUMN(指数走势!$F$37)+1-760+728)))</f>
        <v>12.1986999511719</v>
      </c>
      <c r="ABB101">
        <f>IF(ISERROR(INDEX(指数走势!$F$37:$ACK$37,1,LOOKUP(2,1/(指数走势!$F$37:$ACK$37&lt;&gt;""),COLUMN(指数走势!$F$37:$ACK$37))-COLUMN(指数走势!$F$37)+1-760+729)),NA(),IF(INDEX(指数走势!$F$37:$ACK$37,1,LOOKUP(2,1/(指数走势!$F$37:$ACK$37&lt;&gt;""),COLUMN(指数走势!$F$37:$ACK$37))-COLUMN(指数走势!$F$37)+1-760+729)=0,NA(),INDEX(指数走势!$F$37:$ACK$37,1,LOOKUP(2,1/(指数走势!$F$37:$ACK$37&lt;&gt;""),COLUMN(指数走势!$F$37:$ACK$37))-COLUMN(指数走势!$F$37)+1-760+729)))</f>
        <v>12.0649995803833</v>
      </c>
      <c r="ABC101">
        <f>IF(ISERROR(INDEX(指数走势!$F$37:$ACK$37,1,LOOKUP(2,1/(指数走势!$F$37:$ACK$37&lt;&gt;""),COLUMN(指数走势!$F$37:$ACK$37))-COLUMN(指数走势!$F$37)+1-760+730)),NA(),IF(INDEX(指数走势!$F$37:$ACK$37,1,LOOKUP(2,1/(指数走势!$F$37:$ACK$37&lt;&gt;""),COLUMN(指数走势!$F$37:$ACK$37))-COLUMN(指数走势!$F$37)+1-760+730)=0,NA(),INDEX(指数走势!$F$37:$ACK$37,1,LOOKUP(2,1/(指数走势!$F$37:$ACK$37&lt;&gt;""),COLUMN(指数走势!$F$37:$ACK$37))-COLUMN(指数走势!$F$37)+1-760+730)))</f>
        <v>12.149299621582</v>
      </c>
      <c r="ABD101">
        <f>IF(ISERROR(INDEX(指数走势!$F$37:$ACK$37,1,LOOKUP(2,1/(指数走势!$F$37:$ACK$37&lt;&gt;""),COLUMN(指数走势!$F$37:$ACK$37))-COLUMN(指数走势!$F$37)+1-760+731)),NA(),IF(INDEX(指数走势!$F$37:$ACK$37,1,LOOKUP(2,1/(指数走势!$F$37:$ACK$37&lt;&gt;""),COLUMN(指数走势!$F$37:$ACK$37))-COLUMN(指数走势!$F$37)+1-760+731)=0,NA(),INDEX(指数走势!$F$37:$ACK$37,1,LOOKUP(2,1/(指数走势!$F$37:$ACK$37&lt;&gt;""),COLUMN(指数走势!$F$37:$ACK$37))-COLUMN(指数走势!$F$37)+1-760+731)))</f>
        <v>12.149299621582</v>
      </c>
      <c r="ABE101">
        <f>IF(ISERROR(INDEX(指数走势!$F$37:$ACK$37,1,LOOKUP(2,1/(指数走势!$F$37:$ACK$37&lt;&gt;""),COLUMN(指数走势!$F$37:$ACK$37))-COLUMN(指数走势!$F$37)+1-760+732)),NA(),IF(INDEX(指数走势!$F$37:$ACK$37,1,LOOKUP(2,1/(指数走势!$F$37:$ACK$37&lt;&gt;""),COLUMN(指数走势!$F$37:$ACK$37))-COLUMN(指数走势!$F$37)+1-760+732)=0,NA(),INDEX(指数走势!$F$37:$ACK$37,1,LOOKUP(2,1/(指数走势!$F$37:$ACK$37&lt;&gt;""),COLUMN(指数走势!$F$37:$ACK$37))-COLUMN(指数走势!$F$37)+1-760+732)))</f>
        <v>12.1512002944946</v>
      </c>
      <c r="ABF101">
        <f>IF(ISERROR(INDEX(指数走势!$F$37:$ACK$37,1,LOOKUP(2,1/(指数走势!$F$37:$ACK$37&lt;&gt;""),COLUMN(指数走势!$F$37:$ACK$37))-COLUMN(指数走势!$F$37)+1-760+733)),NA(),IF(INDEX(指数走势!$F$37:$ACK$37,1,LOOKUP(2,1/(指数走势!$F$37:$ACK$37&lt;&gt;""),COLUMN(指数走势!$F$37:$ACK$37))-COLUMN(指数走势!$F$37)+1-760+733)=0,NA(),INDEX(指数走势!$F$37:$ACK$37,1,LOOKUP(2,1/(指数走势!$F$37:$ACK$37&lt;&gt;""),COLUMN(指数走势!$F$37:$ACK$37))-COLUMN(指数走势!$F$37)+1-760+733)))</f>
        <v>12.0776996612549</v>
      </c>
      <c r="ABG101">
        <f>IF(ISERROR(INDEX(指数走势!$F$37:$ACK$37,1,LOOKUP(2,1/(指数走势!$F$37:$ACK$37&lt;&gt;""),COLUMN(指数走势!$F$37:$ACK$37))-COLUMN(指数走势!$F$37)+1-760+734)),NA(),IF(INDEX(指数走势!$F$37:$ACK$37,1,LOOKUP(2,1/(指数走势!$F$37:$ACK$37&lt;&gt;""),COLUMN(指数走势!$F$37:$ACK$37))-COLUMN(指数走势!$F$37)+1-760+734)=0,NA(),INDEX(指数走势!$F$37:$ACK$37,1,LOOKUP(2,1/(指数走势!$F$37:$ACK$37&lt;&gt;""),COLUMN(指数走势!$F$37:$ACK$37))-COLUMN(指数走势!$F$37)+1-760+734)))</f>
        <v>11.9728002548218</v>
      </c>
      <c r="ABH101">
        <f>IF(ISERROR(INDEX(指数走势!$F$37:$ACK$37,1,LOOKUP(2,1/(指数走势!$F$37:$ACK$37&lt;&gt;""),COLUMN(指数走势!$F$37:$ACK$37))-COLUMN(指数走势!$F$37)+1-760+735)),NA(),IF(INDEX(指数走势!$F$37:$ACK$37,1,LOOKUP(2,1/(指数走势!$F$37:$ACK$37&lt;&gt;""),COLUMN(指数走势!$F$37:$ACK$37))-COLUMN(指数走势!$F$37)+1-760+735)=0,NA(),INDEX(指数走势!$F$37:$ACK$37,1,LOOKUP(2,1/(指数走势!$F$37:$ACK$37&lt;&gt;""),COLUMN(指数走势!$F$37:$ACK$37))-COLUMN(指数走势!$F$37)+1-760+735)))</f>
        <v>12.0874996185303</v>
      </c>
      <c r="ABI101">
        <f>IF(ISERROR(INDEX(指数走势!$F$37:$ACK$37,1,LOOKUP(2,1/(指数走势!$F$37:$ACK$37&lt;&gt;""),COLUMN(指数走势!$F$37:$ACK$37))-COLUMN(指数走势!$F$37)+1-760+736)),NA(),IF(INDEX(指数走势!$F$37:$ACK$37,1,LOOKUP(2,1/(指数走势!$F$37:$ACK$37&lt;&gt;""),COLUMN(指数走势!$F$37:$ACK$37))-COLUMN(指数走势!$F$37)+1-760+736)=0,NA(),INDEX(指数走势!$F$37:$ACK$37,1,LOOKUP(2,1/(指数走势!$F$37:$ACK$37&lt;&gt;""),COLUMN(指数走势!$F$37:$ACK$37))-COLUMN(指数走势!$F$37)+1-760+736)))</f>
        <v>12.265700340271</v>
      </c>
      <c r="ABJ101">
        <f>IF(ISERROR(INDEX(指数走势!$F$37:$ACK$37,1,LOOKUP(2,1/(指数走势!$F$37:$ACK$37&lt;&gt;""),COLUMN(指数走势!$F$37:$ACK$37))-COLUMN(指数走势!$F$37)+1-760+737)),NA(),IF(INDEX(指数走势!$F$37:$ACK$37,1,LOOKUP(2,1/(指数走势!$F$37:$ACK$37&lt;&gt;""),COLUMN(指数走势!$F$37:$ACK$37))-COLUMN(指数走势!$F$37)+1-760+737)=0,NA(),INDEX(指数走势!$F$37:$ACK$37,1,LOOKUP(2,1/(指数走势!$F$37:$ACK$37&lt;&gt;""),COLUMN(指数走势!$F$37:$ACK$37))-COLUMN(指数走势!$F$37)+1-760+737)))</f>
        <v>12.5722999572754</v>
      </c>
      <c r="ABK101">
        <f>IF(ISERROR(INDEX(指数走势!$F$37:$ACK$37,1,LOOKUP(2,1/(指数走势!$F$37:$ACK$37&lt;&gt;""),COLUMN(指数走势!$F$37:$ACK$37))-COLUMN(指数走势!$F$37)+1-760+738)),NA(),IF(INDEX(指数走势!$F$37:$ACK$37,1,LOOKUP(2,1/(指数走势!$F$37:$ACK$37&lt;&gt;""),COLUMN(指数走势!$F$37:$ACK$37))-COLUMN(指数走势!$F$37)+1-760+738)=0,NA(),INDEX(指数走势!$F$37:$ACK$37,1,LOOKUP(2,1/(指数走势!$F$37:$ACK$37&lt;&gt;""),COLUMN(指数走势!$F$37:$ACK$37))-COLUMN(指数走势!$F$37)+1-760+738)))</f>
        <v>12.4097003936768</v>
      </c>
      <c r="ABL101">
        <f>IF(ISERROR(INDEX(指数走势!$F$37:$ACK$37,1,LOOKUP(2,1/(指数走势!$F$37:$ACK$37&lt;&gt;""),COLUMN(指数走势!$F$37:$ACK$37))-COLUMN(指数走势!$F$37)+1-760+739)),NA(),IF(INDEX(指数走势!$F$37:$ACK$37,1,LOOKUP(2,1/(指数走势!$F$37:$ACK$37&lt;&gt;""),COLUMN(指数走势!$F$37:$ACK$37))-COLUMN(指数走势!$F$37)+1-760+739)=0,NA(),INDEX(指数走势!$F$37:$ACK$37,1,LOOKUP(2,1/(指数走势!$F$37:$ACK$37&lt;&gt;""),COLUMN(指数走势!$F$37:$ACK$37))-COLUMN(指数走势!$F$37)+1-760+739)))</f>
        <v>12.1997003555298</v>
      </c>
      <c r="ABM101">
        <f>IF(ISERROR(INDEX(指数走势!$F$37:$ACK$37,1,LOOKUP(2,1/(指数走势!$F$37:$ACK$37&lt;&gt;""),COLUMN(指数走势!$F$37:$ACK$37))-COLUMN(指数走势!$F$37)+1-760+740)),NA(),IF(INDEX(指数走势!$F$37:$ACK$37,1,LOOKUP(2,1/(指数走势!$F$37:$ACK$37&lt;&gt;""),COLUMN(指数走势!$F$37:$ACK$37))-COLUMN(指数走势!$F$37)+1-760+740)=0,NA(),INDEX(指数走势!$F$37:$ACK$37,1,LOOKUP(2,1/(指数走势!$F$37:$ACK$37&lt;&gt;""),COLUMN(指数走势!$F$37:$ACK$37))-COLUMN(指数走势!$F$37)+1-760+740)))</f>
        <v>12.0878000259399</v>
      </c>
      <c r="ABN101">
        <f>IF(ISERROR(INDEX(指数走势!$F$37:$ACK$37,1,LOOKUP(2,1/(指数走势!$F$37:$ACK$37&lt;&gt;""),COLUMN(指数走势!$F$37:$ACK$37))-COLUMN(指数走势!$F$37)+1-760+741)),NA(),IF(INDEX(指数走势!$F$37:$ACK$37,1,LOOKUP(2,1/(指数走势!$F$37:$ACK$37&lt;&gt;""),COLUMN(指数走势!$F$37:$ACK$37))-COLUMN(指数走势!$F$37)+1-760+741)=0,NA(),INDEX(指数走势!$F$37:$ACK$37,1,LOOKUP(2,1/(指数走势!$F$37:$ACK$37&lt;&gt;""),COLUMN(指数走势!$F$37:$ACK$37))-COLUMN(指数走势!$F$37)+1-760+741)))</f>
        <v>12.0275001525879</v>
      </c>
      <c r="ABO101">
        <f>IF(ISERROR(INDEX(指数走势!$F$37:$ACK$37,1,LOOKUP(2,1/(指数走势!$F$37:$ACK$37&lt;&gt;""),COLUMN(指数走势!$F$37:$ACK$37))-COLUMN(指数走势!$F$37)+1-760+742)),NA(),IF(INDEX(指数走势!$F$37:$ACK$37,1,LOOKUP(2,1/(指数走势!$F$37:$ACK$37&lt;&gt;""),COLUMN(指数走势!$F$37:$ACK$37))-COLUMN(指数走势!$F$37)+1-760+742)=0,NA(),INDEX(指数走势!$F$37:$ACK$37,1,LOOKUP(2,1/(指数走势!$F$37:$ACK$37&lt;&gt;""),COLUMN(指数走势!$F$37:$ACK$37))-COLUMN(指数走势!$F$37)+1-760+742)))</f>
        <v>11.9886999130249</v>
      </c>
      <c r="ABP101">
        <f>IF(ISERROR(INDEX(指数走势!$F$37:$ACK$37,1,LOOKUP(2,1/(指数走势!$F$37:$ACK$37&lt;&gt;""),COLUMN(指数走势!$F$37:$ACK$37))-COLUMN(指数走势!$F$37)+1-760+743)),NA(),IF(INDEX(指数走势!$F$37:$ACK$37,1,LOOKUP(2,1/(指数走势!$F$37:$ACK$37&lt;&gt;""),COLUMN(指数走势!$F$37:$ACK$37))-COLUMN(指数走势!$F$37)+1-760+743)=0,NA(),INDEX(指数走势!$F$37:$ACK$37,1,LOOKUP(2,1/(指数走势!$F$37:$ACK$37&lt;&gt;""),COLUMN(指数走势!$F$37:$ACK$37))-COLUMN(指数走势!$F$37)+1-760+743)))</f>
        <v>11.9081001281738</v>
      </c>
      <c r="ABQ101">
        <f>IF(ISERROR(INDEX(指数走势!$F$37:$ACK$37,1,LOOKUP(2,1/(指数走势!$F$37:$ACK$37&lt;&gt;""),COLUMN(指数走势!$F$37:$ACK$37))-COLUMN(指数走势!$F$37)+1-760+744)),NA(),IF(INDEX(指数走势!$F$37:$ACK$37,1,LOOKUP(2,1/(指数走势!$F$37:$ACK$37&lt;&gt;""),COLUMN(指数走势!$F$37:$ACK$37))-COLUMN(指数走势!$F$37)+1-760+744)=0,NA(),INDEX(指数走势!$F$37:$ACK$37,1,LOOKUP(2,1/(指数走势!$F$37:$ACK$37&lt;&gt;""),COLUMN(指数走势!$F$37:$ACK$37))-COLUMN(指数走势!$F$37)+1-760+744)))</f>
        <v>11.8339004516602</v>
      </c>
      <c r="ABR101">
        <f>IF(ISERROR(INDEX(指数走势!$F$37:$ACK$37,1,LOOKUP(2,1/(指数走势!$F$37:$ACK$37&lt;&gt;""),COLUMN(指数走势!$F$37:$ACK$37))-COLUMN(指数走势!$F$37)+1-760+745)),NA(),IF(INDEX(指数走势!$F$37:$ACK$37,1,LOOKUP(2,1/(指数走势!$F$37:$ACK$37&lt;&gt;""),COLUMN(指数走势!$F$37:$ACK$37))-COLUMN(指数走势!$F$37)+1-760+745)=0,NA(),INDEX(指数走势!$F$37:$ACK$37,1,LOOKUP(2,1/(指数走势!$F$37:$ACK$37&lt;&gt;""),COLUMN(指数走势!$F$37:$ACK$37))-COLUMN(指数走势!$F$37)+1-760+745)))</f>
        <v>12.0776996612549</v>
      </c>
      <c r="ABS101">
        <f>IF(ISERROR(INDEX(指数走势!$F$37:$ACK$37,1,LOOKUP(2,1/(指数走势!$F$37:$ACK$37&lt;&gt;""),COLUMN(指数走势!$F$37:$ACK$37))-COLUMN(指数走势!$F$37)+1-760+746)),NA(),IF(INDEX(指数走势!$F$37:$ACK$37,1,LOOKUP(2,1/(指数走势!$F$37:$ACK$37&lt;&gt;""),COLUMN(指数走势!$F$37:$ACK$37))-COLUMN(指数走势!$F$37)+1-760+746)=0,NA(),INDEX(指数走势!$F$37:$ACK$37,1,LOOKUP(2,1/(指数走势!$F$37:$ACK$37&lt;&gt;""),COLUMN(指数走势!$F$37:$ACK$37))-COLUMN(指数走势!$F$37)+1-760+746)))</f>
        <v>12.1270999908447</v>
      </c>
      <c r="ABT101">
        <f>IF(ISERROR(INDEX(指数走势!$F$37:$ACK$37,1,LOOKUP(2,1/(指数走势!$F$37:$ACK$37&lt;&gt;""),COLUMN(指数走势!$F$37:$ACK$37))-COLUMN(指数走势!$F$37)+1-760+747)),NA(),IF(INDEX(指数走势!$F$37:$ACK$37,1,LOOKUP(2,1/(指数走势!$F$37:$ACK$37&lt;&gt;""),COLUMN(指数走势!$F$37:$ACK$37))-COLUMN(指数走势!$F$37)+1-760+747)=0,NA(),INDEX(指数走势!$F$37:$ACK$37,1,LOOKUP(2,1/(指数走势!$F$37:$ACK$37&lt;&gt;""),COLUMN(指数走势!$F$37:$ACK$37))-COLUMN(指数走势!$F$37)+1-760+747)))</f>
        <v>11.9877004623413</v>
      </c>
      <c r="ABU101">
        <f>IF(ISERROR(INDEX(指数走势!$F$37:$ACK$37,1,LOOKUP(2,1/(指数走势!$F$37:$ACK$37&lt;&gt;""),COLUMN(指数走势!$F$37:$ACK$37))-COLUMN(指数走势!$F$37)+1-760+748)),NA(),IF(INDEX(指数走势!$F$37:$ACK$37,1,LOOKUP(2,1/(指数走势!$F$37:$ACK$37&lt;&gt;""),COLUMN(指数走势!$F$37:$ACK$37))-COLUMN(指数走势!$F$37)+1-760+748)=0,NA(),INDEX(指数走势!$F$37:$ACK$37,1,LOOKUP(2,1/(指数走势!$F$37:$ACK$37&lt;&gt;""),COLUMN(指数走势!$F$37:$ACK$37))-COLUMN(指数走势!$F$37)+1-760+748)))</f>
        <v>11.872200012207</v>
      </c>
      <c r="ABV101">
        <f>IF(ISERROR(INDEX(指数走势!$F$37:$ACK$37,1,LOOKUP(2,1/(指数走势!$F$37:$ACK$37&lt;&gt;""),COLUMN(指数走势!$F$37:$ACK$37))-COLUMN(指数走势!$F$37)+1-760+749)),NA(),IF(INDEX(指数走势!$F$37:$ACK$37,1,LOOKUP(2,1/(指数走势!$F$37:$ACK$37&lt;&gt;""),COLUMN(指数走势!$F$37:$ACK$37))-COLUMN(指数走势!$F$37)+1-760+749)=0,NA(),INDEX(指数走势!$F$37:$ACK$37,1,LOOKUP(2,1/(指数走势!$F$37:$ACK$37&lt;&gt;""),COLUMN(指数走势!$F$37:$ACK$37))-COLUMN(指数走势!$F$37)+1-760+749)))</f>
        <v>11.6562004089355</v>
      </c>
      <c r="ABW101">
        <f>IF(ISERROR(INDEX(指数走势!$F$37:$ACK$37,1,LOOKUP(2,1/(指数走势!$F$37:$ACK$37&lt;&gt;""),COLUMN(指数走势!$F$37:$ACK$37))-COLUMN(指数走势!$F$37)+1-760+750)),NA(),IF(INDEX(指数走势!$F$37:$ACK$37,1,LOOKUP(2,1/(指数走势!$F$37:$ACK$37&lt;&gt;""),COLUMN(指数走势!$F$37:$ACK$37))-COLUMN(指数走势!$F$37)+1-760+750)=0,NA(),INDEX(指数走势!$F$37:$ACK$37,1,LOOKUP(2,1/(指数走势!$F$37:$ACK$37&lt;&gt;""),COLUMN(指数走势!$F$37:$ACK$37))-COLUMN(指数走势!$F$37)+1-760+750)))</f>
        <v>11.6357002258301</v>
      </c>
      <c r="ABX101">
        <f>IF(ISERROR(INDEX(指数走势!$F$37:$ACK$37,1,LOOKUP(2,1/(指数走势!$F$37:$ACK$37&lt;&gt;""),COLUMN(指数走势!$F$37:$ACK$37))-COLUMN(指数走势!$F$37)+1-760+751)),NA(),IF(INDEX(指数走势!$F$37:$ACK$37,1,LOOKUP(2,1/(指数走势!$F$37:$ACK$37&lt;&gt;""),COLUMN(指数走势!$F$37:$ACK$37))-COLUMN(指数走势!$F$37)+1-760+751)=0,NA(),INDEX(指数走势!$F$37:$ACK$37,1,LOOKUP(2,1/(指数走势!$F$37:$ACK$37&lt;&gt;""),COLUMN(指数走势!$F$37:$ACK$37))-COLUMN(指数走势!$F$37)+1-760+751)))</f>
        <v>11.4134998321533</v>
      </c>
      <c r="ABY101">
        <f>IF(ISERROR(INDEX(指数走势!$F$37:$ACK$37,1,LOOKUP(2,1/(指数走势!$F$37:$ACK$37&lt;&gt;""),COLUMN(指数走势!$F$37:$ACK$37))-COLUMN(指数走势!$F$37)+1-760+752)),NA(),IF(INDEX(指数走势!$F$37:$ACK$37,1,LOOKUP(2,1/(指数走势!$F$37:$ACK$37&lt;&gt;""),COLUMN(指数走势!$F$37:$ACK$37))-COLUMN(指数走势!$F$37)+1-760+752)=0,NA(),INDEX(指数走势!$F$37:$ACK$37,1,LOOKUP(2,1/(指数走势!$F$37:$ACK$37&lt;&gt;""),COLUMN(指数走势!$F$37:$ACK$37))-COLUMN(指数走势!$F$37)+1-760+752)))</f>
        <v>11.4406995773315</v>
      </c>
      <c r="ABZ101">
        <f>IF(ISERROR(INDEX(指数走势!$F$37:$ACK$37,1,LOOKUP(2,1/(指数走势!$F$37:$ACK$37&lt;&gt;""),COLUMN(指数走势!$F$37:$ACK$37))-COLUMN(指数走势!$F$37)+1-760+753)),NA(),IF(INDEX(指数走势!$F$37:$ACK$37,1,LOOKUP(2,1/(指数走势!$F$37:$ACK$37&lt;&gt;""),COLUMN(指数走势!$F$37:$ACK$37))-COLUMN(指数走势!$F$37)+1-760+753)=0,NA(),INDEX(指数走势!$F$37:$ACK$37,1,LOOKUP(2,1/(指数走势!$F$37:$ACK$37&lt;&gt;""),COLUMN(指数走势!$F$37:$ACK$37))-COLUMN(指数走势!$F$37)+1-760+753)))</f>
        <v>11.2643003463745</v>
      </c>
      <c r="ACA101">
        <f>IF(ISERROR(INDEX(指数走势!$F$37:$ACK$37,1,LOOKUP(2,1/(指数走势!$F$37:$ACK$37&lt;&gt;""),COLUMN(指数走势!$F$37:$ACK$37))-COLUMN(指数走势!$F$37)+1-760+754)),NA(),IF(INDEX(指数走势!$F$37:$ACK$37,1,LOOKUP(2,1/(指数走势!$F$37:$ACK$37&lt;&gt;""),COLUMN(指数走势!$F$37:$ACK$37))-COLUMN(指数走势!$F$37)+1-760+754)=0,NA(),INDEX(指数走势!$F$37:$ACK$37,1,LOOKUP(2,1/(指数走势!$F$37:$ACK$37&lt;&gt;""),COLUMN(指数走势!$F$37:$ACK$37))-COLUMN(指数走势!$F$37)+1-760+754)))</f>
        <v>11.076000213623</v>
      </c>
      <c r="ACB101">
        <f>IF(ISERROR(INDEX(指数走势!$F$37:$ACK$37,1,LOOKUP(2,1/(指数走势!$F$37:$ACK$37&lt;&gt;""),COLUMN(指数走势!$F$37:$ACK$37))-COLUMN(指数走势!$F$37)+1-760+755)),NA(),IF(INDEX(指数走势!$F$37:$ACK$37,1,LOOKUP(2,1/(指数走势!$F$37:$ACK$37&lt;&gt;""),COLUMN(指数走势!$F$37:$ACK$37))-COLUMN(指数走势!$F$37)+1-760+755)=0,NA(),INDEX(指数走势!$F$37:$ACK$37,1,LOOKUP(2,1/(指数走势!$F$37:$ACK$37&lt;&gt;""),COLUMN(指数走势!$F$37:$ACK$37))-COLUMN(指数走势!$F$37)+1-760+755)))</f>
        <v>11.2299003601074</v>
      </c>
      <c r="ACC101">
        <f>IF(ISERROR(INDEX(指数走势!$F$37:$ACK$37,1,LOOKUP(2,1/(指数走势!$F$37:$ACK$37&lt;&gt;""),COLUMN(指数走势!$F$37:$ACK$37))-COLUMN(指数走势!$F$37)+1-760+756)),NA(),IF(INDEX(指数走势!$F$37:$ACK$37,1,LOOKUP(2,1/(指数走势!$F$37:$ACK$37&lt;&gt;""),COLUMN(指数走势!$F$37:$ACK$37))-COLUMN(指数走势!$F$37)+1-760+756)=0,NA(),INDEX(指数走势!$F$37:$ACK$37,1,LOOKUP(2,1/(指数走势!$F$37:$ACK$37&lt;&gt;""),COLUMN(指数走势!$F$37:$ACK$37))-COLUMN(指数走势!$F$37)+1-760+756)))</f>
        <v>11.1275997161865</v>
      </c>
      <c r="ACD101">
        <f>IF(ISERROR(INDEX(指数走势!$F$37:$ACK$37,1,LOOKUP(2,1/(指数走势!$F$37:$ACK$37&lt;&gt;""),COLUMN(指数走势!$F$37:$ACK$37))-COLUMN(指数走势!$F$37)+1-760+757)),NA(),IF(INDEX(指数走势!$F$37:$ACK$37,1,LOOKUP(2,1/(指数走势!$F$37:$ACK$37&lt;&gt;""),COLUMN(指数走势!$F$37:$ACK$37))-COLUMN(指数走势!$F$37)+1-760+757)=0,NA(),INDEX(指数走势!$F$37:$ACK$37,1,LOOKUP(2,1/(指数走势!$F$37:$ACK$37&lt;&gt;""),COLUMN(指数走势!$F$37:$ACK$37))-COLUMN(指数走势!$F$37)+1-760+757)))</f>
        <v>11.1275997161865</v>
      </c>
      <c r="ACE101">
        <f>IF(ISERROR(INDEX(指数走势!$F$37:$ACK$37,1,LOOKUP(2,1/(指数走势!$F$37:$ACK$37&lt;&gt;""),COLUMN(指数走势!$F$37:$ACK$37))-COLUMN(指数走势!$F$37)+1-760+758)),NA(),IF(INDEX(指数走势!$F$37:$ACK$37,1,LOOKUP(2,1/(指数走势!$F$37:$ACK$37&lt;&gt;""),COLUMN(指数走势!$F$37:$ACK$37))-COLUMN(指数走势!$F$37)+1-760+758)=0,NA(),INDEX(指数走势!$F$37:$ACK$37,1,LOOKUP(2,1/(指数走势!$F$37:$ACK$37&lt;&gt;""),COLUMN(指数走势!$F$37:$ACK$37))-COLUMN(指数走势!$F$37)+1-760+758)))</f>
        <v>11.1621999740601</v>
      </c>
      <c r="ACF101">
        <f>IF(ISERROR(INDEX(指数走势!$F$37:$ACK$37,1,LOOKUP(2,1/(指数走势!$F$37:$ACK$37&lt;&gt;""),COLUMN(指数走势!$F$37:$ACK$37))-COLUMN(指数走势!$F$37)+1-760+759)),NA(),IF(INDEX(指数走势!$F$37:$ACK$37,1,LOOKUP(2,1/(指数走势!$F$37:$ACK$37&lt;&gt;""),COLUMN(指数走势!$F$37:$ACK$37))-COLUMN(指数走势!$F$37)+1-760+759)=0,NA(),INDEX(指数走势!$F$37:$ACK$37,1,LOOKUP(2,1/(指数走势!$F$37:$ACK$37&lt;&gt;""),COLUMN(指数走势!$F$37:$ACK$37))-COLUMN(指数走势!$F$37)+1-760+759)))</f>
        <v>11.289400100708</v>
      </c>
      <c r="ACG101">
        <f>IF(ISERROR(INDEX(指数走势!$F$37:$ACK$37,1,LOOKUP(2,1/(指数走势!$F$37:$ACK$37&lt;&gt;""),COLUMN(指数走势!$F$37:$ACK$37))-COLUMN(指数走势!$F$37)+1-760+760)),NA(),IF(INDEX(指数走势!$F$37:$ACK$37,1,LOOKUP(2,1/(指数走势!$F$37:$ACK$37&lt;&gt;""),COLUMN(指数走势!$F$37:$ACK$37))-COLUMN(指数走势!$F$37)+1-760+760)=0,NA(),INDEX(指数走势!$F$37:$ACK$37,1,LOOKUP(2,1/(指数走势!$F$37:$ACK$37&lt;&gt;""),COLUMN(指数走势!$F$37:$ACK$37))-COLUMN(指数走势!$F$37)+1-760+760)))</f>
        <v>11.289400100708</v>
      </c>
    </row>
    <row r="102" ht="15" customHeight="1" spans="1:761">
      <c r="A102" s="1" t="s">
        <v>48</v>
      </c>
      <c r="B102" s="2" t="e">
        <f>IF(ISERROR(INDEX(指数走势!$F$38:$ACK$38,1,LOOKUP(2,1/(指数走势!$F$38:$ACK$38&lt;&gt;""),COLUMN(指数走势!$F$38:$ACK$38))-COLUMN(指数走势!$F$38)+1-760+1)),NA(),IF(INDEX(指数走势!$F$38:$ACK$38,1,LOOKUP(2,1/(指数走势!$F$38:$ACK$38&lt;&gt;""),COLUMN(指数走势!$F$38:$ACK$38))-COLUMN(指数走势!$F$38)+1-760+1)=0,NA(),INDEX(指数走势!$F$38:$ACK$38,1,LOOKUP(2,1/(指数走势!$F$38:$ACK$38&lt;&gt;""),COLUMN(指数走势!$F$38:$ACK$38))-COLUMN(指数走势!$F$38)+1-760+1)))</f>
        <v>#N/A</v>
      </c>
      <c r="C102" s="2" t="e">
        <f>IF(ISERROR(INDEX(指数走势!$F$38:$ACK$38,1,LOOKUP(2,1/(指数走势!$F$38:$ACK$38&lt;&gt;""),COLUMN(指数走势!$F$38:$ACK$38))-COLUMN(指数走势!$F$38)+1-760+2)),NA(),IF(INDEX(指数走势!$F$38:$ACK$38,1,LOOKUP(2,1/(指数走势!$F$38:$ACK$38&lt;&gt;""),COLUMN(指数走势!$F$38:$ACK$38))-COLUMN(指数走势!$F$38)+1-760+2)=0,NA(),INDEX(指数走势!$F$38:$ACK$38,1,LOOKUP(2,1/(指数走势!$F$38:$ACK$38&lt;&gt;""),COLUMN(指数走势!$F$38:$ACK$38))-COLUMN(指数走势!$F$38)+1-760+2)))</f>
        <v>#N/A</v>
      </c>
      <c r="D102" s="2" t="e">
        <f>IF(ISERROR(INDEX(指数走势!$F$38:$ACK$38,1,LOOKUP(2,1/(指数走势!$F$38:$ACK$38&lt;&gt;""),COLUMN(指数走势!$F$38:$ACK$38))-COLUMN(指数走势!$F$38)+1-760+3)),NA(),IF(INDEX(指数走势!$F$38:$ACK$38,1,LOOKUP(2,1/(指数走势!$F$38:$ACK$38&lt;&gt;""),COLUMN(指数走势!$F$38:$ACK$38))-COLUMN(指数走势!$F$38)+1-760+3)=0,NA(),INDEX(指数走势!$F$38:$ACK$38,1,LOOKUP(2,1/(指数走势!$F$38:$ACK$38&lt;&gt;""),COLUMN(指数走势!$F$38:$ACK$38))-COLUMN(指数走势!$F$38)+1-760+3)))</f>
        <v>#N/A</v>
      </c>
      <c r="E102" s="2" t="e">
        <f>IF(ISERROR(INDEX(指数走势!$F$38:$ACK$38,1,LOOKUP(2,1/(指数走势!$F$38:$ACK$38&lt;&gt;""),COLUMN(指数走势!$F$38:$ACK$38))-COLUMN(指数走势!$F$38)+1-760+4)),NA(),IF(INDEX(指数走势!$F$38:$ACK$38,1,LOOKUP(2,1/(指数走势!$F$38:$ACK$38&lt;&gt;""),COLUMN(指数走势!$F$38:$ACK$38))-COLUMN(指数走势!$F$38)+1-760+4)=0,NA(),INDEX(指数走势!$F$38:$ACK$38,1,LOOKUP(2,1/(指数走势!$F$38:$ACK$38&lt;&gt;""),COLUMN(指数走势!$F$38:$ACK$38))-COLUMN(指数走势!$F$38)+1-760+4)))</f>
        <v>#N/A</v>
      </c>
      <c r="F102" s="2" t="e">
        <f>IF(ISERROR(INDEX(指数走势!$F$38:$ACK$38,1,LOOKUP(2,1/(指数走势!$F$38:$ACK$38&lt;&gt;""),COLUMN(指数走势!$F$38:$ACK$38))-COLUMN(指数走势!$F$38)+1-760+5)),NA(),IF(INDEX(指数走势!$F$38:$ACK$38,1,LOOKUP(2,1/(指数走势!$F$38:$ACK$38&lt;&gt;""),COLUMN(指数走势!$F$38:$ACK$38))-COLUMN(指数走势!$F$38)+1-760+5)=0,NA(),INDEX(指数走势!$F$38:$ACK$38,1,LOOKUP(2,1/(指数走势!$F$38:$ACK$38&lt;&gt;""),COLUMN(指数走势!$F$38:$ACK$38))-COLUMN(指数走势!$F$38)+1-760+5)))</f>
        <v>#N/A</v>
      </c>
      <c r="G102" s="2" t="e">
        <f>IF(ISERROR(INDEX(指数走势!$F$38:$ACK$38,1,LOOKUP(2,1/(指数走势!$F$38:$ACK$38&lt;&gt;""),COLUMN(指数走势!$F$38:$ACK$38))-COLUMN(指数走势!$F$38)+1-760+6)),NA(),IF(INDEX(指数走势!$F$38:$ACK$38,1,LOOKUP(2,1/(指数走势!$F$38:$ACK$38&lt;&gt;""),COLUMN(指数走势!$F$38:$ACK$38))-COLUMN(指数走势!$F$38)+1-760+6)=0,NA(),INDEX(指数走势!$F$38:$ACK$38,1,LOOKUP(2,1/(指数走势!$F$38:$ACK$38&lt;&gt;""),COLUMN(指数走势!$F$38:$ACK$38))-COLUMN(指数走势!$F$38)+1-760+6)))</f>
        <v>#N/A</v>
      </c>
      <c r="H102" s="2" t="e">
        <f>IF(ISERROR(INDEX(指数走势!$F$38:$ACK$38,1,LOOKUP(2,1/(指数走势!$F$38:$ACK$38&lt;&gt;""),COLUMN(指数走势!$F$38:$ACK$38))-COLUMN(指数走势!$F$38)+1-760+7)),NA(),IF(INDEX(指数走势!$F$38:$ACK$38,1,LOOKUP(2,1/(指数走势!$F$38:$ACK$38&lt;&gt;""),COLUMN(指数走势!$F$38:$ACK$38))-COLUMN(指数走势!$F$38)+1-760+7)=0,NA(),INDEX(指数走势!$F$38:$ACK$38,1,LOOKUP(2,1/(指数走势!$F$38:$ACK$38&lt;&gt;""),COLUMN(指数走势!$F$38:$ACK$38))-COLUMN(指数走势!$F$38)+1-760+7)))</f>
        <v>#N/A</v>
      </c>
      <c r="I102" s="2" t="e">
        <f>IF(ISERROR(INDEX(指数走势!$F$38:$ACK$38,1,LOOKUP(2,1/(指数走势!$F$38:$ACK$38&lt;&gt;""),COLUMN(指数走势!$F$38:$ACK$38))-COLUMN(指数走势!$F$38)+1-760+8)),NA(),IF(INDEX(指数走势!$F$38:$ACK$38,1,LOOKUP(2,1/(指数走势!$F$38:$ACK$38&lt;&gt;""),COLUMN(指数走势!$F$38:$ACK$38))-COLUMN(指数走势!$F$38)+1-760+8)=0,NA(),INDEX(指数走势!$F$38:$ACK$38,1,LOOKUP(2,1/(指数走势!$F$38:$ACK$38&lt;&gt;""),COLUMN(指数走势!$F$38:$ACK$38))-COLUMN(指数走势!$F$38)+1-760+8)))</f>
        <v>#N/A</v>
      </c>
      <c r="J102" s="2" t="e">
        <f>IF(ISERROR(INDEX(指数走势!$F$38:$ACK$38,1,LOOKUP(2,1/(指数走势!$F$38:$ACK$38&lt;&gt;""),COLUMN(指数走势!$F$38:$ACK$38))-COLUMN(指数走势!$F$38)+1-760+9)),NA(),IF(INDEX(指数走势!$F$38:$ACK$38,1,LOOKUP(2,1/(指数走势!$F$38:$ACK$38&lt;&gt;""),COLUMN(指数走势!$F$38:$ACK$38))-COLUMN(指数走势!$F$38)+1-760+9)=0,NA(),INDEX(指数走势!$F$38:$ACK$38,1,LOOKUP(2,1/(指数走势!$F$38:$ACK$38&lt;&gt;""),COLUMN(指数走势!$F$38:$ACK$38))-COLUMN(指数走势!$F$38)+1-760+9)))</f>
        <v>#N/A</v>
      </c>
      <c r="K102" s="2" t="e">
        <f>IF(ISERROR(INDEX(指数走势!$F$38:$ACK$38,1,LOOKUP(2,1/(指数走势!$F$38:$ACK$38&lt;&gt;""),COLUMN(指数走势!$F$38:$ACK$38))-COLUMN(指数走势!$F$38)+1-760+10)),NA(),IF(INDEX(指数走势!$F$38:$ACK$38,1,LOOKUP(2,1/(指数走势!$F$38:$ACK$38&lt;&gt;""),COLUMN(指数走势!$F$38:$ACK$38))-COLUMN(指数走势!$F$38)+1-760+10)=0,NA(),INDEX(指数走势!$F$38:$ACK$38,1,LOOKUP(2,1/(指数走势!$F$38:$ACK$38&lt;&gt;""),COLUMN(指数走势!$F$38:$ACK$38))-COLUMN(指数走势!$F$38)+1-760+10)))</f>
        <v>#N/A</v>
      </c>
      <c r="L102" s="2" t="e">
        <f>IF(ISERROR(INDEX(指数走势!$F$38:$ACK$38,1,LOOKUP(2,1/(指数走势!$F$38:$ACK$38&lt;&gt;""),COLUMN(指数走势!$F$38:$ACK$38))-COLUMN(指数走势!$F$38)+1-760+11)),NA(),IF(INDEX(指数走势!$F$38:$ACK$38,1,LOOKUP(2,1/(指数走势!$F$38:$ACK$38&lt;&gt;""),COLUMN(指数走势!$F$38:$ACK$38))-COLUMN(指数走势!$F$38)+1-760+11)=0,NA(),INDEX(指数走势!$F$38:$ACK$38,1,LOOKUP(2,1/(指数走势!$F$38:$ACK$38&lt;&gt;""),COLUMN(指数走势!$F$38:$ACK$38))-COLUMN(指数走势!$F$38)+1-760+11)))</f>
        <v>#N/A</v>
      </c>
      <c r="M102" s="2" t="e">
        <f>IF(ISERROR(INDEX(指数走势!$F$38:$ACK$38,1,LOOKUP(2,1/(指数走势!$F$38:$ACK$38&lt;&gt;""),COLUMN(指数走势!$F$38:$ACK$38))-COLUMN(指数走势!$F$38)+1-760+12)),NA(),IF(INDEX(指数走势!$F$38:$ACK$38,1,LOOKUP(2,1/(指数走势!$F$38:$ACK$38&lt;&gt;""),COLUMN(指数走势!$F$38:$ACK$38))-COLUMN(指数走势!$F$38)+1-760+12)=0,NA(),INDEX(指数走势!$F$38:$ACK$38,1,LOOKUP(2,1/(指数走势!$F$38:$ACK$38&lt;&gt;""),COLUMN(指数走势!$F$38:$ACK$38))-COLUMN(指数走势!$F$38)+1-760+12)))</f>
        <v>#N/A</v>
      </c>
      <c r="N102" s="2" t="e">
        <f>IF(ISERROR(INDEX(指数走势!$F$38:$ACK$38,1,LOOKUP(2,1/(指数走势!$F$38:$ACK$38&lt;&gt;""),COLUMN(指数走势!$F$38:$ACK$38))-COLUMN(指数走势!$F$38)+1-760+13)),NA(),IF(INDEX(指数走势!$F$38:$ACK$38,1,LOOKUP(2,1/(指数走势!$F$38:$ACK$38&lt;&gt;""),COLUMN(指数走势!$F$38:$ACK$38))-COLUMN(指数走势!$F$38)+1-760+13)=0,NA(),INDEX(指数走势!$F$38:$ACK$38,1,LOOKUP(2,1/(指数走势!$F$38:$ACK$38&lt;&gt;""),COLUMN(指数走势!$F$38:$ACK$38))-COLUMN(指数走势!$F$38)+1-760+13)))</f>
        <v>#N/A</v>
      </c>
      <c r="O102" s="2" t="e">
        <f>IF(ISERROR(INDEX(指数走势!$F$38:$ACK$38,1,LOOKUP(2,1/(指数走势!$F$38:$ACK$38&lt;&gt;""),COLUMN(指数走势!$F$38:$ACK$38))-COLUMN(指数走势!$F$38)+1-760+14)),NA(),IF(INDEX(指数走势!$F$38:$ACK$38,1,LOOKUP(2,1/(指数走势!$F$38:$ACK$38&lt;&gt;""),COLUMN(指数走势!$F$38:$ACK$38))-COLUMN(指数走势!$F$38)+1-760+14)=0,NA(),INDEX(指数走势!$F$38:$ACK$38,1,LOOKUP(2,1/(指数走势!$F$38:$ACK$38&lt;&gt;""),COLUMN(指数走势!$F$38:$ACK$38))-COLUMN(指数走势!$F$38)+1-760+14)))</f>
        <v>#N/A</v>
      </c>
      <c r="P102" s="2" t="e">
        <f>IF(ISERROR(INDEX(指数走势!$F$38:$ACK$38,1,LOOKUP(2,1/(指数走势!$F$38:$ACK$38&lt;&gt;""),COLUMN(指数走势!$F$38:$ACK$38))-COLUMN(指数走势!$F$38)+1-760+15)),NA(),IF(INDEX(指数走势!$F$38:$ACK$38,1,LOOKUP(2,1/(指数走势!$F$38:$ACK$38&lt;&gt;""),COLUMN(指数走势!$F$38:$ACK$38))-COLUMN(指数走势!$F$38)+1-760+15)=0,NA(),INDEX(指数走势!$F$38:$ACK$38,1,LOOKUP(2,1/(指数走势!$F$38:$ACK$38&lt;&gt;""),COLUMN(指数走势!$F$38:$ACK$38))-COLUMN(指数走势!$F$38)+1-760+15)))</f>
        <v>#N/A</v>
      </c>
      <c r="Q102" s="2" t="e">
        <f>IF(ISERROR(INDEX(指数走势!$F$38:$ACK$38,1,LOOKUP(2,1/(指数走势!$F$38:$ACK$38&lt;&gt;""),COLUMN(指数走势!$F$38:$ACK$38))-COLUMN(指数走势!$F$38)+1-760+16)),NA(),IF(INDEX(指数走势!$F$38:$ACK$38,1,LOOKUP(2,1/(指数走势!$F$38:$ACK$38&lt;&gt;""),COLUMN(指数走势!$F$38:$ACK$38))-COLUMN(指数走势!$F$38)+1-760+16)=0,NA(),INDEX(指数走势!$F$38:$ACK$38,1,LOOKUP(2,1/(指数走势!$F$38:$ACK$38&lt;&gt;""),COLUMN(指数走势!$F$38:$ACK$38))-COLUMN(指数走势!$F$38)+1-760+16)))</f>
        <v>#N/A</v>
      </c>
      <c r="R102" s="2" t="e">
        <f>IF(ISERROR(INDEX(指数走势!$F$38:$ACK$38,1,LOOKUP(2,1/(指数走势!$F$38:$ACK$38&lt;&gt;""),COLUMN(指数走势!$F$38:$ACK$38))-COLUMN(指数走势!$F$38)+1-760+17)),NA(),IF(INDEX(指数走势!$F$38:$ACK$38,1,LOOKUP(2,1/(指数走势!$F$38:$ACK$38&lt;&gt;""),COLUMN(指数走势!$F$38:$ACK$38))-COLUMN(指数走势!$F$38)+1-760+17)=0,NA(),INDEX(指数走势!$F$38:$ACK$38,1,LOOKUP(2,1/(指数走势!$F$38:$ACK$38&lt;&gt;""),COLUMN(指数走势!$F$38:$ACK$38))-COLUMN(指数走势!$F$38)+1-760+17)))</f>
        <v>#N/A</v>
      </c>
      <c r="S102" s="2" t="e">
        <f>IF(ISERROR(INDEX(指数走势!$F$38:$ACK$38,1,LOOKUP(2,1/(指数走势!$F$38:$ACK$38&lt;&gt;""),COLUMN(指数走势!$F$38:$ACK$38))-COLUMN(指数走势!$F$38)+1-760+18)),NA(),IF(INDEX(指数走势!$F$38:$ACK$38,1,LOOKUP(2,1/(指数走势!$F$38:$ACK$38&lt;&gt;""),COLUMN(指数走势!$F$38:$ACK$38))-COLUMN(指数走势!$F$38)+1-760+18)=0,NA(),INDEX(指数走势!$F$38:$ACK$38,1,LOOKUP(2,1/(指数走势!$F$38:$ACK$38&lt;&gt;""),COLUMN(指数走势!$F$38:$ACK$38))-COLUMN(指数走势!$F$38)+1-760+18)))</f>
        <v>#N/A</v>
      </c>
      <c r="T102" s="2" t="e">
        <f>IF(ISERROR(INDEX(指数走势!$F$38:$ACK$38,1,LOOKUP(2,1/(指数走势!$F$38:$ACK$38&lt;&gt;""),COLUMN(指数走势!$F$38:$ACK$38))-COLUMN(指数走势!$F$38)+1-760+19)),NA(),IF(INDEX(指数走势!$F$38:$ACK$38,1,LOOKUP(2,1/(指数走势!$F$38:$ACK$38&lt;&gt;""),COLUMN(指数走势!$F$38:$ACK$38))-COLUMN(指数走势!$F$38)+1-760+19)=0,NA(),INDEX(指数走势!$F$38:$ACK$38,1,LOOKUP(2,1/(指数走势!$F$38:$ACK$38&lt;&gt;""),COLUMN(指数走势!$F$38:$ACK$38))-COLUMN(指数走势!$F$38)+1-760+19)))</f>
        <v>#N/A</v>
      </c>
      <c r="U102" s="2" t="e">
        <f>IF(ISERROR(INDEX(指数走势!$F$38:$ACK$38,1,LOOKUP(2,1/(指数走势!$F$38:$ACK$38&lt;&gt;""),COLUMN(指数走势!$F$38:$ACK$38))-COLUMN(指数走势!$F$38)+1-760+20)),NA(),IF(INDEX(指数走势!$F$38:$ACK$38,1,LOOKUP(2,1/(指数走势!$F$38:$ACK$38&lt;&gt;""),COLUMN(指数走势!$F$38:$ACK$38))-COLUMN(指数走势!$F$38)+1-760+20)=0,NA(),INDEX(指数走势!$F$38:$ACK$38,1,LOOKUP(2,1/(指数走势!$F$38:$ACK$38&lt;&gt;""),COLUMN(指数走势!$F$38:$ACK$38))-COLUMN(指数走势!$F$38)+1-760+20)))</f>
        <v>#N/A</v>
      </c>
      <c r="V102" s="2" t="e">
        <f>IF(ISERROR(INDEX(指数走势!$F$38:$ACK$38,1,LOOKUP(2,1/(指数走势!$F$38:$ACK$38&lt;&gt;""),COLUMN(指数走势!$F$38:$ACK$38))-COLUMN(指数走势!$F$38)+1-760+21)),NA(),IF(INDEX(指数走势!$F$38:$ACK$38,1,LOOKUP(2,1/(指数走势!$F$38:$ACK$38&lt;&gt;""),COLUMN(指数走势!$F$38:$ACK$38))-COLUMN(指数走势!$F$38)+1-760+21)=0,NA(),INDEX(指数走势!$F$38:$ACK$38,1,LOOKUP(2,1/(指数走势!$F$38:$ACK$38&lt;&gt;""),COLUMN(指数走势!$F$38:$ACK$38))-COLUMN(指数走势!$F$38)+1-760+21)))</f>
        <v>#N/A</v>
      </c>
      <c r="W102" s="2" t="e">
        <f>IF(ISERROR(INDEX(指数走势!$F$38:$ACK$38,1,LOOKUP(2,1/(指数走势!$F$38:$ACK$38&lt;&gt;""),COLUMN(指数走势!$F$38:$ACK$38))-COLUMN(指数走势!$F$38)+1-760+22)),NA(),IF(INDEX(指数走势!$F$38:$ACK$38,1,LOOKUP(2,1/(指数走势!$F$38:$ACK$38&lt;&gt;""),COLUMN(指数走势!$F$38:$ACK$38))-COLUMN(指数走势!$F$38)+1-760+22)=0,NA(),INDEX(指数走势!$F$38:$ACK$38,1,LOOKUP(2,1/(指数走势!$F$38:$ACK$38&lt;&gt;""),COLUMN(指数走势!$F$38:$ACK$38))-COLUMN(指数走势!$F$38)+1-760+22)))</f>
        <v>#N/A</v>
      </c>
      <c r="X102" s="2" t="e">
        <f>IF(ISERROR(INDEX(指数走势!$F$38:$ACK$38,1,LOOKUP(2,1/(指数走势!$F$38:$ACK$38&lt;&gt;""),COLUMN(指数走势!$F$38:$ACK$38))-COLUMN(指数走势!$F$38)+1-760+23)),NA(),IF(INDEX(指数走势!$F$38:$ACK$38,1,LOOKUP(2,1/(指数走势!$F$38:$ACK$38&lt;&gt;""),COLUMN(指数走势!$F$38:$ACK$38))-COLUMN(指数走势!$F$38)+1-760+23)=0,NA(),INDEX(指数走势!$F$38:$ACK$38,1,LOOKUP(2,1/(指数走势!$F$38:$ACK$38&lt;&gt;""),COLUMN(指数走势!$F$38:$ACK$38))-COLUMN(指数走势!$F$38)+1-760+23)))</f>
        <v>#N/A</v>
      </c>
      <c r="Y102" s="2" t="e">
        <f>IF(ISERROR(INDEX(指数走势!$F$38:$ACK$38,1,LOOKUP(2,1/(指数走势!$F$38:$ACK$38&lt;&gt;""),COLUMN(指数走势!$F$38:$ACK$38))-COLUMN(指数走势!$F$38)+1-760+24)),NA(),IF(INDEX(指数走势!$F$38:$ACK$38,1,LOOKUP(2,1/(指数走势!$F$38:$ACK$38&lt;&gt;""),COLUMN(指数走势!$F$38:$ACK$38))-COLUMN(指数走势!$F$38)+1-760+24)=0,NA(),INDEX(指数走势!$F$38:$ACK$38,1,LOOKUP(2,1/(指数走势!$F$38:$ACK$38&lt;&gt;""),COLUMN(指数走势!$F$38:$ACK$38))-COLUMN(指数走势!$F$38)+1-760+24)))</f>
        <v>#N/A</v>
      </c>
      <c r="Z102" s="2" t="e">
        <f>IF(ISERROR(INDEX(指数走势!$F$38:$ACK$38,1,LOOKUP(2,1/(指数走势!$F$38:$ACK$38&lt;&gt;""),COLUMN(指数走势!$F$38:$ACK$38))-COLUMN(指数走势!$F$38)+1-760+25)),NA(),IF(INDEX(指数走势!$F$38:$ACK$38,1,LOOKUP(2,1/(指数走势!$F$38:$ACK$38&lt;&gt;""),COLUMN(指数走势!$F$38:$ACK$38))-COLUMN(指数走势!$F$38)+1-760+25)=0,NA(),INDEX(指数走势!$F$38:$ACK$38,1,LOOKUP(2,1/(指数走势!$F$38:$ACK$38&lt;&gt;""),COLUMN(指数走势!$F$38:$ACK$38))-COLUMN(指数走势!$F$38)+1-760+25)))</f>
        <v>#N/A</v>
      </c>
      <c r="AA102" s="2" t="e">
        <f>IF(ISERROR(INDEX(指数走势!$F$38:$ACK$38,1,LOOKUP(2,1/(指数走势!$F$38:$ACK$38&lt;&gt;""),COLUMN(指数走势!$F$38:$ACK$38))-COLUMN(指数走势!$F$38)+1-760+26)),NA(),IF(INDEX(指数走势!$F$38:$ACK$38,1,LOOKUP(2,1/(指数走势!$F$38:$ACK$38&lt;&gt;""),COLUMN(指数走势!$F$38:$ACK$38))-COLUMN(指数走势!$F$38)+1-760+26)=0,NA(),INDEX(指数走势!$F$38:$ACK$38,1,LOOKUP(2,1/(指数走势!$F$38:$ACK$38&lt;&gt;""),COLUMN(指数走势!$F$38:$ACK$38))-COLUMN(指数走势!$F$38)+1-760+26)))</f>
        <v>#N/A</v>
      </c>
      <c r="AB102" s="2" t="e">
        <f>IF(ISERROR(INDEX(指数走势!$F$38:$ACK$38,1,LOOKUP(2,1/(指数走势!$F$38:$ACK$38&lt;&gt;""),COLUMN(指数走势!$F$38:$ACK$38))-COLUMN(指数走势!$F$38)+1-760+27)),NA(),IF(INDEX(指数走势!$F$38:$ACK$38,1,LOOKUP(2,1/(指数走势!$F$38:$ACK$38&lt;&gt;""),COLUMN(指数走势!$F$38:$ACK$38))-COLUMN(指数走势!$F$38)+1-760+27)=0,NA(),INDEX(指数走势!$F$38:$ACK$38,1,LOOKUP(2,1/(指数走势!$F$38:$ACK$38&lt;&gt;""),COLUMN(指数走势!$F$38:$ACK$38))-COLUMN(指数走势!$F$38)+1-760+27)))</f>
        <v>#N/A</v>
      </c>
      <c r="AC102" s="2" t="e">
        <f>IF(ISERROR(INDEX(指数走势!$F$38:$ACK$38,1,LOOKUP(2,1/(指数走势!$F$38:$ACK$38&lt;&gt;""),COLUMN(指数走势!$F$38:$ACK$38))-COLUMN(指数走势!$F$38)+1-760+28)),NA(),IF(INDEX(指数走势!$F$38:$ACK$38,1,LOOKUP(2,1/(指数走势!$F$38:$ACK$38&lt;&gt;""),COLUMN(指数走势!$F$38:$ACK$38))-COLUMN(指数走势!$F$38)+1-760+28)=0,NA(),INDEX(指数走势!$F$38:$ACK$38,1,LOOKUP(2,1/(指数走势!$F$38:$ACK$38&lt;&gt;""),COLUMN(指数走势!$F$38:$ACK$38))-COLUMN(指数走势!$F$38)+1-760+28)))</f>
        <v>#N/A</v>
      </c>
      <c r="AD102" s="2" t="e">
        <f>IF(ISERROR(INDEX(指数走势!$F$38:$ACK$38,1,LOOKUP(2,1/(指数走势!$F$38:$ACK$38&lt;&gt;""),COLUMN(指数走势!$F$38:$ACK$38))-COLUMN(指数走势!$F$38)+1-760+29)),NA(),IF(INDEX(指数走势!$F$38:$ACK$38,1,LOOKUP(2,1/(指数走势!$F$38:$ACK$38&lt;&gt;""),COLUMN(指数走势!$F$38:$ACK$38))-COLUMN(指数走势!$F$38)+1-760+29)=0,NA(),INDEX(指数走势!$F$38:$ACK$38,1,LOOKUP(2,1/(指数走势!$F$38:$ACK$38&lt;&gt;""),COLUMN(指数走势!$F$38:$ACK$38))-COLUMN(指数走势!$F$38)+1-760+29)))</f>
        <v>#N/A</v>
      </c>
      <c r="AE102" s="2" t="e">
        <f>IF(ISERROR(INDEX(指数走势!$F$38:$ACK$38,1,LOOKUP(2,1/(指数走势!$F$38:$ACK$38&lt;&gt;""),COLUMN(指数走势!$F$38:$ACK$38))-COLUMN(指数走势!$F$38)+1-760+30)),NA(),IF(INDEX(指数走势!$F$38:$ACK$38,1,LOOKUP(2,1/(指数走势!$F$38:$ACK$38&lt;&gt;""),COLUMN(指数走势!$F$38:$ACK$38))-COLUMN(指数走势!$F$38)+1-760+30)=0,NA(),INDEX(指数走势!$F$38:$ACK$38,1,LOOKUP(2,1/(指数走势!$F$38:$ACK$38&lt;&gt;""),COLUMN(指数走势!$F$38:$ACK$38))-COLUMN(指数走势!$F$38)+1-760+30)))</f>
        <v>#N/A</v>
      </c>
      <c r="AF102" s="2" t="e">
        <f>IF(ISERROR(INDEX(指数走势!$F$38:$ACK$38,1,LOOKUP(2,1/(指数走势!$F$38:$ACK$38&lt;&gt;""),COLUMN(指数走势!$F$38:$ACK$38))-COLUMN(指数走势!$F$38)+1-760+31)),NA(),IF(INDEX(指数走势!$F$38:$ACK$38,1,LOOKUP(2,1/(指数走势!$F$38:$ACK$38&lt;&gt;""),COLUMN(指数走势!$F$38:$ACK$38))-COLUMN(指数走势!$F$38)+1-760+31)=0,NA(),INDEX(指数走势!$F$38:$ACK$38,1,LOOKUP(2,1/(指数走势!$F$38:$ACK$38&lt;&gt;""),COLUMN(指数走势!$F$38:$ACK$38))-COLUMN(指数走势!$F$38)+1-760+31)))</f>
        <v>#N/A</v>
      </c>
      <c r="AG102" s="2" t="e">
        <f>IF(ISERROR(INDEX(指数走势!$F$38:$ACK$38,1,LOOKUP(2,1/(指数走势!$F$38:$ACK$38&lt;&gt;""),COLUMN(指数走势!$F$38:$ACK$38))-COLUMN(指数走势!$F$38)+1-760+32)),NA(),IF(INDEX(指数走势!$F$38:$ACK$38,1,LOOKUP(2,1/(指数走势!$F$38:$ACK$38&lt;&gt;""),COLUMN(指数走势!$F$38:$ACK$38))-COLUMN(指数走势!$F$38)+1-760+32)=0,NA(),INDEX(指数走势!$F$38:$ACK$38,1,LOOKUP(2,1/(指数走势!$F$38:$ACK$38&lt;&gt;""),COLUMN(指数走势!$F$38:$ACK$38))-COLUMN(指数走势!$F$38)+1-760+32)))</f>
        <v>#N/A</v>
      </c>
      <c r="AH102" s="2" t="e">
        <f>IF(ISERROR(INDEX(指数走势!$F$38:$ACK$38,1,LOOKUP(2,1/(指数走势!$F$38:$ACK$38&lt;&gt;""),COLUMN(指数走势!$F$38:$ACK$38))-COLUMN(指数走势!$F$38)+1-760+33)),NA(),IF(INDEX(指数走势!$F$38:$ACK$38,1,LOOKUP(2,1/(指数走势!$F$38:$ACK$38&lt;&gt;""),COLUMN(指数走势!$F$38:$ACK$38))-COLUMN(指数走势!$F$38)+1-760+33)=0,NA(),INDEX(指数走势!$F$38:$ACK$38,1,LOOKUP(2,1/(指数走势!$F$38:$ACK$38&lt;&gt;""),COLUMN(指数走势!$F$38:$ACK$38))-COLUMN(指数走势!$F$38)+1-760+33)))</f>
        <v>#N/A</v>
      </c>
      <c r="AI102" s="2">
        <f>IF(ISERROR(INDEX(指数走势!$F$38:$ACK$38,1,LOOKUP(2,1/(指数走势!$F$38:$ACK$38&lt;&gt;""),COLUMN(指数走势!$F$38:$ACK$38))-COLUMN(指数走势!$F$38)+1-760+34)),NA(),IF(INDEX(指数走势!$F$38:$ACK$38,1,LOOKUP(2,1/(指数走势!$F$38:$ACK$38&lt;&gt;""),COLUMN(指数走势!$F$38:$ACK$38))-COLUMN(指数走势!$F$38)+1-760+34)=0,NA(),INDEX(指数走势!$F$38:$ACK$38,1,LOOKUP(2,1/(指数走势!$F$38:$ACK$38&lt;&gt;""),COLUMN(指数走势!$F$38:$ACK$38))-COLUMN(指数走势!$F$38)+1-760+34)))</f>
        <v>25.3132991790771</v>
      </c>
      <c r="AJ102" s="2">
        <f>IF(ISERROR(INDEX(指数走势!$F$38:$ACK$38,1,LOOKUP(2,1/(指数走势!$F$38:$ACK$38&lt;&gt;""),COLUMN(指数走势!$F$38:$ACK$38))-COLUMN(指数走势!$F$38)+1-760+35)),NA(),IF(INDEX(指数走势!$F$38:$ACK$38,1,LOOKUP(2,1/(指数走势!$F$38:$ACK$38&lt;&gt;""),COLUMN(指数走势!$F$38:$ACK$38))-COLUMN(指数走势!$F$38)+1-760+35)=0,NA(),INDEX(指数走势!$F$38:$ACK$38,1,LOOKUP(2,1/(指数走势!$F$38:$ACK$38&lt;&gt;""),COLUMN(指数走势!$F$38:$ACK$38))-COLUMN(指数走势!$F$38)+1-760+35)))</f>
        <v>25.1096992492676</v>
      </c>
      <c r="AK102" s="2">
        <f>IF(ISERROR(INDEX(指数走势!$F$38:$ACK$38,1,LOOKUP(2,1/(指数走势!$F$38:$ACK$38&lt;&gt;""),COLUMN(指数走势!$F$38:$ACK$38))-COLUMN(指数走势!$F$38)+1-760+36)),NA(),IF(INDEX(指数走势!$F$38:$ACK$38,1,LOOKUP(2,1/(指数走势!$F$38:$ACK$38&lt;&gt;""),COLUMN(指数走势!$F$38:$ACK$38))-COLUMN(指数走势!$F$38)+1-760+36)=0,NA(),INDEX(指数走势!$F$38:$ACK$38,1,LOOKUP(2,1/(指数走势!$F$38:$ACK$38&lt;&gt;""),COLUMN(指数走势!$F$38:$ACK$38))-COLUMN(指数走势!$F$38)+1-760+36)))</f>
        <v>25.066499710083</v>
      </c>
      <c r="AL102" s="2">
        <f>IF(ISERROR(INDEX(指数走势!$F$38:$ACK$38,1,LOOKUP(2,1/(指数走势!$F$38:$ACK$38&lt;&gt;""),COLUMN(指数走势!$F$38:$ACK$38))-COLUMN(指数走势!$F$38)+1-760+37)),NA(),IF(INDEX(指数走势!$F$38:$ACK$38,1,LOOKUP(2,1/(指数走势!$F$38:$ACK$38&lt;&gt;""),COLUMN(指数走势!$F$38:$ACK$38))-COLUMN(指数走势!$F$38)+1-760+37)=0,NA(),INDEX(指数走势!$F$38:$ACK$38,1,LOOKUP(2,1/(指数走势!$F$38:$ACK$38&lt;&gt;""),COLUMN(指数走势!$F$38:$ACK$38))-COLUMN(指数走势!$F$38)+1-760+37)))</f>
        <v>25.4284000396729</v>
      </c>
      <c r="AM102" s="2">
        <f>IF(ISERROR(INDEX(指数走势!$F$38:$ACK$38,1,LOOKUP(2,1/(指数走势!$F$38:$ACK$38&lt;&gt;""),COLUMN(指数走势!$F$38:$ACK$38))-COLUMN(指数走势!$F$38)+1-760+38)),NA(),IF(INDEX(指数走势!$F$38:$ACK$38,1,LOOKUP(2,1/(指数走势!$F$38:$ACK$38&lt;&gt;""),COLUMN(指数走势!$F$38:$ACK$38))-COLUMN(指数走势!$F$38)+1-760+38)=0,NA(),INDEX(指数走势!$F$38:$ACK$38,1,LOOKUP(2,1/(指数走势!$F$38:$ACK$38&lt;&gt;""),COLUMN(指数走势!$F$38:$ACK$38))-COLUMN(指数走势!$F$38)+1-760+38)))</f>
        <v>25.8530006408691</v>
      </c>
      <c r="AN102" s="2">
        <f>IF(ISERROR(INDEX(指数走势!$F$38:$ACK$38,1,LOOKUP(2,1/(指数走势!$F$38:$ACK$38&lt;&gt;""),COLUMN(指数走势!$F$38:$ACK$38))-COLUMN(指数走势!$F$38)+1-760+39)),NA(),IF(INDEX(指数走势!$F$38:$ACK$38,1,LOOKUP(2,1/(指数走势!$F$38:$ACK$38&lt;&gt;""),COLUMN(指数走势!$F$38:$ACK$38))-COLUMN(指数走势!$F$38)+1-760+39)=0,NA(),INDEX(指数走势!$F$38:$ACK$38,1,LOOKUP(2,1/(指数走势!$F$38:$ACK$38&lt;&gt;""),COLUMN(指数走势!$F$38:$ACK$38))-COLUMN(指数走势!$F$38)+1-760+39)))</f>
        <v>26.3320007324219</v>
      </c>
      <c r="AO102" s="2">
        <f>IF(ISERROR(INDEX(指数走势!$F$38:$ACK$38,1,LOOKUP(2,1/(指数走势!$F$38:$ACK$38&lt;&gt;""),COLUMN(指数走势!$F$38:$ACK$38))-COLUMN(指数走势!$F$38)+1-760+40)),NA(),IF(INDEX(指数走势!$F$38:$ACK$38,1,LOOKUP(2,1/(指数走势!$F$38:$ACK$38&lt;&gt;""),COLUMN(指数走势!$F$38:$ACK$38))-COLUMN(指数走势!$F$38)+1-760+40)=0,NA(),INDEX(指数走势!$F$38:$ACK$38,1,LOOKUP(2,1/(指数走势!$F$38:$ACK$38&lt;&gt;""),COLUMN(指数走势!$F$38:$ACK$38))-COLUMN(指数走势!$F$38)+1-760+40)))</f>
        <v>27.2712001800537</v>
      </c>
      <c r="AP102" s="2">
        <f>IF(ISERROR(INDEX(指数走势!$F$38:$ACK$38,1,LOOKUP(2,1/(指数走势!$F$38:$ACK$38&lt;&gt;""),COLUMN(指数走势!$F$38:$ACK$38))-COLUMN(指数走势!$F$38)+1-760+41)),NA(),IF(INDEX(指数走势!$F$38:$ACK$38,1,LOOKUP(2,1/(指数走势!$F$38:$ACK$38&lt;&gt;""),COLUMN(指数走势!$F$38:$ACK$38))-COLUMN(指数走势!$F$38)+1-760+41)=0,NA(),INDEX(指数走势!$F$38:$ACK$38,1,LOOKUP(2,1/(指数走势!$F$38:$ACK$38&lt;&gt;""),COLUMN(指数走势!$F$38:$ACK$38))-COLUMN(指数走势!$F$38)+1-760+41)))</f>
        <v>27.3031997680664</v>
      </c>
      <c r="AQ102" s="2">
        <f>IF(ISERROR(INDEX(指数走势!$F$38:$ACK$38,1,LOOKUP(2,1/(指数走势!$F$38:$ACK$38&lt;&gt;""),COLUMN(指数走势!$F$38:$ACK$38))-COLUMN(指数走势!$F$38)+1-760+42)),NA(),IF(INDEX(指数走势!$F$38:$ACK$38,1,LOOKUP(2,1/(指数走势!$F$38:$ACK$38&lt;&gt;""),COLUMN(指数走势!$F$38:$ACK$38))-COLUMN(指数走势!$F$38)+1-760+42)=0,NA(),INDEX(指数走势!$F$38:$ACK$38,1,LOOKUP(2,1/(指数走势!$F$38:$ACK$38&lt;&gt;""),COLUMN(指数走势!$F$38:$ACK$38))-COLUMN(指数走势!$F$38)+1-760+42)))</f>
        <v>27.3031997680664</v>
      </c>
      <c r="AR102" s="2">
        <f>IF(ISERROR(INDEX(指数走势!$F$38:$ACK$38,1,LOOKUP(2,1/(指数走势!$F$38:$ACK$38&lt;&gt;""),COLUMN(指数走势!$F$38:$ACK$38))-COLUMN(指数走势!$F$38)+1-760+43)),NA(),IF(INDEX(指数走势!$F$38:$ACK$38,1,LOOKUP(2,1/(指数走势!$F$38:$ACK$38&lt;&gt;""),COLUMN(指数走势!$F$38:$ACK$38))-COLUMN(指数走势!$F$38)+1-760+43)=0,NA(),INDEX(指数走势!$F$38:$ACK$38,1,LOOKUP(2,1/(指数走势!$F$38:$ACK$38&lt;&gt;""),COLUMN(指数走势!$F$38:$ACK$38))-COLUMN(指数走势!$F$38)+1-760+43)))</f>
        <v>26.4244003295898</v>
      </c>
      <c r="AS102" s="2">
        <f>IF(ISERROR(INDEX(指数走势!$F$38:$ACK$38,1,LOOKUP(2,1/(指数走势!$F$38:$ACK$38&lt;&gt;""),COLUMN(指数走势!$F$38:$ACK$38))-COLUMN(指数走势!$F$38)+1-760+44)),NA(),IF(INDEX(指数走势!$F$38:$ACK$38,1,LOOKUP(2,1/(指数走势!$F$38:$ACK$38&lt;&gt;""),COLUMN(指数走势!$F$38:$ACK$38))-COLUMN(指数走势!$F$38)+1-760+44)=0,NA(),INDEX(指数走势!$F$38:$ACK$38,1,LOOKUP(2,1/(指数走势!$F$38:$ACK$38&lt;&gt;""),COLUMN(指数走势!$F$38:$ACK$38))-COLUMN(指数走势!$F$38)+1-760+44)))</f>
        <v>26.300500869751</v>
      </c>
      <c r="AT102" s="2">
        <f>IF(ISERROR(INDEX(指数走势!$F$38:$ACK$38,1,LOOKUP(2,1/(指数走势!$F$38:$ACK$38&lt;&gt;""),COLUMN(指数走势!$F$38:$ACK$38))-COLUMN(指数走势!$F$38)+1-760+45)),NA(),IF(INDEX(指数走势!$F$38:$ACK$38,1,LOOKUP(2,1/(指数走势!$F$38:$ACK$38&lt;&gt;""),COLUMN(指数走势!$F$38:$ACK$38))-COLUMN(指数走势!$F$38)+1-760+45)=0,NA(),INDEX(指数走势!$F$38:$ACK$38,1,LOOKUP(2,1/(指数走势!$F$38:$ACK$38&lt;&gt;""),COLUMN(指数走势!$F$38:$ACK$38))-COLUMN(指数走势!$F$38)+1-760+45)))</f>
        <v>25.9246006011963</v>
      </c>
      <c r="AU102" s="2">
        <f>IF(ISERROR(INDEX(指数走势!$F$38:$ACK$38,1,LOOKUP(2,1/(指数走势!$F$38:$ACK$38&lt;&gt;""),COLUMN(指数走势!$F$38:$ACK$38))-COLUMN(指数走势!$F$38)+1-760+46)),NA(),IF(INDEX(指数走势!$F$38:$ACK$38,1,LOOKUP(2,1/(指数走势!$F$38:$ACK$38&lt;&gt;""),COLUMN(指数走势!$F$38:$ACK$38))-COLUMN(指数走势!$F$38)+1-760+46)=0,NA(),INDEX(指数走势!$F$38:$ACK$38,1,LOOKUP(2,1/(指数走势!$F$38:$ACK$38&lt;&gt;""),COLUMN(指数走势!$F$38:$ACK$38))-COLUMN(指数走势!$F$38)+1-760+46)))</f>
        <v>26.1245994567871</v>
      </c>
      <c r="AV102" s="2">
        <f>IF(ISERROR(INDEX(指数走势!$F$38:$ACK$38,1,LOOKUP(2,1/(指数走势!$F$38:$ACK$38&lt;&gt;""),COLUMN(指数走势!$F$38:$ACK$38))-COLUMN(指数走势!$F$38)+1-760+47)),NA(),IF(INDEX(指数走势!$F$38:$ACK$38,1,LOOKUP(2,1/(指数走势!$F$38:$ACK$38&lt;&gt;""),COLUMN(指数走势!$F$38:$ACK$38))-COLUMN(指数走势!$F$38)+1-760+47)=0,NA(),INDEX(指数走势!$F$38:$ACK$38,1,LOOKUP(2,1/(指数走势!$F$38:$ACK$38&lt;&gt;""),COLUMN(指数走势!$F$38:$ACK$38))-COLUMN(指数走势!$F$38)+1-760+47)))</f>
        <v>25.5499000549316</v>
      </c>
      <c r="AW102" s="2">
        <f>IF(ISERROR(INDEX(指数走势!$F$38:$ACK$38,1,LOOKUP(2,1/(指数走势!$F$38:$ACK$38&lt;&gt;""),COLUMN(指数走势!$F$38:$ACK$38))-COLUMN(指数走势!$F$38)+1-760+48)),NA(),IF(INDEX(指数走势!$F$38:$ACK$38,1,LOOKUP(2,1/(指数走势!$F$38:$ACK$38&lt;&gt;""),COLUMN(指数走势!$F$38:$ACK$38))-COLUMN(指数走势!$F$38)+1-760+48)=0,NA(),INDEX(指数走势!$F$38:$ACK$38,1,LOOKUP(2,1/(指数走势!$F$38:$ACK$38&lt;&gt;""),COLUMN(指数走势!$F$38:$ACK$38))-COLUMN(指数走势!$F$38)+1-760+48)))</f>
        <v>27.1432991027832</v>
      </c>
      <c r="AX102" s="2">
        <f>IF(ISERROR(INDEX(指数走势!$F$38:$ACK$38,1,LOOKUP(2,1/(指数走势!$F$38:$ACK$38&lt;&gt;""),COLUMN(指数走势!$F$38:$ACK$38))-COLUMN(指数走势!$F$38)+1-760+49)),NA(),IF(INDEX(指数走势!$F$38:$ACK$38,1,LOOKUP(2,1/(指数走势!$F$38:$ACK$38&lt;&gt;""),COLUMN(指数走势!$F$38:$ACK$38))-COLUMN(指数走势!$F$38)+1-760+49)=0,NA(),INDEX(指数走势!$F$38:$ACK$38,1,LOOKUP(2,1/(指数走势!$F$38:$ACK$38&lt;&gt;""),COLUMN(指数走势!$F$38:$ACK$38))-COLUMN(指数走势!$F$38)+1-760+49)))</f>
        <v>26.9001007080078</v>
      </c>
      <c r="AY102" s="2">
        <f>IF(ISERROR(INDEX(指数走势!$F$38:$ACK$38,1,LOOKUP(2,1/(指数走势!$F$38:$ACK$38&lt;&gt;""),COLUMN(指数走势!$F$38:$ACK$38))-COLUMN(指数走势!$F$38)+1-760+50)),NA(),IF(INDEX(指数走势!$F$38:$ACK$38,1,LOOKUP(2,1/(指数走势!$F$38:$ACK$38&lt;&gt;""),COLUMN(指数走势!$F$38:$ACK$38))-COLUMN(指数走势!$F$38)+1-760+50)=0,NA(),INDEX(指数走势!$F$38:$ACK$38,1,LOOKUP(2,1/(指数走势!$F$38:$ACK$38&lt;&gt;""),COLUMN(指数走势!$F$38:$ACK$38))-COLUMN(指数走势!$F$38)+1-760+50)))</f>
        <v>27.4167003631592</v>
      </c>
      <c r="AZ102" s="2">
        <f>IF(ISERROR(INDEX(指数走势!$F$38:$ACK$38,1,LOOKUP(2,1/(指数走势!$F$38:$ACK$38&lt;&gt;""),COLUMN(指数走势!$F$38:$ACK$38))-COLUMN(指数走势!$F$38)+1-760+51)),NA(),IF(INDEX(指数走势!$F$38:$ACK$38,1,LOOKUP(2,1/(指数走势!$F$38:$ACK$38&lt;&gt;""),COLUMN(指数走势!$F$38:$ACK$38))-COLUMN(指数走势!$F$38)+1-760+51)=0,NA(),INDEX(指数走势!$F$38:$ACK$38,1,LOOKUP(2,1/(指数走势!$F$38:$ACK$38&lt;&gt;""),COLUMN(指数走势!$F$38:$ACK$38))-COLUMN(指数走势!$F$38)+1-760+51)))</f>
        <v>27.9897003173828</v>
      </c>
      <c r="BA102" s="2">
        <f>IF(ISERROR(INDEX(指数走势!$F$38:$ACK$38,1,LOOKUP(2,1/(指数走势!$F$38:$ACK$38&lt;&gt;""),COLUMN(指数走势!$F$38:$ACK$38))-COLUMN(指数走势!$F$38)+1-760+52)),NA(),IF(INDEX(指数走势!$F$38:$ACK$38,1,LOOKUP(2,1/(指数走势!$F$38:$ACK$38&lt;&gt;""),COLUMN(指数走势!$F$38:$ACK$38))-COLUMN(指数走势!$F$38)+1-760+52)=0,NA(),INDEX(指数走势!$F$38:$ACK$38,1,LOOKUP(2,1/(指数走势!$F$38:$ACK$38&lt;&gt;""),COLUMN(指数走势!$F$38:$ACK$38))-COLUMN(指数走势!$F$38)+1-760+52)))</f>
        <v>28.4715003967285</v>
      </c>
      <c r="BB102" s="2">
        <f>IF(ISERROR(INDEX(指数走势!$F$38:$ACK$38,1,LOOKUP(2,1/(指数走势!$F$38:$ACK$38&lt;&gt;""),COLUMN(指数走势!$F$38:$ACK$38))-COLUMN(指数走势!$F$38)+1-760+53)),NA(),IF(INDEX(指数走势!$F$38:$ACK$38,1,LOOKUP(2,1/(指数走势!$F$38:$ACK$38&lt;&gt;""),COLUMN(指数走势!$F$38:$ACK$38))-COLUMN(指数走势!$F$38)+1-760+53)=0,NA(),INDEX(指数走势!$F$38:$ACK$38,1,LOOKUP(2,1/(指数走势!$F$38:$ACK$38&lt;&gt;""),COLUMN(指数走势!$F$38:$ACK$38))-COLUMN(指数走势!$F$38)+1-760+53)))</f>
        <v>28.4615993499756</v>
      </c>
      <c r="BC102" s="2">
        <f>IF(ISERROR(INDEX(指数走势!$F$38:$ACK$38,1,LOOKUP(2,1/(指数走势!$F$38:$ACK$38&lt;&gt;""),COLUMN(指数走势!$F$38:$ACK$38))-COLUMN(指数走势!$F$38)+1-760+54)),NA(),IF(INDEX(指数走势!$F$38:$ACK$38,1,LOOKUP(2,1/(指数走势!$F$38:$ACK$38&lt;&gt;""),COLUMN(指数走势!$F$38:$ACK$38))-COLUMN(指数走势!$F$38)+1-760+54)=0,NA(),INDEX(指数走势!$F$38:$ACK$38,1,LOOKUP(2,1/(指数走势!$F$38:$ACK$38&lt;&gt;""),COLUMN(指数走势!$F$38:$ACK$38))-COLUMN(指数走势!$F$38)+1-760+54)))</f>
        <v>27.5727005004883</v>
      </c>
      <c r="BD102" s="2">
        <f>IF(ISERROR(INDEX(指数走势!$F$38:$ACK$38,1,LOOKUP(2,1/(指数走势!$F$38:$ACK$38&lt;&gt;""),COLUMN(指数走势!$F$38:$ACK$38))-COLUMN(指数走势!$F$38)+1-760+55)),NA(),IF(INDEX(指数走势!$F$38:$ACK$38,1,LOOKUP(2,1/(指数走势!$F$38:$ACK$38&lt;&gt;""),COLUMN(指数走势!$F$38:$ACK$38))-COLUMN(指数走势!$F$38)+1-760+55)=0,NA(),INDEX(指数走势!$F$38:$ACK$38,1,LOOKUP(2,1/(指数走势!$F$38:$ACK$38&lt;&gt;""),COLUMN(指数走势!$F$38:$ACK$38))-COLUMN(指数走势!$F$38)+1-760+55)))</f>
        <v>27.4769992828369</v>
      </c>
      <c r="BE102" s="2">
        <f>IF(ISERROR(INDEX(指数走势!$F$38:$ACK$38,1,LOOKUP(2,1/(指数走势!$F$38:$ACK$38&lt;&gt;""),COLUMN(指数走势!$F$38:$ACK$38))-COLUMN(指数走势!$F$38)+1-760+56)),NA(),IF(INDEX(指数走势!$F$38:$ACK$38,1,LOOKUP(2,1/(指数走势!$F$38:$ACK$38&lt;&gt;""),COLUMN(指数走势!$F$38:$ACK$38))-COLUMN(指数走势!$F$38)+1-760+56)=0,NA(),INDEX(指数走势!$F$38:$ACK$38,1,LOOKUP(2,1/(指数走势!$F$38:$ACK$38&lt;&gt;""),COLUMN(指数走势!$F$38:$ACK$38))-COLUMN(指数走势!$F$38)+1-760+56)))</f>
        <v>27.9419002532959</v>
      </c>
      <c r="BF102" s="2">
        <f>IF(ISERROR(INDEX(指数走势!$F$38:$ACK$38,1,LOOKUP(2,1/(指数走势!$F$38:$ACK$38&lt;&gt;""),COLUMN(指数走势!$F$38:$ACK$38))-COLUMN(指数走势!$F$38)+1-760+57)),NA(),IF(INDEX(指数走势!$F$38:$ACK$38,1,LOOKUP(2,1/(指数走势!$F$38:$ACK$38&lt;&gt;""),COLUMN(指数走势!$F$38:$ACK$38))-COLUMN(指数走势!$F$38)+1-760+57)=0,NA(),INDEX(指数走势!$F$38:$ACK$38,1,LOOKUP(2,1/(指数走势!$F$38:$ACK$38&lt;&gt;""),COLUMN(指数走势!$F$38:$ACK$38))-COLUMN(指数走势!$F$38)+1-760+57)))</f>
        <v>27.918399810791</v>
      </c>
      <c r="BG102" s="2">
        <f>IF(ISERROR(INDEX(指数走势!$F$38:$ACK$38,1,LOOKUP(2,1/(指数走势!$F$38:$ACK$38&lt;&gt;""),COLUMN(指数走势!$F$38:$ACK$38))-COLUMN(指数走势!$F$38)+1-760+58)),NA(),IF(INDEX(指数走势!$F$38:$ACK$38,1,LOOKUP(2,1/(指数走势!$F$38:$ACK$38&lt;&gt;""),COLUMN(指数走势!$F$38:$ACK$38))-COLUMN(指数走势!$F$38)+1-760+58)=0,NA(),INDEX(指数走势!$F$38:$ACK$38,1,LOOKUP(2,1/(指数走势!$F$38:$ACK$38&lt;&gt;""),COLUMN(指数走势!$F$38:$ACK$38))-COLUMN(指数走势!$F$38)+1-760+58)))</f>
        <v>26.9762992858887</v>
      </c>
      <c r="BH102" s="2">
        <f>IF(ISERROR(INDEX(指数走势!$F$38:$ACK$38,1,LOOKUP(2,1/(指数走势!$F$38:$ACK$38&lt;&gt;""),COLUMN(指数走势!$F$38:$ACK$38))-COLUMN(指数走势!$F$38)+1-760+59)),NA(),IF(INDEX(指数走势!$F$38:$ACK$38,1,LOOKUP(2,1/(指数走势!$F$38:$ACK$38&lt;&gt;""),COLUMN(指数走势!$F$38:$ACK$38))-COLUMN(指数走势!$F$38)+1-760+59)=0,NA(),INDEX(指数走势!$F$38:$ACK$38,1,LOOKUP(2,1/(指数走势!$F$38:$ACK$38&lt;&gt;""),COLUMN(指数走势!$F$38:$ACK$38))-COLUMN(指数走势!$F$38)+1-760+59)))</f>
        <v>27.0949993133545</v>
      </c>
      <c r="BI102">
        <f>IF(ISERROR(INDEX(指数走势!$F$38:$ACK$38,1,LOOKUP(2,1/(指数走势!$F$38:$ACK$38&lt;&gt;""),COLUMN(指数走势!$F$38:$ACK$38))-COLUMN(指数走势!$F$38)+1-760+60)),NA(),IF(INDEX(指数走势!$F$38:$ACK$38,1,LOOKUP(2,1/(指数走势!$F$38:$ACK$38&lt;&gt;""),COLUMN(指数走势!$F$38:$ACK$38))-COLUMN(指数走势!$F$38)+1-760+60)=0,NA(),INDEX(指数走势!$F$38:$ACK$38,1,LOOKUP(2,1/(指数走势!$F$38:$ACK$38&lt;&gt;""),COLUMN(指数走势!$F$38:$ACK$38))-COLUMN(指数走势!$F$38)+1-760+60)))</f>
        <v>26.6364994049072</v>
      </c>
      <c r="BJ102">
        <f>IF(ISERROR(INDEX(指数走势!$F$38:$ACK$38,1,LOOKUP(2,1/(指数走势!$F$38:$ACK$38&lt;&gt;""),COLUMN(指数走势!$F$38:$ACK$38))-COLUMN(指数走势!$F$38)+1-760+61)),NA(),IF(INDEX(指数走势!$F$38:$ACK$38,1,LOOKUP(2,1/(指数走势!$F$38:$ACK$38&lt;&gt;""),COLUMN(指数走势!$F$38:$ACK$38))-COLUMN(指数走势!$F$38)+1-760+61)=0,NA(),INDEX(指数走势!$F$38:$ACK$38,1,LOOKUP(2,1/(指数走势!$F$38:$ACK$38&lt;&gt;""),COLUMN(指数走势!$F$38:$ACK$38))-COLUMN(指数走势!$F$38)+1-760+61)))</f>
        <v>26.2180004119873</v>
      </c>
      <c r="BK102">
        <f>IF(ISERROR(INDEX(指数走势!$F$38:$ACK$38,1,LOOKUP(2,1/(指数走势!$F$38:$ACK$38&lt;&gt;""),COLUMN(指数走势!$F$38:$ACK$38))-COLUMN(指数走势!$F$38)+1-760+62)),NA(),IF(INDEX(指数走势!$F$38:$ACK$38,1,LOOKUP(2,1/(指数走势!$F$38:$ACK$38&lt;&gt;""),COLUMN(指数走势!$F$38:$ACK$38))-COLUMN(指数走势!$F$38)+1-760+62)=0,NA(),INDEX(指数走势!$F$38:$ACK$38,1,LOOKUP(2,1/(指数走势!$F$38:$ACK$38&lt;&gt;""),COLUMN(指数走势!$F$38:$ACK$38))-COLUMN(指数走势!$F$38)+1-760+62)))</f>
        <v>25.8446998596191</v>
      </c>
      <c r="BL102">
        <f>IF(ISERROR(INDEX(指数走势!$F$38:$ACK$38,1,LOOKUP(2,1/(指数走势!$F$38:$ACK$38&lt;&gt;""),COLUMN(指数走势!$F$38:$ACK$38))-COLUMN(指数走势!$F$38)+1-760+63)),NA(),IF(INDEX(指数走势!$F$38:$ACK$38,1,LOOKUP(2,1/(指数走势!$F$38:$ACK$38&lt;&gt;""),COLUMN(指数走势!$F$38:$ACK$38))-COLUMN(指数走势!$F$38)+1-760+63)=0,NA(),INDEX(指数走势!$F$38:$ACK$38,1,LOOKUP(2,1/(指数走势!$F$38:$ACK$38&lt;&gt;""),COLUMN(指数走势!$F$38:$ACK$38))-COLUMN(指数走势!$F$38)+1-760+63)))</f>
        <v>25.6558990478516</v>
      </c>
      <c r="BM102">
        <f>IF(ISERROR(INDEX(指数走势!$F$38:$ACK$38,1,LOOKUP(2,1/(指数走势!$F$38:$ACK$38&lt;&gt;""),COLUMN(指数走势!$F$38:$ACK$38))-COLUMN(指数走势!$F$38)+1-760+64)),NA(),IF(INDEX(指数走势!$F$38:$ACK$38,1,LOOKUP(2,1/(指数走势!$F$38:$ACK$38&lt;&gt;""),COLUMN(指数走势!$F$38:$ACK$38))-COLUMN(指数走势!$F$38)+1-760+64)=0,NA(),INDEX(指数走势!$F$38:$ACK$38,1,LOOKUP(2,1/(指数走势!$F$38:$ACK$38&lt;&gt;""),COLUMN(指数走势!$F$38:$ACK$38))-COLUMN(指数走势!$F$38)+1-760+64)))</f>
        <v>25.3132991790771</v>
      </c>
      <c r="BN102">
        <f>IF(ISERROR(INDEX(指数走势!$F$38:$ACK$38,1,LOOKUP(2,1/(指数走势!$F$38:$ACK$38&lt;&gt;""),COLUMN(指数走势!$F$38:$ACK$38))-COLUMN(指数走势!$F$38)+1-760+65)),NA(),IF(INDEX(指数走势!$F$38:$ACK$38,1,LOOKUP(2,1/(指数走势!$F$38:$ACK$38&lt;&gt;""),COLUMN(指数走势!$F$38:$ACK$38))-COLUMN(指数走势!$F$38)+1-760+65)=0,NA(),INDEX(指数走势!$F$38:$ACK$38,1,LOOKUP(2,1/(指数走势!$F$38:$ACK$38&lt;&gt;""),COLUMN(指数走势!$F$38:$ACK$38))-COLUMN(指数走势!$F$38)+1-760+65)))</f>
        <v>25.619800567627</v>
      </c>
      <c r="BO102">
        <f>IF(ISERROR(INDEX(指数走势!$F$38:$ACK$38,1,LOOKUP(2,1/(指数走势!$F$38:$ACK$38&lt;&gt;""),COLUMN(指数走势!$F$38:$ACK$38))-COLUMN(指数走势!$F$38)+1-760+66)),NA(),IF(INDEX(指数走势!$F$38:$ACK$38,1,LOOKUP(2,1/(指数走势!$F$38:$ACK$38&lt;&gt;""),COLUMN(指数走势!$F$38:$ACK$38))-COLUMN(指数走势!$F$38)+1-760+66)=0,NA(),INDEX(指数走势!$F$38:$ACK$38,1,LOOKUP(2,1/(指数走势!$F$38:$ACK$38&lt;&gt;""),COLUMN(指数走势!$F$38:$ACK$38))-COLUMN(指数走势!$F$38)+1-760+66)))</f>
        <v>24.7628002166748</v>
      </c>
      <c r="BP102">
        <f>IF(ISERROR(INDEX(指数走势!$F$38:$ACK$38,1,LOOKUP(2,1/(指数走势!$F$38:$ACK$38&lt;&gt;""),COLUMN(指数走势!$F$38:$ACK$38))-COLUMN(指数走势!$F$38)+1-760+67)),NA(),IF(INDEX(指数走势!$F$38:$ACK$38,1,LOOKUP(2,1/(指数走势!$F$38:$ACK$38&lt;&gt;""),COLUMN(指数走势!$F$38:$ACK$38))-COLUMN(指数走势!$F$38)+1-760+67)=0,NA(),INDEX(指数走势!$F$38:$ACK$38,1,LOOKUP(2,1/(指数走势!$F$38:$ACK$38&lt;&gt;""),COLUMN(指数走势!$F$38:$ACK$38))-COLUMN(指数走势!$F$38)+1-760+67)))</f>
        <v>24.2703990936279</v>
      </c>
      <c r="BQ102">
        <f>IF(ISERROR(INDEX(指数走势!$F$38:$ACK$38,1,LOOKUP(2,1/(指数走势!$F$38:$ACK$38&lt;&gt;""),COLUMN(指数走势!$F$38:$ACK$38))-COLUMN(指数走势!$F$38)+1-760+68)),NA(),IF(INDEX(指数走势!$F$38:$ACK$38,1,LOOKUP(2,1/(指数走势!$F$38:$ACK$38&lt;&gt;""),COLUMN(指数走势!$F$38:$ACK$38))-COLUMN(指数走势!$F$38)+1-760+68)=0,NA(),INDEX(指数走势!$F$38:$ACK$38,1,LOOKUP(2,1/(指数走势!$F$38:$ACK$38&lt;&gt;""),COLUMN(指数走势!$F$38:$ACK$38))-COLUMN(指数走势!$F$38)+1-760+68)))</f>
        <v>24.2264995574951</v>
      </c>
      <c r="BR102">
        <f>IF(ISERROR(INDEX(指数走势!$F$38:$ACK$38,1,LOOKUP(2,1/(指数走势!$F$38:$ACK$38&lt;&gt;""),COLUMN(指数走势!$F$38:$ACK$38))-COLUMN(指数走势!$F$38)+1-760+69)),NA(),IF(INDEX(指数走势!$F$38:$ACK$38,1,LOOKUP(2,1/(指数走势!$F$38:$ACK$38&lt;&gt;""),COLUMN(指数走势!$F$38:$ACK$38))-COLUMN(指数走势!$F$38)+1-760+69)=0,NA(),INDEX(指数走势!$F$38:$ACK$38,1,LOOKUP(2,1/(指数走势!$F$38:$ACK$38&lt;&gt;""),COLUMN(指数走势!$F$38:$ACK$38))-COLUMN(指数走势!$F$38)+1-760+69)))</f>
        <v>24.2548999786377</v>
      </c>
      <c r="BS102">
        <f>IF(ISERROR(INDEX(指数走势!$F$38:$ACK$38,1,LOOKUP(2,1/(指数走势!$F$38:$ACK$38&lt;&gt;""),COLUMN(指数走势!$F$38:$ACK$38))-COLUMN(指数走势!$F$38)+1-760+70)),NA(),IF(INDEX(指数走势!$F$38:$ACK$38,1,LOOKUP(2,1/(指数走势!$F$38:$ACK$38&lt;&gt;""),COLUMN(指数走势!$F$38:$ACK$38))-COLUMN(指数走势!$F$38)+1-760+70)=0,NA(),INDEX(指数走势!$F$38:$ACK$38,1,LOOKUP(2,1/(指数走势!$F$38:$ACK$38&lt;&gt;""),COLUMN(指数走势!$F$38:$ACK$38))-COLUMN(指数走势!$F$38)+1-760+70)))</f>
        <v>24.4573993682861</v>
      </c>
      <c r="BT102">
        <f>IF(ISERROR(INDEX(指数走势!$F$38:$ACK$38,1,LOOKUP(2,1/(指数走势!$F$38:$ACK$38&lt;&gt;""),COLUMN(指数走势!$F$38:$ACK$38))-COLUMN(指数走势!$F$38)+1-760+71)),NA(),IF(INDEX(指数走势!$F$38:$ACK$38,1,LOOKUP(2,1/(指数走势!$F$38:$ACK$38&lt;&gt;""),COLUMN(指数走势!$F$38:$ACK$38))-COLUMN(指数走势!$F$38)+1-760+71)=0,NA(),INDEX(指数走势!$F$38:$ACK$38,1,LOOKUP(2,1/(指数走势!$F$38:$ACK$38&lt;&gt;""),COLUMN(指数走势!$F$38:$ACK$38))-COLUMN(指数走势!$F$38)+1-760+71)))</f>
        <v>23.9221992492676</v>
      </c>
      <c r="BU102">
        <f>IF(ISERROR(INDEX(指数走势!$F$38:$ACK$38,1,LOOKUP(2,1/(指数走势!$F$38:$ACK$38&lt;&gt;""),COLUMN(指数走势!$F$38:$ACK$38))-COLUMN(指数走势!$F$38)+1-760+72)),NA(),IF(INDEX(指数走势!$F$38:$ACK$38,1,LOOKUP(2,1/(指数走势!$F$38:$ACK$38&lt;&gt;""),COLUMN(指数走势!$F$38:$ACK$38))-COLUMN(指数走势!$F$38)+1-760+72)=0,NA(),INDEX(指数走势!$F$38:$ACK$38,1,LOOKUP(2,1/(指数走势!$F$38:$ACK$38&lt;&gt;""),COLUMN(指数走势!$F$38:$ACK$38))-COLUMN(指数走势!$F$38)+1-760+72)))</f>
        <v>24.1788005828857</v>
      </c>
      <c r="BV102">
        <f>IF(ISERROR(INDEX(指数走势!$F$38:$ACK$38,1,LOOKUP(2,1/(指数走势!$F$38:$ACK$38&lt;&gt;""),COLUMN(指数走势!$F$38:$ACK$38))-COLUMN(指数走势!$F$38)+1-760+73)),NA(),IF(INDEX(指数走势!$F$38:$ACK$38,1,LOOKUP(2,1/(指数走势!$F$38:$ACK$38&lt;&gt;""),COLUMN(指数走势!$F$38:$ACK$38))-COLUMN(指数走势!$F$38)+1-760+73)=0,NA(),INDEX(指数走势!$F$38:$ACK$38,1,LOOKUP(2,1/(指数走势!$F$38:$ACK$38&lt;&gt;""),COLUMN(指数走势!$F$38:$ACK$38))-COLUMN(指数走势!$F$38)+1-760+73)))</f>
        <v>24.7194995880127</v>
      </c>
      <c r="BW102">
        <f>IF(ISERROR(INDEX(指数走势!$F$38:$ACK$38,1,LOOKUP(2,1/(指数走势!$F$38:$ACK$38&lt;&gt;""),COLUMN(指数走势!$F$38:$ACK$38))-COLUMN(指数走势!$F$38)+1-760+74)),NA(),IF(INDEX(指数走势!$F$38:$ACK$38,1,LOOKUP(2,1/(指数走势!$F$38:$ACK$38&lt;&gt;""),COLUMN(指数走势!$F$38:$ACK$38))-COLUMN(指数走势!$F$38)+1-760+74)=0,NA(),INDEX(指数走势!$F$38:$ACK$38,1,LOOKUP(2,1/(指数走势!$F$38:$ACK$38&lt;&gt;""),COLUMN(指数走势!$F$38:$ACK$38))-COLUMN(指数走势!$F$38)+1-760+74)))</f>
        <v>24.4801006317139</v>
      </c>
      <c r="BX102">
        <f>IF(ISERROR(INDEX(指数走势!$F$38:$ACK$38,1,LOOKUP(2,1/(指数走势!$F$38:$ACK$38&lt;&gt;""),COLUMN(指数走势!$F$38:$ACK$38))-COLUMN(指数走势!$F$38)+1-760+75)),NA(),IF(INDEX(指数走势!$F$38:$ACK$38,1,LOOKUP(2,1/(指数走势!$F$38:$ACK$38&lt;&gt;""),COLUMN(指数走势!$F$38:$ACK$38))-COLUMN(指数走势!$F$38)+1-760+75)=0,NA(),INDEX(指数走势!$F$38:$ACK$38,1,LOOKUP(2,1/(指数走势!$F$38:$ACK$38&lt;&gt;""),COLUMN(指数走势!$F$38:$ACK$38))-COLUMN(指数走势!$F$38)+1-760+75)))</f>
        <v>24.3882007598877</v>
      </c>
      <c r="BY102">
        <f>IF(ISERROR(INDEX(指数走势!$F$38:$ACK$38,1,LOOKUP(2,1/(指数走势!$F$38:$ACK$38&lt;&gt;""),COLUMN(指数走势!$F$38:$ACK$38))-COLUMN(指数走势!$F$38)+1-760+76)),NA(),IF(INDEX(指数走势!$F$38:$ACK$38,1,LOOKUP(2,1/(指数走势!$F$38:$ACK$38&lt;&gt;""),COLUMN(指数走势!$F$38:$ACK$38))-COLUMN(指数走势!$F$38)+1-760+76)=0,NA(),INDEX(指数走势!$F$38:$ACK$38,1,LOOKUP(2,1/(指数走势!$F$38:$ACK$38&lt;&gt;""),COLUMN(指数走势!$F$38:$ACK$38))-COLUMN(指数走势!$F$38)+1-760+76)))</f>
        <v>24.3864002227783</v>
      </c>
      <c r="BZ102">
        <f>IF(ISERROR(INDEX(指数走势!$F$38:$ACK$38,1,LOOKUP(2,1/(指数走势!$F$38:$ACK$38&lt;&gt;""),COLUMN(指数走势!$F$38:$ACK$38))-COLUMN(指数走势!$F$38)+1-760+77)),NA(),IF(INDEX(指数走势!$F$38:$ACK$38,1,LOOKUP(2,1/(指数走势!$F$38:$ACK$38&lt;&gt;""),COLUMN(指数走势!$F$38:$ACK$38))-COLUMN(指数走势!$F$38)+1-760+77)=0,NA(),INDEX(指数走势!$F$38:$ACK$38,1,LOOKUP(2,1/(指数走势!$F$38:$ACK$38&lt;&gt;""),COLUMN(指数走势!$F$38:$ACK$38))-COLUMN(指数走势!$F$38)+1-760+77)))</f>
        <v>25.1336994171143</v>
      </c>
      <c r="CA102">
        <f>IF(ISERROR(INDEX(指数走势!$F$38:$ACK$38,1,LOOKUP(2,1/(指数走势!$F$38:$ACK$38&lt;&gt;""),COLUMN(指数走势!$F$38:$ACK$38))-COLUMN(指数走势!$F$38)+1-760+78)),NA(),IF(INDEX(指数走势!$F$38:$ACK$38,1,LOOKUP(2,1/(指数走势!$F$38:$ACK$38&lt;&gt;""),COLUMN(指数走势!$F$38:$ACK$38))-COLUMN(指数走势!$F$38)+1-760+78)=0,NA(),INDEX(指数走势!$F$38:$ACK$38,1,LOOKUP(2,1/(指数走势!$F$38:$ACK$38&lt;&gt;""),COLUMN(指数走势!$F$38:$ACK$38))-COLUMN(指数走势!$F$38)+1-760+78)))</f>
        <v>24.6306991577148</v>
      </c>
      <c r="CB102">
        <f>IF(ISERROR(INDEX(指数走势!$F$38:$ACK$38,1,LOOKUP(2,1/(指数走势!$F$38:$ACK$38&lt;&gt;""),COLUMN(指数走势!$F$38:$ACK$38))-COLUMN(指数走势!$F$38)+1-760+79)),NA(),IF(INDEX(指数走势!$F$38:$ACK$38,1,LOOKUP(2,1/(指数走势!$F$38:$ACK$38&lt;&gt;""),COLUMN(指数走势!$F$38:$ACK$38))-COLUMN(指数走势!$F$38)+1-760+79)=0,NA(),INDEX(指数走势!$F$38:$ACK$38,1,LOOKUP(2,1/(指数走势!$F$38:$ACK$38&lt;&gt;""),COLUMN(指数走势!$F$38:$ACK$38))-COLUMN(指数走势!$F$38)+1-760+79)))</f>
        <v>24.5272998809814</v>
      </c>
      <c r="CC102">
        <f>IF(ISERROR(INDEX(指数走势!$F$38:$ACK$38,1,LOOKUP(2,1/(指数走势!$F$38:$ACK$38&lt;&gt;""),COLUMN(指数走势!$F$38:$ACK$38))-COLUMN(指数走势!$F$38)+1-760+80)),NA(),IF(INDEX(指数走势!$F$38:$ACK$38,1,LOOKUP(2,1/(指数走势!$F$38:$ACK$38&lt;&gt;""),COLUMN(指数走势!$F$38:$ACK$38))-COLUMN(指数走势!$F$38)+1-760+80)=0,NA(),INDEX(指数走势!$F$38:$ACK$38,1,LOOKUP(2,1/(指数走势!$F$38:$ACK$38&lt;&gt;""),COLUMN(指数走势!$F$38:$ACK$38))-COLUMN(指数走势!$F$38)+1-760+80)))</f>
        <v>24.0527000427246</v>
      </c>
      <c r="CD102">
        <f>IF(ISERROR(INDEX(指数走势!$F$38:$ACK$38,1,LOOKUP(2,1/(指数走势!$F$38:$ACK$38&lt;&gt;""),COLUMN(指数走势!$F$38:$ACK$38))-COLUMN(指数走势!$F$38)+1-760+81)),NA(),IF(INDEX(指数走势!$F$38:$ACK$38,1,LOOKUP(2,1/(指数走势!$F$38:$ACK$38&lt;&gt;""),COLUMN(指数走势!$F$38:$ACK$38))-COLUMN(指数走势!$F$38)+1-760+81)=0,NA(),INDEX(指数走势!$F$38:$ACK$38,1,LOOKUP(2,1/(指数走势!$F$38:$ACK$38&lt;&gt;""),COLUMN(指数走势!$F$38:$ACK$38))-COLUMN(指数走势!$F$38)+1-760+81)))</f>
        <v>24.0527000427246</v>
      </c>
      <c r="CE102">
        <f>IF(ISERROR(INDEX(指数走势!$F$38:$ACK$38,1,LOOKUP(2,1/(指数走势!$F$38:$ACK$38&lt;&gt;""),COLUMN(指数走势!$F$38:$ACK$38))-COLUMN(指数走势!$F$38)+1-760+82)),NA(),IF(INDEX(指数走势!$F$38:$ACK$38,1,LOOKUP(2,1/(指数走势!$F$38:$ACK$38&lt;&gt;""),COLUMN(指数走势!$F$38:$ACK$38))-COLUMN(指数走势!$F$38)+1-760+82)=0,NA(),INDEX(指数走势!$F$38:$ACK$38,1,LOOKUP(2,1/(指数走势!$F$38:$ACK$38&lt;&gt;""),COLUMN(指数走势!$F$38:$ACK$38))-COLUMN(指数走势!$F$38)+1-760+82)))</f>
        <v>23.9892997741699</v>
      </c>
      <c r="CF102">
        <f>IF(ISERROR(INDEX(指数走势!$F$38:$ACK$38,1,LOOKUP(2,1/(指数走势!$F$38:$ACK$38&lt;&gt;""),COLUMN(指数走势!$F$38:$ACK$38))-COLUMN(指数走势!$F$38)+1-760+83)),NA(),IF(INDEX(指数走势!$F$38:$ACK$38,1,LOOKUP(2,1/(指数走势!$F$38:$ACK$38&lt;&gt;""),COLUMN(指数走势!$F$38:$ACK$38))-COLUMN(指数走势!$F$38)+1-760+83)=0,NA(),INDEX(指数走势!$F$38:$ACK$38,1,LOOKUP(2,1/(指数走势!$F$38:$ACK$38&lt;&gt;""),COLUMN(指数走势!$F$38:$ACK$38))-COLUMN(指数走势!$F$38)+1-760+83)))</f>
        <v>23.8022994995117</v>
      </c>
      <c r="CG102">
        <f>IF(ISERROR(INDEX(指数走势!$F$38:$ACK$38,1,LOOKUP(2,1/(指数走势!$F$38:$ACK$38&lt;&gt;""),COLUMN(指数走势!$F$38:$ACK$38))-COLUMN(指数走势!$F$38)+1-760+84)),NA(),IF(INDEX(指数走势!$F$38:$ACK$38,1,LOOKUP(2,1/(指数走势!$F$38:$ACK$38&lt;&gt;""),COLUMN(指数走势!$F$38:$ACK$38))-COLUMN(指数走势!$F$38)+1-760+84)=0,NA(),INDEX(指数走势!$F$38:$ACK$38,1,LOOKUP(2,1/(指数走势!$F$38:$ACK$38&lt;&gt;""),COLUMN(指数走势!$F$38:$ACK$38))-COLUMN(指数走势!$F$38)+1-760+84)))</f>
        <v>23.6497993469238</v>
      </c>
      <c r="CH102">
        <f>IF(ISERROR(INDEX(指数走势!$F$38:$ACK$38,1,LOOKUP(2,1/(指数走势!$F$38:$ACK$38&lt;&gt;""),COLUMN(指数走势!$F$38:$ACK$38))-COLUMN(指数走势!$F$38)+1-760+85)),NA(),IF(INDEX(指数走势!$F$38:$ACK$38,1,LOOKUP(2,1/(指数走势!$F$38:$ACK$38&lt;&gt;""),COLUMN(指数走势!$F$38:$ACK$38))-COLUMN(指数走势!$F$38)+1-760+85)=0,NA(),INDEX(指数走势!$F$38:$ACK$38,1,LOOKUP(2,1/(指数走势!$F$38:$ACK$38&lt;&gt;""),COLUMN(指数走势!$F$38:$ACK$38))-COLUMN(指数走势!$F$38)+1-760+85)))</f>
        <v>23.6921997070313</v>
      </c>
      <c r="CI102">
        <f>IF(ISERROR(INDEX(指数走势!$F$38:$ACK$38,1,LOOKUP(2,1/(指数走势!$F$38:$ACK$38&lt;&gt;""),COLUMN(指数走势!$F$38:$ACK$38))-COLUMN(指数走势!$F$38)+1-760+86)),NA(),IF(INDEX(指数走势!$F$38:$ACK$38,1,LOOKUP(2,1/(指数走势!$F$38:$ACK$38&lt;&gt;""),COLUMN(指数走势!$F$38:$ACK$38))-COLUMN(指数走势!$F$38)+1-760+86)=0,NA(),INDEX(指数走势!$F$38:$ACK$38,1,LOOKUP(2,1/(指数走势!$F$38:$ACK$38&lt;&gt;""),COLUMN(指数走势!$F$38:$ACK$38))-COLUMN(指数走势!$F$38)+1-760+86)))</f>
        <v>23.7341995239258</v>
      </c>
      <c r="CJ102">
        <f>IF(ISERROR(INDEX(指数走势!$F$38:$ACK$38,1,LOOKUP(2,1/(指数走势!$F$38:$ACK$38&lt;&gt;""),COLUMN(指数走势!$F$38:$ACK$38))-COLUMN(指数走势!$F$38)+1-760+87)),NA(),IF(INDEX(指数走势!$F$38:$ACK$38,1,LOOKUP(2,1/(指数走势!$F$38:$ACK$38&lt;&gt;""),COLUMN(指数走势!$F$38:$ACK$38))-COLUMN(指数走势!$F$38)+1-760+87)=0,NA(),INDEX(指数走势!$F$38:$ACK$38,1,LOOKUP(2,1/(指数走势!$F$38:$ACK$38&lt;&gt;""),COLUMN(指数走势!$F$38:$ACK$38))-COLUMN(指数走势!$F$38)+1-760+87)))</f>
        <v>23.2633991241455</v>
      </c>
      <c r="CK102">
        <f>IF(ISERROR(INDEX(指数走势!$F$38:$ACK$38,1,LOOKUP(2,1/(指数走势!$F$38:$ACK$38&lt;&gt;""),COLUMN(指数走势!$F$38:$ACK$38))-COLUMN(指数走势!$F$38)+1-760+88)),NA(),IF(INDEX(指数走势!$F$38:$ACK$38,1,LOOKUP(2,1/(指数走势!$F$38:$ACK$38&lt;&gt;""),COLUMN(指数走势!$F$38:$ACK$38))-COLUMN(指数走势!$F$38)+1-760+88)=0,NA(),INDEX(指数走势!$F$38:$ACK$38,1,LOOKUP(2,1/(指数走势!$F$38:$ACK$38&lt;&gt;""),COLUMN(指数走势!$F$38:$ACK$38))-COLUMN(指数走势!$F$38)+1-760+88)))</f>
        <v>23.2779998779297</v>
      </c>
      <c r="CL102">
        <f>IF(ISERROR(INDEX(指数走势!$F$38:$ACK$38,1,LOOKUP(2,1/(指数走势!$F$38:$ACK$38&lt;&gt;""),COLUMN(指数走势!$F$38:$ACK$38))-COLUMN(指数走势!$F$38)+1-760+89)),NA(),IF(INDEX(指数走势!$F$38:$ACK$38,1,LOOKUP(2,1/(指数走势!$F$38:$ACK$38&lt;&gt;""),COLUMN(指数走势!$F$38:$ACK$38))-COLUMN(指数走势!$F$38)+1-760+89)=0,NA(),INDEX(指数走势!$F$38:$ACK$38,1,LOOKUP(2,1/(指数走势!$F$38:$ACK$38&lt;&gt;""),COLUMN(指数走势!$F$38:$ACK$38))-COLUMN(指数走势!$F$38)+1-760+89)))</f>
        <v>22.9554996490479</v>
      </c>
      <c r="CM102">
        <f>IF(ISERROR(INDEX(指数走势!$F$38:$ACK$38,1,LOOKUP(2,1/(指数走势!$F$38:$ACK$38&lt;&gt;""),COLUMN(指数走势!$F$38:$ACK$38))-COLUMN(指数走势!$F$38)+1-760+90)),NA(),IF(INDEX(指数走势!$F$38:$ACK$38,1,LOOKUP(2,1/(指数走势!$F$38:$ACK$38&lt;&gt;""),COLUMN(指数走势!$F$38:$ACK$38))-COLUMN(指数走势!$F$38)+1-760+90)=0,NA(),INDEX(指数走势!$F$38:$ACK$38,1,LOOKUP(2,1/(指数走势!$F$38:$ACK$38&lt;&gt;""),COLUMN(指数走势!$F$38:$ACK$38))-COLUMN(指数走势!$F$38)+1-760+90)))</f>
        <v>22.5251998901367</v>
      </c>
      <c r="CN102">
        <f>IF(ISERROR(INDEX(指数走势!$F$38:$ACK$38,1,LOOKUP(2,1/(指数走势!$F$38:$ACK$38&lt;&gt;""),COLUMN(指数走势!$F$38:$ACK$38))-COLUMN(指数走势!$F$38)+1-760+91)),NA(),IF(INDEX(指数走势!$F$38:$ACK$38,1,LOOKUP(2,1/(指数走势!$F$38:$ACK$38&lt;&gt;""),COLUMN(指数走势!$F$38:$ACK$38))-COLUMN(指数走势!$F$38)+1-760+91)=0,NA(),INDEX(指数走势!$F$38:$ACK$38,1,LOOKUP(2,1/(指数走势!$F$38:$ACK$38&lt;&gt;""),COLUMN(指数走势!$F$38:$ACK$38))-COLUMN(指数走势!$F$38)+1-760+91)))</f>
        <v>23.3421993255615</v>
      </c>
      <c r="CO102">
        <f>IF(ISERROR(INDEX(指数走势!$F$38:$ACK$38,1,LOOKUP(2,1/(指数走势!$F$38:$ACK$38&lt;&gt;""),COLUMN(指数走势!$F$38:$ACK$38))-COLUMN(指数走势!$F$38)+1-760+92)),NA(),IF(INDEX(指数走势!$F$38:$ACK$38,1,LOOKUP(2,1/(指数走势!$F$38:$ACK$38&lt;&gt;""),COLUMN(指数走势!$F$38:$ACK$38))-COLUMN(指数走势!$F$38)+1-760+92)=0,NA(),INDEX(指数走势!$F$38:$ACK$38,1,LOOKUP(2,1/(指数走势!$F$38:$ACK$38&lt;&gt;""),COLUMN(指数走势!$F$38:$ACK$38))-COLUMN(指数走势!$F$38)+1-760+92)))</f>
        <v>22.7226009368896</v>
      </c>
      <c r="CP102">
        <f>IF(ISERROR(INDEX(指数走势!$F$38:$ACK$38,1,LOOKUP(2,1/(指数走势!$F$38:$ACK$38&lt;&gt;""),COLUMN(指数走势!$F$38:$ACK$38))-COLUMN(指数走势!$F$38)+1-760+93)),NA(),IF(INDEX(指数走势!$F$38:$ACK$38,1,LOOKUP(2,1/(指数走势!$F$38:$ACK$38&lt;&gt;""),COLUMN(指数走势!$F$38:$ACK$38))-COLUMN(指数走势!$F$38)+1-760+93)=0,NA(),INDEX(指数走势!$F$38:$ACK$38,1,LOOKUP(2,1/(指数走势!$F$38:$ACK$38&lt;&gt;""),COLUMN(指数走势!$F$38:$ACK$38))-COLUMN(指数走势!$F$38)+1-760+93)))</f>
        <v>22.4286003112793</v>
      </c>
      <c r="CQ102">
        <f>IF(ISERROR(INDEX(指数走势!$F$38:$ACK$38,1,LOOKUP(2,1/(指数走势!$F$38:$ACK$38&lt;&gt;""),COLUMN(指数走势!$F$38:$ACK$38))-COLUMN(指数走势!$F$38)+1-760+94)),NA(),IF(INDEX(指数走势!$F$38:$ACK$38,1,LOOKUP(2,1/(指数走势!$F$38:$ACK$38&lt;&gt;""),COLUMN(指数走势!$F$38:$ACK$38))-COLUMN(指数走势!$F$38)+1-760+94)=0,NA(),INDEX(指数走势!$F$38:$ACK$38,1,LOOKUP(2,1/(指数走势!$F$38:$ACK$38&lt;&gt;""),COLUMN(指数走势!$F$38:$ACK$38))-COLUMN(指数走势!$F$38)+1-760+94)))</f>
        <v>22.5205001831055</v>
      </c>
      <c r="CR102">
        <f>IF(ISERROR(INDEX(指数走势!$F$38:$ACK$38,1,LOOKUP(2,1/(指数走势!$F$38:$ACK$38&lt;&gt;""),COLUMN(指数走势!$F$38:$ACK$38))-COLUMN(指数走势!$F$38)+1-760+95)),NA(),IF(INDEX(指数走势!$F$38:$ACK$38,1,LOOKUP(2,1/(指数走势!$F$38:$ACK$38&lt;&gt;""),COLUMN(指数走势!$F$38:$ACK$38))-COLUMN(指数走势!$F$38)+1-760+95)=0,NA(),INDEX(指数走势!$F$38:$ACK$38,1,LOOKUP(2,1/(指数走势!$F$38:$ACK$38&lt;&gt;""),COLUMN(指数走势!$F$38:$ACK$38))-COLUMN(指数走势!$F$38)+1-760+95)))</f>
        <v>22.1474990844727</v>
      </c>
      <c r="CS102">
        <f>IF(ISERROR(INDEX(指数走势!$F$38:$ACK$38,1,LOOKUP(2,1/(指数走势!$F$38:$ACK$38&lt;&gt;""),COLUMN(指数走势!$F$38:$ACK$38))-COLUMN(指数走势!$F$38)+1-760+96)),NA(),IF(INDEX(指数走势!$F$38:$ACK$38,1,LOOKUP(2,1/(指数走势!$F$38:$ACK$38&lt;&gt;""),COLUMN(指数走势!$F$38:$ACK$38))-COLUMN(指数走势!$F$38)+1-760+96)=0,NA(),INDEX(指数走势!$F$38:$ACK$38,1,LOOKUP(2,1/(指数走势!$F$38:$ACK$38&lt;&gt;""),COLUMN(指数走势!$F$38:$ACK$38))-COLUMN(指数走势!$F$38)+1-760+96)))</f>
        <v>22.4297008514404</v>
      </c>
      <c r="CT102">
        <f>IF(ISERROR(INDEX(指数走势!$F$38:$ACK$38,1,LOOKUP(2,1/(指数走势!$F$38:$ACK$38&lt;&gt;""),COLUMN(指数走势!$F$38:$ACK$38))-COLUMN(指数走势!$F$38)+1-760+97)),NA(),IF(INDEX(指数走势!$F$38:$ACK$38,1,LOOKUP(2,1/(指数走势!$F$38:$ACK$38&lt;&gt;""),COLUMN(指数走势!$F$38:$ACK$38))-COLUMN(指数走势!$F$38)+1-760+97)=0,NA(),INDEX(指数走势!$F$38:$ACK$38,1,LOOKUP(2,1/(指数走势!$F$38:$ACK$38&lt;&gt;""),COLUMN(指数走势!$F$38:$ACK$38))-COLUMN(指数走势!$F$38)+1-760+97)))</f>
        <v>22.6916999816895</v>
      </c>
      <c r="CU102">
        <f>IF(ISERROR(INDEX(指数走势!$F$38:$ACK$38,1,LOOKUP(2,1/(指数走势!$F$38:$ACK$38&lt;&gt;""),COLUMN(指数走势!$F$38:$ACK$38))-COLUMN(指数走势!$F$38)+1-760+98)),NA(),IF(INDEX(指数走势!$F$38:$ACK$38,1,LOOKUP(2,1/(指数走势!$F$38:$ACK$38&lt;&gt;""),COLUMN(指数走势!$F$38:$ACK$38))-COLUMN(指数走势!$F$38)+1-760+98)=0,NA(),INDEX(指数走势!$F$38:$ACK$38,1,LOOKUP(2,1/(指数走势!$F$38:$ACK$38&lt;&gt;""),COLUMN(指数走势!$F$38:$ACK$38))-COLUMN(指数走势!$F$38)+1-760+98)))</f>
        <v>23.0524005889893</v>
      </c>
      <c r="CV102">
        <f>IF(ISERROR(INDEX(指数走势!$F$38:$ACK$38,1,LOOKUP(2,1/(指数走势!$F$38:$ACK$38&lt;&gt;""),COLUMN(指数走势!$F$38:$ACK$38))-COLUMN(指数走势!$F$38)+1-760+99)),NA(),IF(INDEX(指数走势!$F$38:$ACK$38,1,LOOKUP(2,1/(指数走势!$F$38:$ACK$38&lt;&gt;""),COLUMN(指数走势!$F$38:$ACK$38))-COLUMN(指数走势!$F$38)+1-760+99)=0,NA(),INDEX(指数走势!$F$38:$ACK$38,1,LOOKUP(2,1/(指数走势!$F$38:$ACK$38&lt;&gt;""),COLUMN(指数走势!$F$38:$ACK$38))-COLUMN(指数走势!$F$38)+1-760+99)))</f>
        <v>23.4412002563477</v>
      </c>
      <c r="CW102">
        <f>IF(ISERROR(INDEX(指数走势!$F$38:$ACK$38,1,LOOKUP(2,1/(指数走势!$F$38:$ACK$38&lt;&gt;""),COLUMN(指数走势!$F$38:$ACK$38))-COLUMN(指数走势!$F$38)+1-760+100)),NA(),IF(INDEX(指数走势!$F$38:$ACK$38,1,LOOKUP(2,1/(指数走势!$F$38:$ACK$38&lt;&gt;""),COLUMN(指数走势!$F$38:$ACK$38))-COLUMN(指数走势!$F$38)+1-760+100)=0,NA(),INDEX(指数走势!$F$38:$ACK$38,1,LOOKUP(2,1/(指数走势!$F$38:$ACK$38&lt;&gt;""),COLUMN(指数走势!$F$38:$ACK$38))-COLUMN(指数走势!$F$38)+1-760+100)))</f>
        <v>22.6054992675781</v>
      </c>
      <c r="CX102">
        <f>IF(ISERROR(INDEX(指数走势!$F$38:$ACK$38,1,LOOKUP(2,1/(指数走势!$F$38:$ACK$38&lt;&gt;""),COLUMN(指数走势!$F$38:$ACK$38))-COLUMN(指数走势!$F$38)+1-760+101)),NA(),IF(INDEX(指数走势!$F$38:$ACK$38,1,LOOKUP(2,1/(指数走势!$F$38:$ACK$38&lt;&gt;""),COLUMN(指数走势!$F$38:$ACK$38))-COLUMN(指数走势!$F$38)+1-760+101)=0,NA(),INDEX(指数走势!$F$38:$ACK$38,1,LOOKUP(2,1/(指数走势!$F$38:$ACK$38&lt;&gt;""),COLUMN(指数走势!$F$38:$ACK$38))-COLUMN(指数走势!$F$38)+1-760+101)))</f>
        <v>22.230899810791</v>
      </c>
      <c r="CY102">
        <f>IF(ISERROR(INDEX(指数走势!$F$38:$ACK$38,1,LOOKUP(2,1/(指数走势!$F$38:$ACK$38&lt;&gt;""),COLUMN(指数走势!$F$38:$ACK$38))-COLUMN(指数走势!$F$38)+1-760+102)),NA(),IF(INDEX(指数走势!$F$38:$ACK$38,1,LOOKUP(2,1/(指数走势!$F$38:$ACK$38&lt;&gt;""),COLUMN(指数走势!$F$38:$ACK$38))-COLUMN(指数走势!$F$38)+1-760+102)=0,NA(),INDEX(指数走势!$F$38:$ACK$38,1,LOOKUP(2,1/(指数走势!$F$38:$ACK$38&lt;&gt;""),COLUMN(指数走势!$F$38:$ACK$38))-COLUMN(指数走势!$F$38)+1-760+102)))</f>
        <v>22.3600006103516</v>
      </c>
      <c r="CZ102">
        <f>IF(ISERROR(INDEX(指数走势!$F$38:$ACK$38,1,LOOKUP(2,1/(指数走势!$F$38:$ACK$38&lt;&gt;""),COLUMN(指数走势!$F$38:$ACK$38))-COLUMN(指数走势!$F$38)+1-760+103)),NA(),IF(INDEX(指数走势!$F$38:$ACK$38,1,LOOKUP(2,1/(指数走势!$F$38:$ACK$38&lt;&gt;""),COLUMN(指数走势!$F$38:$ACK$38))-COLUMN(指数走势!$F$38)+1-760+103)=0,NA(),INDEX(指数走势!$F$38:$ACK$38,1,LOOKUP(2,1/(指数走势!$F$38:$ACK$38&lt;&gt;""),COLUMN(指数走势!$F$38:$ACK$38))-COLUMN(指数走势!$F$38)+1-760+103)))</f>
        <v>22.1156997680664</v>
      </c>
      <c r="DA102">
        <f>IF(ISERROR(INDEX(指数走势!$F$38:$ACK$38,1,LOOKUP(2,1/(指数走势!$F$38:$ACK$38&lt;&gt;""),COLUMN(指数走势!$F$38:$ACK$38))-COLUMN(指数走势!$F$38)+1-760+104)),NA(),IF(INDEX(指数走势!$F$38:$ACK$38,1,LOOKUP(2,1/(指数走势!$F$38:$ACK$38&lt;&gt;""),COLUMN(指数走势!$F$38:$ACK$38))-COLUMN(指数走势!$F$38)+1-760+104)=0,NA(),INDEX(指数走势!$F$38:$ACK$38,1,LOOKUP(2,1/(指数走势!$F$38:$ACK$38&lt;&gt;""),COLUMN(指数走势!$F$38:$ACK$38))-COLUMN(指数走势!$F$38)+1-760+104)))</f>
        <v>21.5389995574951</v>
      </c>
      <c r="DB102">
        <f>IF(ISERROR(INDEX(指数走势!$F$38:$ACK$38,1,LOOKUP(2,1/(指数走势!$F$38:$ACK$38&lt;&gt;""),COLUMN(指数走势!$F$38:$ACK$38))-COLUMN(指数走势!$F$38)+1-760+105)),NA(),IF(INDEX(指数走势!$F$38:$ACK$38,1,LOOKUP(2,1/(指数走势!$F$38:$ACK$38&lt;&gt;""),COLUMN(指数走势!$F$38:$ACK$38))-COLUMN(指数走势!$F$38)+1-760+105)=0,NA(),INDEX(指数走势!$F$38:$ACK$38,1,LOOKUP(2,1/(指数走势!$F$38:$ACK$38&lt;&gt;""),COLUMN(指数走势!$F$38:$ACK$38))-COLUMN(指数走势!$F$38)+1-760+105)))</f>
        <v>21.3096008300781</v>
      </c>
      <c r="DC102">
        <f>IF(ISERROR(INDEX(指数走势!$F$38:$ACK$38,1,LOOKUP(2,1/(指数走势!$F$38:$ACK$38&lt;&gt;""),COLUMN(指数走势!$F$38:$ACK$38))-COLUMN(指数走势!$F$38)+1-760+106)),NA(),IF(INDEX(指数走势!$F$38:$ACK$38,1,LOOKUP(2,1/(指数走势!$F$38:$ACK$38&lt;&gt;""),COLUMN(指数走势!$F$38:$ACK$38))-COLUMN(指数走势!$F$38)+1-760+106)=0,NA(),INDEX(指数走势!$F$38:$ACK$38,1,LOOKUP(2,1/(指数走势!$F$38:$ACK$38&lt;&gt;""),COLUMN(指数走势!$F$38:$ACK$38))-COLUMN(指数走势!$F$38)+1-760+106)))</f>
        <v>21.3096008300781</v>
      </c>
      <c r="DD102">
        <f>IF(ISERROR(INDEX(指数走势!$F$38:$ACK$38,1,LOOKUP(2,1/(指数走势!$F$38:$ACK$38&lt;&gt;""),COLUMN(指数走势!$F$38:$ACK$38))-COLUMN(指数走势!$F$38)+1-760+107)),NA(),IF(INDEX(指数走势!$F$38:$ACK$38,1,LOOKUP(2,1/(指数走势!$F$38:$ACK$38&lt;&gt;""),COLUMN(指数走势!$F$38:$ACK$38))-COLUMN(指数走势!$F$38)+1-760+107)=0,NA(),INDEX(指数走势!$F$38:$ACK$38,1,LOOKUP(2,1/(指数走势!$F$38:$ACK$38&lt;&gt;""),COLUMN(指数走势!$F$38:$ACK$38))-COLUMN(指数走势!$F$38)+1-760+107)))</f>
        <v>21.0090999603271</v>
      </c>
      <c r="DE102">
        <f>IF(ISERROR(INDEX(指数走势!$F$38:$ACK$38,1,LOOKUP(2,1/(指数走势!$F$38:$ACK$38&lt;&gt;""),COLUMN(指数走势!$F$38:$ACK$38))-COLUMN(指数走势!$F$38)+1-760+108)),NA(),IF(INDEX(指数走势!$F$38:$ACK$38,1,LOOKUP(2,1/(指数走势!$F$38:$ACK$38&lt;&gt;""),COLUMN(指数走势!$F$38:$ACK$38))-COLUMN(指数走势!$F$38)+1-760+108)=0,NA(),INDEX(指数走势!$F$38:$ACK$38,1,LOOKUP(2,1/(指数走势!$F$38:$ACK$38&lt;&gt;""),COLUMN(指数走势!$F$38:$ACK$38))-COLUMN(指数走势!$F$38)+1-760+108)))</f>
        <v>21.4582004547119</v>
      </c>
      <c r="DF102">
        <f>IF(ISERROR(INDEX(指数走势!$F$38:$ACK$38,1,LOOKUP(2,1/(指数走势!$F$38:$ACK$38&lt;&gt;""),COLUMN(指数走势!$F$38:$ACK$38))-COLUMN(指数走势!$F$38)+1-760+109)),NA(),IF(INDEX(指数走势!$F$38:$ACK$38,1,LOOKUP(2,1/(指数走势!$F$38:$ACK$38&lt;&gt;""),COLUMN(指数走势!$F$38:$ACK$38))-COLUMN(指数走势!$F$38)+1-760+109)=0,NA(),INDEX(指数走势!$F$38:$ACK$38,1,LOOKUP(2,1/(指数走势!$F$38:$ACK$38&lt;&gt;""),COLUMN(指数走势!$F$38:$ACK$38))-COLUMN(指数走势!$F$38)+1-760+109)))</f>
        <v>21.5118007659912</v>
      </c>
      <c r="DG102">
        <f>IF(ISERROR(INDEX(指数走势!$F$38:$ACK$38,1,LOOKUP(2,1/(指数走势!$F$38:$ACK$38&lt;&gt;""),COLUMN(指数走势!$F$38:$ACK$38))-COLUMN(指数走势!$F$38)+1-760+110)),NA(),IF(INDEX(指数走势!$F$38:$ACK$38,1,LOOKUP(2,1/(指数走势!$F$38:$ACK$38&lt;&gt;""),COLUMN(指数走势!$F$38:$ACK$38))-COLUMN(指数走势!$F$38)+1-760+110)=0,NA(),INDEX(指数走势!$F$38:$ACK$38,1,LOOKUP(2,1/(指数走势!$F$38:$ACK$38&lt;&gt;""),COLUMN(指数走势!$F$38:$ACK$38))-COLUMN(指数走势!$F$38)+1-760+110)))</f>
        <v>22.0466003417969</v>
      </c>
      <c r="DH102">
        <f>IF(ISERROR(INDEX(指数走势!$F$38:$ACK$38,1,LOOKUP(2,1/(指数走势!$F$38:$ACK$38&lt;&gt;""),COLUMN(指数走势!$F$38:$ACK$38))-COLUMN(指数走势!$F$38)+1-760+111)),NA(),IF(INDEX(指数走势!$F$38:$ACK$38,1,LOOKUP(2,1/(指数走势!$F$38:$ACK$38&lt;&gt;""),COLUMN(指数走势!$F$38:$ACK$38))-COLUMN(指数走势!$F$38)+1-760+111)=0,NA(),INDEX(指数走势!$F$38:$ACK$38,1,LOOKUP(2,1/(指数走势!$F$38:$ACK$38&lt;&gt;""),COLUMN(指数走势!$F$38:$ACK$38))-COLUMN(指数走势!$F$38)+1-760+111)))</f>
        <v>22.1688995361328</v>
      </c>
      <c r="DI102">
        <f>IF(ISERROR(INDEX(指数走势!$F$38:$ACK$38,1,LOOKUP(2,1/(指数走势!$F$38:$ACK$38&lt;&gt;""),COLUMN(指数走势!$F$38:$ACK$38))-COLUMN(指数走势!$F$38)+1-760+112)),NA(),IF(INDEX(指数走势!$F$38:$ACK$38,1,LOOKUP(2,1/(指数走势!$F$38:$ACK$38&lt;&gt;""),COLUMN(指数走势!$F$38:$ACK$38))-COLUMN(指数走势!$F$38)+1-760+112)=0,NA(),INDEX(指数走势!$F$38:$ACK$38,1,LOOKUP(2,1/(指数走势!$F$38:$ACK$38&lt;&gt;""),COLUMN(指数走势!$F$38:$ACK$38))-COLUMN(指数走势!$F$38)+1-760+112)))</f>
        <v>21.6427993774414</v>
      </c>
      <c r="DJ102">
        <f>IF(ISERROR(INDEX(指数走势!$F$38:$ACK$38,1,LOOKUP(2,1/(指数走势!$F$38:$ACK$38&lt;&gt;""),COLUMN(指数走势!$F$38:$ACK$38))-COLUMN(指数走势!$F$38)+1-760+113)),NA(),IF(INDEX(指数走势!$F$38:$ACK$38,1,LOOKUP(2,1/(指数走势!$F$38:$ACK$38&lt;&gt;""),COLUMN(指数走势!$F$38:$ACK$38))-COLUMN(指数走势!$F$38)+1-760+113)=0,NA(),INDEX(指数走势!$F$38:$ACK$38,1,LOOKUP(2,1/(指数走势!$F$38:$ACK$38&lt;&gt;""),COLUMN(指数走势!$F$38:$ACK$38))-COLUMN(指数走势!$F$38)+1-760+113)))</f>
        <v>21.5293006896973</v>
      </c>
      <c r="DK102">
        <f>IF(ISERROR(INDEX(指数走势!$F$38:$ACK$38,1,LOOKUP(2,1/(指数走势!$F$38:$ACK$38&lt;&gt;""),COLUMN(指数走势!$F$38:$ACK$38))-COLUMN(指数走势!$F$38)+1-760+114)),NA(),IF(INDEX(指数走势!$F$38:$ACK$38,1,LOOKUP(2,1/(指数走势!$F$38:$ACK$38&lt;&gt;""),COLUMN(指数走势!$F$38:$ACK$38))-COLUMN(指数走势!$F$38)+1-760+114)=0,NA(),INDEX(指数走势!$F$38:$ACK$38,1,LOOKUP(2,1/(指数走势!$F$38:$ACK$38&lt;&gt;""),COLUMN(指数走势!$F$38:$ACK$38))-COLUMN(指数走势!$F$38)+1-760+114)))</f>
        <v>21.7478008270264</v>
      </c>
      <c r="DL102">
        <f>IF(ISERROR(INDEX(指数走势!$F$38:$ACK$38,1,LOOKUP(2,1/(指数走势!$F$38:$ACK$38&lt;&gt;""),COLUMN(指数走势!$F$38:$ACK$38))-COLUMN(指数走势!$F$38)+1-760+115)),NA(),IF(INDEX(指数走势!$F$38:$ACK$38,1,LOOKUP(2,1/(指数走势!$F$38:$ACK$38&lt;&gt;""),COLUMN(指数走势!$F$38:$ACK$38))-COLUMN(指数走势!$F$38)+1-760+115)=0,NA(),INDEX(指数走势!$F$38:$ACK$38,1,LOOKUP(2,1/(指数走势!$F$38:$ACK$38&lt;&gt;""),COLUMN(指数走势!$F$38:$ACK$38))-COLUMN(指数走势!$F$38)+1-760+115)))</f>
        <v>22.5030994415283</v>
      </c>
      <c r="DM102">
        <f>IF(ISERROR(INDEX(指数走势!$F$38:$ACK$38,1,LOOKUP(2,1/(指数走势!$F$38:$ACK$38&lt;&gt;""),COLUMN(指数走势!$F$38:$ACK$38))-COLUMN(指数走势!$F$38)+1-760+116)),NA(),IF(INDEX(指数走势!$F$38:$ACK$38,1,LOOKUP(2,1/(指数走势!$F$38:$ACK$38&lt;&gt;""),COLUMN(指数走势!$F$38:$ACK$38))-COLUMN(指数走势!$F$38)+1-760+116)=0,NA(),INDEX(指数走势!$F$38:$ACK$38,1,LOOKUP(2,1/(指数走势!$F$38:$ACK$38&lt;&gt;""),COLUMN(指数走势!$F$38:$ACK$38))-COLUMN(指数走势!$F$38)+1-760+116)))</f>
        <v>23.2922992706299</v>
      </c>
      <c r="DN102">
        <f>IF(ISERROR(INDEX(指数走势!$F$38:$ACK$38,1,LOOKUP(2,1/(指数走势!$F$38:$ACK$38&lt;&gt;""),COLUMN(指数走势!$F$38:$ACK$38))-COLUMN(指数走势!$F$38)+1-760+117)),NA(),IF(INDEX(指数走势!$F$38:$ACK$38,1,LOOKUP(2,1/(指数走势!$F$38:$ACK$38&lt;&gt;""),COLUMN(指数走势!$F$38:$ACK$38))-COLUMN(指数走势!$F$38)+1-760+117)=0,NA(),INDEX(指数走势!$F$38:$ACK$38,1,LOOKUP(2,1/(指数走势!$F$38:$ACK$38&lt;&gt;""),COLUMN(指数走势!$F$38:$ACK$38))-COLUMN(指数走势!$F$38)+1-760+117)))</f>
        <v>22.9705009460449</v>
      </c>
      <c r="DO102">
        <f>IF(ISERROR(INDEX(指数走势!$F$38:$ACK$38,1,LOOKUP(2,1/(指数走势!$F$38:$ACK$38&lt;&gt;""),COLUMN(指数走势!$F$38:$ACK$38))-COLUMN(指数走势!$F$38)+1-760+118)),NA(),IF(INDEX(指数走势!$F$38:$ACK$38,1,LOOKUP(2,1/(指数走势!$F$38:$ACK$38&lt;&gt;""),COLUMN(指数走势!$F$38:$ACK$38))-COLUMN(指数走势!$F$38)+1-760+118)=0,NA(),INDEX(指数走势!$F$38:$ACK$38,1,LOOKUP(2,1/(指数走势!$F$38:$ACK$38&lt;&gt;""),COLUMN(指数走势!$F$38:$ACK$38))-COLUMN(指数走势!$F$38)+1-760+118)))</f>
        <v>22.843599319458</v>
      </c>
      <c r="DP102">
        <f>IF(ISERROR(INDEX(指数走势!$F$38:$ACK$38,1,LOOKUP(2,1/(指数走势!$F$38:$ACK$38&lt;&gt;""),COLUMN(指数走势!$F$38:$ACK$38))-COLUMN(指数走势!$F$38)+1-760+119)),NA(),IF(INDEX(指数走势!$F$38:$ACK$38,1,LOOKUP(2,1/(指数走势!$F$38:$ACK$38&lt;&gt;""),COLUMN(指数走势!$F$38:$ACK$38))-COLUMN(指数走势!$F$38)+1-760+119)=0,NA(),INDEX(指数走势!$F$38:$ACK$38,1,LOOKUP(2,1/(指数走势!$F$38:$ACK$38&lt;&gt;""),COLUMN(指数走势!$F$38:$ACK$38))-COLUMN(指数走势!$F$38)+1-760+119)))</f>
        <v>22.7042007446289</v>
      </c>
      <c r="DQ102">
        <f>IF(ISERROR(INDEX(指数走势!$F$38:$ACK$38,1,LOOKUP(2,1/(指数走势!$F$38:$ACK$38&lt;&gt;""),COLUMN(指数走势!$F$38:$ACK$38))-COLUMN(指数走势!$F$38)+1-760+120)),NA(),IF(INDEX(指数走势!$F$38:$ACK$38,1,LOOKUP(2,1/(指数走势!$F$38:$ACK$38&lt;&gt;""),COLUMN(指数走势!$F$38:$ACK$38))-COLUMN(指数走势!$F$38)+1-760+120)=0,NA(),INDEX(指数走势!$F$38:$ACK$38,1,LOOKUP(2,1/(指数走势!$F$38:$ACK$38&lt;&gt;""),COLUMN(指数走势!$F$38:$ACK$38))-COLUMN(指数走势!$F$38)+1-760+120)))</f>
        <v>22.1186008453369</v>
      </c>
      <c r="DR102">
        <f>IF(ISERROR(INDEX(指数走势!$F$38:$ACK$38,1,LOOKUP(2,1/(指数走势!$F$38:$ACK$38&lt;&gt;""),COLUMN(指数走势!$F$38:$ACK$38))-COLUMN(指数走势!$F$38)+1-760+121)),NA(),IF(INDEX(指数走势!$F$38:$ACK$38,1,LOOKUP(2,1/(指数走势!$F$38:$ACK$38&lt;&gt;""),COLUMN(指数走势!$F$38:$ACK$38))-COLUMN(指数走势!$F$38)+1-760+121)=0,NA(),INDEX(指数走势!$F$38:$ACK$38,1,LOOKUP(2,1/(指数走势!$F$38:$ACK$38&lt;&gt;""),COLUMN(指数走势!$F$38:$ACK$38))-COLUMN(指数走势!$F$38)+1-760+121)))</f>
        <v>22.5746002197266</v>
      </c>
      <c r="DS102">
        <f>IF(ISERROR(INDEX(指数走势!$F$38:$ACK$38,1,LOOKUP(2,1/(指数走势!$F$38:$ACK$38&lt;&gt;""),COLUMN(指数走势!$F$38:$ACK$38))-COLUMN(指数走势!$F$38)+1-760+122)),NA(),IF(INDEX(指数走势!$F$38:$ACK$38,1,LOOKUP(2,1/(指数走势!$F$38:$ACK$38&lt;&gt;""),COLUMN(指数走势!$F$38:$ACK$38))-COLUMN(指数走势!$F$38)+1-760+122)=0,NA(),INDEX(指数走势!$F$38:$ACK$38,1,LOOKUP(2,1/(指数走势!$F$38:$ACK$38&lt;&gt;""),COLUMN(指数走势!$F$38:$ACK$38))-COLUMN(指数走势!$F$38)+1-760+122)))</f>
        <v>22.3435001373291</v>
      </c>
      <c r="DT102">
        <f>IF(ISERROR(INDEX(指数走势!$F$38:$ACK$38,1,LOOKUP(2,1/(指数走势!$F$38:$ACK$38&lt;&gt;""),COLUMN(指数走势!$F$38:$ACK$38))-COLUMN(指数走势!$F$38)+1-760+123)),NA(),IF(INDEX(指数走势!$F$38:$ACK$38,1,LOOKUP(2,1/(指数走势!$F$38:$ACK$38&lt;&gt;""),COLUMN(指数走势!$F$38:$ACK$38))-COLUMN(指数走势!$F$38)+1-760+123)=0,NA(),INDEX(指数走势!$F$38:$ACK$38,1,LOOKUP(2,1/(指数走势!$F$38:$ACK$38&lt;&gt;""),COLUMN(指数走势!$F$38:$ACK$38))-COLUMN(指数走势!$F$38)+1-760+123)))</f>
        <v>23.505500793457</v>
      </c>
      <c r="DU102">
        <f>IF(ISERROR(INDEX(指数走势!$F$38:$ACK$38,1,LOOKUP(2,1/(指数走势!$F$38:$ACK$38&lt;&gt;""),COLUMN(指数走势!$F$38:$ACK$38))-COLUMN(指数走势!$F$38)+1-760+124)),NA(),IF(INDEX(指数走势!$F$38:$ACK$38,1,LOOKUP(2,1/(指数走势!$F$38:$ACK$38&lt;&gt;""),COLUMN(指数走势!$F$38:$ACK$38))-COLUMN(指数走势!$F$38)+1-760+124)=0,NA(),INDEX(指数走势!$F$38:$ACK$38,1,LOOKUP(2,1/(指数走势!$F$38:$ACK$38&lt;&gt;""),COLUMN(指数走势!$F$38:$ACK$38))-COLUMN(指数走势!$F$38)+1-760+124)))</f>
        <v>20.5697002410889</v>
      </c>
      <c r="DV102">
        <f>IF(ISERROR(INDEX(指数走势!$F$38:$ACK$38,1,LOOKUP(2,1/(指数走势!$F$38:$ACK$38&lt;&gt;""),COLUMN(指数走势!$F$38:$ACK$38))-COLUMN(指数走势!$F$38)+1-760+125)),NA(),IF(INDEX(指数走势!$F$38:$ACK$38,1,LOOKUP(2,1/(指数走势!$F$38:$ACK$38&lt;&gt;""),COLUMN(指数走势!$F$38:$ACK$38))-COLUMN(指数走势!$F$38)+1-760+125)=0,NA(),INDEX(指数走势!$F$38:$ACK$38,1,LOOKUP(2,1/(指数走势!$F$38:$ACK$38&lt;&gt;""),COLUMN(指数走势!$F$38:$ACK$38))-COLUMN(指数走势!$F$38)+1-760+125)))</f>
        <v>19.8871994018555</v>
      </c>
      <c r="DW102">
        <f>IF(ISERROR(INDEX(指数走势!$F$38:$ACK$38,1,LOOKUP(2,1/(指数走势!$F$38:$ACK$38&lt;&gt;""),COLUMN(指数走势!$F$38:$ACK$38))-COLUMN(指数走势!$F$38)+1-760+126)),NA(),IF(INDEX(指数走势!$F$38:$ACK$38,1,LOOKUP(2,1/(指数走势!$F$38:$ACK$38&lt;&gt;""),COLUMN(指数走势!$F$38:$ACK$38))-COLUMN(指数走势!$F$38)+1-760+126)=0,NA(),INDEX(指数走势!$F$38:$ACK$38,1,LOOKUP(2,1/(指数走势!$F$38:$ACK$38&lt;&gt;""),COLUMN(指数走势!$F$38:$ACK$38))-COLUMN(指数走势!$F$38)+1-760+126)))</f>
        <v>19.8876991271973</v>
      </c>
      <c r="DX102">
        <f>IF(ISERROR(INDEX(指数走势!$F$38:$ACK$38,1,LOOKUP(2,1/(指数走势!$F$38:$ACK$38&lt;&gt;""),COLUMN(指数走势!$F$38:$ACK$38))-COLUMN(指数走势!$F$38)+1-760+127)),NA(),IF(INDEX(指数走势!$F$38:$ACK$38,1,LOOKUP(2,1/(指数走势!$F$38:$ACK$38&lt;&gt;""),COLUMN(指数走势!$F$38:$ACK$38))-COLUMN(指数走势!$F$38)+1-760+127)=0,NA(),INDEX(指数走势!$F$38:$ACK$38,1,LOOKUP(2,1/(指数走势!$F$38:$ACK$38&lt;&gt;""),COLUMN(指数走势!$F$38:$ACK$38))-COLUMN(指数走势!$F$38)+1-760+127)))</f>
        <v>19.0335998535156</v>
      </c>
      <c r="DY102">
        <f>IF(ISERROR(INDEX(指数走势!$F$38:$ACK$38,1,LOOKUP(2,1/(指数走势!$F$38:$ACK$38&lt;&gt;""),COLUMN(指数走势!$F$38:$ACK$38))-COLUMN(指数走势!$F$38)+1-760+128)),NA(),IF(INDEX(指数走势!$F$38:$ACK$38,1,LOOKUP(2,1/(指数走势!$F$38:$ACK$38&lt;&gt;""),COLUMN(指数走势!$F$38:$ACK$38))-COLUMN(指数走势!$F$38)+1-760+128)=0,NA(),INDEX(指数走势!$F$38:$ACK$38,1,LOOKUP(2,1/(指数走势!$F$38:$ACK$38&lt;&gt;""),COLUMN(指数走势!$F$38:$ACK$38))-COLUMN(指数走势!$F$38)+1-760+128)))</f>
        <v>19.066499710083</v>
      </c>
      <c r="DZ102">
        <f>IF(ISERROR(INDEX(指数走势!$F$38:$ACK$38,1,LOOKUP(2,1/(指数走势!$F$38:$ACK$38&lt;&gt;""),COLUMN(指数走势!$F$38:$ACK$38))-COLUMN(指数走势!$F$38)+1-760+129)),NA(),IF(INDEX(指数走势!$F$38:$ACK$38,1,LOOKUP(2,1/(指数走势!$F$38:$ACK$38&lt;&gt;""),COLUMN(指数走势!$F$38:$ACK$38))-COLUMN(指数走势!$F$38)+1-760+129)=0,NA(),INDEX(指数走势!$F$38:$ACK$38,1,LOOKUP(2,1/(指数走势!$F$38:$ACK$38&lt;&gt;""),COLUMN(指数走势!$F$38:$ACK$38))-COLUMN(指数走势!$F$38)+1-760+129)))</f>
        <v>19.3908996582031</v>
      </c>
      <c r="EA102">
        <f>IF(ISERROR(INDEX(指数走势!$F$38:$ACK$38,1,LOOKUP(2,1/(指数走势!$F$38:$ACK$38&lt;&gt;""),COLUMN(指数走势!$F$38:$ACK$38))-COLUMN(指数走势!$F$38)+1-760+130)),NA(),IF(INDEX(指数走势!$F$38:$ACK$38,1,LOOKUP(2,1/(指数走势!$F$38:$ACK$38&lt;&gt;""),COLUMN(指数走势!$F$38:$ACK$38))-COLUMN(指数走势!$F$38)+1-760+130)=0,NA(),INDEX(指数走势!$F$38:$ACK$38,1,LOOKUP(2,1/(指数走势!$F$38:$ACK$38&lt;&gt;""),COLUMN(指数走势!$F$38:$ACK$38))-COLUMN(指数走势!$F$38)+1-760+130)))</f>
        <v>18.9570007324219</v>
      </c>
      <c r="EB102">
        <f>IF(ISERROR(INDEX(指数走势!$F$38:$ACK$38,1,LOOKUP(2,1/(指数走势!$F$38:$ACK$38&lt;&gt;""),COLUMN(指数走势!$F$38:$ACK$38))-COLUMN(指数走势!$F$38)+1-760+131)),NA(),IF(INDEX(指数走势!$F$38:$ACK$38,1,LOOKUP(2,1/(指数走势!$F$38:$ACK$38&lt;&gt;""),COLUMN(指数走势!$F$38:$ACK$38))-COLUMN(指数走势!$F$38)+1-760+131)=0,NA(),INDEX(指数走势!$F$38:$ACK$38,1,LOOKUP(2,1/(指数走势!$F$38:$ACK$38&lt;&gt;""),COLUMN(指数走势!$F$38:$ACK$38))-COLUMN(指数走势!$F$38)+1-760+131)))</f>
        <v>19.0025005340576</v>
      </c>
      <c r="EC102">
        <f>IF(ISERROR(INDEX(指数走势!$F$38:$ACK$38,1,LOOKUP(2,1/(指数走势!$F$38:$ACK$38&lt;&gt;""),COLUMN(指数走势!$F$38:$ACK$38))-COLUMN(指数走势!$F$38)+1-760+132)),NA(),IF(INDEX(指数走势!$F$38:$ACK$38,1,LOOKUP(2,1/(指数走势!$F$38:$ACK$38&lt;&gt;""),COLUMN(指数走势!$F$38:$ACK$38))-COLUMN(指数走势!$F$38)+1-760+132)=0,NA(),INDEX(指数走势!$F$38:$ACK$38,1,LOOKUP(2,1/(指数走势!$F$38:$ACK$38&lt;&gt;""),COLUMN(指数走势!$F$38:$ACK$38))-COLUMN(指数走势!$F$38)+1-760+132)))</f>
        <v>18.6609992980957</v>
      </c>
      <c r="ED102">
        <f>IF(ISERROR(INDEX(指数走势!$F$38:$ACK$38,1,LOOKUP(2,1/(指数走势!$F$38:$ACK$38&lt;&gt;""),COLUMN(指数走势!$F$38:$ACK$38))-COLUMN(指数走势!$F$38)+1-760+133)),NA(),IF(INDEX(指数走势!$F$38:$ACK$38,1,LOOKUP(2,1/(指数走势!$F$38:$ACK$38&lt;&gt;""),COLUMN(指数走势!$F$38:$ACK$38))-COLUMN(指数走势!$F$38)+1-760+133)=0,NA(),INDEX(指数走势!$F$38:$ACK$38,1,LOOKUP(2,1/(指数走势!$F$38:$ACK$38&lt;&gt;""),COLUMN(指数走势!$F$38:$ACK$38))-COLUMN(指数走势!$F$38)+1-760+133)))</f>
        <v>18.234899520874</v>
      </c>
      <c r="EE102">
        <f>IF(ISERROR(INDEX(指数走势!$F$38:$ACK$38,1,LOOKUP(2,1/(指数走势!$F$38:$ACK$38&lt;&gt;""),COLUMN(指数走势!$F$38:$ACK$38))-COLUMN(指数走势!$F$38)+1-760+134)),NA(),IF(INDEX(指数走势!$F$38:$ACK$38,1,LOOKUP(2,1/(指数走势!$F$38:$ACK$38&lt;&gt;""),COLUMN(指数走势!$F$38:$ACK$38))-COLUMN(指数走势!$F$38)+1-760+134)=0,NA(),INDEX(指数走势!$F$38:$ACK$38,1,LOOKUP(2,1/(指数走势!$F$38:$ACK$38&lt;&gt;""),COLUMN(指数走势!$F$38:$ACK$38))-COLUMN(指数走势!$F$38)+1-760+134)))</f>
        <v>18.4050998687744</v>
      </c>
      <c r="EF102">
        <f>IF(ISERROR(INDEX(指数走势!$F$38:$ACK$38,1,LOOKUP(2,1/(指数走势!$F$38:$ACK$38&lt;&gt;""),COLUMN(指数走势!$F$38:$ACK$38))-COLUMN(指数走势!$F$38)+1-760+135)),NA(),IF(INDEX(指数走势!$F$38:$ACK$38,1,LOOKUP(2,1/(指数走势!$F$38:$ACK$38&lt;&gt;""),COLUMN(指数走势!$F$38:$ACK$38))-COLUMN(指数走势!$F$38)+1-760+135)=0,NA(),INDEX(指数走势!$F$38:$ACK$38,1,LOOKUP(2,1/(指数走势!$F$38:$ACK$38&lt;&gt;""),COLUMN(指数走势!$F$38:$ACK$38))-COLUMN(指数走势!$F$38)+1-760+135)))</f>
        <v>18.0503005981445</v>
      </c>
      <c r="EG102">
        <f>IF(ISERROR(INDEX(指数走势!$F$38:$ACK$38,1,LOOKUP(2,1/(指数走势!$F$38:$ACK$38&lt;&gt;""),COLUMN(指数走势!$F$38:$ACK$38))-COLUMN(指数走势!$F$38)+1-760+136)),NA(),IF(INDEX(指数走势!$F$38:$ACK$38,1,LOOKUP(2,1/(指数走势!$F$38:$ACK$38&lt;&gt;""),COLUMN(指数走势!$F$38:$ACK$38))-COLUMN(指数走势!$F$38)+1-760+136)=0,NA(),INDEX(指数走势!$F$38:$ACK$38,1,LOOKUP(2,1/(指数走势!$F$38:$ACK$38&lt;&gt;""),COLUMN(指数走势!$F$38:$ACK$38))-COLUMN(指数走势!$F$38)+1-760+136)))</f>
        <v>17.7751998901367</v>
      </c>
      <c r="EH102">
        <f>IF(ISERROR(INDEX(指数走势!$F$38:$ACK$38,1,LOOKUP(2,1/(指数走势!$F$38:$ACK$38&lt;&gt;""),COLUMN(指数走势!$F$38:$ACK$38))-COLUMN(指数走势!$F$38)+1-760+137)),NA(),IF(INDEX(指数走势!$F$38:$ACK$38,1,LOOKUP(2,1/(指数走势!$F$38:$ACK$38&lt;&gt;""),COLUMN(指数走势!$F$38:$ACK$38))-COLUMN(指数走势!$F$38)+1-760+137)=0,NA(),INDEX(指数走势!$F$38:$ACK$38,1,LOOKUP(2,1/(指数走势!$F$38:$ACK$38&lt;&gt;""),COLUMN(指数走势!$F$38:$ACK$38))-COLUMN(指数走势!$F$38)+1-760+137)))</f>
        <v>17.4409008026123</v>
      </c>
      <c r="EI102">
        <f>IF(ISERROR(INDEX(指数走势!$F$38:$ACK$38,1,LOOKUP(2,1/(指数走势!$F$38:$ACK$38&lt;&gt;""),COLUMN(指数走势!$F$38:$ACK$38))-COLUMN(指数走势!$F$38)+1-760+138)),NA(),IF(INDEX(指数走势!$F$38:$ACK$38,1,LOOKUP(2,1/(指数走势!$F$38:$ACK$38&lt;&gt;""),COLUMN(指数走势!$F$38:$ACK$38))-COLUMN(指数走势!$F$38)+1-760+138)=0,NA(),INDEX(指数走势!$F$38:$ACK$38,1,LOOKUP(2,1/(指数走势!$F$38:$ACK$38&lt;&gt;""),COLUMN(指数走势!$F$38:$ACK$38))-COLUMN(指数走势!$F$38)+1-760+138)))</f>
        <v>17.6702995300293</v>
      </c>
      <c r="EJ102">
        <f>IF(ISERROR(INDEX(指数走势!$F$38:$ACK$38,1,LOOKUP(2,1/(指数走势!$F$38:$ACK$38&lt;&gt;""),COLUMN(指数走势!$F$38:$ACK$38))-COLUMN(指数走势!$F$38)+1-760+139)),NA(),IF(INDEX(指数走势!$F$38:$ACK$38,1,LOOKUP(2,1/(指数走势!$F$38:$ACK$38&lt;&gt;""),COLUMN(指数走势!$F$38:$ACK$38))-COLUMN(指数走势!$F$38)+1-760+139)=0,NA(),INDEX(指数走势!$F$38:$ACK$38,1,LOOKUP(2,1/(指数走势!$F$38:$ACK$38&lt;&gt;""),COLUMN(指数走势!$F$38:$ACK$38))-COLUMN(指数走势!$F$38)+1-760+139)))</f>
        <v>17.5273990631104</v>
      </c>
      <c r="EK102">
        <f>IF(ISERROR(INDEX(指数走势!$F$38:$ACK$38,1,LOOKUP(2,1/(指数走势!$F$38:$ACK$38&lt;&gt;""),COLUMN(指数走势!$F$38:$ACK$38))-COLUMN(指数走势!$F$38)+1-760+140)),NA(),IF(INDEX(指数走势!$F$38:$ACK$38,1,LOOKUP(2,1/(指数走势!$F$38:$ACK$38&lt;&gt;""),COLUMN(指数走势!$F$38:$ACK$38))-COLUMN(指数走势!$F$38)+1-760+140)=0,NA(),INDEX(指数走势!$F$38:$ACK$38,1,LOOKUP(2,1/(指数走势!$F$38:$ACK$38&lt;&gt;""),COLUMN(指数走势!$F$38:$ACK$38))-COLUMN(指数走势!$F$38)+1-760+140)))</f>
        <v>17.4857006072998</v>
      </c>
      <c r="EL102">
        <f>IF(ISERROR(INDEX(指数走势!$F$38:$ACK$38,1,LOOKUP(2,1/(指数走势!$F$38:$ACK$38&lt;&gt;""),COLUMN(指数走势!$F$38:$ACK$38))-COLUMN(指数走势!$F$38)+1-760+141)),NA(),IF(INDEX(指数走势!$F$38:$ACK$38,1,LOOKUP(2,1/(指数走势!$F$38:$ACK$38&lt;&gt;""),COLUMN(指数走势!$F$38:$ACK$38))-COLUMN(指数走势!$F$38)+1-760+141)=0,NA(),INDEX(指数走势!$F$38:$ACK$38,1,LOOKUP(2,1/(指数走势!$F$38:$ACK$38&lt;&gt;""),COLUMN(指数走势!$F$38:$ACK$38))-COLUMN(指数走势!$F$38)+1-760+141)))</f>
        <v>17.332799911499</v>
      </c>
      <c r="EM102">
        <f>IF(ISERROR(INDEX(指数走势!$F$38:$ACK$38,1,LOOKUP(2,1/(指数走势!$F$38:$ACK$38&lt;&gt;""),COLUMN(指数走势!$F$38:$ACK$38))-COLUMN(指数走势!$F$38)+1-760+142)),NA(),IF(INDEX(指数走势!$F$38:$ACK$38,1,LOOKUP(2,1/(指数走势!$F$38:$ACK$38&lt;&gt;""),COLUMN(指数走势!$F$38:$ACK$38))-COLUMN(指数走势!$F$38)+1-760+142)=0,NA(),INDEX(指数走势!$F$38:$ACK$38,1,LOOKUP(2,1/(指数走势!$F$38:$ACK$38&lt;&gt;""),COLUMN(指数走势!$F$38:$ACK$38))-COLUMN(指数走势!$F$38)+1-760+142)))</f>
        <v>17.6124000549316</v>
      </c>
      <c r="EN102">
        <f>IF(ISERROR(INDEX(指数走势!$F$38:$ACK$38,1,LOOKUP(2,1/(指数走势!$F$38:$ACK$38&lt;&gt;""),COLUMN(指数走势!$F$38:$ACK$38))-COLUMN(指数走势!$F$38)+1-760+143)),NA(),IF(INDEX(指数走势!$F$38:$ACK$38,1,LOOKUP(2,1/(指数走势!$F$38:$ACK$38&lt;&gt;""),COLUMN(指数走势!$F$38:$ACK$38))-COLUMN(指数走势!$F$38)+1-760+143)=0,NA(),INDEX(指数走势!$F$38:$ACK$38,1,LOOKUP(2,1/(指数走势!$F$38:$ACK$38&lt;&gt;""),COLUMN(指数走势!$F$38:$ACK$38))-COLUMN(指数走势!$F$38)+1-760+143)))</f>
        <v>17.4008007049561</v>
      </c>
      <c r="EO102">
        <f>IF(ISERROR(INDEX(指数走势!$F$38:$ACK$38,1,LOOKUP(2,1/(指数走势!$F$38:$ACK$38&lt;&gt;""),COLUMN(指数走势!$F$38:$ACK$38))-COLUMN(指数走势!$F$38)+1-760+144)),NA(),IF(INDEX(指数走势!$F$38:$ACK$38,1,LOOKUP(2,1/(指数走势!$F$38:$ACK$38&lt;&gt;""),COLUMN(指数走势!$F$38:$ACK$38))-COLUMN(指数走势!$F$38)+1-760+144)=0,NA(),INDEX(指数走势!$F$38:$ACK$38,1,LOOKUP(2,1/(指数走势!$F$38:$ACK$38&lt;&gt;""),COLUMN(指数走势!$F$38:$ACK$38))-COLUMN(指数走势!$F$38)+1-760+144)))</f>
        <v>17.3903007507324</v>
      </c>
      <c r="EP102">
        <f>IF(ISERROR(INDEX(指数走势!$F$38:$ACK$38,1,LOOKUP(2,1/(指数走势!$F$38:$ACK$38&lt;&gt;""),COLUMN(指数走势!$F$38:$ACK$38))-COLUMN(指数走势!$F$38)+1-760+145)),NA(),IF(INDEX(指数走势!$F$38:$ACK$38,1,LOOKUP(2,1/(指数走势!$F$38:$ACK$38&lt;&gt;""),COLUMN(指数走势!$F$38:$ACK$38))-COLUMN(指数走势!$F$38)+1-760+145)=0,NA(),INDEX(指数走势!$F$38:$ACK$38,1,LOOKUP(2,1/(指数走势!$F$38:$ACK$38&lt;&gt;""),COLUMN(指数走势!$F$38:$ACK$38))-COLUMN(指数走势!$F$38)+1-760+145)))</f>
        <v>17.8458995819092</v>
      </c>
      <c r="EQ102">
        <f>IF(ISERROR(INDEX(指数走势!$F$38:$ACK$38,1,LOOKUP(2,1/(指数走势!$F$38:$ACK$38&lt;&gt;""),COLUMN(指数走势!$F$38:$ACK$38))-COLUMN(指数走势!$F$38)+1-760+146)),NA(),IF(INDEX(指数走势!$F$38:$ACK$38,1,LOOKUP(2,1/(指数走势!$F$38:$ACK$38&lt;&gt;""),COLUMN(指数走势!$F$38:$ACK$38))-COLUMN(指数走势!$F$38)+1-760+146)=0,NA(),INDEX(指数走势!$F$38:$ACK$38,1,LOOKUP(2,1/(指数走势!$F$38:$ACK$38&lt;&gt;""),COLUMN(指数走势!$F$38:$ACK$38))-COLUMN(指数走势!$F$38)+1-760+146)))</f>
        <v>17.6786994934082</v>
      </c>
      <c r="ER102">
        <f>IF(ISERROR(INDEX(指数走势!$F$38:$ACK$38,1,LOOKUP(2,1/(指数走势!$F$38:$ACK$38&lt;&gt;""),COLUMN(指数走势!$F$38:$ACK$38))-COLUMN(指数走势!$F$38)+1-760+147)),NA(),IF(INDEX(指数走势!$F$38:$ACK$38,1,LOOKUP(2,1/(指数走势!$F$38:$ACK$38&lt;&gt;""),COLUMN(指数走势!$F$38:$ACK$38))-COLUMN(指数走势!$F$38)+1-760+147)=0,NA(),INDEX(指数走势!$F$38:$ACK$38,1,LOOKUP(2,1/(指数走势!$F$38:$ACK$38&lt;&gt;""),COLUMN(指数走势!$F$38:$ACK$38))-COLUMN(指数走势!$F$38)+1-760+147)))</f>
        <v>17.6042003631592</v>
      </c>
      <c r="ES102">
        <f>IF(ISERROR(INDEX(指数走势!$F$38:$ACK$38,1,LOOKUP(2,1/(指数走势!$F$38:$ACK$38&lt;&gt;""),COLUMN(指数走势!$F$38:$ACK$38))-COLUMN(指数走势!$F$38)+1-760+148)),NA(),IF(INDEX(指数走势!$F$38:$ACK$38,1,LOOKUP(2,1/(指数走势!$F$38:$ACK$38&lt;&gt;""),COLUMN(指数走势!$F$38:$ACK$38))-COLUMN(指数走势!$F$38)+1-760+148)=0,NA(),INDEX(指数走势!$F$38:$ACK$38,1,LOOKUP(2,1/(指数走势!$F$38:$ACK$38&lt;&gt;""),COLUMN(指数走势!$F$38:$ACK$38))-COLUMN(指数走势!$F$38)+1-760+148)))</f>
        <v>17.7331008911133</v>
      </c>
      <c r="ET102">
        <f>IF(ISERROR(INDEX(指数走势!$F$38:$ACK$38,1,LOOKUP(2,1/(指数走势!$F$38:$ACK$38&lt;&gt;""),COLUMN(指数走势!$F$38:$ACK$38))-COLUMN(指数走势!$F$38)+1-760+149)),NA(),IF(INDEX(指数走势!$F$38:$ACK$38,1,LOOKUP(2,1/(指数走势!$F$38:$ACK$38&lt;&gt;""),COLUMN(指数走势!$F$38:$ACK$38))-COLUMN(指数走势!$F$38)+1-760+149)=0,NA(),INDEX(指数走势!$F$38:$ACK$38,1,LOOKUP(2,1/(指数走势!$F$38:$ACK$38&lt;&gt;""),COLUMN(指数走势!$F$38:$ACK$38))-COLUMN(指数走势!$F$38)+1-760+149)))</f>
        <v>17.6942005157471</v>
      </c>
      <c r="EU102">
        <f>IF(ISERROR(INDEX(指数走势!$F$38:$ACK$38,1,LOOKUP(2,1/(指数走势!$F$38:$ACK$38&lt;&gt;""),COLUMN(指数走势!$F$38:$ACK$38))-COLUMN(指数走势!$F$38)+1-760+150)),NA(),IF(INDEX(指数走势!$F$38:$ACK$38,1,LOOKUP(2,1/(指数走势!$F$38:$ACK$38&lt;&gt;""),COLUMN(指数走势!$F$38:$ACK$38))-COLUMN(指数走势!$F$38)+1-760+150)=0,NA(),INDEX(指数走势!$F$38:$ACK$38,1,LOOKUP(2,1/(指数走势!$F$38:$ACK$38&lt;&gt;""),COLUMN(指数走势!$F$38:$ACK$38))-COLUMN(指数走势!$F$38)+1-760+150)))</f>
        <v>16.466100692749</v>
      </c>
      <c r="EV102">
        <f>IF(ISERROR(INDEX(指数走势!$F$38:$ACK$38,1,LOOKUP(2,1/(指数走势!$F$38:$ACK$38&lt;&gt;""),COLUMN(指数走势!$F$38:$ACK$38))-COLUMN(指数走势!$F$38)+1-760+151)),NA(),IF(INDEX(指数走势!$F$38:$ACK$38,1,LOOKUP(2,1/(指数走势!$F$38:$ACK$38&lt;&gt;""),COLUMN(指数走势!$F$38:$ACK$38))-COLUMN(指数走势!$F$38)+1-760+151)=0,NA(),INDEX(指数走势!$F$38:$ACK$38,1,LOOKUP(2,1/(指数走势!$F$38:$ACK$38&lt;&gt;""),COLUMN(指数走势!$F$38:$ACK$38))-COLUMN(指数走势!$F$38)+1-760+151)))</f>
        <v>16.466100692749</v>
      </c>
      <c r="EW102">
        <f>IF(ISERROR(INDEX(指数走势!$F$38:$ACK$38,1,LOOKUP(2,1/(指数走势!$F$38:$ACK$38&lt;&gt;""),COLUMN(指数走势!$F$38:$ACK$38))-COLUMN(指数走势!$F$38)+1-760+152)),NA(),IF(INDEX(指数走势!$F$38:$ACK$38,1,LOOKUP(2,1/(指数走势!$F$38:$ACK$38&lt;&gt;""),COLUMN(指数走势!$F$38:$ACK$38))-COLUMN(指数走势!$F$38)+1-760+152)=0,NA(),INDEX(指数走势!$F$38:$ACK$38,1,LOOKUP(2,1/(指数走势!$F$38:$ACK$38&lt;&gt;""),COLUMN(指数走势!$F$38:$ACK$38))-COLUMN(指数走势!$F$38)+1-760+152)))</f>
        <v>16.466100692749</v>
      </c>
      <c r="EX102">
        <f>IF(ISERROR(INDEX(指数走势!$F$38:$ACK$38,1,LOOKUP(2,1/(指数走势!$F$38:$ACK$38&lt;&gt;""),COLUMN(指数走势!$F$38:$ACK$38))-COLUMN(指数走势!$F$38)+1-760+153)),NA(),IF(INDEX(指数走势!$F$38:$ACK$38,1,LOOKUP(2,1/(指数走势!$F$38:$ACK$38&lt;&gt;""),COLUMN(指数走势!$F$38:$ACK$38))-COLUMN(指数走势!$F$38)+1-760+153)=0,NA(),INDEX(指数走势!$F$38:$ACK$38,1,LOOKUP(2,1/(指数走势!$F$38:$ACK$38&lt;&gt;""),COLUMN(指数走势!$F$38:$ACK$38))-COLUMN(指数走势!$F$38)+1-760+153)))</f>
        <v>17.0188007354736</v>
      </c>
      <c r="EY102">
        <f>IF(ISERROR(INDEX(指数走势!$F$38:$ACK$38,1,LOOKUP(2,1/(指数走势!$F$38:$ACK$38&lt;&gt;""),COLUMN(指数走势!$F$38:$ACK$38))-COLUMN(指数走势!$F$38)+1-760+154)),NA(),IF(INDEX(指数走势!$F$38:$ACK$38,1,LOOKUP(2,1/(指数走势!$F$38:$ACK$38&lt;&gt;""),COLUMN(指数走势!$F$38:$ACK$38))-COLUMN(指数走势!$F$38)+1-760+154)=0,NA(),INDEX(指数走势!$F$38:$ACK$38,1,LOOKUP(2,1/(指数走势!$F$38:$ACK$38&lt;&gt;""),COLUMN(指数走势!$F$38:$ACK$38))-COLUMN(指数走势!$F$38)+1-760+154)))</f>
        <v>17.551700592041</v>
      </c>
      <c r="EZ102">
        <f>IF(ISERROR(INDEX(指数走势!$F$38:$ACK$38,1,LOOKUP(2,1/(指数走势!$F$38:$ACK$38&lt;&gt;""),COLUMN(指数走势!$F$38:$ACK$38))-COLUMN(指数走势!$F$38)+1-760+155)),NA(),IF(INDEX(指数走势!$F$38:$ACK$38,1,LOOKUP(2,1/(指数走势!$F$38:$ACK$38&lt;&gt;""),COLUMN(指数走势!$F$38:$ACK$38))-COLUMN(指数走势!$F$38)+1-760+155)=0,NA(),INDEX(指数走势!$F$38:$ACK$38,1,LOOKUP(2,1/(指数走势!$F$38:$ACK$38&lt;&gt;""),COLUMN(指数走势!$F$38:$ACK$38))-COLUMN(指数走势!$F$38)+1-760+155)))</f>
        <v>17.5391006469727</v>
      </c>
      <c r="FA102">
        <f>IF(ISERROR(INDEX(指数走势!$F$38:$ACK$38,1,LOOKUP(2,1/(指数走势!$F$38:$ACK$38&lt;&gt;""),COLUMN(指数走势!$F$38:$ACK$38))-COLUMN(指数走势!$F$38)+1-760+156)),NA(),IF(INDEX(指数走势!$F$38:$ACK$38,1,LOOKUP(2,1/(指数走势!$F$38:$ACK$38&lt;&gt;""),COLUMN(指数走势!$F$38:$ACK$38))-COLUMN(指数走势!$F$38)+1-760+156)=0,NA(),INDEX(指数走势!$F$38:$ACK$38,1,LOOKUP(2,1/(指数走势!$F$38:$ACK$38&lt;&gt;""),COLUMN(指数走势!$F$38:$ACK$38))-COLUMN(指数走势!$F$38)+1-760+156)))</f>
        <v>17.4449996948242</v>
      </c>
      <c r="FB102">
        <f>IF(ISERROR(INDEX(指数走势!$F$38:$ACK$38,1,LOOKUP(2,1/(指数走势!$F$38:$ACK$38&lt;&gt;""),COLUMN(指数走势!$F$38:$ACK$38))-COLUMN(指数走势!$F$38)+1-760+157)),NA(),IF(INDEX(指数走势!$F$38:$ACK$38,1,LOOKUP(2,1/(指数走势!$F$38:$ACK$38&lt;&gt;""),COLUMN(指数走势!$F$38:$ACK$38))-COLUMN(指数走势!$F$38)+1-760+157)=0,NA(),INDEX(指数走势!$F$38:$ACK$38,1,LOOKUP(2,1/(指数走势!$F$38:$ACK$38&lt;&gt;""),COLUMN(指数走势!$F$38:$ACK$38))-COLUMN(指数走势!$F$38)+1-760+157)))</f>
        <v>17.2998008728027</v>
      </c>
      <c r="FC102">
        <f>IF(ISERROR(INDEX(指数走势!$F$38:$ACK$38,1,LOOKUP(2,1/(指数走势!$F$38:$ACK$38&lt;&gt;""),COLUMN(指数走势!$F$38:$ACK$38))-COLUMN(指数走势!$F$38)+1-760+158)),NA(),IF(INDEX(指数走势!$F$38:$ACK$38,1,LOOKUP(2,1/(指数走势!$F$38:$ACK$38&lt;&gt;""),COLUMN(指数走势!$F$38:$ACK$38))-COLUMN(指数走势!$F$38)+1-760+158)=0,NA(),INDEX(指数走势!$F$38:$ACK$38,1,LOOKUP(2,1/(指数走势!$F$38:$ACK$38&lt;&gt;""),COLUMN(指数走势!$F$38:$ACK$38))-COLUMN(指数走势!$F$38)+1-760+158)))</f>
        <v>17.3257999420166</v>
      </c>
      <c r="FD102">
        <f>IF(ISERROR(INDEX(指数走势!$F$38:$ACK$38,1,LOOKUP(2,1/(指数走势!$F$38:$ACK$38&lt;&gt;""),COLUMN(指数走势!$F$38:$ACK$38))-COLUMN(指数走势!$F$38)+1-760+159)),NA(),IF(INDEX(指数走势!$F$38:$ACK$38,1,LOOKUP(2,1/(指数走势!$F$38:$ACK$38&lt;&gt;""),COLUMN(指数走势!$F$38:$ACK$38))-COLUMN(指数走势!$F$38)+1-760+159)=0,NA(),INDEX(指数走势!$F$38:$ACK$38,1,LOOKUP(2,1/(指数走势!$F$38:$ACK$38&lt;&gt;""),COLUMN(指数走势!$F$38:$ACK$38))-COLUMN(指数走势!$F$38)+1-760+159)))</f>
        <v>17.0069007873535</v>
      </c>
      <c r="FE102">
        <f>IF(ISERROR(INDEX(指数走势!$F$38:$ACK$38,1,LOOKUP(2,1/(指数走势!$F$38:$ACK$38&lt;&gt;""),COLUMN(指数走势!$F$38:$ACK$38))-COLUMN(指数走势!$F$38)+1-760+160)),NA(),IF(INDEX(指数走势!$F$38:$ACK$38,1,LOOKUP(2,1/(指数走势!$F$38:$ACK$38&lt;&gt;""),COLUMN(指数走势!$F$38:$ACK$38))-COLUMN(指数走势!$F$38)+1-760+160)=0,NA(),INDEX(指数走势!$F$38:$ACK$38,1,LOOKUP(2,1/(指数走势!$F$38:$ACK$38&lt;&gt;""),COLUMN(指数走势!$F$38:$ACK$38))-COLUMN(指数走势!$F$38)+1-760+160)))</f>
        <v>16.5951995849609</v>
      </c>
      <c r="FF102">
        <f>IF(ISERROR(INDEX(指数走势!$F$38:$ACK$38,1,LOOKUP(2,1/(指数走势!$F$38:$ACK$38&lt;&gt;""),COLUMN(指数走势!$F$38:$ACK$38))-COLUMN(指数走势!$F$38)+1-760+161)),NA(),IF(INDEX(指数走势!$F$38:$ACK$38,1,LOOKUP(2,1/(指数走势!$F$38:$ACK$38&lt;&gt;""),COLUMN(指数走势!$F$38:$ACK$38))-COLUMN(指数走势!$F$38)+1-760+161)=0,NA(),INDEX(指数走势!$F$38:$ACK$38,1,LOOKUP(2,1/(指数走势!$F$38:$ACK$38&lt;&gt;""),COLUMN(指数走势!$F$38:$ACK$38))-COLUMN(指数走势!$F$38)+1-760+161)))</f>
        <v>16.4193000793457</v>
      </c>
      <c r="FG102">
        <f>IF(ISERROR(INDEX(指数走势!$F$38:$ACK$38,1,LOOKUP(2,1/(指数走势!$F$38:$ACK$38&lt;&gt;""),COLUMN(指数走势!$F$38:$ACK$38))-COLUMN(指数走势!$F$38)+1-760+162)),NA(),IF(INDEX(指数走势!$F$38:$ACK$38,1,LOOKUP(2,1/(指数走势!$F$38:$ACK$38&lt;&gt;""),COLUMN(指数走势!$F$38:$ACK$38))-COLUMN(指数走势!$F$38)+1-760+162)=0,NA(),INDEX(指数走势!$F$38:$ACK$38,1,LOOKUP(2,1/(指数走势!$F$38:$ACK$38&lt;&gt;""),COLUMN(指数走势!$F$38:$ACK$38))-COLUMN(指数走势!$F$38)+1-760+162)))</f>
        <v>16.2861995697021</v>
      </c>
      <c r="FH102">
        <f>IF(ISERROR(INDEX(指数走势!$F$38:$ACK$38,1,LOOKUP(2,1/(指数走势!$F$38:$ACK$38&lt;&gt;""),COLUMN(指数走势!$F$38:$ACK$38))-COLUMN(指数走势!$F$38)+1-760+163)),NA(),IF(INDEX(指数走势!$F$38:$ACK$38,1,LOOKUP(2,1/(指数走势!$F$38:$ACK$38&lt;&gt;""),COLUMN(指数走势!$F$38:$ACK$38))-COLUMN(指数走势!$F$38)+1-760+163)=0,NA(),INDEX(指数走势!$F$38:$ACK$38,1,LOOKUP(2,1/(指数走势!$F$38:$ACK$38&lt;&gt;""),COLUMN(指数走势!$F$38:$ACK$38))-COLUMN(指数走势!$F$38)+1-760+163)))</f>
        <v>16.6502990722656</v>
      </c>
      <c r="FI102">
        <f>IF(ISERROR(INDEX(指数走势!$F$38:$ACK$38,1,LOOKUP(2,1/(指数走势!$F$38:$ACK$38&lt;&gt;""),COLUMN(指数走势!$F$38:$ACK$38))-COLUMN(指数走势!$F$38)+1-760+164)),NA(),IF(INDEX(指数走势!$F$38:$ACK$38,1,LOOKUP(2,1/(指数走势!$F$38:$ACK$38&lt;&gt;""),COLUMN(指数走势!$F$38:$ACK$38))-COLUMN(指数走势!$F$38)+1-760+164)=0,NA(),INDEX(指数走势!$F$38:$ACK$38,1,LOOKUP(2,1/(指数走势!$F$38:$ACK$38&lt;&gt;""),COLUMN(指数走势!$F$38:$ACK$38))-COLUMN(指数走势!$F$38)+1-760+164)))</f>
        <v>16.5776996612549</v>
      </c>
      <c r="FJ102">
        <f>IF(ISERROR(INDEX(指数走势!$F$38:$ACK$38,1,LOOKUP(2,1/(指数走势!$F$38:$ACK$38&lt;&gt;""),COLUMN(指数走势!$F$38:$ACK$38))-COLUMN(指数走势!$F$38)+1-760+165)),NA(),IF(INDEX(指数走势!$F$38:$ACK$38,1,LOOKUP(2,1/(指数走势!$F$38:$ACK$38&lt;&gt;""),COLUMN(指数走势!$F$38:$ACK$38))-COLUMN(指数走势!$F$38)+1-760+165)=0,NA(),INDEX(指数走势!$F$38:$ACK$38,1,LOOKUP(2,1/(指数走势!$F$38:$ACK$38&lt;&gt;""),COLUMN(指数走势!$F$38:$ACK$38))-COLUMN(指数走势!$F$38)+1-760+165)))</f>
        <v>16.4013996124268</v>
      </c>
      <c r="FK102">
        <f>IF(ISERROR(INDEX(指数走势!$F$38:$ACK$38,1,LOOKUP(2,1/(指数走势!$F$38:$ACK$38&lt;&gt;""),COLUMN(指数走势!$F$38:$ACK$38))-COLUMN(指数走势!$F$38)+1-760+166)),NA(),IF(INDEX(指数走势!$F$38:$ACK$38,1,LOOKUP(2,1/(指数走势!$F$38:$ACK$38&lt;&gt;""),COLUMN(指数走势!$F$38:$ACK$38))-COLUMN(指数走势!$F$38)+1-760+166)=0,NA(),INDEX(指数走势!$F$38:$ACK$38,1,LOOKUP(2,1/(指数走势!$F$38:$ACK$38&lt;&gt;""),COLUMN(指数走势!$F$38:$ACK$38))-COLUMN(指数走势!$F$38)+1-760+166)))</f>
        <v>16.0386009216309</v>
      </c>
      <c r="FL102">
        <f>IF(ISERROR(INDEX(指数走势!$F$38:$ACK$38,1,LOOKUP(2,1/(指数走势!$F$38:$ACK$38&lt;&gt;""),COLUMN(指数走势!$F$38:$ACK$38))-COLUMN(指数走势!$F$38)+1-760+167)),NA(),IF(INDEX(指数走势!$F$38:$ACK$38,1,LOOKUP(2,1/(指数走势!$F$38:$ACK$38&lt;&gt;""),COLUMN(指数走势!$F$38:$ACK$38))-COLUMN(指数走势!$F$38)+1-760+167)=0,NA(),INDEX(指数走势!$F$38:$ACK$38,1,LOOKUP(2,1/(指数走势!$F$38:$ACK$38&lt;&gt;""),COLUMN(指数走势!$F$38:$ACK$38))-COLUMN(指数走势!$F$38)+1-760+167)))</f>
        <v>15.3741998672485</v>
      </c>
      <c r="FM102">
        <f>IF(ISERROR(INDEX(指数走势!$F$38:$ACK$38,1,LOOKUP(2,1/(指数走势!$F$38:$ACK$38&lt;&gt;""),COLUMN(指数走势!$F$38:$ACK$38))-COLUMN(指数走势!$F$38)+1-760+168)),NA(),IF(INDEX(指数走势!$F$38:$ACK$38,1,LOOKUP(2,1/(指数走势!$F$38:$ACK$38&lt;&gt;""),COLUMN(指数走势!$F$38:$ACK$38))-COLUMN(指数走势!$F$38)+1-760+168)=0,NA(),INDEX(指数走势!$F$38:$ACK$38,1,LOOKUP(2,1/(指数走势!$F$38:$ACK$38&lt;&gt;""),COLUMN(指数走势!$F$38:$ACK$38))-COLUMN(指数走势!$F$38)+1-760+168)))</f>
        <v>15.5235004425049</v>
      </c>
      <c r="FN102">
        <f>IF(ISERROR(INDEX(指数走势!$F$38:$ACK$38,1,LOOKUP(2,1/(指数走势!$F$38:$ACK$38&lt;&gt;""),COLUMN(指数走势!$F$38:$ACK$38))-COLUMN(指数走势!$F$38)+1-760+169)),NA(),IF(INDEX(指数走势!$F$38:$ACK$38,1,LOOKUP(2,1/(指数走势!$F$38:$ACK$38&lt;&gt;""),COLUMN(指数走势!$F$38:$ACK$38))-COLUMN(指数走势!$F$38)+1-760+169)=0,NA(),INDEX(指数走势!$F$38:$ACK$38,1,LOOKUP(2,1/(指数走势!$F$38:$ACK$38&lt;&gt;""),COLUMN(指数走势!$F$38:$ACK$38))-COLUMN(指数走势!$F$38)+1-760+169)))</f>
        <v>15.2727003097534</v>
      </c>
      <c r="FO102">
        <f>IF(ISERROR(INDEX(指数走势!$F$38:$ACK$38,1,LOOKUP(2,1/(指数走势!$F$38:$ACK$38&lt;&gt;""),COLUMN(指数走势!$F$38:$ACK$38))-COLUMN(指数走势!$F$38)+1-760+170)),NA(),IF(INDEX(指数走势!$F$38:$ACK$38,1,LOOKUP(2,1/(指数走势!$F$38:$ACK$38&lt;&gt;""),COLUMN(指数走势!$F$38:$ACK$38))-COLUMN(指数走势!$F$38)+1-760+170)=0,NA(),INDEX(指数走势!$F$38:$ACK$38,1,LOOKUP(2,1/(指数走势!$F$38:$ACK$38&lt;&gt;""),COLUMN(指数走势!$F$38:$ACK$38))-COLUMN(指数走势!$F$38)+1-760+170)))</f>
        <v>14.8587999343872</v>
      </c>
      <c r="FP102">
        <f>IF(ISERROR(INDEX(指数走势!$F$38:$ACK$38,1,LOOKUP(2,1/(指数走势!$F$38:$ACK$38&lt;&gt;""),COLUMN(指数走势!$F$38:$ACK$38))-COLUMN(指数走势!$F$38)+1-760+171)),NA(),IF(INDEX(指数走势!$F$38:$ACK$38,1,LOOKUP(2,1/(指数走势!$F$38:$ACK$38&lt;&gt;""),COLUMN(指数走势!$F$38:$ACK$38))-COLUMN(指数走势!$F$38)+1-760+171)=0,NA(),INDEX(指数走势!$F$38:$ACK$38,1,LOOKUP(2,1/(指数走势!$F$38:$ACK$38&lt;&gt;""),COLUMN(指数走势!$F$38:$ACK$38))-COLUMN(指数走势!$F$38)+1-760+171)))</f>
        <v>15.3976001739502</v>
      </c>
      <c r="FQ102">
        <f>IF(ISERROR(INDEX(指数走势!$F$38:$ACK$38,1,LOOKUP(2,1/(指数走势!$F$38:$ACK$38&lt;&gt;""),COLUMN(指数走势!$F$38:$ACK$38))-COLUMN(指数走势!$F$38)+1-760+172)),NA(),IF(INDEX(指数走势!$F$38:$ACK$38,1,LOOKUP(2,1/(指数走势!$F$38:$ACK$38&lt;&gt;""),COLUMN(指数走势!$F$38:$ACK$38))-COLUMN(指数走势!$F$38)+1-760+172)=0,NA(),INDEX(指数走势!$F$38:$ACK$38,1,LOOKUP(2,1/(指数走势!$F$38:$ACK$38&lt;&gt;""),COLUMN(指数走势!$F$38:$ACK$38))-COLUMN(指数走势!$F$38)+1-760+172)))</f>
        <v>16.1229000091553</v>
      </c>
      <c r="FR102">
        <f>IF(ISERROR(INDEX(指数走势!$F$38:$ACK$38,1,LOOKUP(2,1/(指数走势!$F$38:$ACK$38&lt;&gt;""),COLUMN(指数走势!$F$38:$ACK$38))-COLUMN(指数走势!$F$38)+1-760+173)),NA(),IF(INDEX(指数走势!$F$38:$ACK$38,1,LOOKUP(2,1/(指数走势!$F$38:$ACK$38&lt;&gt;""),COLUMN(指数走势!$F$38:$ACK$38))-COLUMN(指数走势!$F$38)+1-760+173)=0,NA(),INDEX(指数走势!$F$38:$ACK$38,1,LOOKUP(2,1/(指数走势!$F$38:$ACK$38&lt;&gt;""),COLUMN(指数走势!$F$38:$ACK$38))-COLUMN(指数走势!$F$38)+1-760+173)))</f>
        <v>16.388599395752</v>
      </c>
      <c r="FS102">
        <f>IF(ISERROR(INDEX(指数走势!$F$38:$ACK$38,1,LOOKUP(2,1/(指数走势!$F$38:$ACK$38&lt;&gt;""),COLUMN(指数走势!$F$38:$ACK$38))-COLUMN(指数走势!$F$38)+1-760+174)),NA(),IF(INDEX(指数走势!$F$38:$ACK$38,1,LOOKUP(2,1/(指数走势!$F$38:$ACK$38&lt;&gt;""),COLUMN(指数走势!$F$38:$ACK$38))-COLUMN(指数走势!$F$38)+1-760+174)=0,NA(),INDEX(指数走势!$F$38:$ACK$38,1,LOOKUP(2,1/(指数走势!$F$38:$ACK$38&lt;&gt;""),COLUMN(指数走势!$F$38:$ACK$38))-COLUMN(指数走势!$F$38)+1-760+174)))</f>
        <v>15.8653001785278</v>
      </c>
      <c r="FT102">
        <f>IF(ISERROR(INDEX(指数走势!$F$38:$ACK$38,1,LOOKUP(2,1/(指数走势!$F$38:$ACK$38&lt;&gt;""),COLUMN(指数走势!$F$38:$ACK$38))-COLUMN(指数走势!$F$38)+1-760+175)),NA(),IF(INDEX(指数走势!$F$38:$ACK$38,1,LOOKUP(2,1/(指数走势!$F$38:$ACK$38&lt;&gt;""),COLUMN(指数走势!$F$38:$ACK$38))-COLUMN(指数走势!$F$38)+1-760+175)=0,NA(),INDEX(指数走势!$F$38:$ACK$38,1,LOOKUP(2,1/(指数走势!$F$38:$ACK$38&lt;&gt;""),COLUMN(指数走势!$F$38:$ACK$38))-COLUMN(指数走势!$F$38)+1-760+175)))</f>
        <v>15.983699798584</v>
      </c>
      <c r="FU102">
        <f>IF(ISERROR(INDEX(指数走势!$F$38:$ACK$38,1,LOOKUP(2,1/(指数走势!$F$38:$ACK$38&lt;&gt;""),COLUMN(指数走势!$F$38:$ACK$38))-COLUMN(指数走势!$F$38)+1-760+176)),NA(),IF(INDEX(指数走势!$F$38:$ACK$38,1,LOOKUP(2,1/(指数走势!$F$38:$ACK$38&lt;&gt;""),COLUMN(指数走势!$F$38:$ACK$38))-COLUMN(指数走势!$F$38)+1-760+176)=0,NA(),INDEX(指数走势!$F$38:$ACK$38,1,LOOKUP(2,1/(指数走势!$F$38:$ACK$38&lt;&gt;""),COLUMN(指数走势!$F$38:$ACK$38))-COLUMN(指数走势!$F$38)+1-760+176)))</f>
        <v>15.5090999603271</v>
      </c>
      <c r="FV102">
        <f>IF(ISERROR(INDEX(指数走势!$F$38:$ACK$38,1,LOOKUP(2,1/(指数走势!$F$38:$ACK$38&lt;&gt;""),COLUMN(指数走势!$F$38:$ACK$38))-COLUMN(指数走势!$F$38)+1-760+177)),NA(),IF(INDEX(指数走势!$F$38:$ACK$38,1,LOOKUP(2,1/(指数走势!$F$38:$ACK$38&lt;&gt;""),COLUMN(指数走势!$F$38:$ACK$38))-COLUMN(指数走势!$F$38)+1-760+177)=0,NA(),INDEX(指数走势!$F$38:$ACK$38,1,LOOKUP(2,1/(指数走势!$F$38:$ACK$38&lt;&gt;""),COLUMN(指数走势!$F$38:$ACK$38))-COLUMN(指数走势!$F$38)+1-760+177)))</f>
        <v>15.1708002090454</v>
      </c>
      <c r="FW102">
        <f>IF(ISERROR(INDEX(指数走势!$F$38:$ACK$38,1,LOOKUP(2,1/(指数走势!$F$38:$ACK$38&lt;&gt;""),COLUMN(指数走势!$F$38:$ACK$38))-COLUMN(指数走势!$F$38)+1-760+178)),NA(),IF(INDEX(指数走势!$F$38:$ACK$38,1,LOOKUP(2,1/(指数走势!$F$38:$ACK$38&lt;&gt;""),COLUMN(指数走势!$F$38:$ACK$38))-COLUMN(指数走势!$F$38)+1-760+178)=0,NA(),INDEX(指数走势!$F$38:$ACK$38,1,LOOKUP(2,1/(指数走势!$F$38:$ACK$38&lt;&gt;""),COLUMN(指数走势!$F$38:$ACK$38))-COLUMN(指数走势!$F$38)+1-760+178)))</f>
        <v>15.4013004302979</v>
      </c>
      <c r="FX102">
        <f>IF(ISERROR(INDEX(指数走势!$F$38:$ACK$38,1,LOOKUP(2,1/(指数走势!$F$38:$ACK$38&lt;&gt;""),COLUMN(指数走势!$F$38:$ACK$38))-COLUMN(指数走势!$F$38)+1-760+179)),NA(),IF(INDEX(指数走势!$F$38:$ACK$38,1,LOOKUP(2,1/(指数走势!$F$38:$ACK$38&lt;&gt;""),COLUMN(指数走势!$F$38:$ACK$38))-COLUMN(指数走势!$F$38)+1-760+179)=0,NA(),INDEX(指数走势!$F$38:$ACK$38,1,LOOKUP(2,1/(指数走势!$F$38:$ACK$38&lt;&gt;""),COLUMN(指数走势!$F$38:$ACK$38))-COLUMN(指数走势!$F$38)+1-760+179)))</f>
        <v>15.4771003723145</v>
      </c>
      <c r="FY102">
        <f>IF(ISERROR(INDEX(指数走势!$F$38:$ACK$38,1,LOOKUP(2,1/(指数走势!$F$38:$ACK$38&lt;&gt;""),COLUMN(指数走势!$F$38:$ACK$38))-COLUMN(指数走势!$F$38)+1-760+180)),NA(),IF(INDEX(指数走势!$F$38:$ACK$38,1,LOOKUP(2,1/(指数走势!$F$38:$ACK$38&lt;&gt;""),COLUMN(指数走势!$F$38:$ACK$38))-COLUMN(指数走势!$F$38)+1-760+180)=0,NA(),INDEX(指数走势!$F$38:$ACK$38,1,LOOKUP(2,1/(指数走势!$F$38:$ACK$38&lt;&gt;""),COLUMN(指数走势!$F$38:$ACK$38))-COLUMN(指数走势!$F$38)+1-760+180)))</f>
        <v>15.4709997177124</v>
      </c>
      <c r="FZ102">
        <f>IF(ISERROR(INDEX(指数走势!$F$38:$ACK$38,1,LOOKUP(2,1/(指数走势!$F$38:$ACK$38&lt;&gt;""),COLUMN(指数走势!$F$38:$ACK$38))-COLUMN(指数走势!$F$38)+1-760+181)),NA(),IF(INDEX(指数走势!$F$38:$ACK$38,1,LOOKUP(2,1/(指数走势!$F$38:$ACK$38&lt;&gt;""),COLUMN(指数走势!$F$38:$ACK$38))-COLUMN(指数走势!$F$38)+1-760+181)=0,NA(),INDEX(指数走势!$F$38:$ACK$38,1,LOOKUP(2,1/(指数走势!$F$38:$ACK$38&lt;&gt;""),COLUMN(指数走势!$F$38:$ACK$38))-COLUMN(指数走势!$F$38)+1-760+181)))</f>
        <v>16.4640007019043</v>
      </c>
      <c r="GA102">
        <f>IF(ISERROR(INDEX(指数走势!$F$38:$ACK$38,1,LOOKUP(2,1/(指数走势!$F$38:$ACK$38&lt;&gt;""),COLUMN(指数走势!$F$38:$ACK$38))-COLUMN(指数走势!$F$38)+1-760+182)),NA(),IF(INDEX(指数走势!$F$38:$ACK$38,1,LOOKUP(2,1/(指数走势!$F$38:$ACK$38&lt;&gt;""),COLUMN(指数走势!$F$38:$ACK$38))-COLUMN(指数走势!$F$38)+1-760+182)=0,NA(),INDEX(指数走势!$F$38:$ACK$38,1,LOOKUP(2,1/(指数走势!$F$38:$ACK$38&lt;&gt;""),COLUMN(指数走势!$F$38:$ACK$38))-COLUMN(指数走势!$F$38)+1-760+182)))</f>
        <v>17.5531005859375</v>
      </c>
      <c r="GB102">
        <f>IF(ISERROR(INDEX(指数走势!$F$38:$ACK$38,1,LOOKUP(2,1/(指数走势!$F$38:$ACK$38&lt;&gt;""),COLUMN(指数走势!$F$38:$ACK$38))-COLUMN(指数走势!$F$38)+1-760+183)),NA(),IF(INDEX(指数走势!$F$38:$ACK$38,1,LOOKUP(2,1/(指数走势!$F$38:$ACK$38&lt;&gt;""),COLUMN(指数走势!$F$38:$ACK$38))-COLUMN(指数走势!$F$38)+1-760+183)=0,NA(),INDEX(指数走势!$F$38:$ACK$38,1,LOOKUP(2,1/(指数走势!$F$38:$ACK$38&lt;&gt;""),COLUMN(指数走势!$F$38:$ACK$38))-COLUMN(指数走势!$F$38)+1-760+183)))</f>
        <v>17.2486991882324</v>
      </c>
      <c r="GC102">
        <f>IF(ISERROR(INDEX(指数走势!$F$38:$ACK$38,1,LOOKUP(2,1/(指数走势!$F$38:$ACK$38&lt;&gt;""),COLUMN(指数走势!$F$38:$ACK$38))-COLUMN(指数走势!$F$38)+1-760+184)),NA(),IF(INDEX(指数走势!$F$38:$ACK$38,1,LOOKUP(2,1/(指数走势!$F$38:$ACK$38&lt;&gt;""),COLUMN(指数走势!$F$38:$ACK$38))-COLUMN(指数走势!$F$38)+1-760+184)=0,NA(),INDEX(指数走势!$F$38:$ACK$38,1,LOOKUP(2,1/(指数走势!$F$38:$ACK$38&lt;&gt;""),COLUMN(指数走势!$F$38:$ACK$38))-COLUMN(指数走势!$F$38)+1-760+184)))</f>
        <v>17.5224990844727</v>
      </c>
      <c r="GD102">
        <f>IF(ISERROR(INDEX(指数走势!$F$38:$ACK$38,1,LOOKUP(2,1/(指数走势!$F$38:$ACK$38&lt;&gt;""),COLUMN(指数走势!$F$38:$ACK$38))-COLUMN(指数走势!$F$38)+1-760+185)),NA(),IF(INDEX(指数走势!$F$38:$ACK$38,1,LOOKUP(2,1/(指数走势!$F$38:$ACK$38&lt;&gt;""),COLUMN(指数走势!$F$38:$ACK$38))-COLUMN(指数走势!$F$38)+1-760+185)=0,NA(),INDEX(指数走势!$F$38:$ACK$38,1,LOOKUP(2,1/(指数走势!$F$38:$ACK$38&lt;&gt;""),COLUMN(指数走势!$F$38:$ACK$38))-COLUMN(指数走势!$F$38)+1-760+185)))</f>
        <v>17.5762996673584</v>
      </c>
      <c r="GE102">
        <f>IF(ISERROR(INDEX(指数走势!$F$38:$ACK$38,1,LOOKUP(2,1/(指数走势!$F$38:$ACK$38&lt;&gt;""),COLUMN(指数走势!$F$38:$ACK$38))-COLUMN(指数走势!$F$38)+1-760+186)),NA(),IF(INDEX(指数走势!$F$38:$ACK$38,1,LOOKUP(2,1/(指数走势!$F$38:$ACK$38&lt;&gt;""),COLUMN(指数走势!$F$38:$ACK$38))-COLUMN(指数走势!$F$38)+1-760+186)=0,NA(),INDEX(指数走势!$F$38:$ACK$38,1,LOOKUP(2,1/(指数走势!$F$38:$ACK$38&lt;&gt;""),COLUMN(指数走势!$F$38:$ACK$38))-COLUMN(指数走势!$F$38)+1-760+186)))</f>
        <v>17.9570007324219</v>
      </c>
      <c r="GF102">
        <f>IF(ISERROR(INDEX(指数走势!$F$38:$ACK$38,1,LOOKUP(2,1/(指数走势!$F$38:$ACK$38&lt;&gt;""),COLUMN(指数走势!$F$38:$ACK$38))-COLUMN(指数走势!$F$38)+1-760+187)),NA(),IF(INDEX(指数走势!$F$38:$ACK$38,1,LOOKUP(2,1/(指数走势!$F$38:$ACK$38&lt;&gt;""),COLUMN(指数走势!$F$38:$ACK$38))-COLUMN(指数走势!$F$38)+1-760+187)=0,NA(),INDEX(指数走势!$F$38:$ACK$38,1,LOOKUP(2,1/(指数走势!$F$38:$ACK$38&lt;&gt;""),COLUMN(指数走势!$F$38:$ACK$38))-COLUMN(指数走势!$F$38)+1-760+187)))</f>
        <v>18.2805004119873</v>
      </c>
      <c r="GG102">
        <f>IF(ISERROR(INDEX(指数走势!$F$38:$ACK$38,1,LOOKUP(2,1/(指数走势!$F$38:$ACK$38&lt;&gt;""),COLUMN(指数走势!$F$38:$ACK$38))-COLUMN(指数走势!$F$38)+1-760+188)),NA(),IF(INDEX(指数走势!$F$38:$ACK$38,1,LOOKUP(2,1/(指数走势!$F$38:$ACK$38&lt;&gt;""),COLUMN(指数走势!$F$38:$ACK$38))-COLUMN(指数走势!$F$38)+1-760+188)=0,NA(),INDEX(指数走势!$F$38:$ACK$38,1,LOOKUP(2,1/(指数走势!$F$38:$ACK$38&lt;&gt;""),COLUMN(指数走势!$F$38:$ACK$38))-COLUMN(指数走势!$F$38)+1-760+188)))</f>
        <v>18.2542991638184</v>
      </c>
      <c r="GH102">
        <f>IF(ISERROR(INDEX(指数走势!$F$38:$ACK$38,1,LOOKUP(2,1/(指数走势!$F$38:$ACK$38&lt;&gt;""),COLUMN(指数走势!$F$38:$ACK$38))-COLUMN(指数走势!$F$38)+1-760+189)),NA(),IF(INDEX(指数走势!$F$38:$ACK$38,1,LOOKUP(2,1/(指数走势!$F$38:$ACK$38&lt;&gt;""),COLUMN(指数走势!$F$38:$ACK$38))-COLUMN(指数走势!$F$38)+1-760+189)=0,NA(),INDEX(指数走势!$F$38:$ACK$38,1,LOOKUP(2,1/(指数走势!$F$38:$ACK$38&lt;&gt;""),COLUMN(指数走势!$F$38:$ACK$38))-COLUMN(指数走势!$F$38)+1-760+189)))</f>
        <v>17.8899993896484</v>
      </c>
      <c r="GI102">
        <f>IF(ISERROR(INDEX(指数走势!$F$38:$ACK$38,1,LOOKUP(2,1/(指数走势!$F$38:$ACK$38&lt;&gt;""),COLUMN(指数走势!$F$38:$ACK$38))-COLUMN(指数走势!$F$38)+1-760+190)),NA(),IF(INDEX(指数走势!$F$38:$ACK$38,1,LOOKUP(2,1/(指数走势!$F$38:$ACK$38&lt;&gt;""),COLUMN(指数走势!$F$38:$ACK$38))-COLUMN(指数走势!$F$38)+1-760+190)=0,NA(),INDEX(指数走势!$F$38:$ACK$38,1,LOOKUP(2,1/(指数走势!$F$38:$ACK$38&lt;&gt;""),COLUMN(指数走势!$F$38:$ACK$38))-COLUMN(指数走势!$F$38)+1-760+190)))</f>
        <v>18.1546993255615</v>
      </c>
      <c r="GJ102">
        <f>IF(ISERROR(INDEX(指数走势!$F$38:$ACK$38,1,LOOKUP(2,1/(指数走势!$F$38:$ACK$38&lt;&gt;""),COLUMN(指数走势!$F$38:$ACK$38))-COLUMN(指数走势!$F$38)+1-760+191)),NA(),IF(INDEX(指数走势!$F$38:$ACK$38,1,LOOKUP(2,1/(指数走势!$F$38:$ACK$38&lt;&gt;""),COLUMN(指数走势!$F$38:$ACK$38))-COLUMN(指数走势!$F$38)+1-760+191)=0,NA(),INDEX(指数走势!$F$38:$ACK$38,1,LOOKUP(2,1/(指数走势!$F$38:$ACK$38&lt;&gt;""),COLUMN(指数走势!$F$38:$ACK$38))-COLUMN(指数走势!$F$38)+1-760+191)))</f>
        <v>17.8686008453369</v>
      </c>
      <c r="GK102">
        <f>IF(ISERROR(INDEX(指数走势!$F$38:$ACK$38,1,LOOKUP(2,1/(指数走势!$F$38:$ACK$38&lt;&gt;""),COLUMN(指数走势!$F$38:$ACK$38))-COLUMN(指数走势!$F$38)+1-760+192)),NA(),IF(INDEX(指数走势!$F$38:$ACK$38,1,LOOKUP(2,1/(指数走势!$F$38:$ACK$38&lt;&gt;""),COLUMN(指数走势!$F$38:$ACK$38))-COLUMN(指数走势!$F$38)+1-760+192)=0,NA(),INDEX(指数走势!$F$38:$ACK$38,1,LOOKUP(2,1/(指数走势!$F$38:$ACK$38&lt;&gt;""),COLUMN(指数走势!$F$38:$ACK$38))-COLUMN(指数走势!$F$38)+1-760+192)))</f>
        <v>17.6979007720947</v>
      </c>
      <c r="GL102">
        <f>IF(ISERROR(INDEX(指数走势!$F$38:$ACK$38,1,LOOKUP(2,1/(指数走势!$F$38:$ACK$38&lt;&gt;""),COLUMN(指数走势!$F$38:$ACK$38))-COLUMN(指数走势!$F$38)+1-760+193)),NA(),IF(INDEX(指数走势!$F$38:$ACK$38,1,LOOKUP(2,1/(指数走势!$F$38:$ACK$38&lt;&gt;""),COLUMN(指数走势!$F$38:$ACK$38))-COLUMN(指数走势!$F$38)+1-760+193)=0,NA(),INDEX(指数走势!$F$38:$ACK$38,1,LOOKUP(2,1/(指数走势!$F$38:$ACK$38&lt;&gt;""),COLUMN(指数走势!$F$38:$ACK$38))-COLUMN(指数走势!$F$38)+1-760+193)))</f>
        <v>17.8920993804932</v>
      </c>
      <c r="GM102">
        <f>IF(ISERROR(INDEX(指数走势!$F$38:$ACK$38,1,LOOKUP(2,1/(指数走势!$F$38:$ACK$38&lt;&gt;""),COLUMN(指数走势!$F$38:$ACK$38))-COLUMN(指数走势!$F$38)+1-760+194)),NA(),IF(INDEX(指数走势!$F$38:$ACK$38,1,LOOKUP(2,1/(指数走势!$F$38:$ACK$38&lt;&gt;""),COLUMN(指数走势!$F$38:$ACK$38))-COLUMN(指数走势!$F$38)+1-760+194)=0,NA(),INDEX(指数走势!$F$38:$ACK$38,1,LOOKUP(2,1/(指数走势!$F$38:$ACK$38&lt;&gt;""),COLUMN(指数走势!$F$38:$ACK$38))-COLUMN(指数走势!$F$38)+1-760+194)))</f>
        <v>17.7709999084473</v>
      </c>
      <c r="GN102">
        <f>IF(ISERROR(INDEX(指数走势!$F$38:$ACK$38,1,LOOKUP(2,1/(指数走势!$F$38:$ACK$38&lt;&gt;""),COLUMN(指数走势!$F$38:$ACK$38))-COLUMN(指数走势!$F$38)+1-760+195)),NA(),IF(INDEX(指数走势!$F$38:$ACK$38,1,LOOKUP(2,1/(指数走势!$F$38:$ACK$38&lt;&gt;""),COLUMN(指数走势!$F$38:$ACK$38))-COLUMN(指数走势!$F$38)+1-760+195)=0,NA(),INDEX(指数走势!$F$38:$ACK$38,1,LOOKUP(2,1/(指数走势!$F$38:$ACK$38&lt;&gt;""),COLUMN(指数走势!$F$38:$ACK$38))-COLUMN(指数走势!$F$38)+1-760+195)))</f>
        <v>17.0811004638672</v>
      </c>
      <c r="GO102">
        <f>IF(ISERROR(INDEX(指数走势!$F$38:$ACK$38,1,LOOKUP(2,1/(指数走势!$F$38:$ACK$38&lt;&gt;""),COLUMN(指数走势!$F$38:$ACK$38))-COLUMN(指数走势!$F$38)+1-760+196)),NA(),IF(INDEX(指数走势!$F$38:$ACK$38,1,LOOKUP(2,1/(指数走势!$F$38:$ACK$38&lt;&gt;""),COLUMN(指数走势!$F$38:$ACK$38))-COLUMN(指数走势!$F$38)+1-760+196)=0,NA(),INDEX(指数走势!$F$38:$ACK$38,1,LOOKUP(2,1/(指数走势!$F$38:$ACK$38&lt;&gt;""),COLUMN(指数走势!$F$38:$ACK$38))-COLUMN(指数走势!$F$38)+1-760+196)))</f>
        <v>17.4750995635986</v>
      </c>
      <c r="GP102">
        <f>IF(ISERROR(INDEX(指数走势!$F$38:$ACK$38,1,LOOKUP(2,1/(指数走势!$F$38:$ACK$38&lt;&gt;""),COLUMN(指数走势!$F$38:$ACK$38))-COLUMN(指数走势!$F$38)+1-760+197)),NA(),IF(INDEX(指数走势!$F$38:$ACK$38,1,LOOKUP(2,1/(指数走势!$F$38:$ACK$38&lt;&gt;""),COLUMN(指数走势!$F$38:$ACK$38))-COLUMN(指数走势!$F$38)+1-760+197)=0,NA(),INDEX(指数走势!$F$38:$ACK$38,1,LOOKUP(2,1/(指数走势!$F$38:$ACK$38&lt;&gt;""),COLUMN(指数走势!$F$38:$ACK$38))-COLUMN(指数走势!$F$38)+1-760+197)))</f>
        <v>17.1856002807617</v>
      </c>
      <c r="GQ102">
        <f>IF(ISERROR(INDEX(指数走势!$F$38:$ACK$38,1,LOOKUP(2,1/(指数走势!$F$38:$ACK$38&lt;&gt;""),COLUMN(指数走势!$F$38:$ACK$38))-COLUMN(指数走势!$F$38)+1-760+198)),NA(),IF(INDEX(指数走势!$F$38:$ACK$38,1,LOOKUP(2,1/(指数走势!$F$38:$ACK$38&lt;&gt;""),COLUMN(指数走势!$F$38:$ACK$38))-COLUMN(指数走势!$F$38)+1-760+198)=0,NA(),INDEX(指数走势!$F$38:$ACK$38,1,LOOKUP(2,1/(指数走势!$F$38:$ACK$38&lt;&gt;""),COLUMN(指数走势!$F$38:$ACK$38))-COLUMN(指数走势!$F$38)+1-760+198)))</f>
        <v>17.2651996612549</v>
      </c>
      <c r="GR102">
        <f>IF(ISERROR(INDEX(指数走势!$F$38:$ACK$38,1,LOOKUP(2,1/(指数走势!$F$38:$ACK$38&lt;&gt;""),COLUMN(指数走势!$F$38:$ACK$38))-COLUMN(指数走势!$F$38)+1-760+199)),NA(),IF(INDEX(指数走势!$F$38:$ACK$38,1,LOOKUP(2,1/(指数走势!$F$38:$ACK$38&lt;&gt;""),COLUMN(指数走势!$F$38:$ACK$38))-COLUMN(指数走势!$F$38)+1-760+199)=0,NA(),INDEX(指数走势!$F$38:$ACK$38,1,LOOKUP(2,1/(指数走势!$F$38:$ACK$38&lt;&gt;""),COLUMN(指数走势!$F$38:$ACK$38))-COLUMN(指数走势!$F$38)+1-760+199)))</f>
        <v>17.7397994995117</v>
      </c>
      <c r="GS102">
        <f>IF(ISERROR(INDEX(指数走势!$F$38:$ACK$38,1,LOOKUP(2,1/(指数走势!$F$38:$ACK$38&lt;&gt;""),COLUMN(指数走势!$F$38:$ACK$38))-COLUMN(指数走势!$F$38)+1-760+200)),NA(),IF(INDEX(指数走势!$F$38:$ACK$38,1,LOOKUP(2,1/(指数走势!$F$38:$ACK$38&lt;&gt;""),COLUMN(指数走势!$F$38:$ACK$38))-COLUMN(指数走势!$F$38)+1-760+200)=0,NA(),INDEX(指数走势!$F$38:$ACK$38,1,LOOKUP(2,1/(指数走势!$F$38:$ACK$38&lt;&gt;""),COLUMN(指数走势!$F$38:$ACK$38))-COLUMN(指数走势!$F$38)+1-760+200)))</f>
        <v>18.4615993499756</v>
      </c>
      <c r="GT102">
        <f>IF(ISERROR(INDEX(指数走势!$F$38:$ACK$38,1,LOOKUP(2,1/(指数走势!$F$38:$ACK$38&lt;&gt;""),COLUMN(指数走势!$F$38:$ACK$38))-COLUMN(指数走势!$F$38)+1-760+201)),NA(),IF(INDEX(指数走势!$F$38:$ACK$38,1,LOOKUP(2,1/(指数走势!$F$38:$ACK$38&lt;&gt;""),COLUMN(指数走势!$F$38:$ACK$38))-COLUMN(指数走势!$F$38)+1-760+201)=0,NA(),INDEX(指数走势!$F$38:$ACK$38,1,LOOKUP(2,1/(指数走势!$F$38:$ACK$38&lt;&gt;""),COLUMN(指数走势!$F$38:$ACK$38))-COLUMN(指数走势!$F$38)+1-760+201)))</f>
        <v>18.4666996002197</v>
      </c>
      <c r="GU102">
        <f>IF(ISERROR(INDEX(指数走势!$F$38:$ACK$38,1,LOOKUP(2,1/(指数走势!$F$38:$ACK$38&lt;&gt;""),COLUMN(指数走势!$F$38:$ACK$38))-COLUMN(指数走势!$F$38)+1-760+202)),NA(),IF(INDEX(指数走势!$F$38:$ACK$38,1,LOOKUP(2,1/(指数走势!$F$38:$ACK$38&lt;&gt;""),COLUMN(指数走势!$F$38:$ACK$38))-COLUMN(指数走势!$F$38)+1-760+202)=0,NA(),INDEX(指数走势!$F$38:$ACK$38,1,LOOKUP(2,1/(指数走势!$F$38:$ACK$38&lt;&gt;""),COLUMN(指数走势!$F$38:$ACK$38))-COLUMN(指数走势!$F$38)+1-760+202)))</f>
        <v>18.3059997558594</v>
      </c>
      <c r="GV102">
        <f>IF(ISERROR(INDEX(指数走势!$F$38:$ACK$38,1,LOOKUP(2,1/(指数走势!$F$38:$ACK$38&lt;&gt;""),COLUMN(指数走势!$F$38:$ACK$38))-COLUMN(指数走势!$F$38)+1-760+203)),NA(),IF(INDEX(指数走势!$F$38:$ACK$38,1,LOOKUP(2,1/(指数走势!$F$38:$ACK$38&lt;&gt;""),COLUMN(指数走势!$F$38:$ACK$38))-COLUMN(指数走势!$F$38)+1-760+203)=0,NA(),INDEX(指数走势!$F$38:$ACK$38,1,LOOKUP(2,1/(指数走势!$F$38:$ACK$38&lt;&gt;""),COLUMN(指数走势!$F$38:$ACK$38))-COLUMN(指数走势!$F$38)+1-760+203)))</f>
        <v>17.9778995513916</v>
      </c>
      <c r="GW102">
        <f>IF(ISERROR(INDEX(指数走势!$F$38:$ACK$38,1,LOOKUP(2,1/(指数走势!$F$38:$ACK$38&lt;&gt;""),COLUMN(指数走势!$F$38:$ACK$38))-COLUMN(指数走势!$F$38)+1-760+204)),NA(),IF(INDEX(指数走势!$F$38:$ACK$38,1,LOOKUP(2,1/(指数走势!$F$38:$ACK$38&lt;&gt;""),COLUMN(指数走势!$F$38:$ACK$38))-COLUMN(指数走势!$F$38)+1-760+204)=0,NA(),INDEX(指数走势!$F$38:$ACK$38,1,LOOKUP(2,1/(指数走势!$F$38:$ACK$38&lt;&gt;""),COLUMN(指数走势!$F$38:$ACK$38))-COLUMN(指数走势!$F$38)+1-760+204)))</f>
        <v>18.1697998046875</v>
      </c>
      <c r="GX102">
        <f>IF(ISERROR(INDEX(指数走势!$F$38:$ACK$38,1,LOOKUP(2,1/(指数走势!$F$38:$ACK$38&lt;&gt;""),COLUMN(指数走势!$F$38:$ACK$38))-COLUMN(指数走势!$F$38)+1-760+205)),NA(),IF(INDEX(指数走势!$F$38:$ACK$38,1,LOOKUP(2,1/(指数走势!$F$38:$ACK$38&lt;&gt;""),COLUMN(指数走势!$F$38:$ACK$38))-COLUMN(指数走势!$F$38)+1-760+205)=0,NA(),INDEX(指数走势!$F$38:$ACK$38,1,LOOKUP(2,1/(指数走势!$F$38:$ACK$38&lt;&gt;""),COLUMN(指数走势!$F$38:$ACK$38))-COLUMN(指数走势!$F$38)+1-760+205)))</f>
        <v>17.7220001220703</v>
      </c>
      <c r="GY102">
        <f>IF(ISERROR(INDEX(指数走势!$F$38:$ACK$38,1,LOOKUP(2,1/(指数走势!$F$38:$ACK$38&lt;&gt;""),COLUMN(指数走势!$F$38:$ACK$38))-COLUMN(指数走势!$F$38)+1-760+206)),NA(),IF(INDEX(指数走势!$F$38:$ACK$38,1,LOOKUP(2,1/(指数走势!$F$38:$ACK$38&lt;&gt;""),COLUMN(指数走势!$F$38:$ACK$38))-COLUMN(指数走势!$F$38)+1-760+206)=0,NA(),INDEX(指数走势!$F$38:$ACK$38,1,LOOKUP(2,1/(指数走势!$F$38:$ACK$38&lt;&gt;""),COLUMN(指数走势!$F$38:$ACK$38))-COLUMN(指数走势!$F$38)+1-760+206)))</f>
        <v>21.5412998199463</v>
      </c>
      <c r="GZ102">
        <f>IF(ISERROR(INDEX(指数走势!$F$38:$ACK$38,1,LOOKUP(2,1/(指数走势!$F$38:$ACK$38&lt;&gt;""),COLUMN(指数走势!$F$38:$ACK$38))-COLUMN(指数走势!$F$38)+1-760+207)),NA(),IF(INDEX(指数走势!$F$38:$ACK$38,1,LOOKUP(2,1/(指数走势!$F$38:$ACK$38&lt;&gt;""),COLUMN(指数走势!$F$38:$ACK$38))-COLUMN(指数走势!$F$38)+1-760+207)=0,NA(),INDEX(指数走势!$F$38:$ACK$38,1,LOOKUP(2,1/(指数走势!$F$38:$ACK$38&lt;&gt;""),COLUMN(指数走势!$F$38:$ACK$38))-COLUMN(指数走势!$F$38)+1-760+207)))</f>
        <v>21.8222007751465</v>
      </c>
      <c r="HA102">
        <f>IF(ISERROR(INDEX(指数走势!$F$38:$ACK$38,1,LOOKUP(2,1/(指数走势!$F$38:$ACK$38&lt;&gt;""),COLUMN(指数走势!$F$38:$ACK$38))-COLUMN(指数走势!$F$38)+1-760+208)),NA(),IF(INDEX(指数走势!$F$38:$ACK$38,1,LOOKUP(2,1/(指数走势!$F$38:$ACK$38&lt;&gt;""),COLUMN(指数走势!$F$38:$ACK$38))-COLUMN(指数走势!$F$38)+1-760+208)=0,NA(),INDEX(指数走势!$F$38:$ACK$38,1,LOOKUP(2,1/(指数走势!$F$38:$ACK$38&lt;&gt;""),COLUMN(指数走势!$F$38:$ACK$38))-COLUMN(指数走势!$F$38)+1-760+208)))</f>
        <v>21.0830001831055</v>
      </c>
      <c r="HB102">
        <f>IF(ISERROR(INDEX(指数走势!$F$38:$ACK$38,1,LOOKUP(2,1/(指数走势!$F$38:$ACK$38&lt;&gt;""),COLUMN(指数走势!$F$38:$ACK$38))-COLUMN(指数走势!$F$38)+1-760+209)),NA(),IF(INDEX(指数走势!$F$38:$ACK$38,1,LOOKUP(2,1/(指数走势!$F$38:$ACK$38&lt;&gt;""),COLUMN(指数走势!$F$38:$ACK$38))-COLUMN(指数走势!$F$38)+1-760+209)=0,NA(),INDEX(指数走势!$F$38:$ACK$38,1,LOOKUP(2,1/(指数走势!$F$38:$ACK$38&lt;&gt;""),COLUMN(指数走势!$F$38:$ACK$38))-COLUMN(指数走势!$F$38)+1-760+209)))</f>
        <v>21.0356006622314</v>
      </c>
      <c r="HC102">
        <f>IF(ISERROR(INDEX(指数走势!$F$38:$ACK$38,1,LOOKUP(2,1/(指数走势!$F$38:$ACK$38&lt;&gt;""),COLUMN(指数走势!$F$38:$ACK$38))-COLUMN(指数走势!$F$38)+1-760+210)),NA(),IF(INDEX(指数走势!$F$38:$ACK$38,1,LOOKUP(2,1/(指数走势!$F$38:$ACK$38&lt;&gt;""),COLUMN(指数走势!$F$38:$ACK$38))-COLUMN(指数走势!$F$38)+1-760+210)=0,NA(),INDEX(指数走势!$F$38:$ACK$38,1,LOOKUP(2,1/(指数走势!$F$38:$ACK$38&lt;&gt;""),COLUMN(指数走势!$F$38:$ACK$38))-COLUMN(指数走势!$F$38)+1-760+210)))</f>
        <v>21.0552997589111</v>
      </c>
      <c r="HD102">
        <f>IF(ISERROR(INDEX(指数走势!$F$38:$ACK$38,1,LOOKUP(2,1/(指数走势!$F$38:$ACK$38&lt;&gt;""),COLUMN(指数走势!$F$38:$ACK$38))-COLUMN(指数走势!$F$38)+1-760+211)),NA(),IF(INDEX(指数走势!$F$38:$ACK$38,1,LOOKUP(2,1/(指数走势!$F$38:$ACK$38&lt;&gt;""),COLUMN(指数走势!$F$38:$ACK$38))-COLUMN(指数走势!$F$38)+1-760+211)=0,NA(),INDEX(指数走势!$F$38:$ACK$38,1,LOOKUP(2,1/(指数走势!$F$38:$ACK$38&lt;&gt;""),COLUMN(指数走势!$F$38:$ACK$38))-COLUMN(指数走势!$F$38)+1-760+211)))</f>
        <v>20.7548007965088</v>
      </c>
      <c r="HE102">
        <f>IF(ISERROR(INDEX(指数走势!$F$38:$ACK$38,1,LOOKUP(2,1/(指数走势!$F$38:$ACK$38&lt;&gt;""),COLUMN(指数走势!$F$38:$ACK$38))-COLUMN(指数走势!$F$38)+1-760+212)),NA(),IF(INDEX(指数走势!$F$38:$ACK$38,1,LOOKUP(2,1/(指数走势!$F$38:$ACK$38&lt;&gt;""),COLUMN(指数走势!$F$38:$ACK$38))-COLUMN(指数走势!$F$38)+1-760+212)=0,NA(),INDEX(指数走势!$F$38:$ACK$38,1,LOOKUP(2,1/(指数走势!$F$38:$ACK$38&lt;&gt;""),COLUMN(指数走势!$F$38:$ACK$38))-COLUMN(指数走势!$F$38)+1-760+212)))</f>
        <v>21.1583003997803</v>
      </c>
      <c r="HF102">
        <f>IF(ISERROR(INDEX(指数走势!$F$38:$ACK$38,1,LOOKUP(2,1/(指数走势!$F$38:$ACK$38&lt;&gt;""),COLUMN(指数走势!$F$38:$ACK$38))-COLUMN(指数走势!$F$38)+1-760+213)),NA(),IF(INDEX(指数走势!$F$38:$ACK$38,1,LOOKUP(2,1/(指数走势!$F$38:$ACK$38&lt;&gt;""),COLUMN(指数走势!$F$38:$ACK$38))-COLUMN(指数走势!$F$38)+1-760+213)=0,NA(),INDEX(指数走势!$F$38:$ACK$38,1,LOOKUP(2,1/(指数走势!$F$38:$ACK$38&lt;&gt;""),COLUMN(指数走势!$F$38:$ACK$38))-COLUMN(指数走势!$F$38)+1-760+213)))</f>
        <v>21.1583003997803</v>
      </c>
      <c r="HG102">
        <f>IF(ISERROR(INDEX(指数走势!$F$38:$ACK$38,1,LOOKUP(2,1/(指数走势!$F$38:$ACK$38&lt;&gt;""),COLUMN(指数走势!$F$38:$ACK$38))-COLUMN(指数走势!$F$38)+1-760+214)),NA(),IF(INDEX(指数走势!$F$38:$ACK$38,1,LOOKUP(2,1/(指数走势!$F$38:$ACK$38&lt;&gt;""),COLUMN(指数走势!$F$38:$ACK$38))-COLUMN(指数走势!$F$38)+1-760+214)=0,NA(),INDEX(指数走势!$F$38:$ACK$38,1,LOOKUP(2,1/(指数走势!$F$38:$ACK$38&lt;&gt;""),COLUMN(指数走势!$F$38:$ACK$38))-COLUMN(指数走势!$F$38)+1-760+214)))</f>
        <v>21.1583003997803</v>
      </c>
      <c r="HH102">
        <f>IF(ISERROR(INDEX(指数走势!$F$38:$ACK$38,1,LOOKUP(2,1/(指数走势!$F$38:$ACK$38&lt;&gt;""),COLUMN(指数走势!$F$38:$ACK$38))-COLUMN(指数走势!$F$38)+1-760+215)),NA(),IF(INDEX(指数走势!$F$38:$ACK$38,1,LOOKUP(2,1/(指数走势!$F$38:$ACK$38&lt;&gt;""),COLUMN(指数走势!$F$38:$ACK$38))-COLUMN(指数走势!$F$38)+1-760+215)=0,NA(),INDEX(指数走势!$F$38:$ACK$38,1,LOOKUP(2,1/(指数走势!$F$38:$ACK$38&lt;&gt;""),COLUMN(指数走势!$F$38:$ACK$38))-COLUMN(指数走势!$F$38)+1-760+215)))</f>
        <v>21.5109004974365</v>
      </c>
      <c r="HI102">
        <f>IF(ISERROR(INDEX(指数走势!$F$38:$ACK$38,1,LOOKUP(2,1/(指数走势!$F$38:$ACK$38&lt;&gt;""),COLUMN(指数走势!$F$38:$ACK$38))-COLUMN(指数走势!$F$38)+1-760+216)),NA(),IF(INDEX(指数走势!$F$38:$ACK$38,1,LOOKUP(2,1/(指数走势!$F$38:$ACK$38&lt;&gt;""),COLUMN(指数走势!$F$38:$ACK$38))-COLUMN(指数走势!$F$38)+1-760+216)=0,NA(),INDEX(指数走势!$F$38:$ACK$38,1,LOOKUP(2,1/(指数走势!$F$38:$ACK$38&lt;&gt;""),COLUMN(指数走势!$F$38:$ACK$38))-COLUMN(指数走势!$F$38)+1-760+216)))</f>
        <v>21.2071990966797</v>
      </c>
      <c r="HJ102">
        <f>IF(ISERROR(INDEX(指数走势!$F$38:$ACK$38,1,LOOKUP(2,1/(指数走势!$F$38:$ACK$38&lt;&gt;""),COLUMN(指数走势!$F$38:$ACK$38))-COLUMN(指数走势!$F$38)+1-760+217)),NA(),IF(INDEX(指数走势!$F$38:$ACK$38,1,LOOKUP(2,1/(指数走势!$F$38:$ACK$38&lt;&gt;""),COLUMN(指数走势!$F$38:$ACK$38))-COLUMN(指数走势!$F$38)+1-760+217)=0,NA(),INDEX(指数走势!$F$38:$ACK$38,1,LOOKUP(2,1/(指数走势!$F$38:$ACK$38&lt;&gt;""),COLUMN(指数走势!$F$38:$ACK$38))-COLUMN(指数走势!$F$38)+1-760+217)))</f>
        <v>21.096700668335</v>
      </c>
      <c r="HK102">
        <f>IF(ISERROR(INDEX(指数走势!$F$38:$ACK$38,1,LOOKUP(2,1/(指数走势!$F$38:$ACK$38&lt;&gt;""),COLUMN(指数走势!$F$38:$ACK$38))-COLUMN(指数走势!$F$38)+1-760+218)),NA(),IF(INDEX(指数走势!$F$38:$ACK$38,1,LOOKUP(2,1/(指数走势!$F$38:$ACK$38&lt;&gt;""),COLUMN(指数走势!$F$38:$ACK$38))-COLUMN(指数走势!$F$38)+1-760+218)=0,NA(),INDEX(指数走势!$F$38:$ACK$38,1,LOOKUP(2,1/(指数走势!$F$38:$ACK$38&lt;&gt;""),COLUMN(指数走势!$F$38:$ACK$38))-COLUMN(指数走势!$F$38)+1-760+218)))</f>
        <v>21.2451992034912</v>
      </c>
      <c r="HL102">
        <f>IF(ISERROR(INDEX(指数走势!$F$38:$ACK$38,1,LOOKUP(2,1/(指数走势!$F$38:$ACK$38&lt;&gt;""),COLUMN(指数走势!$F$38:$ACK$38))-COLUMN(指数走势!$F$38)+1-760+219)),NA(),IF(INDEX(指数走势!$F$38:$ACK$38,1,LOOKUP(2,1/(指数走势!$F$38:$ACK$38&lt;&gt;""),COLUMN(指数走势!$F$38:$ACK$38))-COLUMN(指数走势!$F$38)+1-760+219)=0,NA(),INDEX(指数走势!$F$38:$ACK$38,1,LOOKUP(2,1/(指数走势!$F$38:$ACK$38&lt;&gt;""),COLUMN(指数走势!$F$38:$ACK$38))-COLUMN(指数走势!$F$38)+1-760+219)))</f>
        <v>21.8351001739502</v>
      </c>
      <c r="HM102">
        <f>IF(ISERROR(INDEX(指数走势!$F$38:$ACK$38,1,LOOKUP(2,1/(指数走势!$F$38:$ACK$38&lt;&gt;""),COLUMN(指数走势!$F$38:$ACK$38))-COLUMN(指数走势!$F$38)+1-760+220)),NA(),IF(INDEX(指数走势!$F$38:$ACK$38,1,LOOKUP(2,1/(指数走势!$F$38:$ACK$38&lt;&gt;""),COLUMN(指数走势!$F$38:$ACK$38))-COLUMN(指数走势!$F$38)+1-760+220)=0,NA(),INDEX(指数走势!$F$38:$ACK$38,1,LOOKUP(2,1/(指数走势!$F$38:$ACK$38&lt;&gt;""),COLUMN(指数走势!$F$38:$ACK$38))-COLUMN(指数走势!$F$38)+1-760+220)))</f>
        <v>21.8027000427246</v>
      </c>
      <c r="HN102">
        <f>IF(ISERROR(INDEX(指数走势!$F$38:$ACK$38,1,LOOKUP(2,1/(指数走势!$F$38:$ACK$38&lt;&gt;""),COLUMN(指数走势!$F$38:$ACK$38))-COLUMN(指数走势!$F$38)+1-760+221)),NA(),IF(INDEX(指数走势!$F$38:$ACK$38,1,LOOKUP(2,1/(指数走势!$F$38:$ACK$38&lt;&gt;""),COLUMN(指数走势!$F$38:$ACK$38))-COLUMN(指数走势!$F$38)+1-760+221)=0,NA(),INDEX(指数走势!$F$38:$ACK$38,1,LOOKUP(2,1/(指数走势!$F$38:$ACK$38&lt;&gt;""),COLUMN(指数走势!$F$38:$ACK$38))-COLUMN(指数走势!$F$38)+1-760+221)))</f>
        <v>21.3551998138428</v>
      </c>
      <c r="HO102">
        <f>IF(ISERROR(INDEX(指数走势!$F$38:$ACK$38,1,LOOKUP(2,1/(指数走势!$F$38:$ACK$38&lt;&gt;""),COLUMN(指数走势!$F$38:$ACK$38))-COLUMN(指数走势!$F$38)+1-760+222)),NA(),IF(INDEX(指数走势!$F$38:$ACK$38,1,LOOKUP(2,1/(指数走势!$F$38:$ACK$38&lt;&gt;""),COLUMN(指数走势!$F$38:$ACK$38))-COLUMN(指数走势!$F$38)+1-760+222)=0,NA(),INDEX(指数走势!$F$38:$ACK$38,1,LOOKUP(2,1/(指数走势!$F$38:$ACK$38&lt;&gt;""),COLUMN(指数走势!$F$38:$ACK$38))-COLUMN(指数走势!$F$38)+1-760+222)))</f>
        <v>21.0736999511719</v>
      </c>
      <c r="HP102">
        <f>IF(ISERROR(INDEX(指数走势!$F$38:$ACK$38,1,LOOKUP(2,1/(指数走势!$F$38:$ACK$38&lt;&gt;""),COLUMN(指数走势!$F$38:$ACK$38))-COLUMN(指数走势!$F$38)+1-760+223)),NA(),IF(INDEX(指数走势!$F$38:$ACK$38,1,LOOKUP(2,1/(指数走势!$F$38:$ACK$38&lt;&gt;""),COLUMN(指数走势!$F$38:$ACK$38))-COLUMN(指数走势!$F$38)+1-760+223)=0,NA(),INDEX(指数走势!$F$38:$ACK$38,1,LOOKUP(2,1/(指数走势!$F$38:$ACK$38&lt;&gt;""),COLUMN(指数走势!$F$38:$ACK$38))-COLUMN(指数走势!$F$38)+1-760+223)))</f>
        <v>20.5925006866455</v>
      </c>
      <c r="HQ102">
        <f>IF(ISERROR(INDEX(指数走势!$F$38:$ACK$38,1,LOOKUP(2,1/(指数走势!$F$38:$ACK$38&lt;&gt;""),COLUMN(指数走势!$F$38:$ACK$38))-COLUMN(指数走势!$F$38)+1-760+224)),NA(),IF(INDEX(指数走势!$F$38:$ACK$38,1,LOOKUP(2,1/(指数走势!$F$38:$ACK$38&lt;&gt;""),COLUMN(指数走势!$F$38:$ACK$38))-COLUMN(指数走势!$F$38)+1-760+224)=0,NA(),INDEX(指数走势!$F$38:$ACK$38,1,LOOKUP(2,1/(指数走势!$F$38:$ACK$38&lt;&gt;""),COLUMN(指数走势!$F$38:$ACK$38))-COLUMN(指数走势!$F$38)+1-760+224)))</f>
        <v>20.5568008422852</v>
      </c>
      <c r="HR102">
        <f>IF(ISERROR(INDEX(指数走势!$F$38:$ACK$38,1,LOOKUP(2,1/(指数走势!$F$38:$ACK$38&lt;&gt;""),COLUMN(指数走势!$F$38:$ACK$38))-COLUMN(指数走势!$F$38)+1-760+225)),NA(),IF(INDEX(指数走势!$F$38:$ACK$38,1,LOOKUP(2,1/(指数走势!$F$38:$ACK$38&lt;&gt;""),COLUMN(指数走势!$F$38:$ACK$38))-COLUMN(指数走势!$F$38)+1-760+225)=0,NA(),INDEX(指数走势!$F$38:$ACK$38,1,LOOKUP(2,1/(指数走势!$F$38:$ACK$38&lt;&gt;""),COLUMN(指数走势!$F$38:$ACK$38))-COLUMN(指数走势!$F$38)+1-760+225)))</f>
        <v>20.7036991119385</v>
      </c>
      <c r="HS102">
        <f>IF(ISERROR(INDEX(指数走势!$F$38:$ACK$38,1,LOOKUP(2,1/(指数走势!$F$38:$ACK$38&lt;&gt;""),COLUMN(指数走势!$F$38:$ACK$38))-COLUMN(指数走势!$F$38)+1-760+226)),NA(),IF(INDEX(指数走势!$F$38:$ACK$38,1,LOOKUP(2,1/(指数走势!$F$38:$ACK$38&lt;&gt;""),COLUMN(指数走势!$F$38:$ACK$38))-COLUMN(指数走势!$F$38)+1-760+226)=0,NA(),INDEX(指数走势!$F$38:$ACK$38,1,LOOKUP(2,1/(指数走势!$F$38:$ACK$38&lt;&gt;""),COLUMN(指数走势!$F$38:$ACK$38))-COLUMN(指数走势!$F$38)+1-760+226)))</f>
        <v>20.3976993560791</v>
      </c>
      <c r="HT102">
        <f>IF(ISERROR(INDEX(指数走势!$F$38:$ACK$38,1,LOOKUP(2,1/(指数走势!$F$38:$ACK$38&lt;&gt;""),COLUMN(指数走势!$F$38:$ACK$38))-COLUMN(指数走势!$F$38)+1-760+227)),NA(),IF(INDEX(指数走势!$F$38:$ACK$38,1,LOOKUP(2,1/(指数走势!$F$38:$ACK$38&lt;&gt;""),COLUMN(指数走势!$F$38:$ACK$38))-COLUMN(指数走势!$F$38)+1-760+227)=0,NA(),INDEX(指数走势!$F$38:$ACK$38,1,LOOKUP(2,1/(指数走势!$F$38:$ACK$38&lt;&gt;""),COLUMN(指数走势!$F$38:$ACK$38))-COLUMN(指数走势!$F$38)+1-760+227)))</f>
        <v>21.0289993286133</v>
      </c>
      <c r="HU102">
        <f>IF(ISERROR(INDEX(指数走势!$F$38:$ACK$38,1,LOOKUP(2,1/(指数走势!$F$38:$ACK$38&lt;&gt;""),COLUMN(指数走势!$F$38:$ACK$38))-COLUMN(指数走势!$F$38)+1-760+228)),NA(),IF(INDEX(指数走势!$F$38:$ACK$38,1,LOOKUP(2,1/(指数走势!$F$38:$ACK$38&lt;&gt;""),COLUMN(指数走势!$F$38:$ACK$38))-COLUMN(指数走势!$F$38)+1-760+228)=0,NA(),INDEX(指数走势!$F$38:$ACK$38,1,LOOKUP(2,1/(指数走势!$F$38:$ACK$38&lt;&gt;""),COLUMN(指数走势!$F$38:$ACK$38))-COLUMN(指数走势!$F$38)+1-760+228)))</f>
        <v>21.7082996368408</v>
      </c>
      <c r="HV102">
        <f>IF(ISERROR(INDEX(指数走势!$F$38:$ACK$38,1,LOOKUP(2,1/(指数走势!$F$38:$ACK$38&lt;&gt;""),COLUMN(指数走势!$F$38:$ACK$38))-COLUMN(指数走势!$F$38)+1-760+229)),NA(),IF(INDEX(指数走势!$F$38:$ACK$38,1,LOOKUP(2,1/(指数走势!$F$38:$ACK$38&lt;&gt;""),COLUMN(指数走势!$F$38:$ACK$38))-COLUMN(指数走势!$F$38)+1-760+229)=0,NA(),INDEX(指数走势!$F$38:$ACK$38,1,LOOKUP(2,1/(指数走势!$F$38:$ACK$38&lt;&gt;""),COLUMN(指数走势!$F$38:$ACK$38))-COLUMN(指数走势!$F$38)+1-760+229)))</f>
        <v>22.441499710083</v>
      </c>
      <c r="HW102">
        <f>IF(ISERROR(INDEX(指数走势!$F$38:$ACK$38,1,LOOKUP(2,1/(指数走势!$F$38:$ACK$38&lt;&gt;""),COLUMN(指数走势!$F$38:$ACK$38))-COLUMN(指数走势!$F$38)+1-760+230)),NA(),IF(INDEX(指数走势!$F$38:$ACK$38,1,LOOKUP(2,1/(指数走势!$F$38:$ACK$38&lt;&gt;""),COLUMN(指数走势!$F$38:$ACK$38))-COLUMN(指数走势!$F$38)+1-760+230)=0,NA(),INDEX(指数走势!$F$38:$ACK$38,1,LOOKUP(2,1/(指数走势!$F$38:$ACK$38&lt;&gt;""),COLUMN(指数走势!$F$38:$ACK$38))-COLUMN(指数走势!$F$38)+1-760+230)))</f>
        <v>22.2789993286133</v>
      </c>
      <c r="HX102">
        <f>IF(ISERROR(INDEX(指数走势!$F$38:$ACK$38,1,LOOKUP(2,1/(指数走势!$F$38:$ACK$38&lt;&gt;""),COLUMN(指数走势!$F$38:$ACK$38))-COLUMN(指数走势!$F$38)+1-760+231)),NA(),IF(INDEX(指数走势!$F$38:$ACK$38,1,LOOKUP(2,1/(指数走势!$F$38:$ACK$38&lt;&gt;""),COLUMN(指数走势!$F$38:$ACK$38))-COLUMN(指数走势!$F$38)+1-760+231)=0,NA(),INDEX(指数走势!$F$38:$ACK$38,1,LOOKUP(2,1/(指数走势!$F$38:$ACK$38&lt;&gt;""),COLUMN(指数走势!$F$38:$ACK$38))-COLUMN(指数走势!$F$38)+1-760+231)))</f>
        <v>23.0648002624512</v>
      </c>
      <c r="HY102">
        <f>IF(ISERROR(INDEX(指数走势!$F$38:$ACK$38,1,LOOKUP(2,1/(指数走势!$F$38:$ACK$38&lt;&gt;""),COLUMN(指数走势!$F$38:$ACK$38))-COLUMN(指数走势!$F$38)+1-760+232)),NA(),IF(INDEX(指数走势!$F$38:$ACK$38,1,LOOKUP(2,1/(指数走势!$F$38:$ACK$38&lt;&gt;""),COLUMN(指数走势!$F$38:$ACK$38))-COLUMN(指数走势!$F$38)+1-760+232)=0,NA(),INDEX(指数走势!$F$38:$ACK$38,1,LOOKUP(2,1/(指数走势!$F$38:$ACK$38&lt;&gt;""),COLUMN(指数走势!$F$38:$ACK$38))-COLUMN(指数走势!$F$38)+1-760+232)))</f>
        <v>22.9270992279053</v>
      </c>
      <c r="HZ102">
        <f>IF(ISERROR(INDEX(指数走势!$F$38:$ACK$38,1,LOOKUP(2,1/(指数走势!$F$38:$ACK$38&lt;&gt;""),COLUMN(指数走势!$F$38:$ACK$38))-COLUMN(指数走势!$F$38)+1-760+233)),NA(),IF(INDEX(指数走势!$F$38:$ACK$38,1,LOOKUP(2,1/(指数走势!$F$38:$ACK$38&lt;&gt;""),COLUMN(指数走势!$F$38:$ACK$38))-COLUMN(指数走势!$F$38)+1-760+233)=0,NA(),INDEX(指数走势!$F$38:$ACK$38,1,LOOKUP(2,1/(指数走势!$F$38:$ACK$38&lt;&gt;""),COLUMN(指数走势!$F$38:$ACK$38))-COLUMN(指数走势!$F$38)+1-760+233)))</f>
        <v>22.9004001617432</v>
      </c>
      <c r="IA102">
        <f>IF(ISERROR(INDEX(指数走势!$F$38:$ACK$38,1,LOOKUP(2,1/(指数走势!$F$38:$ACK$38&lt;&gt;""),COLUMN(指数走势!$F$38:$ACK$38))-COLUMN(指数走势!$F$38)+1-760+234)),NA(),IF(INDEX(指数走势!$F$38:$ACK$38,1,LOOKUP(2,1/(指数走势!$F$38:$ACK$38&lt;&gt;""),COLUMN(指数走势!$F$38:$ACK$38))-COLUMN(指数走势!$F$38)+1-760+234)=0,NA(),INDEX(指数走势!$F$38:$ACK$38,1,LOOKUP(2,1/(指数走势!$F$38:$ACK$38&lt;&gt;""),COLUMN(指数走势!$F$38:$ACK$38))-COLUMN(指数走势!$F$38)+1-760+234)))</f>
        <v>24.608699798584</v>
      </c>
      <c r="IB102">
        <f>IF(ISERROR(INDEX(指数走势!$F$38:$ACK$38,1,LOOKUP(2,1/(指数走势!$F$38:$ACK$38&lt;&gt;""),COLUMN(指数走势!$F$38:$ACK$38))-COLUMN(指数走势!$F$38)+1-760+235)),NA(),IF(INDEX(指数走势!$F$38:$ACK$38,1,LOOKUP(2,1/(指数走势!$F$38:$ACK$38&lt;&gt;""),COLUMN(指数走势!$F$38:$ACK$38))-COLUMN(指数走势!$F$38)+1-760+235)=0,NA(),INDEX(指数走势!$F$38:$ACK$38,1,LOOKUP(2,1/(指数走势!$F$38:$ACK$38&lt;&gt;""),COLUMN(指数走势!$F$38:$ACK$38))-COLUMN(指数走势!$F$38)+1-760+235)))</f>
        <v>24.1474990844727</v>
      </c>
      <c r="IC102">
        <f>IF(ISERROR(INDEX(指数走势!$F$38:$ACK$38,1,LOOKUP(2,1/(指数走势!$F$38:$ACK$38&lt;&gt;""),COLUMN(指数走势!$F$38:$ACK$38))-COLUMN(指数走势!$F$38)+1-760+236)),NA(),IF(INDEX(指数走势!$F$38:$ACK$38,1,LOOKUP(2,1/(指数走势!$F$38:$ACK$38&lt;&gt;""),COLUMN(指数走势!$F$38:$ACK$38))-COLUMN(指数走势!$F$38)+1-760+236)=0,NA(),INDEX(指数走势!$F$38:$ACK$38,1,LOOKUP(2,1/(指数走势!$F$38:$ACK$38&lt;&gt;""),COLUMN(指数走势!$F$38:$ACK$38))-COLUMN(指数走势!$F$38)+1-760+236)))</f>
        <v>23.8332004547119</v>
      </c>
      <c r="ID102">
        <f>IF(ISERROR(INDEX(指数走势!$F$38:$ACK$38,1,LOOKUP(2,1/(指数走势!$F$38:$ACK$38&lt;&gt;""),COLUMN(指数走势!$F$38:$ACK$38))-COLUMN(指数走势!$F$38)+1-760+237)),NA(),IF(INDEX(指数走势!$F$38:$ACK$38,1,LOOKUP(2,1/(指数走势!$F$38:$ACK$38&lt;&gt;""),COLUMN(指数走势!$F$38:$ACK$38))-COLUMN(指数走势!$F$38)+1-760+237)=0,NA(),INDEX(指数走势!$F$38:$ACK$38,1,LOOKUP(2,1/(指数走势!$F$38:$ACK$38&lt;&gt;""),COLUMN(指数走势!$F$38:$ACK$38))-COLUMN(指数走势!$F$38)+1-760+237)))</f>
        <v>24.4062004089355</v>
      </c>
      <c r="IE102">
        <f>IF(ISERROR(INDEX(指数走势!$F$38:$ACK$38,1,LOOKUP(2,1/(指数走势!$F$38:$ACK$38&lt;&gt;""),COLUMN(指数走势!$F$38:$ACK$38))-COLUMN(指数走势!$F$38)+1-760+238)),NA(),IF(INDEX(指数走势!$F$38:$ACK$38,1,LOOKUP(2,1/(指数走势!$F$38:$ACK$38&lt;&gt;""),COLUMN(指数走势!$F$38:$ACK$38))-COLUMN(指数走势!$F$38)+1-760+238)=0,NA(),INDEX(指数走势!$F$38:$ACK$38,1,LOOKUP(2,1/(指数走势!$F$38:$ACK$38&lt;&gt;""),COLUMN(指数走势!$F$38:$ACK$38))-COLUMN(指数走势!$F$38)+1-760+238)))</f>
        <v>24.5431003570557</v>
      </c>
      <c r="IF102">
        <f>IF(ISERROR(INDEX(指数走势!$F$38:$ACK$38,1,LOOKUP(2,1/(指数走势!$F$38:$ACK$38&lt;&gt;""),COLUMN(指数走势!$F$38:$ACK$38))-COLUMN(指数走势!$F$38)+1-760+239)),NA(),IF(INDEX(指数走势!$F$38:$ACK$38,1,LOOKUP(2,1/(指数走势!$F$38:$ACK$38&lt;&gt;""),COLUMN(指数走势!$F$38:$ACK$38))-COLUMN(指数走势!$F$38)+1-760+239)=0,NA(),INDEX(指数走势!$F$38:$ACK$38,1,LOOKUP(2,1/(指数走势!$F$38:$ACK$38&lt;&gt;""),COLUMN(指数走势!$F$38:$ACK$38))-COLUMN(指数走势!$F$38)+1-760+239)))</f>
        <v>25.0228004455566</v>
      </c>
      <c r="IG102">
        <f>IF(ISERROR(INDEX(指数走势!$F$38:$ACK$38,1,LOOKUP(2,1/(指数走势!$F$38:$ACK$38&lt;&gt;""),COLUMN(指数走势!$F$38:$ACK$38))-COLUMN(指数走势!$F$38)+1-760+240)),NA(),IF(INDEX(指数走势!$F$38:$ACK$38,1,LOOKUP(2,1/(指数走势!$F$38:$ACK$38&lt;&gt;""),COLUMN(指数走势!$F$38:$ACK$38))-COLUMN(指数走势!$F$38)+1-760+240)=0,NA(),INDEX(指数走势!$F$38:$ACK$38,1,LOOKUP(2,1/(指数走势!$F$38:$ACK$38&lt;&gt;""),COLUMN(指数走势!$F$38:$ACK$38))-COLUMN(指数走势!$F$38)+1-760+240)))</f>
        <v>25.5485000610352</v>
      </c>
      <c r="IH102">
        <f>IF(ISERROR(INDEX(指数走势!$F$38:$ACK$38,1,LOOKUP(2,1/(指数走势!$F$38:$ACK$38&lt;&gt;""),COLUMN(指数走势!$F$38:$ACK$38))-COLUMN(指数走势!$F$38)+1-760+241)),NA(),IF(INDEX(指数走势!$F$38:$ACK$38,1,LOOKUP(2,1/(指数走势!$F$38:$ACK$38&lt;&gt;""),COLUMN(指数走势!$F$38:$ACK$38))-COLUMN(指数走势!$F$38)+1-760+241)=0,NA(),INDEX(指数走势!$F$38:$ACK$38,1,LOOKUP(2,1/(指数走势!$F$38:$ACK$38&lt;&gt;""),COLUMN(指数走势!$F$38:$ACK$38))-COLUMN(指数走势!$F$38)+1-760+241)))</f>
        <v>25.5485000610352</v>
      </c>
      <c r="II102">
        <f>IF(ISERROR(INDEX(指数走势!$F$38:$ACK$38,1,LOOKUP(2,1/(指数走势!$F$38:$ACK$38&lt;&gt;""),COLUMN(指数走势!$F$38:$ACK$38))-COLUMN(指数走势!$F$38)+1-760+242)),NA(),IF(INDEX(指数走势!$F$38:$ACK$38,1,LOOKUP(2,1/(指数走势!$F$38:$ACK$38&lt;&gt;""),COLUMN(指数走势!$F$38:$ACK$38))-COLUMN(指数走势!$F$38)+1-760+242)=0,NA(),INDEX(指数走势!$F$38:$ACK$38,1,LOOKUP(2,1/(指数走势!$F$38:$ACK$38&lt;&gt;""),COLUMN(指数走势!$F$38:$ACK$38))-COLUMN(指数走势!$F$38)+1-760+242)))</f>
        <v>25.8292999267578</v>
      </c>
      <c r="IJ102">
        <f>IF(ISERROR(INDEX(指数走势!$F$38:$ACK$38,1,LOOKUP(2,1/(指数走势!$F$38:$ACK$38&lt;&gt;""),COLUMN(指数走势!$F$38:$ACK$38))-COLUMN(指数走势!$F$38)+1-760+243)),NA(),IF(INDEX(指数走势!$F$38:$ACK$38,1,LOOKUP(2,1/(指数走势!$F$38:$ACK$38&lt;&gt;""),COLUMN(指数走势!$F$38:$ACK$38))-COLUMN(指数走势!$F$38)+1-760+243)=0,NA(),INDEX(指数走势!$F$38:$ACK$38,1,LOOKUP(2,1/(指数走势!$F$38:$ACK$38&lt;&gt;""),COLUMN(指数走势!$F$38:$ACK$38))-COLUMN(指数走势!$F$38)+1-760+243)))</f>
        <v>26.1791000366211</v>
      </c>
      <c r="IK102">
        <f>IF(ISERROR(INDEX(指数走势!$F$38:$ACK$38,1,LOOKUP(2,1/(指数走势!$F$38:$ACK$38&lt;&gt;""),COLUMN(指数走势!$F$38:$ACK$38))-COLUMN(指数走势!$F$38)+1-760+244)),NA(),IF(INDEX(指数走势!$F$38:$ACK$38,1,LOOKUP(2,1/(指数走势!$F$38:$ACK$38&lt;&gt;""),COLUMN(指数走势!$F$38:$ACK$38))-COLUMN(指数走势!$F$38)+1-760+244)=0,NA(),INDEX(指数走势!$F$38:$ACK$38,1,LOOKUP(2,1/(指数走势!$F$38:$ACK$38&lt;&gt;""),COLUMN(指数走势!$F$38:$ACK$38))-COLUMN(指数走势!$F$38)+1-760+244)))</f>
        <v>26.1460990905762</v>
      </c>
      <c r="IL102">
        <f>IF(ISERROR(INDEX(指数走势!$F$38:$ACK$38,1,LOOKUP(2,1/(指数走势!$F$38:$ACK$38&lt;&gt;""),COLUMN(指数走势!$F$38:$ACK$38))-COLUMN(指数走势!$F$38)+1-760+245)),NA(),IF(INDEX(指数走势!$F$38:$ACK$38,1,LOOKUP(2,1/(指数走势!$F$38:$ACK$38&lt;&gt;""),COLUMN(指数走势!$F$38:$ACK$38))-COLUMN(指数走势!$F$38)+1-760+245)=0,NA(),INDEX(指数走势!$F$38:$ACK$38,1,LOOKUP(2,1/(指数走势!$F$38:$ACK$38&lt;&gt;""),COLUMN(指数走势!$F$38:$ACK$38))-COLUMN(指数走势!$F$38)+1-760+245)))</f>
        <v>25.2807006835938</v>
      </c>
      <c r="IM102">
        <f>IF(ISERROR(INDEX(指数走势!$F$38:$ACK$38,1,LOOKUP(2,1/(指数走势!$F$38:$ACK$38&lt;&gt;""),COLUMN(指数走势!$F$38:$ACK$38))-COLUMN(指数走势!$F$38)+1-760+246)),NA(),IF(INDEX(指数走势!$F$38:$ACK$38,1,LOOKUP(2,1/(指数走势!$F$38:$ACK$38&lt;&gt;""),COLUMN(指数走势!$F$38:$ACK$38))-COLUMN(指数走势!$F$38)+1-760+246)=0,NA(),INDEX(指数走势!$F$38:$ACK$38,1,LOOKUP(2,1/(指数走势!$F$38:$ACK$38&lt;&gt;""),COLUMN(指数走势!$F$38:$ACK$38))-COLUMN(指数走势!$F$38)+1-760+246)))</f>
        <v>24.8483009338379</v>
      </c>
      <c r="IN102">
        <f>IF(ISERROR(INDEX(指数走势!$F$38:$ACK$38,1,LOOKUP(2,1/(指数走势!$F$38:$ACK$38&lt;&gt;""),COLUMN(指数走势!$F$38:$ACK$38))-COLUMN(指数走势!$F$38)+1-760+247)),NA(),IF(INDEX(指数走势!$F$38:$ACK$38,1,LOOKUP(2,1/(指数走势!$F$38:$ACK$38&lt;&gt;""),COLUMN(指数走势!$F$38:$ACK$38))-COLUMN(指数走势!$F$38)+1-760+247)=0,NA(),INDEX(指数走势!$F$38:$ACK$38,1,LOOKUP(2,1/(指数走势!$F$38:$ACK$38&lt;&gt;""),COLUMN(指数走势!$F$38:$ACK$38))-COLUMN(指数走势!$F$38)+1-760+247)))</f>
        <v>23.9619007110596</v>
      </c>
      <c r="IO102">
        <f>IF(ISERROR(INDEX(指数走势!$F$38:$ACK$38,1,LOOKUP(2,1/(指数走势!$F$38:$ACK$38&lt;&gt;""),COLUMN(指数走势!$F$38:$ACK$38))-COLUMN(指数走势!$F$38)+1-760+248)),NA(),IF(INDEX(指数走势!$F$38:$ACK$38,1,LOOKUP(2,1/(指数走势!$F$38:$ACK$38&lt;&gt;""),COLUMN(指数走势!$F$38:$ACK$38))-COLUMN(指数走势!$F$38)+1-760+248)=0,NA(),INDEX(指数走势!$F$38:$ACK$38,1,LOOKUP(2,1/(指数走势!$F$38:$ACK$38&lt;&gt;""),COLUMN(指数走势!$F$38:$ACK$38))-COLUMN(指数走势!$F$38)+1-760+248)))</f>
        <v>23.5520000457764</v>
      </c>
      <c r="IP102">
        <f>IF(ISERROR(INDEX(指数走势!$F$38:$ACK$38,1,LOOKUP(2,1/(指数走势!$F$38:$ACK$38&lt;&gt;""),COLUMN(指数走势!$F$38:$ACK$38))-COLUMN(指数走势!$F$38)+1-760+249)),NA(),IF(INDEX(指数走势!$F$38:$ACK$38,1,LOOKUP(2,1/(指数走势!$F$38:$ACK$38&lt;&gt;""),COLUMN(指数走势!$F$38:$ACK$38))-COLUMN(指数走势!$F$38)+1-760+249)=0,NA(),INDEX(指数走势!$F$38:$ACK$38,1,LOOKUP(2,1/(指数走势!$F$38:$ACK$38&lt;&gt;""),COLUMN(指数走势!$F$38:$ACK$38))-COLUMN(指数走势!$F$38)+1-760+249)))</f>
        <v>23.800199508667</v>
      </c>
      <c r="IQ102">
        <f>IF(ISERROR(INDEX(指数走势!$F$38:$ACK$38,1,LOOKUP(2,1/(指数走势!$F$38:$ACK$38&lt;&gt;""),COLUMN(指数走势!$F$38:$ACK$38))-COLUMN(指数走势!$F$38)+1-760+250)),NA(),IF(INDEX(指数走势!$F$38:$ACK$38,1,LOOKUP(2,1/(指数走势!$F$38:$ACK$38&lt;&gt;""),COLUMN(指数走势!$F$38:$ACK$38))-COLUMN(指数走势!$F$38)+1-760+250)=0,NA(),INDEX(指数走势!$F$38:$ACK$38,1,LOOKUP(2,1/(指数走势!$F$38:$ACK$38&lt;&gt;""),COLUMN(指数走势!$F$38:$ACK$38))-COLUMN(指数走势!$F$38)+1-760+250)))</f>
        <v>23.8558006286621</v>
      </c>
      <c r="IR102">
        <f>IF(ISERROR(INDEX(指数走势!$F$38:$ACK$38,1,LOOKUP(2,1/(指数走势!$F$38:$ACK$38&lt;&gt;""),COLUMN(指数走势!$F$38:$ACK$38))-COLUMN(指数走势!$F$38)+1-760+251)),NA(),IF(INDEX(指数走势!$F$38:$ACK$38,1,LOOKUP(2,1/(指数走势!$F$38:$ACK$38&lt;&gt;""),COLUMN(指数走势!$F$38:$ACK$38))-COLUMN(指数走势!$F$38)+1-760+251)=0,NA(),INDEX(指数走势!$F$38:$ACK$38,1,LOOKUP(2,1/(指数走势!$F$38:$ACK$38&lt;&gt;""),COLUMN(指数走势!$F$38:$ACK$38))-COLUMN(指数走势!$F$38)+1-760+251)))</f>
        <v>23.24169921875</v>
      </c>
      <c r="IS102">
        <f>IF(ISERROR(INDEX(指数走势!$F$38:$ACK$38,1,LOOKUP(2,1/(指数走势!$F$38:$ACK$38&lt;&gt;""),COLUMN(指数走势!$F$38:$ACK$38))-COLUMN(指数走势!$F$38)+1-760+252)),NA(),IF(INDEX(指数走势!$F$38:$ACK$38,1,LOOKUP(2,1/(指数走势!$F$38:$ACK$38&lt;&gt;""),COLUMN(指数走势!$F$38:$ACK$38))-COLUMN(指数走势!$F$38)+1-760+252)=0,NA(),INDEX(指数走势!$F$38:$ACK$38,1,LOOKUP(2,1/(指数走势!$F$38:$ACK$38&lt;&gt;""),COLUMN(指数走势!$F$38:$ACK$38))-COLUMN(指数走势!$F$38)+1-760+252)))</f>
        <v>23.0935001373291</v>
      </c>
      <c r="IT102">
        <f>IF(ISERROR(INDEX(指数走势!$F$38:$ACK$38,1,LOOKUP(2,1/(指数走势!$F$38:$ACK$38&lt;&gt;""),COLUMN(指数走势!$F$38:$ACK$38))-COLUMN(指数走势!$F$38)+1-760+253)),NA(),IF(INDEX(指数走势!$F$38:$ACK$38,1,LOOKUP(2,1/(指数走势!$F$38:$ACK$38&lt;&gt;""),COLUMN(指数走势!$F$38:$ACK$38))-COLUMN(指数走势!$F$38)+1-760+253)=0,NA(),INDEX(指数走势!$F$38:$ACK$38,1,LOOKUP(2,1/(指数走势!$F$38:$ACK$38&lt;&gt;""),COLUMN(指数走势!$F$38:$ACK$38))-COLUMN(指数走势!$F$38)+1-760+253)))</f>
        <v>22.6429004669189</v>
      </c>
      <c r="IU102">
        <f>IF(ISERROR(INDEX(指数走势!$F$38:$ACK$38,1,LOOKUP(2,1/(指数走势!$F$38:$ACK$38&lt;&gt;""),COLUMN(指数走势!$F$38:$ACK$38))-COLUMN(指数走势!$F$38)+1-760+254)),NA(),IF(INDEX(指数走势!$F$38:$ACK$38,1,LOOKUP(2,1/(指数走势!$F$38:$ACK$38&lt;&gt;""),COLUMN(指数走势!$F$38:$ACK$38))-COLUMN(指数走势!$F$38)+1-760+254)=0,NA(),INDEX(指数走势!$F$38:$ACK$38,1,LOOKUP(2,1/(指数走势!$F$38:$ACK$38&lt;&gt;""),COLUMN(指数走势!$F$38:$ACK$38))-COLUMN(指数走势!$F$38)+1-760+254)))</f>
        <v>23.3621006011963</v>
      </c>
      <c r="IV102">
        <f>IF(ISERROR(INDEX(指数走势!$F$38:$ACK$38,1,LOOKUP(2,1/(指数走势!$F$38:$ACK$38&lt;&gt;""),COLUMN(指数走势!$F$38:$ACK$38))-COLUMN(指数走势!$F$38)+1-760+255)),NA(),IF(INDEX(指数走势!$F$38:$ACK$38,1,LOOKUP(2,1/(指数走势!$F$38:$ACK$38&lt;&gt;""),COLUMN(指数走势!$F$38:$ACK$38))-COLUMN(指数走势!$F$38)+1-760+255)=0,NA(),INDEX(指数走势!$F$38:$ACK$38,1,LOOKUP(2,1/(指数走势!$F$38:$ACK$38&lt;&gt;""),COLUMN(指数走势!$F$38:$ACK$38))-COLUMN(指数走势!$F$38)+1-760+255)))</f>
        <v>23.4603004455566</v>
      </c>
      <c r="IW102">
        <f>IF(ISERROR(INDEX(指数走势!$F$38:$ACK$38,1,LOOKUP(2,1/(指数走势!$F$38:$ACK$38&lt;&gt;""),COLUMN(指数走势!$F$38:$ACK$38))-COLUMN(指数走势!$F$38)+1-760+256)),NA(),IF(INDEX(指数走势!$F$38:$ACK$38,1,LOOKUP(2,1/(指数走势!$F$38:$ACK$38&lt;&gt;""),COLUMN(指数走势!$F$38:$ACK$38))-COLUMN(指数走势!$F$38)+1-760+256)=0,NA(),INDEX(指数走势!$F$38:$ACK$38,1,LOOKUP(2,1/(指数走势!$F$38:$ACK$38&lt;&gt;""),COLUMN(指数走势!$F$38:$ACK$38))-COLUMN(指数走势!$F$38)+1-760+256)))</f>
        <v>23.5837001800537</v>
      </c>
      <c r="IX102">
        <f>IF(ISERROR(INDEX(指数走势!$F$38:$ACK$38,1,LOOKUP(2,1/(指数走势!$F$38:$ACK$38&lt;&gt;""),COLUMN(指数走势!$F$38:$ACK$38))-COLUMN(指数走势!$F$38)+1-760+257)),NA(),IF(INDEX(指数走势!$F$38:$ACK$38,1,LOOKUP(2,1/(指数走势!$F$38:$ACK$38&lt;&gt;""),COLUMN(指数走势!$F$38:$ACK$38))-COLUMN(指数走势!$F$38)+1-760+257)=0,NA(),INDEX(指数走势!$F$38:$ACK$38,1,LOOKUP(2,1/(指数走势!$F$38:$ACK$38&lt;&gt;""),COLUMN(指数走势!$F$38:$ACK$38))-COLUMN(指数走势!$F$38)+1-760+257)))</f>
        <v>23.6280994415283</v>
      </c>
      <c r="IY102">
        <f>IF(ISERROR(INDEX(指数走势!$F$38:$ACK$38,1,LOOKUP(2,1/(指数走势!$F$38:$ACK$38&lt;&gt;""),COLUMN(指数走势!$F$38:$ACK$38))-COLUMN(指数走势!$F$38)+1-760+258)),NA(),IF(INDEX(指数走势!$F$38:$ACK$38,1,LOOKUP(2,1/(指数走势!$F$38:$ACK$38&lt;&gt;""),COLUMN(指数走势!$F$38:$ACK$38))-COLUMN(指数走势!$F$38)+1-760+258)=0,NA(),INDEX(指数走势!$F$38:$ACK$38,1,LOOKUP(2,1/(指数走势!$F$38:$ACK$38&lt;&gt;""),COLUMN(指数走势!$F$38:$ACK$38))-COLUMN(指数走势!$F$38)+1-760+258)))</f>
        <v>23.2731990814209</v>
      </c>
      <c r="IZ102">
        <f>IF(ISERROR(INDEX(指数走势!$F$38:$ACK$38,1,LOOKUP(2,1/(指数走势!$F$38:$ACK$38&lt;&gt;""),COLUMN(指数走势!$F$38:$ACK$38))-COLUMN(指数走势!$F$38)+1-760+259)),NA(),IF(INDEX(指数走势!$F$38:$ACK$38,1,LOOKUP(2,1/(指数走势!$F$38:$ACK$38&lt;&gt;""),COLUMN(指数走势!$F$38:$ACK$38))-COLUMN(指数走势!$F$38)+1-760+259)=0,NA(),INDEX(指数走势!$F$38:$ACK$38,1,LOOKUP(2,1/(指数走势!$F$38:$ACK$38&lt;&gt;""),COLUMN(指数走势!$F$38:$ACK$38))-COLUMN(指数走势!$F$38)+1-760+259)))</f>
        <v>23.2206001281738</v>
      </c>
      <c r="JA102">
        <f>IF(ISERROR(INDEX(指数走势!$F$38:$ACK$38,1,LOOKUP(2,1/(指数走势!$F$38:$ACK$38&lt;&gt;""),COLUMN(指数走势!$F$38:$ACK$38))-COLUMN(指数走势!$F$38)+1-760+260)),NA(),IF(INDEX(指数走势!$F$38:$ACK$38,1,LOOKUP(2,1/(指数走势!$F$38:$ACK$38&lt;&gt;""),COLUMN(指数走势!$F$38:$ACK$38))-COLUMN(指数走势!$F$38)+1-760+260)=0,NA(),INDEX(指数走势!$F$38:$ACK$38,1,LOOKUP(2,1/(指数走势!$F$38:$ACK$38&lt;&gt;""),COLUMN(指数走势!$F$38:$ACK$38))-COLUMN(指数走势!$F$38)+1-760+260)))</f>
        <v>22.8556995391846</v>
      </c>
      <c r="JB102">
        <f>IF(ISERROR(INDEX(指数走势!$F$38:$ACK$38,1,LOOKUP(2,1/(指数走势!$F$38:$ACK$38&lt;&gt;""),COLUMN(指数走势!$F$38:$ACK$38))-COLUMN(指数走势!$F$38)+1-760+261)),NA(),IF(INDEX(指数走势!$F$38:$ACK$38,1,LOOKUP(2,1/(指数走势!$F$38:$ACK$38&lt;&gt;""),COLUMN(指数走势!$F$38:$ACK$38))-COLUMN(指数走势!$F$38)+1-760+261)=0,NA(),INDEX(指数走势!$F$38:$ACK$38,1,LOOKUP(2,1/(指数走势!$F$38:$ACK$38&lt;&gt;""),COLUMN(指数走势!$F$38:$ACK$38))-COLUMN(指数走势!$F$38)+1-760+261)))</f>
        <v>23.2264003753662</v>
      </c>
      <c r="JC102">
        <f>IF(ISERROR(INDEX(指数走势!$F$38:$ACK$38,1,LOOKUP(2,1/(指数走势!$F$38:$ACK$38&lt;&gt;""),COLUMN(指数走势!$F$38:$ACK$38))-COLUMN(指数走势!$F$38)+1-760+262)),NA(),IF(INDEX(指数走势!$F$38:$ACK$38,1,LOOKUP(2,1/(指数走势!$F$38:$ACK$38&lt;&gt;""),COLUMN(指数走势!$F$38:$ACK$38))-COLUMN(指数走势!$F$38)+1-760+262)=0,NA(),INDEX(指数走势!$F$38:$ACK$38,1,LOOKUP(2,1/(指数走势!$F$38:$ACK$38&lt;&gt;""),COLUMN(指数走势!$F$38:$ACK$38))-COLUMN(指数走势!$F$38)+1-760+262)))</f>
        <v>23.051700592041</v>
      </c>
      <c r="JD102">
        <f>IF(ISERROR(INDEX(指数走势!$F$38:$ACK$38,1,LOOKUP(2,1/(指数走势!$F$38:$ACK$38&lt;&gt;""),COLUMN(指数走势!$F$38:$ACK$38))-COLUMN(指数走势!$F$38)+1-760+263)),NA(),IF(INDEX(指数走势!$F$38:$ACK$38,1,LOOKUP(2,1/(指数走势!$F$38:$ACK$38&lt;&gt;""),COLUMN(指数走势!$F$38:$ACK$38))-COLUMN(指数走势!$F$38)+1-760+263)=0,NA(),INDEX(指数走势!$F$38:$ACK$38,1,LOOKUP(2,1/(指数走势!$F$38:$ACK$38&lt;&gt;""),COLUMN(指数走势!$F$38:$ACK$38))-COLUMN(指数走势!$F$38)+1-760+263)))</f>
        <v>23.0905990600586</v>
      </c>
      <c r="JE102">
        <f>IF(ISERROR(INDEX(指数走势!$F$38:$ACK$38,1,LOOKUP(2,1/(指数走势!$F$38:$ACK$38&lt;&gt;""),COLUMN(指数走势!$F$38:$ACK$38))-COLUMN(指数走势!$F$38)+1-760+264)),NA(),IF(INDEX(指数走势!$F$38:$ACK$38,1,LOOKUP(2,1/(指数走势!$F$38:$ACK$38&lt;&gt;""),COLUMN(指数走势!$F$38:$ACK$38))-COLUMN(指数走势!$F$38)+1-760+264)=0,NA(),INDEX(指数走势!$F$38:$ACK$38,1,LOOKUP(2,1/(指数走势!$F$38:$ACK$38&lt;&gt;""),COLUMN(指数走势!$F$38:$ACK$38))-COLUMN(指数走势!$F$38)+1-760+264)))</f>
        <v>22.9020004272461</v>
      </c>
      <c r="JF102">
        <f>IF(ISERROR(INDEX(指数走势!$F$38:$ACK$38,1,LOOKUP(2,1/(指数走势!$F$38:$ACK$38&lt;&gt;""),COLUMN(指数走势!$F$38:$ACK$38))-COLUMN(指数走势!$F$38)+1-760+265)),NA(),IF(INDEX(指数走势!$F$38:$ACK$38,1,LOOKUP(2,1/(指数走势!$F$38:$ACK$38&lt;&gt;""),COLUMN(指数走势!$F$38:$ACK$38))-COLUMN(指数走势!$F$38)+1-760+265)=0,NA(),INDEX(指数走势!$F$38:$ACK$38,1,LOOKUP(2,1/(指数走势!$F$38:$ACK$38&lt;&gt;""),COLUMN(指数走势!$F$38:$ACK$38))-COLUMN(指数走势!$F$38)+1-760+265)))</f>
        <v>23.6683006286621</v>
      </c>
      <c r="JG102">
        <f>IF(ISERROR(INDEX(指数走势!$F$38:$ACK$38,1,LOOKUP(2,1/(指数走势!$F$38:$ACK$38&lt;&gt;""),COLUMN(指数走势!$F$38:$ACK$38))-COLUMN(指数走势!$F$38)+1-760+266)),NA(),IF(INDEX(指数走势!$F$38:$ACK$38,1,LOOKUP(2,1/(指数走势!$F$38:$ACK$38&lt;&gt;""),COLUMN(指数走势!$F$38:$ACK$38))-COLUMN(指数走势!$F$38)+1-760+266)=0,NA(),INDEX(指数走势!$F$38:$ACK$38,1,LOOKUP(2,1/(指数走势!$F$38:$ACK$38&lt;&gt;""),COLUMN(指数走势!$F$38:$ACK$38))-COLUMN(指数走势!$F$38)+1-760+266)))</f>
        <v>23.4325008392334</v>
      </c>
      <c r="JH102">
        <f>IF(ISERROR(INDEX(指数走势!$F$38:$ACK$38,1,LOOKUP(2,1/(指数走势!$F$38:$ACK$38&lt;&gt;""),COLUMN(指数走势!$F$38:$ACK$38))-COLUMN(指数走势!$F$38)+1-760+267)),NA(),IF(INDEX(指数走势!$F$38:$ACK$38,1,LOOKUP(2,1/(指数走势!$F$38:$ACK$38&lt;&gt;""),COLUMN(指数走势!$F$38:$ACK$38))-COLUMN(指数走势!$F$38)+1-760+267)=0,NA(),INDEX(指数走势!$F$38:$ACK$38,1,LOOKUP(2,1/(指数走势!$F$38:$ACK$38&lt;&gt;""),COLUMN(指数走势!$F$38:$ACK$38))-COLUMN(指数走势!$F$38)+1-760+267)))</f>
        <v>23.0016994476318</v>
      </c>
      <c r="JI102">
        <f>IF(ISERROR(INDEX(指数走势!$F$38:$ACK$38,1,LOOKUP(2,1/(指数走势!$F$38:$ACK$38&lt;&gt;""),COLUMN(指数走势!$F$38:$ACK$38))-COLUMN(指数走势!$F$38)+1-760+268)),NA(),IF(INDEX(指数走势!$F$38:$ACK$38,1,LOOKUP(2,1/(指数走势!$F$38:$ACK$38&lt;&gt;""),COLUMN(指数走势!$F$38:$ACK$38))-COLUMN(指数走势!$F$38)+1-760+268)=0,NA(),INDEX(指数走势!$F$38:$ACK$38,1,LOOKUP(2,1/(指数走势!$F$38:$ACK$38&lt;&gt;""),COLUMN(指数走势!$F$38:$ACK$38))-COLUMN(指数走势!$F$38)+1-760+268)))</f>
        <v>22.910400390625</v>
      </c>
      <c r="JJ102">
        <f>IF(ISERROR(INDEX(指数走势!$F$38:$ACK$38,1,LOOKUP(2,1/(指数走势!$F$38:$ACK$38&lt;&gt;""),COLUMN(指数走势!$F$38:$ACK$38))-COLUMN(指数走势!$F$38)+1-760+269)),NA(),IF(INDEX(指数走势!$F$38:$ACK$38,1,LOOKUP(2,1/(指数走势!$F$38:$ACK$38&lt;&gt;""),COLUMN(指数走势!$F$38:$ACK$38))-COLUMN(指数走势!$F$38)+1-760+269)=0,NA(),INDEX(指数走势!$F$38:$ACK$38,1,LOOKUP(2,1/(指数走势!$F$38:$ACK$38&lt;&gt;""),COLUMN(指数走势!$F$38:$ACK$38))-COLUMN(指数走势!$F$38)+1-760+269)))</f>
        <v>22.900899887085</v>
      </c>
      <c r="JK102">
        <f>IF(ISERROR(INDEX(指数走势!$F$38:$ACK$38,1,LOOKUP(2,1/(指数走势!$F$38:$ACK$38&lt;&gt;""),COLUMN(指数走势!$F$38:$ACK$38))-COLUMN(指数走势!$F$38)+1-760+270)),NA(),IF(INDEX(指数走势!$F$38:$ACK$38,1,LOOKUP(2,1/(指数走势!$F$38:$ACK$38&lt;&gt;""),COLUMN(指数走势!$F$38:$ACK$38))-COLUMN(指数走势!$F$38)+1-760+270)=0,NA(),INDEX(指数走势!$F$38:$ACK$38,1,LOOKUP(2,1/(指数走势!$F$38:$ACK$38&lt;&gt;""),COLUMN(指数走势!$F$38:$ACK$38))-COLUMN(指数走势!$F$38)+1-760+270)))</f>
        <v>23.0160007476807</v>
      </c>
      <c r="JL102">
        <f>IF(ISERROR(INDEX(指数走势!$F$38:$ACK$38,1,LOOKUP(2,1/(指数走势!$F$38:$ACK$38&lt;&gt;""),COLUMN(指数走势!$F$38:$ACK$38))-COLUMN(指数走势!$F$38)+1-760+271)),NA(),IF(INDEX(指数走势!$F$38:$ACK$38,1,LOOKUP(2,1/(指数走势!$F$38:$ACK$38&lt;&gt;""),COLUMN(指数走势!$F$38:$ACK$38))-COLUMN(指数走势!$F$38)+1-760+271)=0,NA(),INDEX(指数走势!$F$38:$ACK$38,1,LOOKUP(2,1/(指数走势!$F$38:$ACK$38&lt;&gt;""),COLUMN(指数走势!$F$38:$ACK$38))-COLUMN(指数走势!$F$38)+1-760+271)))</f>
        <v>22.4787006378174</v>
      </c>
      <c r="JM102">
        <f>IF(ISERROR(INDEX(指数走势!$F$38:$ACK$38,1,LOOKUP(2,1/(指数走势!$F$38:$ACK$38&lt;&gt;""),COLUMN(指数走势!$F$38:$ACK$38))-COLUMN(指数走势!$F$38)+1-760+272)),NA(),IF(INDEX(指数走势!$F$38:$ACK$38,1,LOOKUP(2,1/(指数走势!$F$38:$ACK$38&lt;&gt;""),COLUMN(指数走势!$F$38:$ACK$38))-COLUMN(指数走势!$F$38)+1-760+272)=0,NA(),INDEX(指数走势!$F$38:$ACK$38,1,LOOKUP(2,1/(指数走势!$F$38:$ACK$38&lt;&gt;""),COLUMN(指数走势!$F$38:$ACK$38))-COLUMN(指数走势!$F$38)+1-760+272)))</f>
        <v>22.2747993469238</v>
      </c>
      <c r="JN102">
        <f>IF(ISERROR(INDEX(指数走势!$F$38:$ACK$38,1,LOOKUP(2,1/(指数走势!$F$38:$ACK$38&lt;&gt;""),COLUMN(指数走势!$F$38:$ACK$38))-COLUMN(指数走势!$F$38)+1-760+273)),NA(),IF(INDEX(指数走势!$F$38:$ACK$38,1,LOOKUP(2,1/(指数走势!$F$38:$ACK$38&lt;&gt;""),COLUMN(指数走势!$F$38:$ACK$38))-COLUMN(指数走势!$F$38)+1-760+273)=0,NA(),INDEX(指数走势!$F$38:$ACK$38,1,LOOKUP(2,1/(指数走势!$F$38:$ACK$38&lt;&gt;""),COLUMN(指数走势!$F$38:$ACK$38))-COLUMN(指数走势!$F$38)+1-760+273)))</f>
        <v>22.2747993469238</v>
      </c>
      <c r="JO102">
        <f>IF(ISERROR(INDEX(指数走势!$F$38:$ACK$38,1,LOOKUP(2,1/(指数走势!$F$38:$ACK$38&lt;&gt;""),COLUMN(指数走势!$F$38:$ACK$38))-COLUMN(指数走势!$F$38)+1-760+274)),NA(),IF(INDEX(指数走势!$F$38:$ACK$38,1,LOOKUP(2,1/(指数走势!$F$38:$ACK$38&lt;&gt;""),COLUMN(指数走势!$F$38:$ACK$38))-COLUMN(指数走势!$F$38)+1-760+274)=0,NA(),INDEX(指数走势!$F$38:$ACK$38,1,LOOKUP(2,1/(指数走势!$F$38:$ACK$38&lt;&gt;""),COLUMN(指数走势!$F$38:$ACK$38))-COLUMN(指数走势!$F$38)+1-760+274)))</f>
        <v>22.1576995849609</v>
      </c>
      <c r="JP102">
        <f>IF(ISERROR(INDEX(指数走势!$F$38:$ACK$38,1,LOOKUP(2,1/(指数走势!$F$38:$ACK$38&lt;&gt;""),COLUMN(指数走势!$F$38:$ACK$38))-COLUMN(指数走势!$F$38)+1-760+275)),NA(),IF(INDEX(指数走势!$F$38:$ACK$38,1,LOOKUP(2,1/(指数走势!$F$38:$ACK$38&lt;&gt;""),COLUMN(指数走势!$F$38:$ACK$38))-COLUMN(指数走势!$F$38)+1-760+275)=0,NA(),INDEX(指数走势!$F$38:$ACK$38,1,LOOKUP(2,1/(指数走势!$F$38:$ACK$38&lt;&gt;""),COLUMN(指数走势!$F$38:$ACK$38))-COLUMN(指数走势!$F$38)+1-760+275)))</f>
        <v>22.7129993438721</v>
      </c>
      <c r="JQ102">
        <f>IF(ISERROR(INDEX(指数走势!$F$38:$ACK$38,1,LOOKUP(2,1/(指数走势!$F$38:$ACK$38&lt;&gt;""),COLUMN(指数走势!$F$38:$ACK$38))-COLUMN(指数走势!$F$38)+1-760+276)),NA(),IF(INDEX(指数走势!$F$38:$ACK$38,1,LOOKUP(2,1/(指数走势!$F$38:$ACK$38&lt;&gt;""),COLUMN(指数走势!$F$38:$ACK$38))-COLUMN(指数走势!$F$38)+1-760+276)=0,NA(),INDEX(指数走势!$F$38:$ACK$38,1,LOOKUP(2,1/(指数走势!$F$38:$ACK$38&lt;&gt;""),COLUMN(指数走势!$F$38:$ACK$38))-COLUMN(指数走势!$F$38)+1-760+276)))</f>
        <v>22.9088001251221</v>
      </c>
      <c r="JR102">
        <f>IF(ISERROR(INDEX(指数走势!$F$38:$ACK$38,1,LOOKUP(2,1/(指数走势!$F$38:$ACK$38&lt;&gt;""),COLUMN(指数走势!$F$38:$ACK$38))-COLUMN(指数走势!$F$38)+1-760+277)),NA(),IF(INDEX(指数走势!$F$38:$ACK$38,1,LOOKUP(2,1/(指数走势!$F$38:$ACK$38&lt;&gt;""),COLUMN(指数走势!$F$38:$ACK$38))-COLUMN(指数走势!$F$38)+1-760+277)=0,NA(),INDEX(指数走势!$F$38:$ACK$38,1,LOOKUP(2,1/(指数走势!$F$38:$ACK$38&lt;&gt;""),COLUMN(指数走势!$F$38:$ACK$38))-COLUMN(指数走势!$F$38)+1-760+277)))</f>
        <v>22.6916007995605</v>
      </c>
      <c r="JS102">
        <f>IF(ISERROR(INDEX(指数走势!$F$38:$ACK$38,1,LOOKUP(2,1/(指数走势!$F$38:$ACK$38&lt;&gt;""),COLUMN(指数走势!$F$38:$ACK$38))-COLUMN(指数走势!$F$38)+1-760+278)),NA(),IF(INDEX(指数走势!$F$38:$ACK$38,1,LOOKUP(2,1/(指数走势!$F$38:$ACK$38&lt;&gt;""),COLUMN(指数走势!$F$38:$ACK$38))-COLUMN(指数走势!$F$38)+1-760+278)=0,NA(),INDEX(指数走势!$F$38:$ACK$38,1,LOOKUP(2,1/(指数走势!$F$38:$ACK$38&lt;&gt;""),COLUMN(指数走势!$F$38:$ACK$38))-COLUMN(指数走势!$F$38)+1-760+278)))</f>
        <v>22.5114994049072</v>
      </c>
      <c r="JT102">
        <f>IF(ISERROR(INDEX(指数走势!$F$38:$ACK$38,1,LOOKUP(2,1/(指数走势!$F$38:$ACK$38&lt;&gt;""),COLUMN(指数走势!$F$38:$ACK$38))-COLUMN(指数走势!$F$38)+1-760+279)),NA(),IF(INDEX(指数走势!$F$38:$ACK$38,1,LOOKUP(2,1/(指数走势!$F$38:$ACK$38&lt;&gt;""),COLUMN(指数走势!$F$38:$ACK$38))-COLUMN(指数走势!$F$38)+1-760+279)=0,NA(),INDEX(指数走势!$F$38:$ACK$38,1,LOOKUP(2,1/(指数走势!$F$38:$ACK$38&lt;&gt;""),COLUMN(指数走势!$F$38:$ACK$38))-COLUMN(指数走势!$F$38)+1-760+279)))</f>
        <v>22.6420001983643</v>
      </c>
      <c r="JU102">
        <f>IF(ISERROR(INDEX(指数走势!$F$38:$ACK$38,1,LOOKUP(2,1/(指数走势!$F$38:$ACK$38&lt;&gt;""),COLUMN(指数走势!$F$38:$ACK$38))-COLUMN(指数走势!$F$38)+1-760+280)),NA(),IF(INDEX(指数走势!$F$38:$ACK$38,1,LOOKUP(2,1/(指数走势!$F$38:$ACK$38&lt;&gt;""),COLUMN(指数走势!$F$38:$ACK$38))-COLUMN(指数走势!$F$38)+1-760+280)=0,NA(),INDEX(指数走势!$F$38:$ACK$38,1,LOOKUP(2,1/(指数走势!$F$38:$ACK$38&lt;&gt;""),COLUMN(指数走势!$F$38:$ACK$38))-COLUMN(指数走势!$F$38)+1-760+280)))</f>
        <v>22.6068992614746</v>
      </c>
      <c r="JV102">
        <f>IF(ISERROR(INDEX(指数走势!$F$38:$ACK$38,1,LOOKUP(2,1/(指数走势!$F$38:$ACK$38&lt;&gt;""),COLUMN(指数走势!$F$38:$ACK$38))-COLUMN(指数走势!$F$38)+1-760+281)),NA(),IF(INDEX(指数走势!$F$38:$ACK$38,1,LOOKUP(2,1/(指数走势!$F$38:$ACK$38&lt;&gt;""),COLUMN(指数走势!$F$38:$ACK$38))-COLUMN(指数走势!$F$38)+1-760+281)=0,NA(),INDEX(指数走势!$F$38:$ACK$38,1,LOOKUP(2,1/(指数走势!$F$38:$ACK$38&lt;&gt;""),COLUMN(指数走势!$F$38:$ACK$38))-COLUMN(指数走势!$F$38)+1-760+281)))</f>
        <v>23.1189002990723</v>
      </c>
      <c r="JW102">
        <f>IF(ISERROR(INDEX(指数走势!$F$38:$ACK$38,1,LOOKUP(2,1/(指数走势!$F$38:$ACK$38&lt;&gt;""),COLUMN(指数走势!$F$38:$ACK$38))-COLUMN(指数走势!$F$38)+1-760+282)),NA(),IF(INDEX(指数走势!$F$38:$ACK$38,1,LOOKUP(2,1/(指数走势!$F$38:$ACK$38&lt;&gt;""),COLUMN(指数走势!$F$38:$ACK$38))-COLUMN(指数走势!$F$38)+1-760+282)=0,NA(),INDEX(指数走势!$F$38:$ACK$38,1,LOOKUP(2,1/(指数走势!$F$38:$ACK$38&lt;&gt;""),COLUMN(指数走势!$F$38:$ACK$38))-COLUMN(指数走势!$F$38)+1-760+282)))</f>
        <v>23.7898998260498</v>
      </c>
      <c r="JX102">
        <f>IF(ISERROR(INDEX(指数走势!$F$38:$ACK$38,1,LOOKUP(2,1/(指数走势!$F$38:$ACK$38&lt;&gt;""),COLUMN(指数走势!$F$38:$ACK$38))-COLUMN(指数走势!$F$38)+1-760+283)),NA(),IF(INDEX(指数走势!$F$38:$ACK$38,1,LOOKUP(2,1/(指数走势!$F$38:$ACK$38&lt;&gt;""),COLUMN(指数走势!$F$38:$ACK$38))-COLUMN(指数走势!$F$38)+1-760+283)=0,NA(),INDEX(指数走势!$F$38:$ACK$38,1,LOOKUP(2,1/(指数走势!$F$38:$ACK$38&lt;&gt;""),COLUMN(指数走势!$F$38:$ACK$38))-COLUMN(指数走势!$F$38)+1-760+283)))</f>
        <v>23.255199432373</v>
      </c>
      <c r="JY102">
        <f>IF(ISERROR(INDEX(指数走势!$F$38:$ACK$38,1,LOOKUP(2,1/(指数走势!$F$38:$ACK$38&lt;&gt;""),COLUMN(指数走势!$F$38:$ACK$38))-COLUMN(指数走势!$F$38)+1-760+284)),NA(),IF(INDEX(指数走势!$F$38:$ACK$38,1,LOOKUP(2,1/(指数走势!$F$38:$ACK$38&lt;&gt;""),COLUMN(指数走势!$F$38:$ACK$38))-COLUMN(指数走势!$F$38)+1-760+284)=0,NA(),INDEX(指数走势!$F$38:$ACK$38,1,LOOKUP(2,1/(指数走势!$F$38:$ACK$38&lt;&gt;""),COLUMN(指数走势!$F$38:$ACK$38))-COLUMN(指数走势!$F$38)+1-760+284)))</f>
        <v>22.7744998931885</v>
      </c>
      <c r="JZ102">
        <f>IF(ISERROR(INDEX(指数走势!$F$38:$ACK$38,1,LOOKUP(2,1/(指数走势!$F$38:$ACK$38&lt;&gt;""),COLUMN(指数走势!$F$38:$ACK$38))-COLUMN(指数走势!$F$38)+1-760+285)),NA(),IF(INDEX(指数走势!$F$38:$ACK$38,1,LOOKUP(2,1/(指数走势!$F$38:$ACK$38&lt;&gt;""),COLUMN(指数走势!$F$38:$ACK$38))-COLUMN(指数走势!$F$38)+1-760+285)=0,NA(),INDEX(指数走势!$F$38:$ACK$38,1,LOOKUP(2,1/(指数走势!$F$38:$ACK$38&lt;&gt;""),COLUMN(指数走势!$F$38:$ACK$38))-COLUMN(指数走势!$F$38)+1-760+285)))</f>
        <v>22.753999710083</v>
      </c>
      <c r="KA102">
        <f>IF(ISERROR(INDEX(指数走势!$F$38:$ACK$38,1,LOOKUP(2,1/(指数走势!$F$38:$ACK$38&lt;&gt;""),COLUMN(指数走势!$F$38:$ACK$38))-COLUMN(指数走势!$F$38)+1-760+286)),NA(),IF(INDEX(指数走势!$F$38:$ACK$38,1,LOOKUP(2,1/(指数走势!$F$38:$ACK$38&lt;&gt;""),COLUMN(指数走势!$F$38:$ACK$38))-COLUMN(指数走势!$F$38)+1-760+286)=0,NA(),INDEX(指数走势!$F$38:$ACK$38,1,LOOKUP(2,1/(指数走势!$F$38:$ACK$38&lt;&gt;""),COLUMN(指数走势!$F$38:$ACK$38))-COLUMN(指数走势!$F$38)+1-760+286)))</f>
        <v>22.6065006256104</v>
      </c>
      <c r="KB102">
        <f>IF(ISERROR(INDEX(指数走势!$F$38:$ACK$38,1,LOOKUP(2,1/(指数走势!$F$38:$ACK$38&lt;&gt;""),COLUMN(指数走势!$F$38:$ACK$38))-COLUMN(指数走势!$F$38)+1-760+287)),NA(),IF(INDEX(指数走势!$F$38:$ACK$38,1,LOOKUP(2,1/(指数走势!$F$38:$ACK$38&lt;&gt;""),COLUMN(指数走势!$F$38:$ACK$38))-COLUMN(指数走势!$F$38)+1-760+287)=0,NA(),INDEX(指数走势!$F$38:$ACK$38,1,LOOKUP(2,1/(指数走势!$F$38:$ACK$38&lt;&gt;""),COLUMN(指数走势!$F$38:$ACK$38))-COLUMN(指数走势!$F$38)+1-760+287)))</f>
        <v>22.131799697876</v>
      </c>
      <c r="KC102">
        <f>IF(ISERROR(INDEX(指数走势!$F$38:$ACK$38,1,LOOKUP(2,1/(指数走势!$F$38:$ACK$38&lt;&gt;""),COLUMN(指数走势!$F$38:$ACK$38))-COLUMN(指数走势!$F$38)+1-760+288)),NA(),IF(INDEX(指数走势!$F$38:$ACK$38,1,LOOKUP(2,1/(指数走势!$F$38:$ACK$38&lt;&gt;""),COLUMN(指数走势!$F$38:$ACK$38))-COLUMN(指数走势!$F$38)+1-760+288)=0,NA(),INDEX(指数走势!$F$38:$ACK$38,1,LOOKUP(2,1/(指数走势!$F$38:$ACK$38&lt;&gt;""),COLUMN(指数走势!$F$38:$ACK$38))-COLUMN(指数走势!$F$38)+1-760+288)))</f>
        <v>22.628999710083</v>
      </c>
      <c r="KD102">
        <f>IF(ISERROR(INDEX(指数走势!$F$38:$ACK$38,1,LOOKUP(2,1/(指数走势!$F$38:$ACK$38&lt;&gt;""),COLUMN(指数走势!$F$38:$ACK$38))-COLUMN(指数走势!$F$38)+1-760+289)),NA(),IF(INDEX(指数走势!$F$38:$ACK$38,1,LOOKUP(2,1/(指数走势!$F$38:$ACK$38&lt;&gt;""),COLUMN(指数走势!$F$38:$ACK$38))-COLUMN(指数走势!$F$38)+1-760+289)=0,NA(),INDEX(指数走势!$F$38:$ACK$38,1,LOOKUP(2,1/(指数走势!$F$38:$ACK$38&lt;&gt;""),COLUMN(指数走势!$F$38:$ACK$38))-COLUMN(指数走势!$F$38)+1-760+289)))</f>
        <v>22.237699508667</v>
      </c>
      <c r="KE102">
        <f>IF(ISERROR(INDEX(指数走势!$F$38:$ACK$38,1,LOOKUP(2,1/(指数走势!$F$38:$ACK$38&lt;&gt;""),COLUMN(指数走势!$F$38:$ACK$38))-COLUMN(指数走势!$F$38)+1-760+290)),NA(),IF(INDEX(指数走势!$F$38:$ACK$38,1,LOOKUP(2,1/(指数走势!$F$38:$ACK$38&lt;&gt;""),COLUMN(指数走势!$F$38:$ACK$38))-COLUMN(指数走势!$F$38)+1-760+290)=0,NA(),INDEX(指数走势!$F$38:$ACK$38,1,LOOKUP(2,1/(指数走势!$F$38:$ACK$38&lt;&gt;""),COLUMN(指数走势!$F$38:$ACK$38))-COLUMN(指数走势!$F$38)+1-760+290)))</f>
        <v>22.0249004364014</v>
      </c>
      <c r="KF102">
        <f>IF(ISERROR(INDEX(指数走势!$F$38:$ACK$38,1,LOOKUP(2,1/(指数走势!$F$38:$ACK$38&lt;&gt;""),COLUMN(指数走势!$F$38:$ACK$38))-COLUMN(指数走势!$F$38)+1-760+291)),NA(),IF(INDEX(指数走势!$F$38:$ACK$38,1,LOOKUP(2,1/(指数走势!$F$38:$ACK$38&lt;&gt;""),COLUMN(指数走势!$F$38:$ACK$38))-COLUMN(指数走势!$F$38)+1-760+291)=0,NA(),INDEX(指数走势!$F$38:$ACK$38,1,LOOKUP(2,1/(指数走势!$F$38:$ACK$38&lt;&gt;""),COLUMN(指数走势!$F$38:$ACK$38))-COLUMN(指数走势!$F$38)+1-760+291)))</f>
        <v>21.492000579834</v>
      </c>
      <c r="KG102">
        <f>IF(ISERROR(INDEX(指数走势!$F$38:$ACK$38,1,LOOKUP(2,1/(指数走势!$F$38:$ACK$38&lt;&gt;""),COLUMN(指数走势!$F$38:$ACK$38))-COLUMN(指数走势!$F$38)+1-760+292)),NA(),IF(INDEX(指数走势!$F$38:$ACK$38,1,LOOKUP(2,1/(指数走势!$F$38:$ACK$38&lt;&gt;""),COLUMN(指数走势!$F$38:$ACK$38))-COLUMN(指数走势!$F$38)+1-760+292)=0,NA(),INDEX(指数走势!$F$38:$ACK$38,1,LOOKUP(2,1/(指数走势!$F$38:$ACK$38&lt;&gt;""),COLUMN(指数走势!$F$38:$ACK$38))-COLUMN(指数走势!$F$38)+1-760+292)))</f>
        <v>21.6112003326416</v>
      </c>
      <c r="KH102">
        <f>IF(ISERROR(INDEX(指数走势!$F$38:$ACK$38,1,LOOKUP(2,1/(指数走势!$F$38:$ACK$38&lt;&gt;""),COLUMN(指数走势!$F$38:$ACK$38))-COLUMN(指数走势!$F$38)+1-760+293)),NA(),IF(INDEX(指数走势!$F$38:$ACK$38,1,LOOKUP(2,1/(指数走势!$F$38:$ACK$38&lt;&gt;""),COLUMN(指数走势!$F$38:$ACK$38))-COLUMN(指数走势!$F$38)+1-760+293)=0,NA(),INDEX(指数走势!$F$38:$ACK$38,1,LOOKUP(2,1/(指数走势!$F$38:$ACK$38&lt;&gt;""),COLUMN(指数走势!$F$38:$ACK$38))-COLUMN(指数走势!$F$38)+1-760+293)))</f>
        <v>21.8864002227783</v>
      </c>
      <c r="KI102">
        <f>IF(ISERROR(INDEX(指数走势!$F$38:$ACK$38,1,LOOKUP(2,1/(指数走势!$F$38:$ACK$38&lt;&gt;""),COLUMN(指数走势!$F$38:$ACK$38))-COLUMN(指数走势!$F$38)+1-760+294)),NA(),IF(INDEX(指数走势!$F$38:$ACK$38,1,LOOKUP(2,1/(指数走势!$F$38:$ACK$38&lt;&gt;""),COLUMN(指数走势!$F$38:$ACK$38))-COLUMN(指数走势!$F$38)+1-760+294)=0,NA(),INDEX(指数走势!$F$38:$ACK$38,1,LOOKUP(2,1/(指数走势!$F$38:$ACK$38&lt;&gt;""),COLUMN(指数走势!$F$38:$ACK$38))-COLUMN(指数走势!$F$38)+1-760+294)))</f>
        <v>21.6147003173828</v>
      </c>
      <c r="KJ102">
        <f>IF(ISERROR(INDEX(指数走势!$F$38:$ACK$38,1,LOOKUP(2,1/(指数走势!$F$38:$ACK$38&lt;&gt;""),COLUMN(指数走势!$F$38:$ACK$38))-COLUMN(指数走势!$F$38)+1-760+295)),NA(),IF(INDEX(指数走势!$F$38:$ACK$38,1,LOOKUP(2,1/(指数走势!$F$38:$ACK$38&lt;&gt;""),COLUMN(指数走势!$F$38:$ACK$38))-COLUMN(指数走势!$F$38)+1-760+295)=0,NA(),INDEX(指数走势!$F$38:$ACK$38,1,LOOKUP(2,1/(指数走势!$F$38:$ACK$38&lt;&gt;""),COLUMN(指数走势!$F$38:$ACK$38))-COLUMN(指数走势!$F$38)+1-760+295)))</f>
        <v>22.1560001373291</v>
      </c>
      <c r="KK102">
        <f>IF(ISERROR(INDEX(指数走势!$F$38:$ACK$38,1,LOOKUP(2,1/(指数走势!$F$38:$ACK$38&lt;&gt;""),COLUMN(指数走势!$F$38:$ACK$38))-COLUMN(指数走势!$F$38)+1-760+296)),NA(),IF(INDEX(指数走势!$F$38:$ACK$38,1,LOOKUP(2,1/(指数走势!$F$38:$ACK$38&lt;&gt;""),COLUMN(指数走势!$F$38:$ACK$38))-COLUMN(指数走势!$F$38)+1-760+296)=0,NA(),INDEX(指数走势!$F$38:$ACK$38,1,LOOKUP(2,1/(指数走势!$F$38:$ACK$38&lt;&gt;""),COLUMN(指数走势!$F$38:$ACK$38))-COLUMN(指数走势!$F$38)+1-760+296)))</f>
        <v>22.0963001251221</v>
      </c>
      <c r="KL102">
        <f>IF(ISERROR(INDEX(指数走势!$F$38:$ACK$38,1,LOOKUP(2,1/(指数走势!$F$38:$ACK$38&lt;&gt;""),COLUMN(指数走势!$F$38:$ACK$38))-COLUMN(指数走势!$F$38)+1-760+297)),NA(),IF(INDEX(指数走势!$F$38:$ACK$38,1,LOOKUP(2,1/(指数走势!$F$38:$ACK$38&lt;&gt;""),COLUMN(指数走势!$F$38:$ACK$38))-COLUMN(指数走势!$F$38)+1-760+297)=0,NA(),INDEX(指数走势!$F$38:$ACK$38,1,LOOKUP(2,1/(指数走势!$F$38:$ACK$38&lt;&gt;""),COLUMN(指数走势!$F$38:$ACK$38))-COLUMN(指数走势!$F$38)+1-760+297)))</f>
        <v>21.5337009429932</v>
      </c>
      <c r="KM102">
        <f>IF(ISERROR(INDEX(指数走势!$F$38:$ACK$38,1,LOOKUP(2,1/(指数走势!$F$38:$ACK$38&lt;&gt;""),COLUMN(指数走势!$F$38:$ACK$38))-COLUMN(指数走势!$F$38)+1-760+298)),NA(),IF(INDEX(指数走势!$F$38:$ACK$38,1,LOOKUP(2,1/(指数走势!$F$38:$ACK$38&lt;&gt;""),COLUMN(指数走势!$F$38:$ACK$38))-COLUMN(指数走势!$F$38)+1-760+298)=0,NA(),INDEX(指数走势!$F$38:$ACK$38,1,LOOKUP(2,1/(指数走势!$F$38:$ACK$38&lt;&gt;""),COLUMN(指数走势!$F$38:$ACK$38))-COLUMN(指数走势!$F$38)+1-760+298)))</f>
        <v>21.3344993591309</v>
      </c>
      <c r="KN102">
        <f>IF(ISERROR(INDEX(指数走势!$F$38:$ACK$38,1,LOOKUP(2,1/(指数走势!$F$38:$ACK$38&lt;&gt;""),COLUMN(指数走势!$F$38:$ACK$38))-COLUMN(指数走势!$F$38)+1-760+299)),NA(),IF(INDEX(指数走势!$F$38:$ACK$38,1,LOOKUP(2,1/(指数走势!$F$38:$ACK$38&lt;&gt;""),COLUMN(指数走势!$F$38:$ACK$38))-COLUMN(指数走势!$F$38)+1-760+299)=0,NA(),INDEX(指数走势!$F$38:$ACK$38,1,LOOKUP(2,1/(指数走势!$F$38:$ACK$38&lt;&gt;""),COLUMN(指数走势!$F$38:$ACK$38))-COLUMN(指数走势!$F$38)+1-760+299)))</f>
        <v>21.3001003265381</v>
      </c>
      <c r="KO102">
        <f>IF(ISERROR(INDEX(指数走势!$F$38:$ACK$38,1,LOOKUP(2,1/(指数走势!$F$38:$ACK$38&lt;&gt;""),COLUMN(指数走势!$F$38:$ACK$38))-COLUMN(指数走势!$F$38)+1-760+300)),NA(),IF(INDEX(指数走势!$F$38:$ACK$38,1,LOOKUP(2,1/(指数走势!$F$38:$ACK$38&lt;&gt;""),COLUMN(指数走势!$F$38:$ACK$38))-COLUMN(指数走势!$F$38)+1-760+300)=0,NA(),INDEX(指数走势!$F$38:$ACK$38,1,LOOKUP(2,1/(指数走势!$F$38:$ACK$38&lt;&gt;""),COLUMN(指数走势!$F$38:$ACK$38))-COLUMN(指数走势!$F$38)+1-760+300)))</f>
        <v>21.6756992340088</v>
      </c>
      <c r="KP102">
        <f>IF(ISERROR(INDEX(指数走势!$F$38:$ACK$38,1,LOOKUP(2,1/(指数走势!$F$38:$ACK$38&lt;&gt;""),COLUMN(指数走势!$F$38:$ACK$38))-COLUMN(指数走势!$F$38)+1-760+301)),NA(),IF(INDEX(指数走势!$F$38:$ACK$38,1,LOOKUP(2,1/(指数走势!$F$38:$ACK$38&lt;&gt;""),COLUMN(指数走势!$F$38:$ACK$38))-COLUMN(指数走势!$F$38)+1-760+301)=0,NA(),INDEX(指数走势!$F$38:$ACK$38,1,LOOKUP(2,1/(指数走势!$F$38:$ACK$38&lt;&gt;""),COLUMN(指数走势!$F$38:$ACK$38))-COLUMN(指数走势!$F$38)+1-760+301)))</f>
        <v>21.8488006591797</v>
      </c>
      <c r="KQ102">
        <f>IF(ISERROR(INDEX(指数走势!$F$38:$ACK$38,1,LOOKUP(2,1/(指数走势!$F$38:$ACK$38&lt;&gt;""),COLUMN(指数走势!$F$38:$ACK$38))-COLUMN(指数走势!$F$38)+1-760+302)),NA(),IF(INDEX(指数走势!$F$38:$ACK$38,1,LOOKUP(2,1/(指数走势!$F$38:$ACK$38&lt;&gt;""),COLUMN(指数走势!$F$38:$ACK$38))-COLUMN(指数走势!$F$38)+1-760+302)=0,NA(),INDEX(指数走势!$F$38:$ACK$38,1,LOOKUP(2,1/(指数走势!$F$38:$ACK$38&lt;&gt;""),COLUMN(指数走势!$F$38:$ACK$38))-COLUMN(指数走势!$F$38)+1-760+302)))</f>
        <v>22.167200088501</v>
      </c>
      <c r="KR102">
        <f>IF(ISERROR(INDEX(指数走势!$F$38:$ACK$38,1,LOOKUP(2,1/(指数走势!$F$38:$ACK$38&lt;&gt;""),COLUMN(指数走势!$F$38:$ACK$38))-COLUMN(指数走势!$F$38)+1-760+303)),NA(),IF(INDEX(指数走势!$F$38:$ACK$38,1,LOOKUP(2,1/(指数走势!$F$38:$ACK$38&lt;&gt;""),COLUMN(指数走势!$F$38:$ACK$38))-COLUMN(指数走势!$F$38)+1-760+303)=0,NA(),INDEX(指数走势!$F$38:$ACK$38,1,LOOKUP(2,1/(指数走势!$F$38:$ACK$38&lt;&gt;""),COLUMN(指数走势!$F$38:$ACK$38))-COLUMN(指数走势!$F$38)+1-760+303)))</f>
        <v>22.2658004760742</v>
      </c>
      <c r="KS102">
        <f>IF(ISERROR(INDEX(指数走势!$F$38:$ACK$38,1,LOOKUP(2,1/(指数走势!$F$38:$ACK$38&lt;&gt;""),COLUMN(指数走势!$F$38:$ACK$38))-COLUMN(指数走势!$F$38)+1-760+304)),NA(),IF(INDEX(指数走势!$F$38:$ACK$38,1,LOOKUP(2,1/(指数走势!$F$38:$ACK$38&lt;&gt;""),COLUMN(指数走势!$F$38:$ACK$38))-COLUMN(指数走势!$F$38)+1-760+304)=0,NA(),INDEX(指数走势!$F$38:$ACK$38,1,LOOKUP(2,1/(指数走势!$F$38:$ACK$38&lt;&gt;""),COLUMN(指数走势!$F$38:$ACK$38))-COLUMN(指数走势!$F$38)+1-760+304)))</f>
        <v>22.3490009307861</v>
      </c>
      <c r="KT102">
        <f>IF(ISERROR(INDEX(指数走势!$F$38:$ACK$38,1,LOOKUP(2,1/(指数走势!$F$38:$ACK$38&lt;&gt;""),COLUMN(指数走势!$F$38:$ACK$38))-COLUMN(指数走势!$F$38)+1-760+305)),NA(),IF(INDEX(指数走势!$F$38:$ACK$38,1,LOOKUP(2,1/(指数走势!$F$38:$ACK$38&lt;&gt;""),COLUMN(指数走势!$F$38:$ACK$38))-COLUMN(指数走势!$F$38)+1-760+305)=0,NA(),INDEX(指数走势!$F$38:$ACK$38,1,LOOKUP(2,1/(指数走势!$F$38:$ACK$38&lt;&gt;""),COLUMN(指数走势!$F$38:$ACK$38))-COLUMN(指数走势!$F$38)+1-760+305)))</f>
        <v>20.9062004089355</v>
      </c>
      <c r="KU102">
        <f>IF(ISERROR(INDEX(指数走势!$F$38:$ACK$38,1,LOOKUP(2,1/(指数走势!$F$38:$ACK$38&lt;&gt;""),COLUMN(指数走势!$F$38:$ACK$38))-COLUMN(指数走势!$F$38)+1-760+306)),NA(),IF(INDEX(指数走势!$F$38:$ACK$38,1,LOOKUP(2,1/(指数走势!$F$38:$ACK$38&lt;&gt;""),COLUMN(指数走势!$F$38:$ACK$38))-COLUMN(指数走势!$F$38)+1-760+306)=0,NA(),INDEX(指数走势!$F$38:$ACK$38,1,LOOKUP(2,1/(指数走势!$F$38:$ACK$38&lt;&gt;""),COLUMN(指数走势!$F$38:$ACK$38))-COLUMN(指数走势!$F$38)+1-760+306)))</f>
        <v>20.9437007904053</v>
      </c>
      <c r="KV102">
        <f>IF(ISERROR(INDEX(指数走势!$F$38:$ACK$38,1,LOOKUP(2,1/(指数走势!$F$38:$ACK$38&lt;&gt;""),COLUMN(指数走势!$F$38:$ACK$38))-COLUMN(指数走势!$F$38)+1-760+307)),NA(),IF(INDEX(指数走势!$F$38:$ACK$38,1,LOOKUP(2,1/(指数走势!$F$38:$ACK$38&lt;&gt;""),COLUMN(指数走势!$F$38:$ACK$38))-COLUMN(指数走势!$F$38)+1-760+307)=0,NA(),INDEX(指数走势!$F$38:$ACK$38,1,LOOKUP(2,1/(指数走势!$F$38:$ACK$38&lt;&gt;""),COLUMN(指数走势!$F$38:$ACK$38))-COLUMN(指数走势!$F$38)+1-760+307)))</f>
        <v>21.4263000488281</v>
      </c>
      <c r="KW102">
        <f>IF(ISERROR(INDEX(指数走势!$F$38:$ACK$38,1,LOOKUP(2,1/(指数走势!$F$38:$ACK$38&lt;&gt;""),COLUMN(指数走势!$F$38:$ACK$38))-COLUMN(指数走势!$F$38)+1-760+308)),NA(),IF(INDEX(指数走势!$F$38:$ACK$38,1,LOOKUP(2,1/(指数走势!$F$38:$ACK$38&lt;&gt;""),COLUMN(指数走势!$F$38:$ACK$38))-COLUMN(指数走势!$F$38)+1-760+308)=0,NA(),INDEX(指数走势!$F$38:$ACK$38,1,LOOKUP(2,1/(指数走势!$F$38:$ACK$38&lt;&gt;""),COLUMN(指数走势!$F$38:$ACK$38))-COLUMN(指数走势!$F$38)+1-760+308)))</f>
        <v>21.6452007293701</v>
      </c>
      <c r="KX102">
        <f>IF(ISERROR(INDEX(指数走势!$F$38:$ACK$38,1,LOOKUP(2,1/(指数走势!$F$38:$ACK$38&lt;&gt;""),COLUMN(指数走势!$F$38:$ACK$38))-COLUMN(指数走势!$F$38)+1-760+309)),NA(),IF(INDEX(指数走势!$F$38:$ACK$38,1,LOOKUP(2,1/(指数走势!$F$38:$ACK$38&lt;&gt;""),COLUMN(指数走势!$F$38:$ACK$38))-COLUMN(指数走势!$F$38)+1-760+309)=0,NA(),INDEX(指数走势!$F$38:$ACK$38,1,LOOKUP(2,1/(指数走势!$F$38:$ACK$38&lt;&gt;""),COLUMN(指数走势!$F$38:$ACK$38))-COLUMN(指数走势!$F$38)+1-760+309)))</f>
        <v>21.2108993530273</v>
      </c>
      <c r="KY102">
        <f>IF(ISERROR(INDEX(指数走势!$F$38:$ACK$38,1,LOOKUP(2,1/(指数走势!$F$38:$ACK$38&lt;&gt;""),COLUMN(指数走势!$F$38:$ACK$38))-COLUMN(指数走势!$F$38)+1-760+310)),NA(),IF(INDEX(指数走势!$F$38:$ACK$38,1,LOOKUP(2,1/(指数走势!$F$38:$ACK$38&lt;&gt;""),COLUMN(指数走势!$F$38:$ACK$38))-COLUMN(指数走势!$F$38)+1-760+310)=0,NA(),INDEX(指数走势!$F$38:$ACK$38,1,LOOKUP(2,1/(指数走势!$F$38:$ACK$38&lt;&gt;""),COLUMN(指数走势!$F$38:$ACK$38))-COLUMN(指数走势!$F$38)+1-760+310)))</f>
        <v>20.9717998504639</v>
      </c>
      <c r="KZ102">
        <f>IF(ISERROR(INDEX(指数走势!$F$38:$ACK$38,1,LOOKUP(2,1/(指数走势!$F$38:$ACK$38&lt;&gt;""),COLUMN(指数走势!$F$38:$ACK$38))-COLUMN(指数走势!$F$38)+1-760+311)),NA(),IF(INDEX(指数走势!$F$38:$ACK$38,1,LOOKUP(2,1/(指数走势!$F$38:$ACK$38&lt;&gt;""),COLUMN(指数走势!$F$38:$ACK$38))-COLUMN(指数走势!$F$38)+1-760+311)=0,NA(),INDEX(指数走势!$F$38:$ACK$38,1,LOOKUP(2,1/(指数走势!$F$38:$ACK$38&lt;&gt;""),COLUMN(指数走势!$F$38:$ACK$38))-COLUMN(指数走势!$F$38)+1-760+311)))</f>
        <v>21.4321994781494</v>
      </c>
      <c r="LA102">
        <f>IF(ISERROR(INDEX(指数走势!$F$38:$ACK$38,1,LOOKUP(2,1/(指数走势!$F$38:$ACK$38&lt;&gt;""),COLUMN(指数走势!$F$38:$ACK$38))-COLUMN(指数走势!$F$38)+1-760+312)),NA(),IF(INDEX(指数走势!$F$38:$ACK$38,1,LOOKUP(2,1/(指数走势!$F$38:$ACK$38&lt;&gt;""),COLUMN(指数走势!$F$38:$ACK$38))-COLUMN(指数走势!$F$38)+1-760+312)=0,NA(),INDEX(指数走势!$F$38:$ACK$38,1,LOOKUP(2,1/(指数走势!$F$38:$ACK$38&lt;&gt;""),COLUMN(指数走势!$F$38:$ACK$38))-COLUMN(指数走势!$F$38)+1-760+312)))</f>
        <v>21.1716003417969</v>
      </c>
      <c r="LB102">
        <f>IF(ISERROR(INDEX(指数走势!$F$38:$ACK$38,1,LOOKUP(2,1/(指数走势!$F$38:$ACK$38&lt;&gt;""),COLUMN(指数走势!$F$38:$ACK$38))-COLUMN(指数走势!$F$38)+1-760+313)),NA(),IF(INDEX(指数走势!$F$38:$ACK$38,1,LOOKUP(2,1/(指数走势!$F$38:$ACK$38&lt;&gt;""),COLUMN(指数走势!$F$38:$ACK$38))-COLUMN(指数走势!$F$38)+1-760+313)=0,NA(),INDEX(指数走势!$F$38:$ACK$38,1,LOOKUP(2,1/(指数走势!$F$38:$ACK$38&lt;&gt;""),COLUMN(指数走势!$F$38:$ACK$38))-COLUMN(指数走势!$F$38)+1-760+313)))</f>
        <v>21.24049949646</v>
      </c>
      <c r="LC102">
        <f>IF(ISERROR(INDEX(指数走势!$F$38:$ACK$38,1,LOOKUP(2,1/(指数走势!$F$38:$ACK$38&lt;&gt;""),COLUMN(指数走势!$F$38:$ACK$38))-COLUMN(指数走势!$F$38)+1-760+314)),NA(),IF(INDEX(指数走势!$F$38:$ACK$38,1,LOOKUP(2,1/(指数走势!$F$38:$ACK$38&lt;&gt;""),COLUMN(指数走势!$F$38:$ACK$38))-COLUMN(指数走势!$F$38)+1-760+314)=0,NA(),INDEX(指数走势!$F$38:$ACK$38,1,LOOKUP(2,1/(指数走势!$F$38:$ACK$38&lt;&gt;""),COLUMN(指数走势!$F$38:$ACK$38))-COLUMN(指数走势!$F$38)+1-760+314)))</f>
        <v>21.0536003112793</v>
      </c>
      <c r="LD102">
        <f>IF(ISERROR(INDEX(指数走势!$F$38:$ACK$38,1,LOOKUP(2,1/(指数走势!$F$38:$ACK$38&lt;&gt;""),COLUMN(指数走势!$F$38:$ACK$38))-COLUMN(指数走势!$F$38)+1-760+315)),NA(),IF(INDEX(指数走势!$F$38:$ACK$38,1,LOOKUP(2,1/(指数走势!$F$38:$ACK$38&lt;&gt;""),COLUMN(指数走势!$F$38:$ACK$38))-COLUMN(指数走势!$F$38)+1-760+315)=0,NA(),INDEX(指数走势!$F$38:$ACK$38,1,LOOKUP(2,1/(指数走势!$F$38:$ACK$38&lt;&gt;""),COLUMN(指数走势!$F$38:$ACK$38))-COLUMN(指数走势!$F$38)+1-760+315)))</f>
        <v>20.3295001983643</v>
      </c>
      <c r="LE102">
        <f>IF(ISERROR(INDEX(指数走势!$F$38:$ACK$38,1,LOOKUP(2,1/(指数走势!$F$38:$ACK$38&lt;&gt;""),COLUMN(指数走势!$F$38:$ACK$38))-COLUMN(指数走势!$F$38)+1-760+316)),NA(),IF(INDEX(指数走势!$F$38:$ACK$38,1,LOOKUP(2,1/(指数走势!$F$38:$ACK$38&lt;&gt;""),COLUMN(指数走势!$F$38:$ACK$38))-COLUMN(指数走势!$F$38)+1-760+316)=0,NA(),INDEX(指数走势!$F$38:$ACK$38,1,LOOKUP(2,1/(指数走势!$F$38:$ACK$38&lt;&gt;""),COLUMN(指数走势!$F$38:$ACK$38))-COLUMN(指数走势!$F$38)+1-760+316)))</f>
        <v>20.6270008087158</v>
      </c>
      <c r="LF102">
        <f>IF(ISERROR(INDEX(指数走势!$F$38:$ACK$38,1,LOOKUP(2,1/(指数走势!$F$38:$ACK$38&lt;&gt;""),COLUMN(指数走势!$F$38:$ACK$38))-COLUMN(指数走势!$F$38)+1-760+317)),NA(),IF(INDEX(指数走势!$F$38:$ACK$38,1,LOOKUP(2,1/(指数走势!$F$38:$ACK$38&lt;&gt;""),COLUMN(指数走势!$F$38:$ACK$38))-COLUMN(指数走势!$F$38)+1-760+317)=0,NA(),INDEX(指数走势!$F$38:$ACK$38,1,LOOKUP(2,1/(指数走势!$F$38:$ACK$38&lt;&gt;""),COLUMN(指数走势!$F$38:$ACK$38))-COLUMN(指数走势!$F$38)+1-760+317)))</f>
        <v>21.0811996459961</v>
      </c>
      <c r="LG102">
        <f>IF(ISERROR(INDEX(指数走势!$F$38:$ACK$38,1,LOOKUP(2,1/(指数走势!$F$38:$ACK$38&lt;&gt;""),COLUMN(指数走势!$F$38:$ACK$38))-COLUMN(指数走势!$F$38)+1-760+318)),NA(),IF(INDEX(指数走势!$F$38:$ACK$38,1,LOOKUP(2,1/(指数走势!$F$38:$ACK$38&lt;&gt;""),COLUMN(指数走势!$F$38:$ACK$38))-COLUMN(指数走势!$F$38)+1-760+318)=0,NA(),INDEX(指数走势!$F$38:$ACK$38,1,LOOKUP(2,1/(指数走势!$F$38:$ACK$38&lt;&gt;""),COLUMN(指数走势!$F$38:$ACK$38))-COLUMN(指数走势!$F$38)+1-760+318)))</f>
        <v>20.7199993133545</v>
      </c>
      <c r="LH102">
        <f>IF(ISERROR(INDEX(指数走势!$F$38:$ACK$38,1,LOOKUP(2,1/(指数走势!$F$38:$ACK$38&lt;&gt;""),COLUMN(指数走势!$F$38:$ACK$38))-COLUMN(指数走势!$F$38)+1-760+319)),NA(),IF(INDEX(指数走势!$F$38:$ACK$38,1,LOOKUP(2,1/(指数走势!$F$38:$ACK$38&lt;&gt;""),COLUMN(指数走势!$F$38:$ACK$38))-COLUMN(指数走势!$F$38)+1-760+319)=0,NA(),INDEX(指数走势!$F$38:$ACK$38,1,LOOKUP(2,1/(指数走势!$F$38:$ACK$38&lt;&gt;""),COLUMN(指数走势!$F$38:$ACK$38))-COLUMN(指数走势!$F$38)+1-760+319)))</f>
        <v>20.7887992858887</v>
      </c>
      <c r="LI102">
        <f>IF(ISERROR(INDEX(指数走势!$F$38:$ACK$38,1,LOOKUP(2,1/(指数走势!$F$38:$ACK$38&lt;&gt;""),COLUMN(指数走势!$F$38:$ACK$38))-COLUMN(指数走势!$F$38)+1-760+320)),NA(),IF(INDEX(指数走势!$F$38:$ACK$38,1,LOOKUP(2,1/(指数走势!$F$38:$ACK$38&lt;&gt;""),COLUMN(指数走势!$F$38:$ACK$38))-COLUMN(指数走势!$F$38)+1-760+320)=0,NA(),INDEX(指数走势!$F$38:$ACK$38,1,LOOKUP(2,1/(指数走势!$F$38:$ACK$38&lt;&gt;""),COLUMN(指数走势!$F$38:$ACK$38))-COLUMN(指数走势!$F$38)+1-760+320)))</f>
        <v>20.6488990783691</v>
      </c>
      <c r="LJ102">
        <f>IF(ISERROR(INDEX(指数走势!$F$38:$ACK$38,1,LOOKUP(2,1/(指数走势!$F$38:$ACK$38&lt;&gt;""),COLUMN(指数走势!$F$38:$ACK$38))-COLUMN(指数走势!$F$38)+1-760+321)),NA(),IF(INDEX(指数走势!$F$38:$ACK$38,1,LOOKUP(2,1/(指数走势!$F$38:$ACK$38&lt;&gt;""),COLUMN(指数走势!$F$38:$ACK$38))-COLUMN(指数走势!$F$38)+1-760+321)=0,NA(),INDEX(指数走势!$F$38:$ACK$38,1,LOOKUP(2,1/(指数走势!$F$38:$ACK$38&lt;&gt;""),COLUMN(指数走势!$F$38:$ACK$38))-COLUMN(指数走势!$F$38)+1-760+321)))</f>
        <v>20.5788993835449</v>
      </c>
      <c r="LK102">
        <f>IF(ISERROR(INDEX(指数走势!$F$38:$ACK$38,1,LOOKUP(2,1/(指数走势!$F$38:$ACK$38&lt;&gt;""),COLUMN(指数走势!$F$38:$ACK$38))-COLUMN(指数走势!$F$38)+1-760+322)),NA(),IF(INDEX(指数走势!$F$38:$ACK$38,1,LOOKUP(2,1/(指数走势!$F$38:$ACK$38&lt;&gt;""),COLUMN(指数走势!$F$38:$ACK$38))-COLUMN(指数走势!$F$38)+1-760+322)=0,NA(),INDEX(指数走势!$F$38:$ACK$38,1,LOOKUP(2,1/(指数走势!$F$38:$ACK$38&lt;&gt;""),COLUMN(指数走势!$F$38:$ACK$38))-COLUMN(指数走势!$F$38)+1-760+322)))</f>
        <v>20.5788993835449</v>
      </c>
      <c r="LL102">
        <f>IF(ISERROR(INDEX(指数走势!$F$38:$ACK$38,1,LOOKUP(2,1/(指数走势!$F$38:$ACK$38&lt;&gt;""),COLUMN(指数走势!$F$38:$ACK$38))-COLUMN(指数走势!$F$38)+1-760+323)),NA(),IF(INDEX(指数走势!$F$38:$ACK$38,1,LOOKUP(2,1/(指数走势!$F$38:$ACK$38&lt;&gt;""),COLUMN(指数走势!$F$38:$ACK$38))-COLUMN(指数走势!$F$38)+1-760+323)=0,NA(),INDEX(指数走势!$F$38:$ACK$38,1,LOOKUP(2,1/(指数走势!$F$38:$ACK$38&lt;&gt;""),COLUMN(指数走势!$F$38:$ACK$38))-COLUMN(指数走势!$F$38)+1-760+323)))</f>
        <v>20.3623008728027</v>
      </c>
      <c r="LM102">
        <f>IF(ISERROR(INDEX(指数走势!$F$38:$ACK$38,1,LOOKUP(2,1/(指数走势!$F$38:$ACK$38&lt;&gt;""),COLUMN(指数走势!$F$38:$ACK$38))-COLUMN(指数走势!$F$38)+1-760+324)),NA(),IF(INDEX(指数走势!$F$38:$ACK$38,1,LOOKUP(2,1/(指数走势!$F$38:$ACK$38&lt;&gt;""),COLUMN(指数走势!$F$38:$ACK$38))-COLUMN(指数走势!$F$38)+1-760+324)=0,NA(),INDEX(指数走势!$F$38:$ACK$38,1,LOOKUP(2,1/(指数走势!$F$38:$ACK$38&lt;&gt;""),COLUMN(指数走势!$F$38:$ACK$38))-COLUMN(指数走势!$F$38)+1-760+324)))</f>
        <v>20.463399887085</v>
      </c>
      <c r="LN102">
        <f>IF(ISERROR(INDEX(指数走势!$F$38:$ACK$38,1,LOOKUP(2,1/(指数走势!$F$38:$ACK$38&lt;&gt;""),COLUMN(指数走势!$F$38:$ACK$38))-COLUMN(指数走势!$F$38)+1-760+325)),NA(),IF(INDEX(指数走势!$F$38:$ACK$38,1,LOOKUP(2,1/(指数走势!$F$38:$ACK$38&lt;&gt;""),COLUMN(指数走势!$F$38:$ACK$38))-COLUMN(指数走势!$F$38)+1-760+325)=0,NA(),INDEX(指数走势!$F$38:$ACK$38,1,LOOKUP(2,1/(指数走势!$F$38:$ACK$38&lt;&gt;""),COLUMN(指数走势!$F$38:$ACK$38))-COLUMN(指数走势!$F$38)+1-760+325)))</f>
        <v>20.5146007537842</v>
      </c>
      <c r="LO102">
        <f>IF(ISERROR(INDEX(指数走势!$F$38:$ACK$38,1,LOOKUP(2,1/(指数走势!$F$38:$ACK$38&lt;&gt;""),COLUMN(指数走势!$F$38:$ACK$38))-COLUMN(指数走势!$F$38)+1-760+326)),NA(),IF(INDEX(指数走势!$F$38:$ACK$38,1,LOOKUP(2,1/(指数走势!$F$38:$ACK$38&lt;&gt;""),COLUMN(指数走势!$F$38:$ACK$38))-COLUMN(指数走势!$F$38)+1-760+326)=0,NA(),INDEX(指数走势!$F$38:$ACK$38,1,LOOKUP(2,1/(指数走势!$F$38:$ACK$38&lt;&gt;""),COLUMN(指数走势!$F$38:$ACK$38))-COLUMN(指数走势!$F$38)+1-760+326)))</f>
        <v>20.7092990875244</v>
      </c>
      <c r="LP102">
        <f>IF(ISERROR(INDEX(指数走势!$F$38:$ACK$38,1,LOOKUP(2,1/(指数走势!$F$38:$ACK$38&lt;&gt;""),COLUMN(指数走势!$F$38:$ACK$38))-COLUMN(指数走势!$F$38)+1-760+327)),NA(),IF(INDEX(指数走势!$F$38:$ACK$38,1,LOOKUP(2,1/(指数走势!$F$38:$ACK$38&lt;&gt;""),COLUMN(指数走势!$F$38:$ACK$38))-COLUMN(指数走势!$F$38)+1-760+327)=0,NA(),INDEX(指数走势!$F$38:$ACK$38,1,LOOKUP(2,1/(指数走势!$F$38:$ACK$38&lt;&gt;""),COLUMN(指数走势!$F$38:$ACK$38))-COLUMN(指数走势!$F$38)+1-760+327)))</f>
        <v>20.7590999603271</v>
      </c>
      <c r="LQ102">
        <f>IF(ISERROR(INDEX(指数走势!$F$38:$ACK$38,1,LOOKUP(2,1/(指数走势!$F$38:$ACK$38&lt;&gt;""),COLUMN(指数走势!$F$38:$ACK$38))-COLUMN(指数走势!$F$38)+1-760+328)),NA(),IF(INDEX(指数走势!$F$38:$ACK$38,1,LOOKUP(2,1/(指数走势!$F$38:$ACK$38&lt;&gt;""),COLUMN(指数走势!$F$38:$ACK$38))-COLUMN(指数走势!$F$38)+1-760+328)=0,NA(),INDEX(指数走势!$F$38:$ACK$38,1,LOOKUP(2,1/(指数走势!$F$38:$ACK$38&lt;&gt;""),COLUMN(指数走势!$F$38:$ACK$38))-COLUMN(指数走势!$F$38)+1-760+328)))</f>
        <v>21.0212001800537</v>
      </c>
      <c r="LR102">
        <f>IF(ISERROR(INDEX(指数走势!$F$38:$ACK$38,1,LOOKUP(2,1/(指数走势!$F$38:$ACK$38&lt;&gt;""),COLUMN(指数走势!$F$38:$ACK$38))-COLUMN(指数走势!$F$38)+1-760+329)),NA(),IF(INDEX(指数走势!$F$38:$ACK$38,1,LOOKUP(2,1/(指数走势!$F$38:$ACK$38&lt;&gt;""),COLUMN(指数走势!$F$38:$ACK$38))-COLUMN(指数走势!$F$38)+1-760+329)=0,NA(),INDEX(指数走势!$F$38:$ACK$38,1,LOOKUP(2,1/(指数走势!$F$38:$ACK$38&lt;&gt;""),COLUMN(指数走势!$F$38:$ACK$38))-COLUMN(指数走势!$F$38)+1-760+329)))</f>
        <v>21.6347999572754</v>
      </c>
      <c r="LS102">
        <f>IF(ISERROR(INDEX(指数走势!$F$38:$ACK$38,1,LOOKUP(2,1/(指数走势!$F$38:$ACK$38&lt;&gt;""),COLUMN(指数走势!$F$38:$ACK$38))-COLUMN(指数走势!$F$38)+1-760+330)),NA(),IF(INDEX(指数走势!$F$38:$ACK$38,1,LOOKUP(2,1/(指数走势!$F$38:$ACK$38&lt;&gt;""),COLUMN(指数走势!$F$38:$ACK$38))-COLUMN(指数走势!$F$38)+1-760+330)=0,NA(),INDEX(指数走势!$F$38:$ACK$38,1,LOOKUP(2,1/(指数走势!$F$38:$ACK$38&lt;&gt;""),COLUMN(指数走势!$F$38:$ACK$38))-COLUMN(指数走势!$F$38)+1-760+330)))</f>
        <v>21.8342990875244</v>
      </c>
      <c r="LT102">
        <f>IF(ISERROR(INDEX(指数走势!$F$38:$ACK$38,1,LOOKUP(2,1/(指数走势!$F$38:$ACK$38&lt;&gt;""),COLUMN(指数走势!$F$38:$ACK$38))-COLUMN(指数走势!$F$38)+1-760+331)),NA(),IF(INDEX(指数走势!$F$38:$ACK$38,1,LOOKUP(2,1/(指数走势!$F$38:$ACK$38&lt;&gt;""),COLUMN(指数走势!$F$38:$ACK$38))-COLUMN(指数走势!$F$38)+1-760+331)=0,NA(),INDEX(指数走势!$F$38:$ACK$38,1,LOOKUP(2,1/(指数走势!$F$38:$ACK$38&lt;&gt;""),COLUMN(指数走势!$F$38:$ACK$38))-COLUMN(指数走势!$F$38)+1-760+331)))</f>
        <v>21.774299621582</v>
      </c>
      <c r="LU102">
        <f>IF(ISERROR(INDEX(指数走势!$F$38:$ACK$38,1,LOOKUP(2,1/(指数走势!$F$38:$ACK$38&lt;&gt;""),COLUMN(指数走势!$F$38:$ACK$38))-COLUMN(指数走势!$F$38)+1-760+332)),NA(),IF(INDEX(指数走势!$F$38:$ACK$38,1,LOOKUP(2,1/(指数走势!$F$38:$ACK$38&lt;&gt;""),COLUMN(指数走势!$F$38:$ACK$38))-COLUMN(指数走势!$F$38)+1-760+332)=0,NA(),INDEX(指数走势!$F$38:$ACK$38,1,LOOKUP(2,1/(指数走势!$F$38:$ACK$38&lt;&gt;""),COLUMN(指数走势!$F$38:$ACK$38))-COLUMN(指数走势!$F$38)+1-760+332)))</f>
        <v>22.8796997070313</v>
      </c>
      <c r="LV102">
        <f>IF(ISERROR(INDEX(指数走势!$F$38:$ACK$38,1,LOOKUP(2,1/(指数走势!$F$38:$ACK$38&lt;&gt;""),COLUMN(指数走势!$F$38:$ACK$38))-COLUMN(指数走势!$F$38)+1-760+333)),NA(),IF(INDEX(指数走势!$F$38:$ACK$38,1,LOOKUP(2,1/(指数走势!$F$38:$ACK$38&lt;&gt;""),COLUMN(指数走势!$F$38:$ACK$38))-COLUMN(指数走势!$F$38)+1-760+333)=0,NA(),INDEX(指数走势!$F$38:$ACK$38,1,LOOKUP(2,1/(指数走势!$F$38:$ACK$38&lt;&gt;""),COLUMN(指数走势!$F$38:$ACK$38))-COLUMN(指数走势!$F$38)+1-760+333)))</f>
        <v>22.9477996826172</v>
      </c>
      <c r="LW102">
        <f>IF(ISERROR(INDEX(指数走势!$F$38:$ACK$38,1,LOOKUP(2,1/(指数走势!$F$38:$ACK$38&lt;&gt;""),COLUMN(指数走势!$F$38:$ACK$38))-COLUMN(指数走势!$F$38)+1-760+334)),NA(),IF(INDEX(指数走势!$F$38:$ACK$38,1,LOOKUP(2,1/(指数走势!$F$38:$ACK$38&lt;&gt;""),COLUMN(指数走势!$F$38:$ACK$38))-COLUMN(指数走势!$F$38)+1-760+334)=0,NA(),INDEX(指数走势!$F$38:$ACK$38,1,LOOKUP(2,1/(指数走势!$F$38:$ACK$38&lt;&gt;""),COLUMN(指数走势!$F$38:$ACK$38))-COLUMN(指数走势!$F$38)+1-760+334)))</f>
        <v>24.484899520874</v>
      </c>
      <c r="LX102">
        <f>IF(ISERROR(INDEX(指数走势!$F$38:$ACK$38,1,LOOKUP(2,1/(指数走势!$F$38:$ACK$38&lt;&gt;""),COLUMN(指数走势!$F$38:$ACK$38))-COLUMN(指数走势!$F$38)+1-760+335)),NA(),IF(INDEX(指数走势!$F$38:$ACK$38,1,LOOKUP(2,1/(指数走势!$F$38:$ACK$38&lt;&gt;""),COLUMN(指数走势!$F$38:$ACK$38))-COLUMN(指数走势!$F$38)+1-760+335)=0,NA(),INDEX(指数走势!$F$38:$ACK$38,1,LOOKUP(2,1/(指数走势!$F$38:$ACK$38&lt;&gt;""),COLUMN(指数走势!$F$38:$ACK$38))-COLUMN(指数走势!$F$38)+1-760+335)))</f>
        <v>25.5328998565674</v>
      </c>
      <c r="LY102">
        <f>IF(ISERROR(INDEX(指数走势!$F$38:$ACK$38,1,LOOKUP(2,1/(指数走势!$F$38:$ACK$38&lt;&gt;""),COLUMN(指数走势!$F$38:$ACK$38))-COLUMN(指数走势!$F$38)+1-760+336)),NA(),IF(INDEX(指数走势!$F$38:$ACK$38,1,LOOKUP(2,1/(指数走势!$F$38:$ACK$38&lt;&gt;""),COLUMN(指数走势!$F$38:$ACK$38))-COLUMN(指数走势!$F$38)+1-760+336)=0,NA(),INDEX(指数走势!$F$38:$ACK$38,1,LOOKUP(2,1/(指数走势!$F$38:$ACK$38&lt;&gt;""),COLUMN(指数走势!$F$38:$ACK$38))-COLUMN(指数走势!$F$38)+1-760+336)))</f>
        <v>26.7227993011475</v>
      </c>
      <c r="LZ102">
        <f>IF(ISERROR(INDEX(指数走势!$F$38:$ACK$38,1,LOOKUP(2,1/(指数走势!$F$38:$ACK$38&lt;&gt;""),COLUMN(指数走势!$F$38:$ACK$38))-COLUMN(指数走势!$F$38)+1-760+337)),NA(),IF(INDEX(指数走势!$F$38:$ACK$38,1,LOOKUP(2,1/(指数走势!$F$38:$ACK$38&lt;&gt;""),COLUMN(指数走势!$F$38:$ACK$38))-COLUMN(指数走势!$F$38)+1-760+337)=0,NA(),INDEX(指数走势!$F$38:$ACK$38,1,LOOKUP(2,1/(指数走势!$F$38:$ACK$38&lt;&gt;""),COLUMN(指数走势!$F$38:$ACK$38))-COLUMN(指数走势!$F$38)+1-760+337)))</f>
        <v>26.2453994750977</v>
      </c>
      <c r="MA102">
        <f>IF(ISERROR(INDEX(指数走势!$F$38:$ACK$38,1,LOOKUP(2,1/(指数走势!$F$38:$ACK$38&lt;&gt;""),COLUMN(指数走势!$F$38:$ACK$38))-COLUMN(指数走势!$F$38)+1-760+338)),NA(),IF(INDEX(指数走势!$F$38:$ACK$38,1,LOOKUP(2,1/(指数走势!$F$38:$ACK$38&lt;&gt;""),COLUMN(指数走势!$F$38:$ACK$38))-COLUMN(指数走势!$F$38)+1-760+338)=0,NA(),INDEX(指数走势!$F$38:$ACK$38,1,LOOKUP(2,1/(指数走势!$F$38:$ACK$38&lt;&gt;""),COLUMN(指数走势!$F$38:$ACK$38))-COLUMN(指数走势!$F$38)+1-760+338)))</f>
        <v>25.9671993255615</v>
      </c>
      <c r="MB102">
        <f>IF(ISERROR(INDEX(指数走势!$F$38:$ACK$38,1,LOOKUP(2,1/(指数走势!$F$38:$ACK$38&lt;&gt;""),COLUMN(指数走势!$F$38:$ACK$38))-COLUMN(指数走势!$F$38)+1-760+339)),NA(),IF(INDEX(指数走势!$F$38:$ACK$38,1,LOOKUP(2,1/(指数走势!$F$38:$ACK$38&lt;&gt;""),COLUMN(指数走势!$F$38:$ACK$38))-COLUMN(指数走势!$F$38)+1-760+339)=0,NA(),INDEX(指数走势!$F$38:$ACK$38,1,LOOKUP(2,1/(指数走势!$F$38:$ACK$38&lt;&gt;""),COLUMN(指数走势!$F$38:$ACK$38))-COLUMN(指数走势!$F$38)+1-760+339)))</f>
        <v>26.5102005004883</v>
      </c>
      <c r="MC102">
        <f>IF(ISERROR(INDEX(指数走势!$F$38:$ACK$38,1,LOOKUP(2,1/(指数走势!$F$38:$ACK$38&lt;&gt;""),COLUMN(指数走势!$F$38:$ACK$38))-COLUMN(指数走势!$F$38)+1-760+340)),NA(),IF(INDEX(指数走势!$F$38:$ACK$38,1,LOOKUP(2,1/(指数走势!$F$38:$ACK$38&lt;&gt;""),COLUMN(指数走势!$F$38:$ACK$38))-COLUMN(指数走势!$F$38)+1-760+340)=0,NA(),INDEX(指数走势!$F$38:$ACK$38,1,LOOKUP(2,1/(指数走势!$F$38:$ACK$38&lt;&gt;""),COLUMN(指数走势!$F$38:$ACK$38))-COLUMN(指数走势!$F$38)+1-760+340)))</f>
        <v>26.5102005004883</v>
      </c>
      <c r="MD102">
        <f>IF(ISERROR(INDEX(指数走势!$F$38:$ACK$38,1,LOOKUP(2,1/(指数走势!$F$38:$ACK$38&lt;&gt;""),COLUMN(指数走势!$F$38:$ACK$38))-COLUMN(指数走势!$F$38)+1-760+341)),NA(),IF(INDEX(指数走势!$F$38:$ACK$38,1,LOOKUP(2,1/(指数走势!$F$38:$ACK$38&lt;&gt;""),COLUMN(指数走势!$F$38:$ACK$38))-COLUMN(指数走势!$F$38)+1-760+341)=0,NA(),INDEX(指数走势!$F$38:$ACK$38,1,LOOKUP(2,1/(指数走势!$F$38:$ACK$38&lt;&gt;""),COLUMN(指数走势!$F$38:$ACK$38))-COLUMN(指数走势!$F$38)+1-760+341)))</f>
        <v>26.1753005981445</v>
      </c>
      <c r="ME102">
        <f>IF(ISERROR(INDEX(指数走势!$F$38:$ACK$38,1,LOOKUP(2,1/(指数走势!$F$38:$ACK$38&lt;&gt;""),COLUMN(指数走势!$F$38:$ACK$38))-COLUMN(指数走势!$F$38)+1-760+342)),NA(),IF(INDEX(指数走势!$F$38:$ACK$38,1,LOOKUP(2,1/(指数走势!$F$38:$ACK$38&lt;&gt;""),COLUMN(指数走势!$F$38:$ACK$38))-COLUMN(指数走势!$F$38)+1-760+342)=0,NA(),INDEX(指数走势!$F$38:$ACK$38,1,LOOKUP(2,1/(指数走势!$F$38:$ACK$38&lt;&gt;""),COLUMN(指数走势!$F$38:$ACK$38))-COLUMN(指数走势!$F$38)+1-760+342)))</f>
        <v>24.9381008148193</v>
      </c>
      <c r="MF102">
        <f>IF(ISERROR(INDEX(指数走势!$F$38:$ACK$38,1,LOOKUP(2,1/(指数走势!$F$38:$ACK$38&lt;&gt;""),COLUMN(指数走势!$F$38:$ACK$38))-COLUMN(指数走势!$F$38)+1-760+343)),NA(),IF(INDEX(指数走势!$F$38:$ACK$38,1,LOOKUP(2,1/(指数走势!$F$38:$ACK$38&lt;&gt;""),COLUMN(指数走势!$F$38:$ACK$38))-COLUMN(指数走势!$F$38)+1-760+343)=0,NA(),INDEX(指数走势!$F$38:$ACK$38,1,LOOKUP(2,1/(指数走势!$F$38:$ACK$38&lt;&gt;""),COLUMN(指数走势!$F$38:$ACK$38))-COLUMN(指数走势!$F$38)+1-760+343)))</f>
        <v>24.7812995910645</v>
      </c>
      <c r="MG102">
        <f>IF(ISERROR(INDEX(指数走势!$F$38:$ACK$38,1,LOOKUP(2,1/(指数走势!$F$38:$ACK$38&lt;&gt;""),COLUMN(指数走势!$F$38:$ACK$38))-COLUMN(指数走势!$F$38)+1-760+344)),NA(),IF(INDEX(指数走势!$F$38:$ACK$38,1,LOOKUP(2,1/(指数走势!$F$38:$ACK$38&lt;&gt;""),COLUMN(指数走势!$F$38:$ACK$38))-COLUMN(指数走势!$F$38)+1-760+344)=0,NA(),INDEX(指数走势!$F$38:$ACK$38,1,LOOKUP(2,1/(指数走势!$F$38:$ACK$38&lt;&gt;""),COLUMN(指数走势!$F$38:$ACK$38))-COLUMN(指数走势!$F$38)+1-760+344)))</f>
        <v>24.5487003326416</v>
      </c>
      <c r="MH102">
        <f>IF(ISERROR(INDEX(指数走势!$F$38:$ACK$38,1,LOOKUP(2,1/(指数走势!$F$38:$ACK$38&lt;&gt;""),COLUMN(指数走势!$F$38:$ACK$38))-COLUMN(指数走势!$F$38)+1-760+345)),NA(),IF(INDEX(指数走势!$F$38:$ACK$38,1,LOOKUP(2,1/(指数走势!$F$38:$ACK$38&lt;&gt;""),COLUMN(指数走势!$F$38:$ACK$38))-COLUMN(指数走势!$F$38)+1-760+345)=0,NA(),INDEX(指数走势!$F$38:$ACK$38,1,LOOKUP(2,1/(指数走势!$F$38:$ACK$38&lt;&gt;""),COLUMN(指数走势!$F$38:$ACK$38))-COLUMN(指数走势!$F$38)+1-760+345)))</f>
        <v>25.7458000183105</v>
      </c>
      <c r="MI102">
        <f>IF(ISERROR(INDEX(指数走势!$F$38:$ACK$38,1,LOOKUP(2,1/(指数走势!$F$38:$ACK$38&lt;&gt;""),COLUMN(指数走势!$F$38:$ACK$38))-COLUMN(指数走势!$F$38)+1-760+346)),NA(),IF(INDEX(指数走势!$F$38:$ACK$38,1,LOOKUP(2,1/(指数走势!$F$38:$ACK$38&lt;&gt;""),COLUMN(指数走势!$F$38:$ACK$38))-COLUMN(指数走势!$F$38)+1-760+346)=0,NA(),INDEX(指数走势!$F$38:$ACK$38,1,LOOKUP(2,1/(指数走势!$F$38:$ACK$38&lt;&gt;""),COLUMN(指数走势!$F$38:$ACK$38))-COLUMN(指数走势!$F$38)+1-760+346)))</f>
        <v>25.1278991699219</v>
      </c>
      <c r="MJ102">
        <f>IF(ISERROR(INDEX(指数走势!$F$38:$ACK$38,1,LOOKUP(2,1/(指数走势!$F$38:$ACK$38&lt;&gt;""),COLUMN(指数走势!$F$38:$ACK$38))-COLUMN(指数走势!$F$38)+1-760+347)),NA(),IF(INDEX(指数走势!$F$38:$ACK$38,1,LOOKUP(2,1/(指数走势!$F$38:$ACK$38&lt;&gt;""),COLUMN(指数走势!$F$38:$ACK$38))-COLUMN(指数走势!$F$38)+1-760+347)=0,NA(),INDEX(指数走势!$F$38:$ACK$38,1,LOOKUP(2,1/(指数走势!$F$38:$ACK$38&lt;&gt;""),COLUMN(指数走势!$F$38:$ACK$38))-COLUMN(指数走势!$F$38)+1-760+347)))</f>
        <v>25.2096004486084</v>
      </c>
      <c r="MK102">
        <f>IF(ISERROR(INDEX(指数走势!$F$38:$ACK$38,1,LOOKUP(2,1/(指数走势!$F$38:$ACK$38&lt;&gt;""),COLUMN(指数走势!$F$38:$ACK$38))-COLUMN(指数走势!$F$38)+1-760+348)),NA(),IF(INDEX(指数走势!$F$38:$ACK$38,1,LOOKUP(2,1/(指数走势!$F$38:$ACK$38&lt;&gt;""),COLUMN(指数走势!$F$38:$ACK$38))-COLUMN(指数走势!$F$38)+1-760+348)=0,NA(),INDEX(指数走势!$F$38:$ACK$38,1,LOOKUP(2,1/(指数走势!$F$38:$ACK$38&lt;&gt;""),COLUMN(指数走势!$F$38:$ACK$38))-COLUMN(指数走势!$F$38)+1-760+348)))</f>
        <v>25.6410999298096</v>
      </c>
      <c r="ML102">
        <f>IF(ISERROR(INDEX(指数走势!$F$38:$ACK$38,1,LOOKUP(2,1/(指数走势!$F$38:$ACK$38&lt;&gt;""),COLUMN(指数走势!$F$38:$ACK$38))-COLUMN(指数走势!$F$38)+1-760+349)),NA(),IF(INDEX(指数走势!$F$38:$ACK$38,1,LOOKUP(2,1/(指数走势!$F$38:$ACK$38&lt;&gt;""),COLUMN(指数走势!$F$38:$ACK$38))-COLUMN(指数走势!$F$38)+1-760+349)=0,NA(),INDEX(指数走势!$F$38:$ACK$38,1,LOOKUP(2,1/(指数走势!$F$38:$ACK$38&lt;&gt;""),COLUMN(指数走势!$F$38:$ACK$38))-COLUMN(指数走势!$F$38)+1-760+349)))</f>
        <v>25.0484008789063</v>
      </c>
      <c r="MM102">
        <f>IF(ISERROR(INDEX(指数走势!$F$38:$ACK$38,1,LOOKUP(2,1/(指数走势!$F$38:$ACK$38&lt;&gt;""),COLUMN(指数走势!$F$38:$ACK$38))-COLUMN(指数走势!$F$38)+1-760+350)),NA(),IF(INDEX(指数走势!$F$38:$ACK$38,1,LOOKUP(2,1/(指数走势!$F$38:$ACK$38&lt;&gt;""),COLUMN(指数走势!$F$38:$ACK$38))-COLUMN(指数走势!$F$38)+1-760+350)=0,NA(),INDEX(指数走势!$F$38:$ACK$38,1,LOOKUP(2,1/(指数走势!$F$38:$ACK$38&lt;&gt;""),COLUMN(指数走势!$F$38:$ACK$38))-COLUMN(指数走势!$F$38)+1-760+350)))</f>
        <v>25.1914005279541</v>
      </c>
      <c r="MN102">
        <f>IF(ISERROR(INDEX(指数走势!$F$38:$ACK$38,1,LOOKUP(2,1/(指数走势!$F$38:$ACK$38&lt;&gt;""),COLUMN(指数走势!$F$38:$ACK$38))-COLUMN(指数走势!$F$38)+1-760+351)),NA(),IF(INDEX(指数走势!$F$38:$ACK$38,1,LOOKUP(2,1/(指数走势!$F$38:$ACK$38&lt;&gt;""),COLUMN(指数走势!$F$38:$ACK$38))-COLUMN(指数走势!$F$38)+1-760+351)=0,NA(),INDEX(指数走势!$F$38:$ACK$38,1,LOOKUP(2,1/(指数走势!$F$38:$ACK$38&lt;&gt;""),COLUMN(指数走势!$F$38:$ACK$38))-COLUMN(指数走势!$F$38)+1-760+351)))</f>
        <v>25.2273006439209</v>
      </c>
      <c r="MO102">
        <f>IF(ISERROR(INDEX(指数走势!$F$38:$ACK$38,1,LOOKUP(2,1/(指数走势!$F$38:$ACK$38&lt;&gt;""),COLUMN(指数走势!$F$38:$ACK$38))-COLUMN(指数走势!$F$38)+1-760+352)),NA(),IF(INDEX(指数走势!$F$38:$ACK$38,1,LOOKUP(2,1/(指数走势!$F$38:$ACK$38&lt;&gt;""),COLUMN(指数走势!$F$38:$ACK$38))-COLUMN(指数走势!$F$38)+1-760+352)=0,NA(),INDEX(指数走势!$F$38:$ACK$38,1,LOOKUP(2,1/(指数走势!$F$38:$ACK$38&lt;&gt;""),COLUMN(指数走势!$F$38:$ACK$38))-COLUMN(指数走势!$F$38)+1-760+352)))</f>
        <v>25.4402008056641</v>
      </c>
      <c r="MP102">
        <f>IF(ISERROR(INDEX(指数走势!$F$38:$ACK$38,1,LOOKUP(2,1/(指数走势!$F$38:$ACK$38&lt;&gt;""),COLUMN(指数走势!$F$38:$ACK$38))-COLUMN(指数走势!$F$38)+1-760+353)),NA(),IF(INDEX(指数走势!$F$38:$ACK$38,1,LOOKUP(2,1/(指数走势!$F$38:$ACK$38&lt;&gt;""),COLUMN(指数走势!$F$38:$ACK$38))-COLUMN(指数走势!$F$38)+1-760+353)=0,NA(),INDEX(指数走势!$F$38:$ACK$38,1,LOOKUP(2,1/(指数走势!$F$38:$ACK$38&lt;&gt;""),COLUMN(指数走势!$F$38:$ACK$38))-COLUMN(指数走势!$F$38)+1-760+353)))</f>
        <v>24.9270992279053</v>
      </c>
      <c r="MQ102">
        <f>IF(ISERROR(INDEX(指数走势!$F$38:$ACK$38,1,LOOKUP(2,1/(指数走势!$F$38:$ACK$38&lt;&gt;""),COLUMN(指数走势!$F$38:$ACK$38))-COLUMN(指数走势!$F$38)+1-760+354)),NA(),IF(INDEX(指数走势!$F$38:$ACK$38,1,LOOKUP(2,1/(指数走势!$F$38:$ACK$38&lt;&gt;""),COLUMN(指数走势!$F$38:$ACK$38))-COLUMN(指数走势!$F$38)+1-760+354)=0,NA(),INDEX(指数走势!$F$38:$ACK$38,1,LOOKUP(2,1/(指数走势!$F$38:$ACK$38&lt;&gt;""),COLUMN(指数走势!$F$38:$ACK$38))-COLUMN(指数走势!$F$38)+1-760+354)))</f>
        <v>24.6965007781982</v>
      </c>
      <c r="MR102">
        <f>IF(ISERROR(INDEX(指数走势!$F$38:$ACK$38,1,LOOKUP(2,1/(指数走势!$F$38:$ACK$38&lt;&gt;""),COLUMN(指数走势!$F$38:$ACK$38))-COLUMN(指数走势!$F$38)+1-760+355)),NA(),IF(INDEX(指数走势!$F$38:$ACK$38,1,LOOKUP(2,1/(指数走势!$F$38:$ACK$38&lt;&gt;""),COLUMN(指数走势!$F$38:$ACK$38))-COLUMN(指数走势!$F$38)+1-760+355)=0,NA(),INDEX(指数走势!$F$38:$ACK$38,1,LOOKUP(2,1/(指数走势!$F$38:$ACK$38&lt;&gt;""),COLUMN(指数走势!$F$38:$ACK$38))-COLUMN(指数走势!$F$38)+1-760+355)))</f>
        <v>25.0438003540039</v>
      </c>
      <c r="MS102">
        <f>IF(ISERROR(INDEX(指数走势!$F$38:$ACK$38,1,LOOKUP(2,1/(指数走势!$F$38:$ACK$38&lt;&gt;""),COLUMN(指数走势!$F$38:$ACK$38))-COLUMN(指数走势!$F$38)+1-760+356)),NA(),IF(INDEX(指数走势!$F$38:$ACK$38,1,LOOKUP(2,1/(指数走势!$F$38:$ACK$38&lt;&gt;""),COLUMN(指数走势!$F$38:$ACK$38))-COLUMN(指数走势!$F$38)+1-760+356)=0,NA(),INDEX(指数走势!$F$38:$ACK$38,1,LOOKUP(2,1/(指数走势!$F$38:$ACK$38&lt;&gt;""),COLUMN(指数走势!$F$38:$ACK$38))-COLUMN(指数走势!$F$38)+1-760+356)))</f>
        <v>25.1833992004395</v>
      </c>
      <c r="MT102">
        <f>IF(ISERROR(INDEX(指数走势!$F$38:$ACK$38,1,LOOKUP(2,1/(指数走势!$F$38:$ACK$38&lt;&gt;""),COLUMN(指数走势!$F$38:$ACK$38))-COLUMN(指数走势!$F$38)+1-760+357)),NA(),IF(INDEX(指数走势!$F$38:$ACK$38,1,LOOKUP(2,1/(指数走势!$F$38:$ACK$38&lt;&gt;""),COLUMN(指数走势!$F$38:$ACK$38))-COLUMN(指数走势!$F$38)+1-760+357)=0,NA(),INDEX(指数走势!$F$38:$ACK$38,1,LOOKUP(2,1/(指数走势!$F$38:$ACK$38&lt;&gt;""),COLUMN(指数走势!$F$38:$ACK$38))-COLUMN(指数走势!$F$38)+1-760+357)))</f>
        <v>25.8502998352051</v>
      </c>
      <c r="MU102">
        <f>IF(ISERROR(INDEX(指数走势!$F$38:$ACK$38,1,LOOKUP(2,1/(指数走势!$F$38:$ACK$38&lt;&gt;""),COLUMN(指数走势!$F$38:$ACK$38))-COLUMN(指数走势!$F$38)+1-760+358)),NA(),IF(INDEX(指数走势!$F$38:$ACK$38,1,LOOKUP(2,1/(指数走势!$F$38:$ACK$38&lt;&gt;""),COLUMN(指数走势!$F$38:$ACK$38))-COLUMN(指数走势!$F$38)+1-760+358)=0,NA(),INDEX(指数走势!$F$38:$ACK$38,1,LOOKUP(2,1/(指数走势!$F$38:$ACK$38&lt;&gt;""),COLUMN(指数走势!$F$38:$ACK$38))-COLUMN(指数走势!$F$38)+1-760+358)))</f>
        <v>25.2045993804932</v>
      </c>
      <c r="MV102">
        <f>IF(ISERROR(INDEX(指数走势!$F$38:$ACK$38,1,LOOKUP(2,1/(指数走势!$F$38:$ACK$38&lt;&gt;""),COLUMN(指数走势!$F$38:$ACK$38))-COLUMN(指数走势!$F$38)+1-760+359)),NA(),IF(INDEX(指数走势!$F$38:$ACK$38,1,LOOKUP(2,1/(指数走势!$F$38:$ACK$38&lt;&gt;""),COLUMN(指数走势!$F$38:$ACK$38))-COLUMN(指数走势!$F$38)+1-760+359)=0,NA(),INDEX(指数走势!$F$38:$ACK$38,1,LOOKUP(2,1/(指数走势!$F$38:$ACK$38&lt;&gt;""),COLUMN(指数走势!$F$38:$ACK$38))-COLUMN(指数走势!$F$38)+1-760+359)))</f>
        <v>25.7101993560791</v>
      </c>
      <c r="MW102">
        <f>IF(ISERROR(INDEX(指数走势!$F$38:$ACK$38,1,LOOKUP(2,1/(指数走势!$F$38:$ACK$38&lt;&gt;""),COLUMN(指数走势!$F$38:$ACK$38))-COLUMN(指数走势!$F$38)+1-760+360)),NA(),IF(INDEX(指数走势!$F$38:$ACK$38,1,LOOKUP(2,1/(指数走势!$F$38:$ACK$38&lt;&gt;""),COLUMN(指数走势!$F$38:$ACK$38))-COLUMN(指数走势!$F$38)+1-760+360)=0,NA(),INDEX(指数走势!$F$38:$ACK$38,1,LOOKUP(2,1/(指数走势!$F$38:$ACK$38&lt;&gt;""),COLUMN(指数走势!$F$38:$ACK$38))-COLUMN(指数走势!$F$38)+1-760+360)))</f>
        <v>25.3598003387451</v>
      </c>
      <c r="MX102">
        <f>IF(ISERROR(INDEX(指数走势!$F$38:$ACK$38,1,LOOKUP(2,1/(指数走势!$F$38:$ACK$38&lt;&gt;""),COLUMN(指数走势!$F$38:$ACK$38))-COLUMN(指数走势!$F$38)+1-760+361)),NA(),IF(INDEX(指数走势!$F$38:$ACK$38,1,LOOKUP(2,1/(指数走势!$F$38:$ACK$38&lt;&gt;""),COLUMN(指数走势!$F$38:$ACK$38))-COLUMN(指数走势!$F$38)+1-760+361)=0,NA(),INDEX(指数走势!$F$38:$ACK$38,1,LOOKUP(2,1/(指数走势!$F$38:$ACK$38&lt;&gt;""),COLUMN(指数走势!$F$38:$ACK$38))-COLUMN(指数走势!$F$38)+1-760+361)))</f>
        <v>25.127799987793</v>
      </c>
      <c r="MY102">
        <f>IF(ISERROR(INDEX(指数走势!$F$38:$ACK$38,1,LOOKUP(2,1/(指数走势!$F$38:$ACK$38&lt;&gt;""),COLUMN(指数走势!$F$38:$ACK$38))-COLUMN(指数走势!$F$38)+1-760+362)),NA(),IF(INDEX(指数走势!$F$38:$ACK$38,1,LOOKUP(2,1/(指数走势!$F$38:$ACK$38&lt;&gt;""),COLUMN(指数走势!$F$38:$ACK$38))-COLUMN(指数走势!$F$38)+1-760+362)=0,NA(),INDEX(指数走势!$F$38:$ACK$38,1,LOOKUP(2,1/(指数走势!$F$38:$ACK$38&lt;&gt;""),COLUMN(指数走势!$F$38:$ACK$38))-COLUMN(指数走势!$F$38)+1-760+362)))</f>
        <v>24.2756004333496</v>
      </c>
      <c r="MZ102">
        <f>IF(ISERROR(INDEX(指数走势!$F$38:$ACK$38,1,LOOKUP(2,1/(指数走势!$F$38:$ACK$38&lt;&gt;""),COLUMN(指数走势!$F$38:$ACK$38))-COLUMN(指数走势!$F$38)+1-760+363)),NA(),IF(INDEX(指数走势!$F$38:$ACK$38,1,LOOKUP(2,1/(指数走势!$F$38:$ACK$38&lt;&gt;""),COLUMN(指数走势!$F$38:$ACK$38))-COLUMN(指数走势!$F$38)+1-760+363)=0,NA(),INDEX(指数走势!$F$38:$ACK$38,1,LOOKUP(2,1/(指数走势!$F$38:$ACK$38&lt;&gt;""),COLUMN(指数走势!$F$38:$ACK$38))-COLUMN(指数走势!$F$38)+1-760+363)))</f>
        <v>23.1284008026123</v>
      </c>
      <c r="NA102">
        <f>IF(ISERROR(INDEX(指数走势!$F$38:$ACK$38,1,LOOKUP(2,1/(指数走势!$F$38:$ACK$38&lt;&gt;""),COLUMN(指数走势!$F$38:$ACK$38))-COLUMN(指数走势!$F$38)+1-760+364)),NA(),IF(INDEX(指数走势!$F$38:$ACK$38,1,LOOKUP(2,1/(指数走势!$F$38:$ACK$38&lt;&gt;""),COLUMN(指数走势!$F$38:$ACK$38))-COLUMN(指数走势!$F$38)+1-760+364)=0,NA(),INDEX(指数走势!$F$38:$ACK$38,1,LOOKUP(2,1/(指数走势!$F$38:$ACK$38&lt;&gt;""),COLUMN(指数走势!$F$38:$ACK$38))-COLUMN(指数走势!$F$38)+1-760+364)))</f>
        <v>22.4167995452881</v>
      </c>
      <c r="NB102">
        <f>IF(ISERROR(INDEX(指数走势!$F$38:$ACK$38,1,LOOKUP(2,1/(指数走势!$F$38:$ACK$38&lt;&gt;""),COLUMN(指数走势!$F$38:$ACK$38))-COLUMN(指数走势!$F$38)+1-760+365)),NA(),IF(INDEX(指数走势!$F$38:$ACK$38,1,LOOKUP(2,1/(指数走势!$F$38:$ACK$38&lt;&gt;""),COLUMN(指数走势!$F$38:$ACK$38))-COLUMN(指数走势!$F$38)+1-760+365)=0,NA(),INDEX(指数走势!$F$38:$ACK$38,1,LOOKUP(2,1/(指数走势!$F$38:$ACK$38&lt;&gt;""),COLUMN(指数走势!$F$38:$ACK$38))-COLUMN(指数走势!$F$38)+1-760+365)))</f>
        <v>21.50830078125</v>
      </c>
      <c r="NC102">
        <f>IF(ISERROR(INDEX(指数走势!$F$38:$ACK$38,1,LOOKUP(2,1/(指数走势!$F$38:$ACK$38&lt;&gt;""),COLUMN(指数走势!$F$38:$ACK$38))-COLUMN(指数走势!$F$38)+1-760+366)),NA(),IF(INDEX(指数走势!$F$38:$ACK$38,1,LOOKUP(2,1/(指数走势!$F$38:$ACK$38&lt;&gt;""),COLUMN(指数走势!$F$38:$ACK$38))-COLUMN(指数走势!$F$38)+1-760+366)=0,NA(),INDEX(指数走势!$F$38:$ACK$38,1,LOOKUP(2,1/(指数走势!$F$38:$ACK$38&lt;&gt;""),COLUMN(指数走势!$F$38:$ACK$38))-COLUMN(指数走势!$F$38)+1-760+366)))</f>
        <v>21.5634994506836</v>
      </c>
      <c r="ND102">
        <f>IF(ISERROR(INDEX(指数走势!$F$38:$ACK$38,1,LOOKUP(2,1/(指数走势!$F$38:$ACK$38&lt;&gt;""),COLUMN(指数走势!$F$38:$ACK$38))-COLUMN(指数走势!$F$38)+1-760+367)),NA(),IF(INDEX(指数走势!$F$38:$ACK$38,1,LOOKUP(2,1/(指数走势!$F$38:$ACK$38&lt;&gt;""),COLUMN(指数走势!$F$38:$ACK$38))-COLUMN(指数走势!$F$38)+1-760+367)=0,NA(),INDEX(指数走势!$F$38:$ACK$38,1,LOOKUP(2,1/(指数走势!$F$38:$ACK$38&lt;&gt;""),COLUMN(指数走势!$F$38:$ACK$38))-COLUMN(指数走势!$F$38)+1-760+367)))</f>
        <v>21.4288005828857</v>
      </c>
      <c r="NE102">
        <f>IF(ISERROR(INDEX(指数走势!$F$38:$ACK$38,1,LOOKUP(2,1/(指数走势!$F$38:$ACK$38&lt;&gt;""),COLUMN(指数走势!$F$38:$ACK$38))-COLUMN(指数走势!$F$38)+1-760+368)),NA(),IF(INDEX(指数走势!$F$38:$ACK$38,1,LOOKUP(2,1/(指数走势!$F$38:$ACK$38&lt;&gt;""),COLUMN(指数走势!$F$38:$ACK$38))-COLUMN(指数走势!$F$38)+1-760+368)=0,NA(),INDEX(指数走势!$F$38:$ACK$38,1,LOOKUP(2,1/(指数走势!$F$38:$ACK$38&lt;&gt;""),COLUMN(指数走势!$F$38:$ACK$38))-COLUMN(指数走势!$F$38)+1-760+368)))</f>
        <v>21.5081005096436</v>
      </c>
      <c r="NF102">
        <f>IF(ISERROR(INDEX(指数走势!$F$38:$ACK$38,1,LOOKUP(2,1/(指数走势!$F$38:$ACK$38&lt;&gt;""),COLUMN(指数走势!$F$38:$ACK$38))-COLUMN(指数走势!$F$38)+1-760+369)),NA(),IF(INDEX(指数走势!$F$38:$ACK$38,1,LOOKUP(2,1/(指数走势!$F$38:$ACK$38&lt;&gt;""),COLUMN(指数走势!$F$38:$ACK$38))-COLUMN(指数走势!$F$38)+1-760+369)=0,NA(),INDEX(指数走势!$F$38:$ACK$38,1,LOOKUP(2,1/(指数走势!$F$38:$ACK$38&lt;&gt;""),COLUMN(指数走势!$F$38:$ACK$38))-COLUMN(指数走势!$F$38)+1-760+369)))</f>
        <v>21.3047008514404</v>
      </c>
      <c r="NG102">
        <f>IF(ISERROR(INDEX(指数走势!$F$38:$ACK$38,1,LOOKUP(2,1/(指数走势!$F$38:$ACK$38&lt;&gt;""),COLUMN(指数走势!$F$38:$ACK$38))-COLUMN(指数走势!$F$38)+1-760+370)),NA(),IF(INDEX(指数走势!$F$38:$ACK$38,1,LOOKUP(2,1/(指数走势!$F$38:$ACK$38&lt;&gt;""),COLUMN(指数走势!$F$38:$ACK$38))-COLUMN(指数走势!$F$38)+1-760+370)=0,NA(),INDEX(指数走势!$F$38:$ACK$38,1,LOOKUP(2,1/(指数走势!$F$38:$ACK$38&lt;&gt;""),COLUMN(指数走势!$F$38:$ACK$38))-COLUMN(指数走势!$F$38)+1-760+370)))</f>
        <v>20.8066997528076</v>
      </c>
      <c r="NH102">
        <f>IF(ISERROR(INDEX(指数走势!$F$38:$ACK$38,1,LOOKUP(2,1/(指数走势!$F$38:$ACK$38&lt;&gt;""),COLUMN(指数走势!$F$38:$ACK$38))-COLUMN(指数走势!$F$38)+1-760+371)),NA(),IF(INDEX(指数走势!$F$38:$ACK$38,1,LOOKUP(2,1/(指数走势!$F$38:$ACK$38&lt;&gt;""),COLUMN(指数走势!$F$38:$ACK$38))-COLUMN(指数走势!$F$38)+1-760+371)=0,NA(),INDEX(指数走势!$F$38:$ACK$38,1,LOOKUP(2,1/(指数走势!$F$38:$ACK$38&lt;&gt;""),COLUMN(指数走势!$F$38:$ACK$38))-COLUMN(指数走势!$F$38)+1-760+371)))</f>
        <v>20.6667995452881</v>
      </c>
      <c r="NI102">
        <f>IF(ISERROR(INDEX(指数走势!$F$38:$ACK$38,1,LOOKUP(2,1/(指数走势!$F$38:$ACK$38&lt;&gt;""),COLUMN(指数走势!$F$38:$ACK$38))-COLUMN(指数走势!$F$38)+1-760+372)),NA(),IF(INDEX(指数走势!$F$38:$ACK$38,1,LOOKUP(2,1/(指数走势!$F$38:$ACK$38&lt;&gt;""),COLUMN(指数走势!$F$38:$ACK$38))-COLUMN(指数走势!$F$38)+1-760+372)=0,NA(),INDEX(指数走势!$F$38:$ACK$38,1,LOOKUP(2,1/(指数走势!$F$38:$ACK$38&lt;&gt;""),COLUMN(指数走势!$F$38:$ACK$38))-COLUMN(指数走势!$F$38)+1-760+372)))</f>
        <v>20.6580009460449</v>
      </c>
      <c r="NJ102">
        <f>IF(ISERROR(INDEX(指数走势!$F$38:$ACK$38,1,LOOKUP(2,1/(指数走势!$F$38:$ACK$38&lt;&gt;""),COLUMN(指数走势!$F$38:$ACK$38))-COLUMN(指数走势!$F$38)+1-760+373)),NA(),IF(INDEX(指数走势!$F$38:$ACK$38,1,LOOKUP(2,1/(指数走势!$F$38:$ACK$38&lt;&gt;""),COLUMN(指数走势!$F$38:$ACK$38))-COLUMN(指数走势!$F$38)+1-760+373)=0,NA(),INDEX(指数走势!$F$38:$ACK$38,1,LOOKUP(2,1/(指数走势!$F$38:$ACK$38&lt;&gt;""),COLUMN(指数走势!$F$38:$ACK$38))-COLUMN(指数走势!$F$38)+1-760+373)))</f>
        <v>21.2952003479004</v>
      </c>
      <c r="NK102">
        <f>IF(ISERROR(INDEX(指数走势!$F$38:$ACK$38,1,LOOKUP(2,1/(指数走势!$F$38:$ACK$38&lt;&gt;""),COLUMN(指数走势!$F$38:$ACK$38))-COLUMN(指数走势!$F$38)+1-760+374)),NA(),IF(INDEX(指数走势!$F$38:$ACK$38,1,LOOKUP(2,1/(指数走势!$F$38:$ACK$38&lt;&gt;""),COLUMN(指数走势!$F$38:$ACK$38))-COLUMN(指数走势!$F$38)+1-760+374)=0,NA(),INDEX(指数走势!$F$38:$ACK$38,1,LOOKUP(2,1/(指数走势!$F$38:$ACK$38&lt;&gt;""),COLUMN(指数走势!$F$38:$ACK$38))-COLUMN(指数走势!$F$38)+1-760+374)))</f>
        <v>21.0028991699219</v>
      </c>
      <c r="NL102">
        <f>IF(ISERROR(INDEX(指数走势!$F$38:$ACK$38,1,LOOKUP(2,1/(指数走势!$F$38:$ACK$38&lt;&gt;""),COLUMN(指数走势!$F$38:$ACK$38))-COLUMN(指数走势!$F$38)+1-760+375)),NA(),IF(INDEX(指数走势!$F$38:$ACK$38,1,LOOKUP(2,1/(指数走势!$F$38:$ACK$38&lt;&gt;""),COLUMN(指数走势!$F$38:$ACK$38))-COLUMN(指数走势!$F$38)+1-760+375)=0,NA(),INDEX(指数走势!$F$38:$ACK$38,1,LOOKUP(2,1/(指数走势!$F$38:$ACK$38&lt;&gt;""),COLUMN(指数走势!$F$38:$ACK$38))-COLUMN(指数走势!$F$38)+1-760+375)))</f>
        <v>20.5912990570068</v>
      </c>
      <c r="NM102">
        <f>IF(ISERROR(INDEX(指数走势!$F$38:$ACK$38,1,LOOKUP(2,1/(指数走势!$F$38:$ACK$38&lt;&gt;""),COLUMN(指数走势!$F$38:$ACK$38))-COLUMN(指数走势!$F$38)+1-760+376)),NA(),IF(INDEX(指数走势!$F$38:$ACK$38,1,LOOKUP(2,1/(指数走势!$F$38:$ACK$38&lt;&gt;""),COLUMN(指数走势!$F$38:$ACK$38))-COLUMN(指数走势!$F$38)+1-760+376)=0,NA(),INDEX(指数走势!$F$38:$ACK$38,1,LOOKUP(2,1/(指数走势!$F$38:$ACK$38&lt;&gt;""),COLUMN(指数走势!$F$38:$ACK$38))-COLUMN(指数走势!$F$38)+1-760+376)))</f>
        <v>20.7677001953125</v>
      </c>
      <c r="NN102">
        <f>IF(ISERROR(INDEX(指数走势!$F$38:$ACK$38,1,LOOKUP(2,1/(指数走势!$F$38:$ACK$38&lt;&gt;""),COLUMN(指数走势!$F$38:$ACK$38))-COLUMN(指数走势!$F$38)+1-760+377)),NA(),IF(INDEX(指数走势!$F$38:$ACK$38,1,LOOKUP(2,1/(指数走势!$F$38:$ACK$38&lt;&gt;""),COLUMN(指数走势!$F$38:$ACK$38))-COLUMN(指数走势!$F$38)+1-760+377)=0,NA(),INDEX(指数走势!$F$38:$ACK$38,1,LOOKUP(2,1/(指数走势!$F$38:$ACK$38&lt;&gt;""),COLUMN(指数走势!$F$38:$ACK$38))-COLUMN(指数走势!$F$38)+1-760+377)))</f>
        <v>20.8880996704102</v>
      </c>
      <c r="NO102">
        <f>IF(ISERROR(INDEX(指数走势!$F$38:$ACK$38,1,LOOKUP(2,1/(指数走势!$F$38:$ACK$38&lt;&gt;""),COLUMN(指数走势!$F$38:$ACK$38))-COLUMN(指数走势!$F$38)+1-760+378)),NA(),IF(INDEX(指数走势!$F$38:$ACK$38,1,LOOKUP(2,1/(指数走势!$F$38:$ACK$38&lt;&gt;""),COLUMN(指数走势!$F$38:$ACK$38))-COLUMN(指数走势!$F$38)+1-760+378)=0,NA(),INDEX(指数走势!$F$38:$ACK$38,1,LOOKUP(2,1/(指数走势!$F$38:$ACK$38&lt;&gt;""),COLUMN(指数走势!$F$38:$ACK$38))-COLUMN(指数走势!$F$38)+1-760+378)))</f>
        <v>20.8463001251221</v>
      </c>
      <c r="NP102">
        <f>IF(ISERROR(INDEX(指数走势!$F$38:$ACK$38,1,LOOKUP(2,1/(指数走势!$F$38:$ACK$38&lt;&gt;""),COLUMN(指数走势!$F$38:$ACK$38))-COLUMN(指数走势!$F$38)+1-760+379)),NA(),IF(INDEX(指数走势!$F$38:$ACK$38,1,LOOKUP(2,1/(指数走势!$F$38:$ACK$38&lt;&gt;""),COLUMN(指数走势!$F$38:$ACK$38))-COLUMN(指数走势!$F$38)+1-760+379)=0,NA(),INDEX(指数走势!$F$38:$ACK$38,1,LOOKUP(2,1/(指数走势!$F$38:$ACK$38&lt;&gt;""),COLUMN(指数走势!$F$38:$ACK$38))-COLUMN(指数走势!$F$38)+1-760+379)))</f>
        <v>20.7040996551514</v>
      </c>
      <c r="NQ102">
        <f>IF(ISERROR(INDEX(指数走势!$F$38:$ACK$38,1,LOOKUP(2,1/(指数走势!$F$38:$ACK$38&lt;&gt;""),COLUMN(指数走势!$F$38:$ACK$38))-COLUMN(指数走势!$F$38)+1-760+380)),NA(),IF(INDEX(指数走势!$F$38:$ACK$38,1,LOOKUP(2,1/(指数走势!$F$38:$ACK$38&lt;&gt;""),COLUMN(指数走势!$F$38:$ACK$38))-COLUMN(指数走势!$F$38)+1-760+380)=0,NA(),INDEX(指数走势!$F$38:$ACK$38,1,LOOKUP(2,1/(指数走势!$F$38:$ACK$38&lt;&gt;""),COLUMN(指数走势!$F$38:$ACK$38))-COLUMN(指数走势!$F$38)+1-760+380)))</f>
        <v>21.1233005523682</v>
      </c>
      <c r="NR102">
        <f>IF(ISERROR(INDEX(指数走势!$F$38:$ACK$38,1,LOOKUP(2,1/(指数走势!$F$38:$ACK$38&lt;&gt;""),COLUMN(指数走势!$F$38:$ACK$38))-COLUMN(指数走势!$F$38)+1-760+381)),NA(),IF(INDEX(指数走势!$F$38:$ACK$38,1,LOOKUP(2,1/(指数走势!$F$38:$ACK$38&lt;&gt;""),COLUMN(指数走势!$F$38:$ACK$38))-COLUMN(指数走势!$F$38)+1-760+381)=0,NA(),INDEX(指数走势!$F$38:$ACK$38,1,LOOKUP(2,1/(指数走势!$F$38:$ACK$38&lt;&gt;""),COLUMN(指数走势!$F$38:$ACK$38))-COLUMN(指数走势!$F$38)+1-760+381)))</f>
        <v>21.3314990997314</v>
      </c>
      <c r="NS102">
        <f>IF(ISERROR(INDEX(指数走势!$F$38:$ACK$38,1,LOOKUP(2,1/(指数走势!$F$38:$ACK$38&lt;&gt;""),COLUMN(指数走势!$F$38:$ACK$38))-COLUMN(指数走势!$F$38)+1-760+382)),NA(),IF(INDEX(指数走势!$F$38:$ACK$38,1,LOOKUP(2,1/(指数走势!$F$38:$ACK$38&lt;&gt;""),COLUMN(指数走势!$F$38:$ACK$38))-COLUMN(指数走势!$F$38)+1-760+382)=0,NA(),INDEX(指数走势!$F$38:$ACK$38,1,LOOKUP(2,1/(指数走势!$F$38:$ACK$38&lt;&gt;""),COLUMN(指数走势!$F$38:$ACK$38))-COLUMN(指数走势!$F$38)+1-760+382)))</f>
        <v>21.070499420166</v>
      </c>
      <c r="NT102">
        <f>IF(ISERROR(INDEX(指数走势!$F$38:$ACK$38,1,LOOKUP(2,1/(指数走势!$F$38:$ACK$38&lt;&gt;""),COLUMN(指数走势!$F$38:$ACK$38))-COLUMN(指数走势!$F$38)+1-760+383)),NA(),IF(INDEX(指数走势!$F$38:$ACK$38,1,LOOKUP(2,1/(指数走势!$F$38:$ACK$38&lt;&gt;""),COLUMN(指数走势!$F$38:$ACK$38))-COLUMN(指数走势!$F$38)+1-760+383)=0,NA(),INDEX(指数走势!$F$38:$ACK$38,1,LOOKUP(2,1/(指数走势!$F$38:$ACK$38&lt;&gt;""),COLUMN(指数走势!$F$38:$ACK$38))-COLUMN(指数走势!$F$38)+1-760+383)))</f>
        <v>20.892599105835</v>
      </c>
      <c r="NU102">
        <f>IF(ISERROR(INDEX(指数走势!$F$38:$ACK$38,1,LOOKUP(2,1/(指数走势!$F$38:$ACK$38&lt;&gt;""),COLUMN(指数走势!$F$38:$ACK$38))-COLUMN(指数走势!$F$38)+1-760+384)),NA(),IF(INDEX(指数走势!$F$38:$ACK$38,1,LOOKUP(2,1/(指数走势!$F$38:$ACK$38&lt;&gt;""),COLUMN(指数走势!$F$38:$ACK$38))-COLUMN(指数走势!$F$38)+1-760+384)=0,NA(),INDEX(指数走势!$F$38:$ACK$38,1,LOOKUP(2,1/(指数走势!$F$38:$ACK$38&lt;&gt;""),COLUMN(指数走势!$F$38:$ACK$38))-COLUMN(指数走势!$F$38)+1-760+384)))</f>
        <v>21.2143993377686</v>
      </c>
      <c r="NV102">
        <f>IF(ISERROR(INDEX(指数走势!$F$38:$ACK$38,1,LOOKUP(2,1/(指数走势!$F$38:$ACK$38&lt;&gt;""),COLUMN(指数走势!$F$38:$ACK$38))-COLUMN(指数走势!$F$38)+1-760+385)),NA(),IF(INDEX(指数走势!$F$38:$ACK$38,1,LOOKUP(2,1/(指数走势!$F$38:$ACK$38&lt;&gt;""),COLUMN(指数走势!$F$38:$ACK$38))-COLUMN(指数走势!$F$38)+1-760+385)=0,NA(),INDEX(指数走势!$F$38:$ACK$38,1,LOOKUP(2,1/(指数走势!$F$38:$ACK$38&lt;&gt;""),COLUMN(指数走势!$F$38:$ACK$38))-COLUMN(指数走势!$F$38)+1-760+385)))</f>
        <v>20.74169921875</v>
      </c>
      <c r="NW102">
        <f>IF(ISERROR(INDEX(指数走势!$F$38:$ACK$38,1,LOOKUP(2,1/(指数走势!$F$38:$ACK$38&lt;&gt;""),COLUMN(指数走势!$F$38:$ACK$38))-COLUMN(指数走势!$F$38)+1-760+386)),NA(),IF(INDEX(指数走势!$F$38:$ACK$38,1,LOOKUP(2,1/(指数走势!$F$38:$ACK$38&lt;&gt;""),COLUMN(指数走势!$F$38:$ACK$38))-COLUMN(指数走势!$F$38)+1-760+386)=0,NA(),INDEX(指数走势!$F$38:$ACK$38,1,LOOKUP(2,1/(指数走势!$F$38:$ACK$38&lt;&gt;""),COLUMN(指数走势!$F$38:$ACK$38))-COLUMN(指数走势!$F$38)+1-760+386)))</f>
        <v>20.4517002105713</v>
      </c>
      <c r="NX102">
        <f>IF(ISERROR(INDEX(指数走势!$F$38:$ACK$38,1,LOOKUP(2,1/(指数走势!$F$38:$ACK$38&lt;&gt;""),COLUMN(指数走势!$F$38:$ACK$38))-COLUMN(指数走势!$F$38)+1-760+387)),NA(),IF(INDEX(指数走势!$F$38:$ACK$38,1,LOOKUP(2,1/(指数走势!$F$38:$ACK$38&lt;&gt;""),COLUMN(指数走势!$F$38:$ACK$38))-COLUMN(指数走势!$F$38)+1-760+387)=0,NA(),INDEX(指数走势!$F$38:$ACK$38,1,LOOKUP(2,1/(指数走势!$F$38:$ACK$38&lt;&gt;""),COLUMN(指数走势!$F$38:$ACK$38))-COLUMN(指数走势!$F$38)+1-760+387)))</f>
        <v>20.3213005065918</v>
      </c>
      <c r="NY102">
        <f>IF(ISERROR(INDEX(指数走势!$F$38:$ACK$38,1,LOOKUP(2,1/(指数走势!$F$38:$ACK$38&lt;&gt;""),COLUMN(指数走势!$F$38:$ACK$38))-COLUMN(指数走势!$F$38)+1-760+388)),NA(),IF(INDEX(指数走势!$F$38:$ACK$38,1,LOOKUP(2,1/(指数走势!$F$38:$ACK$38&lt;&gt;""),COLUMN(指数走势!$F$38:$ACK$38))-COLUMN(指数走势!$F$38)+1-760+388)=0,NA(),INDEX(指数走势!$F$38:$ACK$38,1,LOOKUP(2,1/(指数走势!$F$38:$ACK$38&lt;&gt;""),COLUMN(指数走势!$F$38:$ACK$38))-COLUMN(指数走势!$F$38)+1-760+388)))</f>
        <v>20.5986003875732</v>
      </c>
      <c r="NZ102">
        <f>IF(ISERROR(INDEX(指数走势!$F$38:$ACK$38,1,LOOKUP(2,1/(指数走势!$F$38:$ACK$38&lt;&gt;""),COLUMN(指数走势!$F$38:$ACK$38))-COLUMN(指数走势!$F$38)+1-760+389)),NA(),IF(INDEX(指数走势!$F$38:$ACK$38,1,LOOKUP(2,1/(指数走势!$F$38:$ACK$38&lt;&gt;""),COLUMN(指数走势!$F$38:$ACK$38))-COLUMN(指数走势!$F$38)+1-760+389)=0,NA(),INDEX(指数走势!$F$38:$ACK$38,1,LOOKUP(2,1/(指数走势!$F$38:$ACK$38&lt;&gt;""),COLUMN(指数走势!$F$38:$ACK$38))-COLUMN(指数走势!$F$38)+1-760+389)))</f>
        <v>20.5977001190186</v>
      </c>
      <c r="OA102">
        <f>IF(ISERROR(INDEX(指数走势!$F$38:$ACK$38,1,LOOKUP(2,1/(指数走势!$F$38:$ACK$38&lt;&gt;""),COLUMN(指数走势!$F$38:$ACK$38))-COLUMN(指数走势!$F$38)+1-760+390)),NA(),IF(INDEX(指数走势!$F$38:$ACK$38,1,LOOKUP(2,1/(指数走势!$F$38:$ACK$38&lt;&gt;""),COLUMN(指数走势!$F$38:$ACK$38))-COLUMN(指数走势!$F$38)+1-760+390)=0,NA(),INDEX(指数走势!$F$38:$ACK$38,1,LOOKUP(2,1/(指数走势!$F$38:$ACK$38&lt;&gt;""),COLUMN(指数走势!$F$38:$ACK$38))-COLUMN(指数走势!$F$38)+1-760+390)))</f>
        <v>20.6972007751465</v>
      </c>
      <c r="OB102">
        <f>IF(ISERROR(INDEX(指数走势!$F$38:$ACK$38,1,LOOKUP(2,1/(指数走势!$F$38:$ACK$38&lt;&gt;""),COLUMN(指数走势!$F$38:$ACK$38))-COLUMN(指数走势!$F$38)+1-760+391)),NA(),IF(INDEX(指数走势!$F$38:$ACK$38,1,LOOKUP(2,1/(指数走势!$F$38:$ACK$38&lt;&gt;""),COLUMN(指数走势!$F$38:$ACK$38))-COLUMN(指数走势!$F$38)+1-760+391)=0,NA(),INDEX(指数走势!$F$38:$ACK$38,1,LOOKUP(2,1/(指数走势!$F$38:$ACK$38&lt;&gt;""),COLUMN(指数走势!$F$38:$ACK$38))-COLUMN(指数走势!$F$38)+1-760+391)))</f>
        <v>20.6676998138428</v>
      </c>
      <c r="OC102">
        <f>IF(ISERROR(INDEX(指数走势!$F$38:$ACK$38,1,LOOKUP(2,1/(指数走势!$F$38:$ACK$38&lt;&gt;""),COLUMN(指数走势!$F$38:$ACK$38))-COLUMN(指数走势!$F$38)+1-760+392)),NA(),IF(INDEX(指数走势!$F$38:$ACK$38,1,LOOKUP(2,1/(指数走势!$F$38:$ACK$38&lt;&gt;""),COLUMN(指数走势!$F$38:$ACK$38))-COLUMN(指数走势!$F$38)+1-760+392)=0,NA(),INDEX(指数走势!$F$38:$ACK$38,1,LOOKUP(2,1/(指数走势!$F$38:$ACK$38&lt;&gt;""),COLUMN(指数走势!$F$38:$ACK$38))-COLUMN(指数走势!$F$38)+1-760+392)))</f>
        <v>20.8546009063721</v>
      </c>
      <c r="OD102">
        <f>IF(ISERROR(INDEX(指数走势!$F$38:$ACK$38,1,LOOKUP(2,1/(指数走势!$F$38:$ACK$38&lt;&gt;""),COLUMN(指数走势!$F$38:$ACK$38))-COLUMN(指数走势!$F$38)+1-760+393)),NA(),IF(INDEX(指数走势!$F$38:$ACK$38,1,LOOKUP(2,1/(指数走势!$F$38:$ACK$38&lt;&gt;""),COLUMN(指数走势!$F$38:$ACK$38))-COLUMN(指数走势!$F$38)+1-760+393)=0,NA(),INDEX(指数走势!$F$38:$ACK$38,1,LOOKUP(2,1/(指数走势!$F$38:$ACK$38&lt;&gt;""),COLUMN(指数走势!$F$38:$ACK$38))-COLUMN(指数走势!$F$38)+1-760+393)))</f>
        <v>20.8546009063721</v>
      </c>
      <c r="OE102">
        <f>IF(ISERROR(INDEX(指数走势!$F$38:$ACK$38,1,LOOKUP(2,1/(指数走势!$F$38:$ACK$38&lt;&gt;""),COLUMN(指数走势!$F$38:$ACK$38))-COLUMN(指数走势!$F$38)+1-760+394)),NA(),IF(INDEX(指数走势!$F$38:$ACK$38,1,LOOKUP(2,1/(指数走势!$F$38:$ACK$38&lt;&gt;""),COLUMN(指数走势!$F$38:$ACK$38))-COLUMN(指数走势!$F$38)+1-760+394)=0,NA(),INDEX(指数走势!$F$38:$ACK$38,1,LOOKUP(2,1/(指数走势!$F$38:$ACK$38&lt;&gt;""),COLUMN(指数走势!$F$38:$ACK$38))-COLUMN(指数走势!$F$38)+1-760+394)))</f>
        <v>20.8546009063721</v>
      </c>
      <c r="OF102">
        <f>IF(ISERROR(INDEX(指数走势!$F$38:$ACK$38,1,LOOKUP(2,1/(指数走势!$F$38:$ACK$38&lt;&gt;""),COLUMN(指数走势!$F$38:$ACK$38))-COLUMN(指数走势!$F$38)+1-760+395)),NA(),IF(INDEX(指数走势!$F$38:$ACK$38,1,LOOKUP(2,1/(指数走势!$F$38:$ACK$38&lt;&gt;""),COLUMN(指数走势!$F$38:$ACK$38))-COLUMN(指数走势!$F$38)+1-760+395)=0,NA(),INDEX(指数走势!$F$38:$ACK$38,1,LOOKUP(2,1/(指数走势!$F$38:$ACK$38&lt;&gt;""),COLUMN(指数走势!$F$38:$ACK$38))-COLUMN(指数走势!$F$38)+1-760+395)))</f>
        <v>20.8370990753174</v>
      </c>
      <c r="OG102">
        <f>IF(ISERROR(INDEX(指数走势!$F$38:$ACK$38,1,LOOKUP(2,1/(指数走势!$F$38:$ACK$38&lt;&gt;""),COLUMN(指数走势!$F$38:$ACK$38))-COLUMN(指数走势!$F$38)+1-760+396)),NA(),IF(INDEX(指数走势!$F$38:$ACK$38,1,LOOKUP(2,1/(指数走势!$F$38:$ACK$38&lt;&gt;""),COLUMN(指数走势!$F$38:$ACK$38))-COLUMN(指数走势!$F$38)+1-760+396)=0,NA(),INDEX(指数走势!$F$38:$ACK$38,1,LOOKUP(2,1/(指数走势!$F$38:$ACK$38&lt;&gt;""),COLUMN(指数走势!$F$38:$ACK$38))-COLUMN(指数走势!$F$38)+1-760+396)))</f>
        <v>20.7119007110596</v>
      </c>
      <c r="OH102">
        <f>IF(ISERROR(INDEX(指数走势!$F$38:$ACK$38,1,LOOKUP(2,1/(指数走势!$F$38:$ACK$38&lt;&gt;""),COLUMN(指数走势!$F$38:$ACK$38))-COLUMN(指数走势!$F$38)+1-760+397)),NA(),IF(INDEX(指数走势!$F$38:$ACK$38,1,LOOKUP(2,1/(指数走势!$F$38:$ACK$38&lt;&gt;""),COLUMN(指数走势!$F$38:$ACK$38))-COLUMN(指数走势!$F$38)+1-760+397)=0,NA(),INDEX(指数走势!$F$38:$ACK$38,1,LOOKUP(2,1/(指数走势!$F$38:$ACK$38&lt;&gt;""),COLUMN(指数走势!$F$38:$ACK$38))-COLUMN(指数走势!$F$38)+1-760+397)))</f>
        <v>20.6453990936279</v>
      </c>
      <c r="OI102">
        <f>IF(ISERROR(INDEX(指数走势!$F$38:$ACK$38,1,LOOKUP(2,1/(指数走势!$F$38:$ACK$38&lt;&gt;""),COLUMN(指数走势!$F$38:$ACK$38))-COLUMN(指数走势!$F$38)+1-760+398)),NA(),IF(INDEX(指数走势!$F$38:$ACK$38,1,LOOKUP(2,1/(指数走势!$F$38:$ACK$38&lt;&gt;""),COLUMN(指数走势!$F$38:$ACK$38))-COLUMN(指数走势!$F$38)+1-760+398)=0,NA(),INDEX(指数走势!$F$38:$ACK$38,1,LOOKUP(2,1/(指数走势!$F$38:$ACK$38&lt;&gt;""),COLUMN(指数走势!$F$38:$ACK$38))-COLUMN(指数走势!$F$38)+1-760+398)))</f>
        <v>20.3512001037598</v>
      </c>
      <c r="OJ102">
        <f>IF(ISERROR(INDEX(指数走势!$F$38:$ACK$38,1,LOOKUP(2,1/(指数走势!$F$38:$ACK$38&lt;&gt;""),COLUMN(指数走势!$F$38:$ACK$38))-COLUMN(指数走势!$F$38)+1-760+399)),NA(),IF(INDEX(指数走势!$F$38:$ACK$38,1,LOOKUP(2,1/(指数走势!$F$38:$ACK$38&lt;&gt;""),COLUMN(指数走势!$F$38:$ACK$38))-COLUMN(指数走势!$F$38)+1-760+399)=0,NA(),INDEX(指数走势!$F$38:$ACK$38,1,LOOKUP(2,1/(指数走势!$F$38:$ACK$38&lt;&gt;""),COLUMN(指数走势!$F$38:$ACK$38))-COLUMN(指数走势!$F$38)+1-760+399)))</f>
        <v>20.5247001647949</v>
      </c>
      <c r="OK102">
        <f>IF(ISERROR(INDEX(指数走势!$F$38:$ACK$38,1,LOOKUP(2,1/(指数走势!$F$38:$ACK$38&lt;&gt;""),COLUMN(指数走势!$F$38:$ACK$38))-COLUMN(指数走势!$F$38)+1-760+400)),NA(),IF(INDEX(指数走势!$F$38:$ACK$38,1,LOOKUP(2,1/(指数走势!$F$38:$ACK$38&lt;&gt;""),COLUMN(指数走势!$F$38:$ACK$38))-COLUMN(指数走势!$F$38)+1-760+400)=0,NA(),INDEX(指数走势!$F$38:$ACK$38,1,LOOKUP(2,1/(指数走势!$F$38:$ACK$38&lt;&gt;""),COLUMN(指数走势!$F$38:$ACK$38))-COLUMN(指数走势!$F$38)+1-760+400)))</f>
        <v>20.4125995635986</v>
      </c>
      <c r="OL102">
        <f>IF(ISERROR(INDEX(指数走势!$F$38:$ACK$38,1,LOOKUP(2,1/(指数走势!$F$38:$ACK$38&lt;&gt;""),COLUMN(指数走势!$F$38:$ACK$38))-COLUMN(指数走势!$F$38)+1-760+401)),NA(),IF(INDEX(指数走势!$F$38:$ACK$38,1,LOOKUP(2,1/(指数走势!$F$38:$ACK$38&lt;&gt;""),COLUMN(指数走势!$F$38:$ACK$38))-COLUMN(指数走势!$F$38)+1-760+401)=0,NA(),INDEX(指数走势!$F$38:$ACK$38,1,LOOKUP(2,1/(指数走势!$F$38:$ACK$38&lt;&gt;""),COLUMN(指数走势!$F$38:$ACK$38))-COLUMN(指数走势!$F$38)+1-760+401)))</f>
        <v>19.7936992645264</v>
      </c>
      <c r="OM102">
        <f>IF(ISERROR(INDEX(指数走势!$F$38:$ACK$38,1,LOOKUP(2,1/(指数走势!$F$38:$ACK$38&lt;&gt;""),COLUMN(指数走势!$F$38:$ACK$38))-COLUMN(指数走势!$F$38)+1-760+402)),NA(),IF(INDEX(指数走势!$F$38:$ACK$38,1,LOOKUP(2,1/(指数走势!$F$38:$ACK$38&lt;&gt;""),COLUMN(指数走势!$F$38:$ACK$38))-COLUMN(指数走势!$F$38)+1-760+402)=0,NA(),INDEX(指数走势!$F$38:$ACK$38,1,LOOKUP(2,1/(指数走势!$F$38:$ACK$38&lt;&gt;""),COLUMN(指数走势!$F$38:$ACK$38))-COLUMN(指数走势!$F$38)+1-760+402)))</f>
        <v>19.5389995574951</v>
      </c>
      <c r="ON102">
        <f>IF(ISERROR(INDEX(指数走势!$F$38:$ACK$38,1,LOOKUP(2,1/(指数走势!$F$38:$ACK$38&lt;&gt;""),COLUMN(指数走势!$F$38:$ACK$38))-COLUMN(指数走势!$F$38)+1-760+403)),NA(),IF(INDEX(指数走势!$F$38:$ACK$38,1,LOOKUP(2,1/(指数走势!$F$38:$ACK$38&lt;&gt;""),COLUMN(指数走势!$F$38:$ACK$38))-COLUMN(指数走势!$F$38)+1-760+403)=0,NA(),INDEX(指数走势!$F$38:$ACK$38,1,LOOKUP(2,1/(指数走势!$F$38:$ACK$38&lt;&gt;""),COLUMN(指数走势!$F$38:$ACK$38))-COLUMN(指数走势!$F$38)+1-760+403)))</f>
        <v>19.6352005004883</v>
      </c>
      <c r="OO102">
        <f>IF(ISERROR(INDEX(指数走势!$F$38:$ACK$38,1,LOOKUP(2,1/(指数走势!$F$38:$ACK$38&lt;&gt;""),COLUMN(指数走势!$F$38:$ACK$38))-COLUMN(指数走势!$F$38)+1-760+404)),NA(),IF(INDEX(指数走势!$F$38:$ACK$38,1,LOOKUP(2,1/(指数走势!$F$38:$ACK$38&lt;&gt;""),COLUMN(指数走势!$F$38:$ACK$38))-COLUMN(指数走势!$F$38)+1-760+404)=0,NA(),INDEX(指数走势!$F$38:$ACK$38,1,LOOKUP(2,1/(指数走势!$F$38:$ACK$38&lt;&gt;""),COLUMN(指数走势!$F$38:$ACK$38))-COLUMN(指数走势!$F$38)+1-760+404)))</f>
        <v>19.367000579834</v>
      </c>
      <c r="OP102">
        <f>IF(ISERROR(INDEX(指数走势!$F$38:$ACK$38,1,LOOKUP(2,1/(指数走势!$F$38:$ACK$38&lt;&gt;""),COLUMN(指数走势!$F$38:$ACK$38))-COLUMN(指数走势!$F$38)+1-760+405)),NA(),IF(INDEX(指数走势!$F$38:$ACK$38,1,LOOKUP(2,1/(指数走势!$F$38:$ACK$38&lt;&gt;""),COLUMN(指数走势!$F$38:$ACK$38))-COLUMN(指数走势!$F$38)+1-760+405)=0,NA(),INDEX(指数走势!$F$38:$ACK$38,1,LOOKUP(2,1/(指数走势!$F$38:$ACK$38&lt;&gt;""),COLUMN(指数走势!$F$38:$ACK$38))-COLUMN(指数走势!$F$38)+1-760+405)))</f>
        <v>19.1271991729736</v>
      </c>
      <c r="OQ102">
        <f>IF(ISERROR(INDEX(指数走势!$F$38:$ACK$38,1,LOOKUP(2,1/(指数走势!$F$38:$ACK$38&lt;&gt;""),COLUMN(指数走势!$F$38:$ACK$38))-COLUMN(指数走势!$F$38)+1-760+406)),NA(),IF(INDEX(指数走势!$F$38:$ACK$38,1,LOOKUP(2,1/(指数走势!$F$38:$ACK$38&lt;&gt;""),COLUMN(指数走势!$F$38:$ACK$38))-COLUMN(指数走势!$F$38)+1-760+406)=0,NA(),INDEX(指数走势!$F$38:$ACK$38,1,LOOKUP(2,1/(指数走势!$F$38:$ACK$38&lt;&gt;""),COLUMN(指数走势!$F$38:$ACK$38))-COLUMN(指数走势!$F$38)+1-760+406)))</f>
        <v>19.6238994598389</v>
      </c>
      <c r="OR102">
        <f>IF(ISERROR(INDEX(指数走势!$F$38:$ACK$38,1,LOOKUP(2,1/(指数走势!$F$38:$ACK$38&lt;&gt;""),COLUMN(指数走势!$F$38:$ACK$38))-COLUMN(指数走势!$F$38)+1-760+407)),NA(),IF(INDEX(指数走势!$F$38:$ACK$38,1,LOOKUP(2,1/(指数走势!$F$38:$ACK$38&lt;&gt;""),COLUMN(指数走势!$F$38:$ACK$38))-COLUMN(指数走势!$F$38)+1-760+407)=0,NA(),INDEX(指数走势!$F$38:$ACK$38,1,LOOKUP(2,1/(指数走势!$F$38:$ACK$38&lt;&gt;""),COLUMN(指数走势!$F$38:$ACK$38))-COLUMN(指数走势!$F$38)+1-760+407)))</f>
        <v>19.738000869751</v>
      </c>
      <c r="OS102">
        <f>IF(ISERROR(INDEX(指数走势!$F$38:$ACK$38,1,LOOKUP(2,1/(指数走势!$F$38:$ACK$38&lt;&gt;""),COLUMN(指数走势!$F$38:$ACK$38))-COLUMN(指数走势!$F$38)+1-760+408)),NA(),IF(INDEX(指数走势!$F$38:$ACK$38,1,LOOKUP(2,1/(指数走势!$F$38:$ACK$38&lt;&gt;""),COLUMN(指数走势!$F$38:$ACK$38))-COLUMN(指数走势!$F$38)+1-760+408)=0,NA(),INDEX(指数走势!$F$38:$ACK$38,1,LOOKUP(2,1/(指数走势!$F$38:$ACK$38&lt;&gt;""),COLUMN(指数走势!$F$38:$ACK$38))-COLUMN(指数走势!$F$38)+1-760+408)))</f>
        <v>19.9386005401611</v>
      </c>
      <c r="OT102">
        <f>IF(ISERROR(INDEX(指数走势!$F$38:$ACK$38,1,LOOKUP(2,1/(指数走势!$F$38:$ACK$38&lt;&gt;""),COLUMN(指数走势!$F$38:$ACK$38))-COLUMN(指数走势!$F$38)+1-760+409)),NA(),IF(INDEX(指数走势!$F$38:$ACK$38,1,LOOKUP(2,1/(指数走势!$F$38:$ACK$38&lt;&gt;""),COLUMN(指数走势!$F$38:$ACK$38))-COLUMN(指数走势!$F$38)+1-760+409)=0,NA(),INDEX(指数走势!$F$38:$ACK$38,1,LOOKUP(2,1/(指数走势!$F$38:$ACK$38&lt;&gt;""),COLUMN(指数走势!$F$38:$ACK$38))-COLUMN(指数走势!$F$38)+1-760+409)))</f>
        <v>20.0335006713867</v>
      </c>
      <c r="OU102">
        <f>IF(ISERROR(INDEX(指数走势!$F$38:$ACK$38,1,LOOKUP(2,1/(指数走势!$F$38:$ACK$38&lt;&gt;""),COLUMN(指数走势!$F$38:$ACK$38))-COLUMN(指数走势!$F$38)+1-760+410)),NA(),IF(INDEX(指数走势!$F$38:$ACK$38,1,LOOKUP(2,1/(指数走势!$F$38:$ACK$38&lt;&gt;""),COLUMN(指数走势!$F$38:$ACK$38))-COLUMN(指数走势!$F$38)+1-760+410)=0,NA(),INDEX(指数走势!$F$38:$ACK$38,1,LOOKUP(2,1/(指数走势!$F$38:$ACK$38&lt;&gt;""),COLUMN(指数走势!$F$38:$ACK$38))-COLUMN(指数走势!$F$38)+1-760+410)))</f>
        <v>20.5998001098633</v>
      </c>
      <c r="OV102">
        <f>IF(ISERROR(INDEX(指数走势!$F$38:$ACK$38,1,LOOKUP(2,1/(指数走势!$F$38:$ACK$38&lt;&gt;""),COLUMN(指数走势!$F$38:$ACK$38))-COLUMN(指数走势!$F$38)+1-760+411)),NA(),IF(INDEX(指数走势!$F$38:$ACK$38,1,LOOKUP(2,1/(指数走势!$F$38:$ACK$38&lt;&gt;""),COLUMN(指数走势!$F$38:$ACK$38))-COLUMN(指数走势!$F$38)+1-760+411)=0,NA(),INDEX(指数走势!$F$38:$ACK$38,1,LOOKUP(2,1/(指数走势!$F$38:$ACK$38&lt;&gt;""),COLUMN(指数走势!$F$38:$ACK$38))-COLUMN(指数走势!$F$38)+1-760+411)))</f>
        <v>20.8062992095947</v>
      </c>
      <c r="OW102">
        <f>IF(ISERROR(INDEX(指数走势!$F$38:$ACK$38,1,LOOKUP(2,1/(指数走势!$F$38:$ACK$38&lt;&gt;""),COLUMN(指数走势!$F$38:$ACK$38))-COLUMN(指数走势!$F$38)+1-760+412)),NA(),IF(INDEX(指数走势!$F$38:$ACK$38,1,LOOKUP(2,1/(指数走势!$F$38:$ACK$38&lt;&gt;""),COLUMN(指数走势!$F$38:$ACK$38))-COLUMN(指数走势!$F$38)+1-760+412)=0,NA(),INDEX(指数走势!$F$38:$ACK$38,1,LOOKUP(2,1/(指数走势!$F$38:$ACK$38&lt;&gt;""),COLUMN(指数走势!$F$38:$ACK$38))-COLUMN(指数走势!$F$38)+1-760+412)))</f>
        <v>20.3521003723145</v>
      </c>
      <c r="OX102">
        <f>IF(ISERROR(INDEX(指数走势!$F$38:$ACK$38,1,LOOKUP(2,1/(指数走势!$F$38:$ACK$38&lt;&gt;""),COLUMN(指数走势!$F$38:$ACK$38))-COLUMN(指数走势!$F$38)+1-760+413)),NA(),IF(INDEX(指数走势!$F$38:$ACK$38,1,LOOKUP(2,1/(指数走势!$F$38:$ACK$38&lt;&gt;""),COLUMN(指数走势!$F$38:$ACK$38))-COLUMN(指数走势!$F$38)+1-760+413)=0,NA(),INDEX(指数走势!$F$38:$ACK$38,1,LOOKUP(2,1/(指数走势!$F$38:$ACK$38&lt;&gt;""),COLUMN(指数走势!$F$38:$ACK$38))-COLUMN(指数走势!$F$38)+1-760+413)))</f>
        <v>20.203800201416</v>
      </c>
      <c r="OY102">
        <f>IF(ISERROR(INDEX(指数走势!$F$38:$ACK$38,1,LOOKUP(2,1/(指数走势!$F$38:$ACK$38&lt;&gt;""),COLUMN(指数走势!$F$38:$ACK$38))-COLUMN(指数走势!$F$38)+1-760+414)),NA(),IF(INDEX(指数走势!$F$38:$ACK$38,1,LOOKUP(2,1/(指数走势!$F$38:$ACK$38&lt;&gt;""),COLUMN(指数走势!$F$38:$ACK$38))-COLUMN(指数走势!$F$38)+1-760+414)=0,NA(),INDEX(指数走势!$F$38:$ACK$38,1,LOOKUP(2,1/(指数走势!$F$38:$ACK$38&lt;&gt;""),COLUMN(指数走势!$F$38:$ACK$38))-COLUMN(指数走势!$F$38)+1-760+414)))</f>
        <v>20.7199001312256</v>
      </c>
      <c r="OZ102">
        <f>IF(ISERROR(INDEX(指数走势!$F$38:$ACK$38,1,LOOKUP(2,1/(指数走势!$F$38:$ACK$38&lt;&gt;""),COLUMN(指数走势!$F$38:$ACK$38))-COLUMN(指数走势!$F$38)+1-760+415)),NA(),IF(INDEX(指数走势!$F$38:$ACK$38,1,LOOKUP(2,1/(指数走势!$F$38:$ACK$38&lt;&gt;""),COLUMN(指数走势!$F$38:$ACK$38))-COLUMN(指数走势!$F$38)+1-760+415)=0,NA(),INDEX(指数走势!$F$38:$ACK$38,1,LOOKUP(2,1/(指数走势!$F$38:$ACK$38&lt;&gt;""),COLUMN(指数走势!$F$38:$ACK$38))-COLUMN(指数走势!$F$38)+1-760+415)))</f>
        <v>20.9451007843018</v>
      </c>
      <c r="PA102">
        <f>IF(ISERROR(INDEX(指数走势!$F$38:$ACK$38,1,LOOKUP(2,1/(指数走势!$F$38:$ACK$38&lt;&gt;""),COLUMN(指数走势!$F$38:$ACK$38))-COLUMN(指数走势!$F$38)+1-760+416)),NA(),IF(INDEX(指数走势!$F$38:$ACK$38,1,LOOKUP(2,1/(指数走势!$F$38:$ACK$38&lt;&gt;""),COLUMN(指数走势!$F$38:$ACK$38))-COLUMN(指数走势!$F$38)+1-760+416)=0,NA(),INDEX(指数走势!$F$38:$ACK$38,1,LOOKUP(2,1/(指数走势!$F$38:$ACK$38&lt;&gt;""),COLUMN(指数走势!$F$38:$ACK$38))-COLUMN(指数走势!$F$38)+1-760+416)))</f>
        <v>21.963399887085</v>
      </c>
      <c r="PB102">
        <f>IF(ISERROR(INDEX(指数走势!$F$38:$ACK$38,1,LOOKUP(2,1/(指数走势!$F$38:$ACK$38&lt;&gt;""),COLUMN(指数走势!$F$38:$ACK$38))-COLUMN(指数走势!$F$38)+1-760+417)),NA(),IF(INDEX(指数走势!$F$38:$ACK$38,1,LOOKUP(2,1/(指数走势!$F$38:$ACK$38&lt;&gt;""),COLUMN(指数走势!$F$38:$ACK$38))-COLUMN(指数走势!$F$38)+1-760+417)=0,NA(),INDEX(指数走势!$F$38:$ACK$38,1,LOOKUP(2,1/(指数走势!$F$38:$ACK$38&lt;&gt;""),COLUMN(指数走势!$F$38:$ACK$38))-COLUMN(指数走势!$F$38)+1-760+417)))</f>
        <v>22.293399810791</v>
      </c>
      <c r="PC102">
        <f>IF(ISERROR(INDEX(指数走势!$F$38:$ACK$38,1,LOOKUP(2,1/(指数走势!$F$38:$ACK$38&lt;&gt;""),COLUMN(指数走势!$F$38:$ACK$38))-COLUMN(指数走势!$F$38)+1-760+418)),NA(),IF(INDEX(指数走势!$F$38:$ACK$38,1,LOOKUP(2,1/(指数走势!$F$38:$ACK$38&lt;&gt;""),COLUMN(指数走势!$F$38:$ACK$38))-COLUMN(指数走势!$F$38)+1-760+418)=0,NA(),INDEX(指数走势!$F$38:$ACK$38,1,LOOKUP(2,1/(指数走势!$F$38:$ACK$38&lt;&gt;""),COLUMN(指数走势!$F$38:$ACK$38))-COLUMN(指数走势!$F$38)+1-760+418)))</f>
        <v>22.6891002655029</v>
      </c>
      <c r="PD102">
        <f>IF(ISERROR(INDEX(指数走势!$F$38:$ACK$38,1,LOOKUP(2,1/(指数走势!$F$38:$ACK$38&lt;&gt;""),COLUMN(指数走势!$F$38:$ACK$38))-COLUMN(指数走势!$F$38)+1-760+419)),NA(),IF(INDEX(指数走势!$F$38:$ACK$38,1,LOOKUP(2,1/(指数走势!$F$38:$ACK$38&lt;&gt;""),COLUMN(指数走势!$F$38:$ACK$38))-COLUMN(指数走势!$F$38)+1-760+419)=0,NA(),INDEX(指数走势!$F$38:$ACK$38,1,LOOKUP(2,1/(指数走势!$F$38:$ACK$38&lt;&gt;""),COLUMN(指数走势!$F$38:$ACK$38))-COLUMN(指数走势!$F$38)+1-760+419)))</f>
        <v>23.3498001098633</v>
      </c>
      <c r="PE102">
        <f>IF(ISERROR(INDEX(指数走势!$F$38:$ACK$38,1,LOOKUP(2,1/(指数走势!$F$38:$ACK$38&lt;&gt;""),COLUMN(指数走势!$F$38:$ACK$38))-COLUMN(指数走势!$F$38)+1-760+420)),NA(),IF(INDEX(指数走势!$F$38:$ACK$38,1,LOOKUP(2,1/(指数走势!$F$38:$ACK$38&lt;&gt;""),COLUMN(指数走势!$F$38:$ACK$38))-COLUMN(指数走势!$F$38)+1-760+420)=0,NA(),INDEX(指数走势!$F$38:$ACK$38,1,LOOKUP(2,1/(指数走势!$F$38:$ACK$38&lt;&gt;""),COLUMN(指数走势!$F$38:$ACK$38))-COLUMN(指数走势!$F$38)+1-760+420)))</f>
        <v>22.8929004669189</v>
      </c>
      <c r="PF102">
        <f>IF(ISERROR(INDEX(指数走势!$F$38:$ACK$38,1,LOOKUP(2,1/(指数走势!$F$38:$ACK$38&lt;&gt;""),COLUMN(指数走势!$F$38:$ACK$38))-COLUMN(指数走势!$F$38)+1-760+421)),NA(),IF(INDEX(指数走势!$F$38:$ACK$38,1,LOOKUP(2,1/(指数走势!$F$38:$ACK$38&lt;&gt;""),COLUMN(指数走势!$F$38:$ACK$38))-COLUMN(指数走势!$F$38)+1-760+421)=0,NA(),INDEX(指数走势!$F$38:$ACK$38,1,LOOKUP(2,1/(指数走势!$F$38:$ACK$38&lt;&gt;""),COLUMN(指数走势!$F$38:$ACK$38))-COLUMN(指数走势!$F$38)+1-760+421)))</f>
        <v>23.6366004943848</v>
      </c>
      <c r="PG102">
        <f>IF(ISERROR(INDEX(指数走势!$F$38:$ACK$38,1,LOOKUP(2,1/(指数走势!$F$38:$ACK$38&lt;&gt;""),COLUMN(指数走势!$F$38:$ACK$38))-COLUMN(指数走势!$F$38)+1-760+422)),NA(),IF(INDEX(指数走势!$F$38:$ACK$38,1,LOOKUP(2,1/(指数走势!$F$38:$ACK$38&lt;&gt;""),COLUMN(指数走势!$F$38:$ACK$38))-COLUMN(指数走势!$F$38)+1-760+422)=0,NA(),INDEX(指数走势!$F$38:$ACK$38,1,LOOKUP(2,1/(指数走势!$F$38:$ACK$38&lt;&gt;""),COLUMN(指数走势!$F$38:$ACK$38))-COLUMN(指数走势!$F$38)+1-760+422)))</f>
        <v>23.5820007324219</v>
      </c>
      <c r="PH102">
        <f>IF(ISERROR(INDEX(指数走势!$F$38:$ACK$38,1,LOOKUP(2,1/(指数走势!$F$38:$ACK$38&lt;&gt;""),COLUMN(指数走势!$F$38:$ACK$38))-COLUMN(指数走势!$F$38)+1-760+423)),NA(),IF(INDEX(指数走势!$F$38:$ACK$38,1,LOOKUP(2,1/(指数走势!$F$38:$ACK$38&lt;&gt;""),COLUMN(指数走势!$F$38:$ACK$38))-COLUMN(指数走势!$F$38)+1-760+423)=0,NA(),INDEX(指数走势!$F$38:$ACK$38,1,LOOKUP(2,1/(指数走势!$F$38:$ACK$38&lt;&gt;""),COLUMN(指数走势!$F$38:$ACK$38))-COLUMN(指数走势!$F$38)+1-760+423)))</f>
        <v>25.028299331665</v>
      </c>
      <c r="PI102">
        <f>IF(ISERROR(INDEX(指数走势!$F$38:$ACK$38,1,LOOKUP(2,1/(指数走势!$F$38:$ACK$38&lt;&gt;""),COLUMN(指数走势!$F$38:$ACK$38))-COLUMN(指数走势!$F$38)+1-760+424)),NA(),IF(INDEX(指数走势!$F$38:$ACK$38,1,LOOKUP(2,1/(指数走势!$F$38:$ACK$38&lt;&gt;""),COLUMN(指数走势!$F$38:$ACK$38))-COLUMN(指数走势!$F$38)+1-760+424)=0,NA(),INDEX(指数走势!$F$38:$ACK$38,1,LOOKUP(2,1/(指数走势!$F$38:$ACK$38&lt;&gt;""),COLUMN(指数走势!$F$38:$ACK$38))-COLUMN(指数走势!$F$38)+1-760+424)))</f>
        <v>25.1390991210938</v>
      </c>
      <c r="PJ102">
        <f>IF(ISERROR(INDEX(指数走势!$F$38:$ACK$38,1,LOOKUP(2,1/(指数走势!$F$38:$ACK$38&lt;&gt;""),COLUMN(指数走势!$F$38:$ACK$38))-COLUMN(指数走势!$F$38)+1-760+425)),NA(),IF(INDEX(指数走势!$F$38:$ACK$38,1,LOOKUP(2,1/(指数走势!$F$38:$ACK$38&lt;&gt;""),COLUMN(指数走势!$F$38:$ACK$38))-COLUMN(指数走势!$F$38)+1-760+425)=0,NA(),INDEX(指数走势!$F$38:$ACK$38,1,LOOKUP(2,1/(指数走势!$F$38:$ACK$38&lt;&gt;""),COLUMN(指数走势!$F$38:$ACK$38))-COLUMN(指数走势!$F$38)+1-760+425)))</f>
        <v>25.6760005950928</v>
      </c>
      <c r="PK102">
        <f>IF(ISERROR(INDEX(指数走势!$F$38:$ACK$38,1,LOOKUP(2,1/(指数走势!$F$38:$ACK$38&lt;&gt;""),COLUMN(指数走势!$F$38:$ACK$38))-COLUMN(指数走势!$F$38)+1-760+426)),NA(),IF(INDEX(指数走势!$F$38:$ACK$38,1,LOOKUP(2,1/(指数走势!$F$38:$ACK$38&lt;&gt;""),COLUMN(指数走势!$F$38:$ACK$38))-COLUMN(指数走势!$F$38)+1-760+426)=0,NA(),INDEX(指数走势!$F$38:$ACK$38,1,LOOKUP(2,1/(指数走势!$F$38:$ACK$38&lt;&gt;""),COLUMN(指数走势!$F$38:$ACK$38))-COLUMN(指数走势!$F$38)+1-760+426)))</f>
        <v>25.5161991119385</v>
      </c>
      <c r="PL102">
        <f>IF(ISERROR(INDEX(指数走势!$F$38:$ACK$38,1,LOOKUP(2,1/(指数走势!$F$38:$ACK$38&lt;&gt;""),COLUMN(指数走势!$F$38:$ACK$38))-COLUMN(指数走势!$F$38)+1-760+427)),NA(),IF(INDEX(指数走势!$F$38:$ACK$38,1,LOOKUP(2,1/(指数走势!$F$38:$ACK$38&lt;&gt;""),COLUMN(指数走势!$F$38:$ACK$38))-COLUMN(指数走势!$F$38)+1-760+427)=0,NA(),INDEX(指数走势!$F$38:$ACK$38,1,LOOKUP(2,1/(指数走势!$F$38:$ACK$38&lt;&gt;""),COLUMN(指数走势!$F$38:$ACK$38))-COLUMN(指数走势!$F$38)+1-760+427)))</f>
        <v>23.1037006378174</v>
      </c>
      <c r="PM102">
        <f>IF(ISERROR(INDEX(指数走势!$F$38:$ACK$38,1,LOOKUP(2,1/(指数走势!$F$38:$ACK$38&lt;&gt;""),COLUMN(指数走势!$F$38:$ACK$38))-COLUMN(指数走势!$F$38)+1-760+428)),NA(),IF(INDEX(指数走势!$F$38:$ACK$38,1,LOOKUP(2,1/(指数走势!$F$38:$ACK$38&lt;&gt;""),COLUMN(指数走势!$F$38:$ACK$38))-COLUMN(指数走势!$F$38)+1-760+428)=0,NA(),INDEX(指数走势!$F$38:$ACK$38,1,LOOKUP(2,1/(指数走势!$F$38:$ACK$38&lt;&gt;""),COLUMN(指数走势!$F$38:$ACK$38))-COLUMN(指数走势!$F$38)+1-760+428)))</f>
        <v>24.6611995697021</v>
      </c>
      <c r="PN102">
        <f>IF(ISERROR(INDEX(指数走势!$F$38:$ACK$38,1,LOOKUP(2,1/(指数走势!$F$38:$ACK$38&lt;&gt;""),COLUMN(指数走势!$F$38:$ACK$38))-COLUMN(指数走势!$F$38)+1-760+429)),NA(),IF(INDEX(指数走势!$F$38:$ACK$38,1,LOOKUP(2,1/(指数走势!$F$38:$ACK$38&lt;&gt;""),COLUMN(指数走势!$F$38:$ACK$38))-COLUMN(指数走势!$F$38)+1-760+429)=0,NA(),INDEX(指数走势!$F$38:$ACK$38,1,LOOKUP(2,1/(指数走势!$F$38:$ACK$38&lt;&gt;""),COLUMN(指数走势!$F$38:$ACK$38))-COLUMN(指数走势!$F$38)+1-760+429)))</f>
        <v>24.2311000823975</v>
      </c>
      <c r="PO102">
        <f>IF(ISERROR(INDEX(指数走势!$F$38:$ACK$38,1,LOOKUP(2,1/(指数走势!$F$38:$ACK$38&lt;&gt;""),COLUMN(指数走势!$F$38:$ACK$38))-COLUMN(指数走势!$F$38)+1-760+430)),NA(),IF(INDEX(指数走势!$F$38:$ACK$38,1,LOOKUP(2,1/(指数走势!$F$38:$ACK$38&lt;&gt;""),COLUMN(指数走势!$F$38:$ACK$38))-COLUMN(指数走势!$F$38)+1-760+430)=0,NA(),INDEX(指数走势!$F$38:$ACK$38,1,LOOKUP(2,1/(指数走势!$F$38:$ACK$38&lt;&gt;""),COLUMN(指数走势!$F$38:$ACK$38))-COLUMN(指数走势!$F$38)+1-760+430)))</f>
        <v>23.6250991821289</v>
      </c>
      <c r="PP102">
        <f>IF(ISERROR(INDEX(指数走势!$F$38:$ACK$38,1,LOOKUP(2,1/(指数走势!$F$38:$ACK$38&lt;&gt;""),COLUMN(指数走势!$F$38:$ACK$38))-COLUMN(指数走势!$F$38)+1-760+431)),NA(),IF(INDEX(指数走势!$F$38:$ACK$38,1,LOOKUP(2,1/(指数走势!$F$38:$ACK$38&lt;&gt;""),COLUMN(指数走势!$F$38:$ACK$38))-COLUMN(指数走势!$F$38)+1-760+431)=0,NA(),INDEX(指数走势!$F$38:$ACK$38,1,LOOKUP(2,1/(指数走势!$F$38:$ACK$38&lt;&gt;""),COLUMN(指数走势!$F$38:$ACK$38))-COLUMN(指数走势!$F$38)+1-760+431)))</f>
        <v>24.6912994384766</v>
      </c>
      <c r="PQ102">
        <f>IF(ISERROR(INDEX(指数走势!$F$38:$ACK$38,1,LOOKUP(2,1/(指数走势!$F$38:$ACK$38&lt;&gt;""),COLUMN(指数走势!$F$38:$ACK$38))-COLUMN(指数走势!$F$38)+1-760+432)),NA(),IF(INDEX(指数走势!$F$38:$ACK$38,1,LOOKUP(2,1/(指数走势!$F$38:$ACK$38&lt;&gt;""),COLUMN(指数走势!$F$38:$ACK$38))-COLUMN(指数走势!$F$38)+1-760+432)=0,NA(),INDEX(指数走势!$F$38:$ACK$38,1,LOOKUP(2,1/(指数走势!$F$38:$ACK$38&lt;&gt;""),COLUMN(指数走势!$F$38:$ACK$38))-COLUMN(指数走势!$F$38)+1-760+432)))</f>
        <v>24.3908996582031</v>
      </c>
      <c r="PR102">
        <f>IF(ISERROR(INDEX(指数走势!$F$38:$ACK$38,1,LOOKUP(2,1/(指数走势!$F$38:$ACK$38&lt;&gt;""),COLUMN(指数走势!$F$38:$ACK$38))-COLUMN(指数走势!$F$38)+1-760+433)),NA(),IF(INDEX(指数走势!$F$38:$ACK$38,1,LOOKUP(2,1/(指数走势!$F$38:$ACK$38&lt;&gt;""),COLUMN(指数走势!$F$38:$ACK$38))-COLUMN(指数走势!$F$38)+1-760+433)=0,NA(),INDEX(指数走势!$F$38:$ACK$38,1,LOOKUP(2,1/(指数走势!$F$38:$ACK$38&lt;&gt;""),COLUMN(指数走势!$F$38:$ACK$38))-COLUMN(指数走势!$F$38)+1-760+433)))</f>
        <v>23.2889003753662</v>
      </c>
      <c r="PS102">
        <f>IF(ISERROR(INDEX(指数走势!$F$38:$ACK$38,1,LOOKUP(2,1/(指数走势!$F$38:$ACK$38&lt;&gt;""),COLUMN(指数走势!$F$38:$ACK$38))-COLUMN(指数走势!$F$38)+1-760+434)),NA(),IF(INDEX(指数走势!$F$38:$ACK$38,1,LOOKUP(2,1/(指数走势!$F$38:$ACK$38&lt;&gt;""),COLUMN(指数走势!$F$38:$ACK$38))-COLUMN(指数走势!$F$38)+1-760+434)=0,NA(),INDEX(指数走势!$F$38:$ACK$38,1,LOOKUP(2,1/(指数走势!$F$38:$ACK$38&lt;&gt;""),COLUMN(指数走势!$F$38:$ACK$38))-COLUMN(指数走势!$F$38)+1-760+434)))</f>
        <v>23.3281002044678</v>
      </c>
      <c r="PT102">
        <f>IF(ISERROR(INDEX(指数走势!$F$38:$ACK$38,1,LOOKUP(2,1/(指数走势!$F$38:$ACK$38&lt;&gt;""),COLUMN(指数走势!$F$38:$ACK$38))-COLUMN(指数走势!$F$38)+1-760+435)),NA(),IF(INDEX(指数走势!$F$38:$ACK$38,1,LOOKUP(2,1/(指数走势!$F$38:$ACK$38&lt;&gt;""),COLUMN(指数走势!$F$38:$ACK$38))-COLUMN(指数走势!$F$38)+1-760+435)=0,NA(),INDEX(指数走势!$F$38:$ACK$38,1,LOOKUP(2,1/(指数走势!$F$38:$ACK$38&lt;&gt;""),COLUMN(指数走势!$F$38:$ACK$38))-COLUMN(指数走势!$F$38)+1-760+435)))</f>
        <v>23.4023990631104</v>
      </c>
      <c r="PU102">
        <f>IF(ISERROR(INDEX(指数走势!$F$38:$ACK$38,1,LOOKUP(2,1/(指数走势!$F$38:$ACK$38&lt;&gt;""),COLUMN(指数走势!$F$38:$ACK$38))-COLUMN(指数走势!$F$38)+1-760+436)),NA(),IF(INDEX(指数走势!$F$38:$ACK$38,1,LOOKUP(2,1/(指数走势!$F$38:$ACK$38&lt;&gt;""),COLUMN(指数走势!$F$38:$ACK$38))-COLUMN(指数走势!$F$38)+1-760+436)=0,NA(),INDEX(指数走势!$F$38:$ACK$38,1,LOOKUP(2,1/(指数走势!$F$38:$ACK$38&lt;&gt;""),COLUMN(指数走势!$F$38:$ACK$38))-COLUMN(指数走势!$F$38)+1-760+436)))</f>
        <v>24.1989994049072</v>
      </c>
      <c r="PV102">
        <f>IF(ISERROR(INDEX(指数走势!$F$38:$ACK$38,1,LOOKUP(2,1/(指数走势!$F$38:$ACK$38&lt;&gt;""),COLUMN(指数走势!$F$38:$ACK$38))-COLUMN(指数走势!$F$38)+1-760+437)),NA(),IF(INDEX(指数走势!$F$38:$ACK$38,1,LOOKUP(2,1/(指数走势!$F$38:$ACK$38&lt;&gt;""),COLUMN(指数走势!$F$38:$ACK$38))-COLUMN(指数走势!$F$38)+1-760+437)=0,NA(),INDEX(指数走势!$F$38:$ACK$38,1,LOOKUP(2,1/(指数走势!$F$38:$ACK$38&lt;&gt;""),COLUMN(指数走势!$F$38:$ACK$38))-COLUMN(指数走势!$F$38)+1-760+437)))</f>
        <v>25.3029003143311</v>
      </c>
      <c r="PW102">
        <f>IF(ISERROR(INDEX(指数走势!$F$38:$ACK$38,1,LOOKUP(2,1/(指数走势!$F$38:$ACK$38&lt;&gt;""),COLUMN(指数走势!$F$38:$ACK$38))-COLUMN(指数走势!$F$38)+1-760+438)),NA(),IF(INDEX(指数走势!$F$38:$ACK$38,1,LOOKUP(2,1/(指数走势!$F$38:$ACK$38&lt;&gt;""),COLUMN(指数走势!$F$38:$ACK$38))-COLUMN(指数走势!$F$38)+1-760+438)=0,NA(),INDEX(指数走势!$F$38:$ACK$38,1,LOOKUP(2,1/(指数走势!$F$38:$ACK$38&lt;&gt;""),COLUMN(指数走势!$F$38:$ACK$38))-COLUMN(指数走势!$F$38)+1-760+438)))</f>
        <v>25.076000213623</v>
      </c>
      <c r="PX102">
        <f>IF(ISERROR(INDEX(指数走势!$F$38:$ACK$38,1,LOOKUP(2,1/(指数走势!$F$38:$ACK$38&lt;&gt;""),COLUMN(指数走势!$F$38:$ACK$38))-COLUMN(指数走势!$F$38)+1-760+439)),NA(),IF(INDEX(指数走势!$F$38:$ACK$38,1,LOOKUP(2,1/(指数走势!$F$38:$ACK$38&lt;&gt;""),COLUMN(指数走势!$F$38:$ACK$38))-COLUMN(指数走势!$F$38)+1-760+439)=0,NA(),INDEX(指数走势!$F$38:$ACK$38,1,LOOKUP(2,1/(指数走势!$F$38:$ACK$38&lt;&gt;""),COLUMN(指数走势!$F$38:$ACK$38))-COLUMN(指数走势!$F$38)+1-760+439)))</f>
        <v>25.2082996368408</v>
      </c>
      <c r="PY102">
        <f>IF(ISERROR(INDEX(指数走势!$F$38:$ACK$38,1,LOOKUP(2,1/(指数走势!$F$38:$ACK$38&lt;&gt;""),COLUMN(指数走势!$F$38:$ACK$38))-COLUMN(指数走势!$F$38)+1-760+440)),NA(),IF(INDEX(指数走势!$F$38:$ACK$38,1,LOOKUP(2,1/(指数走势!$F$38:$ACK$38&lt;&gt;""),COLUMN(指数走势!$F$38:$ACK$38))-COLUMN(指数走势!$F$38)+1-760+440)=0,NA(),INDEX(指数走势!$F$38:$ACK$38,1,LOOKUP(2,1/(指数走势!$F$38:$ACK$38&lt;&gt;""),COLUMN(指数走势!$F$38:$ACK$38))-COLUMN(指数走势!$F$38)+1-760+440)))</f>
        <v>25.3281002044678</v>
      </c>
      <c r="PZ102">
        <f>IF(ISERROR(INDEX(指数走势!$F$38:$ACK$38,1,LOOKUP(2,1/(指数走势!$F$38:$ACK$38&lt;&gt;""),COLUMN(指数走势!$F$38:$ACK$38))-COLUMN(指数走势!$F$38)+1-760+441)),NA(),IF(INDEX(指数走势!$F$38:$ACK$38,1,LOOKUP(2,1/(指数走势!$F$38:$ACK$38&lt;&gt;""),COLUMN(指数走势!$F$38:$ACK$38))-COLUMN(指数走势!$F$38)+1-760+441)=0,NA(),INDEX(指数走势!$F$38:$ACK$38,1,LOOKUP(2,1/(指数走势!$F$38:$ACK$38&lt;&gt;""),COLUMN(指数走势!$F$38:$ACK$38))-COLUMN(指数走势!$F$38)+1-760+441)))</f>
        <v>24.9617004394531</v>
      </c>
      <c r="QA102">
        <f>IF(ISERROR(INDEX(指数走势!$F$38:$ACK$38,1,LOOKUP(2,1/(指数走势!$F$38:$ACK$38&lt;&gt;""),COLUMN(指数走势!$F$38:$ACK$38))-COLUMN(指数走势!$F$38)+1-760+442)),NA(),IF(INDEX(指数走势!$F$38:$ACK$38,1,LOOKUP(2,1/(指数走势!$F$38:$ACK$38&lt;&gt;""),COLUMN(指数走势!$F$38:$ACK$38))-COLUMN(指数走势!$F$38)+1-760+442)=0,NA(),INDEX(指数走势!$F$38:$ACK$38,1,LOOKUP(2,1/(指数走势!$F$38:$ACK$38&lt;&gt;""),COLUMN(指数走势!$F$38:$ACK$38))-COLUMN(指数走势!$F$38)+1-760+442)))</f>
        <v>24.6336002349854</v>
      </c>
      <c r="QB102">
        <f>IF(ISERROR(INDEX(指数走势!$F$38:$ACK$38,1,LOOKUP(2,1/(指数走势!$F$38:$ACK$38&lt;&gt;""),COLUMN(指数走势!$F$38:$ACK$38))-COLUMN(指数走势!$F$38)+1-760+443)),NA(),IF(INDEX(指数走势!$F$38:$ACK$38,1,LOOKUP(2,1/(指数走势!$F$38:$ACK$38&lt;&gt;""),COLUMN(指数走势!$F$38:$ACK$38))-COLUMN(指数走势!$F$38)+1-760+443)=0,NA(),INDEX(指数走势!$F$38:$ACK$38,1,LOOKUP(2,1/(指数走势!$F$38:$ACK$38&lt;&gt;""),COLUMN(指数走势!$F$38:$ACK$38))-COLUMN(指数走势!$F$38)+1-760+443)))</f>
        <v>25.4277992248535</v>
      </c>
      <c r="QC102">
        <f>IF(ISERROR(INDEX(指数走势!$F$38:$ACK$38,1,LOOKUP(2,1/(指数走势!$F$38:$ACK$38&lt;&gt;""),COLUMN(指数走势!$F$38:$ACK$38))-COLUMN(指数走势!$F$38)+1-760+444)),NA(),IF(INDEX(指数走势!$F$38:$ACK$38,1,LOOKUP(2,1/(指数走势!$F$38:$ACK$38&lt;&gt;""),COLUMN(指数走势!$F$38:$ACK$38))-COLUMN(指数走势!$F$38)+1-760+444)=0,NA(),INDEX(指数走势!$F$38:$ACK$38,1,LOOKUP(2,1/(指数走势!$F$38:$ACK$38&lt;&gt;""),COLUMN(指数走势!$F$38:$ACK$38))-COLUMN(指数走势!$F$38)+1-760+444)))</f>
        <v>25.5067005157471</v>
      </c>
      <c r="QD102">
        <f>IF(ISERROR(INDEX(指数走势!$F$38:$ACK$38,1,LOOKUP(2,1/(指数走势!$F$38:$ACK$38&lt;&gt;""),COLUMN(指数走势!$F$38:$ACK$38))-COLUMN(指数走势!$F$38)+1-760+445)),NA(),IF(INDEX(指数走势!$F$38:$ACK$38,1,LOOKUP(2,1/(指数走势!$F$38:$ACK$38&lt;&gt;""),COLUMN(指数走势!$F$38:$ACK$38))-COLUMN(指数走势!$F$38)+1-760+445)=0,NA(),INDEX(指数走势!$F$38:$ACK$38,1,LOOKUP(2,1/(指数走势!$F$38:$ACK$38&lt;&gt;""),COLUMN(指数走势!$F$38:$ACK$38))-COLUMN(指数走势!$F$38)+1-760+445)))</f>
        <v>26.4034004211426</v>
      </c>
      <c r="QE102">
        <f>IF(ISERROR(INDEX(指数走势!$F$38:$ACK$38,1,LOOKUP(2,1/(指数走势!$F$38:$ACK$38&lt;&gt;""),COLUMN(指数走势!$F$38:$ACK$38))-COLUMN(指数走势!$F$38)+1-760+446)),NA(),IF(INDEX(指数走势!$F$38:$ACK$38,1,LOOKUP(2,1/(指数走势!$F$38:$ACK$38&lt;&gt;""),COLUMN(指数走势!$F$38:$ACK$38))-COLUMN(指数走势!$F$38)+1-760+446)=0,NA(),INDEX(指数走势!$F$38:$ACK$38,1,LOOKUP(2,1/(指数走势!$F$38:$ACK$38&lt;&gt;""),COLUMN(指数走势!$F$38:$ACK$38))-COLUMN(指数走势!$F$38)+1-760+446)))</f>
        <v>25.3267993927002</v>
      </c>
      <c r="QF102">
        <f>IF(ISERROR(INDEX(指数走势!$F$38:$ACK$38,1,LOOKUP(2,1/(指数走势!$F$38:$ACK$38&lt;&gt;""),COLUMN(指数走势!$F$38:$ACK$38))-COLUMN(指数走势!$F$38)+1-760+447)),NA(),IF(INDEX(指数走势!$F$38:$ACK$38,1,LOOKUP(2,1/(指数走势!$F$38:$ACK$38&lt;&gt;""),COLUMN(指数走势!$F$38:$ACK$38))-COLUMN(指数走势!$F$38)+1-760+447)=0,NA(),INDEX(指数走势!$F$38:$ACK$38,1,LOOKUP(2,1/(指数走势!$F$38:$ACK$38&lt;&gt;""),COLUMN(指数走势!$F$38:$ACK$38))-COLUMN(指数走势!$F$38)+1-760+447)))</f>
        <v>24.4288005828857</v>
      </c>
      <c r="QG102">
        <f>IF(ISERROR(INDEX(指数走势!$F$38:$ACK$38,1,LOOKUP(2,1/(指数走势!$F$38:$ACK$38&lt;&gt;""),COLUMN(指数走势!$F$38:$ACK$38))-COLUMN(指数走势!$F$38)+1-760+448)),NA(),IF(INDEX(指数走势!$F$38:$ACK$38,1,LOOKUP(2,1/(指数走势!$F$38:$ACK$38&lt;&gt;""),COLUMN(指数走势!$F$38:$ACK$38))-COLUMN(指数走势!$F$38)+1-760+448)=0,NA(),INDEX(指数走势!$F$38:$ACK$38,1,LOOKUP(2,1/(指数走势!$F$38:$ACK$38&lt;&gt;""),COLUMN(指数走势!$F$38:$ACK$38))-COLUMN(指数走势!$F$38)+1-760+448)))</f>
        <v>23.2255992889404</v>
      </c>
      <c r="QH102">
        <f>IF(ISERROR(INDEX(指数走势!$F$38:$ACK$38,1,LOOKUP(2,1/(指数走势!$F$38:$ACK$38&lt;&gt;""),COLUMN(指数走势!$F$38:$ACK$38))-COLUMN(指数走势!$F$38)+1-760+449)),NA(),IF(INDEX(指数走势!$F$38:$ACK$38,1,LOOKUP(2,1/(指数走势!$F$38:$ACK$38&lt;&gt;""),COLUMN(指数走势!$F$38:$ACK$38))-COLUMN(指数走势!$F$38)+1-760+449)=0,NA(),INDEX(指数走势!$F$38:$ACK$38,1,LOOKUP(2,1/(指数走势!$F$38:$ACK$38&lt;&gt;""),COLUMN(指数走势!$F$38:$ACK$38))-COLUMN(指数走势!$F$38)+1-760+449)))</f>
        <v>23.5039005279541</v>
      </c>
      <c r="QI102">
        <f>IF(ISERROR(INDEX(指数走势!$F$38:$ACK$38,1,LOOKUP(2,1/(指数走势!$F$38:$ACK$38&lt;&gt;""),COLUMN(指数走势!$F$38:$ACK$38))-COLUMN(指数走势!$F$38)+1-760+450)),NA(),IF(INDEX(指数走势!$F$38:$ACK$38,1,LOOKUP(2,1/(指数走势!$F$38:$ACK$38&lt;&gt;""),COLUMN(指数走势!$F$38:$ACK$38))-COLUMN(指数走势!$F$38)+1-760+450)=0,NA(),INDEX(指数走势!$F$38:$ACK$38,1,LOOKUP(2,1/(指数走势!$F$38:$ACK$38&lt;&gt;""),COLUMN(指数走势!$F$38:$ACK$38))-COLUMN(指数走势!$F$38)+1-760+450)))</f>
        <v>22.743200302124</v>
      </c>
      <c r="QJ102">
        <f>IF(ISERROR(INDEX(指数走势!$F$38:$ACK$38,1,LOOKUP(2,1/(指数走势!$F$38:$ACK$38&lt;&gt;""),COLUMN(指数走势!$F$38:$ACK$38))-COLUMN(指数走势!$F$38)+1-760+451)),NA(),IF(INDEX(指数走势!$F$38:$ACK$38,1,LOOKUP(2,1/(指数走势!$F$38:$ACK$38&lt;&gt;""),COLUMN(指数走势!$F$38:$ACK$38))-COLUMN(指数走势!$F$38)+1-760+451)=0,NA(),INDEX(指数走势!$F$38:$ACK$38,1,LOOKUP(2,1/(指数走势!$F$38:$ACK$38&lt;&gt;""),COLUMN(指数走势!$F$38:$ACK$38))-COLUMN(指数走势!$F$38)+1-760+451)))</f>
        <v>22.8936004638672</v>
      </c>
      <c r="QK102">
        <f>IF(ISERROR(INDEX(指数走势!$F$38:$ACK$38,1,LOOKUP(2,1/(指数走势!$F$38:$ACK$38&lt;&gt;""),COLUMN(指数走势!$F$38:$ACK$38))-COLUMN(指数走势!$F$38)+1-760+452)),NA(),IF(INDEX(指数走势!$F$38:$ACK$38,1,LOOKUP(2,1/(指数走势!$F$38:$ACK$38&lt;&gt;""),COLUMN(指数走势!$F$38:$ACK$38))-COLUMN(指数走势!$F$38)+1-760+452)=0,NA(),INDEX(指数走势!$F$38:$ACK$38,1,LOOKUP(2,1/(指数走势!$F$38:$ACK$38&lt;&gt;""),COLUMN(指数走势!$F$38:$ACK$38))-COLUMN(指数走势!$F$38)+1-760+452)))</f>
        <v>22.9747009277344</v>
      </c>
      <c r="QL102">
        <f>IF(ISERROR(INDEX(指数走势!$F$38:$ACK$38,1,LOOKUP(2,1/(指数走势!$F$38:$ACK$38&lt;&gt;""),COLUMN(指数走势!$F$38:$ACK$38))-COLUMN(指数走势!$F$38)+1-760+453)),NA(),IF(INDEX(指数走势!$F$38:$ACK$38,1,LOOKUP(2,1/(指数走势!$F$38:$ACK$38&lt;&gt;""),COLUMN(指数走势!$F$38:$ACK$38))-COLUMN(指数走势!$F$38)+1-760+453)=0,NA(),INDEX(指数走势!$F$38:$ACK$38,1,LOOKUP(2,1/(指数走势!$F$38:$ACK$38&lt;&gt;""),COLUMN(指数走势!$F$38:$ACK$38))-COLUMN(指数走势!$F$38)+1-760+453)))</f>
        <v>22.8293991088867</v>
      </c>
      <c r="QM102">
        <f>IF(ISERROR(INDEX(指数走势!$F$38:$ACK$38,1,LOOKUP(2,1/(指数走势!$F$38:$ACK$38&lt;&gt;""),COLUMN(指数走势!$F$38:$ACK$38))-COLUMN(指数走势!$F$38)+1-760+454)),NA(),IF(INDEX(指数走势!$F$38:$ACK$38,1,LOOKUP(2,1/(指数走势!$F$38:$ACK$38&lt;&gt;""),COLUMN(指数走势!$F$38:$ACK$38))-COLUMN(指数走势!$F$38)+1-760+454)=0,NA(),INDEX(指数走势!$F$38:$ACK$38,1,LOOKUP(2,1/(指数走势!$F$38:$ACK$38&lt;&gt;""),COLUMN(指数走势!$F$38:$ACK$38))-COLUMN(指数走势!$F$38)+1-760+454)))</f>
        <v>22.3987998962402</v>
      </c>
      <c r="QN102">
        <f>IF(ISERROR(INDEX(指数走势!$F$38:$ACK$38,1,LOOKUP(2,1/(指数走势!$F$38:$ACK$38&lt;&gt;""),COLUMN(指数走势!$F$38:$ACK$38))-COLUMN(指数走势!$F$38)+1-760+455)),NA(),IF(INDEX(指数走势!$F$38:$ACK$38,1,LOOKUP(2,1/(指数走势!$F$38:$ACK$38&lt;&gt;""),COLUMN(指数走势!$F$38:$ACK$38))-COLUMN(指数走势!$F$38)+1-760+455)=0,NA(),INDEX(指数走势!$F$38:$ACK$38,1,LOOKUP(2,1/(指数走势!$F$38:$ACK$38&lt;&gt;""),COLUMN(指数走势!$F$38:$ACK$38))-COLUMN(指数走势!$F$38)+1-760+455)))</f>
        <v>22.5058994293213</v>
      </c>
      <c r="QO102">
        <f>IF(ISERROR(INDEX(指数走势!$F$38:$ACK$38,1,LOOKUP(2,1/(指数走势!$F$38:$ACK$38&lt;&gt;""),COLUMN(指数走势!$F$38:$ACK$38))-COLUMN(指数走势!$F$38)+1-760+456)),NA(),IF(INDEX(指数走势!$F$38:$ACK$38,1,LOOKUP(2,1/(指数走势!$F$38:$ACK$38&lt;&gt;""),COLUMN(指数走势!$F$38:$ACK$38))-COLUMN(指数走势!$F$38)+1-760+456)=0,NA(),INDEX(指数走势!$F$38:$ACK$38,1,LOOKUP(2,1/(指数走势!$F$38:$ACK$38&lt;&gt;""),COLUMN(指数走势!$F$38:$ACK$38))-COLUMN(指数走势!$F$38)+1-760+456)))</f>
        <v>22.4838008880615</v>
      </c>
      <c r="QP102">
        <f>IF(ISERROR(INDEX(指数走势!$F$38:$ACK$38,1,LOOKUP(2,1/(指数走势!$F$38:$ACK$38&lt;&gt;""),COLUMN(指数走势!$F$38:$ACK$38))-COLUMN(指数走势!$F$38)+1-760+457)),NA(),IF(INDEX(指数走势!$F$38:$ACK$38,1,LOOKUP(2,1/(指数走势!$F$38:$ACK$38&lt;&gt;""),COLUMN(指数走势!$F$38:$ACK$38))-COLUMN(指数走势!$F$38)+1-760+457)=0,NA(),INDEX(指数走势!$F$38:$ACK$38,1,LOOKUP(2,1/(指数走势!$F$38:$ACK$38&lt;&gt;""),COLUMN(指数走势!$F$38:$ACK$38))-COLUMN(指数走势!$F$38)+1-760+457)))</f>
        <v>22.0324993133545</v>
      </c>
      <c r="QQ102">
        <f>IF(ISERROR(INDEX(指数走势!$F$38:$ACK$38,1,LOOKUP(2,1/(指数走势!$F$38:$ACK$38&lt;&gt;""),COLUMN(指数走势!$F$38:$ACK$38))-COLUMN(指数走势!$F$38)+1-760+458)),NA(),IF(INDEX(指数走势!$F$38:$ACK$38,1,LOOKUP(2,1/(指数走势!$F$38:$ACK$38&lt;&gt;""),COLUMN(指数走势!$F$38:$ACK$38))-COLUMN(指数走势!$F$38)+1-760+458)=0,NA(),INDEX(指数走势!$F$38:$ACK$38,1,LOOKUP(2,1/(指数走势!$F$38:$ACK$38&lt;&gt;""),COLUMN(指数走势!$F$38:$ACK$38))-COLUMN(指数走势!$F$38)+1-760+458)))</f>
        <v>18.5748996734619</v>
      </c>
      <c r="QR102">
        <f>IF(ISERROR(INDEX(指数走势!$F$38:$ACK$38,1,LOOKUP(2,1/(指数走势!$F$38:$ACK$38&lt;&gt;""),COLUMN(指数走势!$F$38:$ACK$38))-COLUMN(指数走势!$F$38)+1-760+459)),NA(),IF(INDEX(指数走势!$F$38:$ACK$38,1,LOOKUP(2,1/(指数走势!$F$38:$ACK$38&lt;&gt;""),COLUMN(指数走势!$F$38:$ACK$38))-COLUMN(指数走势!$F$38)+1-760+459)=0,NA(),INDEX(指数走势!$F$38:$ACK$38,1,LOOKUP(2,1/(指数走势!$F$38:$ACK$38&lt;&gt;""),COLUMN(指数走势!$F$38:$ACK$38))-COLUMN(指数走势!$F$38)+1-760+459)))</f>
        <v>19.1261005401611</v>
      </c>
      <c r="QS102">
        <f>IF(ISERROR(INDEX(指数走势!$F$38:$ACK$38,1,LOOKUP(2,1/(指数走势!$F$38:$ACK$38&lt;&gt;""),COLUMN(指数走势!$F$38:$ACK$38))-COLUMN(指数走势!$F$38)+1-760+460)),NA(),IF(INDEX(指数走势!$F$38:$ACK$38,1,LOOKUP(2,1/(指数走势!$F$38:$ACK$38&lt;&gt;""),COLUMN(指数走势!$F$38:$ACK$38))-COLUMN(指数走势!$F$38)+1-760+460)=0,NA(),INDEX(指数走势!$F$38:$ACK$38,1,LOOKUP(2,1/(指数走势!$F$38:$ACK$38&lt;&gt;""),COLUMN(指数走势!$F$38:$ACK$38))-COLUMN(指数走势!$F$38)+1-760+460)))</f>
        <v>19.4902992248535</v>
      </c>
      <c r="QT102">
        <f>IF(ISERROR(INDEX(指数走势!$F$38:$ACK$38,1,LOOKUP(2,1/(指数走势!$F$38:$ACK$38&lt;&gt;""),COLUMN(指数走势!$F$38:$ACK$38))-COLUMN(指数走势!$F$38)+1-760+461)),NA(),IF(INDEX(指数走势!$F$38:$ACK$38,1,LOOKUP(2,1/(指数走势!$F$38:$ACK$38&lt;&gt;""),COLUMN(指数走势!$F$38:$ACK$38))-COLUMN(指数走势!$F$38)+1-760+461)=0,NA(),INDEX(指数走势!$F$38:$ACK$38,1,LOOKUP(2,1/(指数走势!$F$38:$ACK$38&lt;&gt;""),COLUMN(指数走势!$F$38:$ACK$38))-COLUMN(指数走势!$F$38)+1-760+461)))</f>
        <v>19.8181991577148</v>
      </c>
      <c r="QU102">
        <f>IF(ISERROR(INDEX(指数走势!$F$38:$ACK$38,1,LOOKUP(2,1/(指数走势!$F$38:$ACK$38&lt;&gt;""),COLUMN(指数走势!$F$38:$ACK$38))-COLUMN(指数走势!$F$38)+1-760+462)),NA(),IF(INDEX(指数走势!$F$38:$ACK$38,1,LOOKUP(2,1/(指数走势!$F$38:$ACK$38&lt;&gt;""),COLUMN(指数走势!$F$38:$ACK$38))-COLUMN(指数走势!$F$38)+1-760+462)=0,NA(),INDEX(指数走势!$F$38:$ACK$38,1,LOOKUP(2,1/(指数走势!$F$38:$ACK$38&lt;&gt;""),COLUMN(指数走势!$F$38:$ACK$38))-COLUMN(指数走势!$F$38)+1-760+462)))</f>
        <v>19.9209003448486</v>
      </c>
      <c r="QV102">
        <f>IF(ISERROR(INDEX(指数走势!$F$38:$ACK$38,1,LOOKUP(2,1/(指数走势!$F$38:$ACK$38&lt;&gt;""),COLUMN(指数走势!$F$38:$ACK$38))-COLUMN(指数走势!$F$38)+1-760+463)),NA(),IF(INDEX(指数走势!$F$38:$ACK$38,1,LOOKUP(2,1/(指数走势!$F$38:$ACK$38&lt;&gt;""),COLUMN(指数走势!$F$38:$ACK$38))-COLUMN(指数走势!$F$38)+1-760+463)=0,NA(),INDEX(指数走势!$F$38:$ACK$38,1,LOOKUP(2,1/(指数走势!$F$38:$ACK$38&lt;&gt;""),COLUMN(指数走势!$F$38:$ACK$38))-COLUMN(指数走势!$F$38)+1-760+463)))</f>
        <v>20.3598003387451</v>
      </c>
      <c r="QW102">
        <f>IF(ISERROR(INDEX(指数走势!$F$38:$ACK$38,1,LOOKUP(2,1/(指数走势!$F$38:$ACK$38&lt;&gt;""),COLUMN(指数走势!$F$38:$ACK$38))-COLUMN(指数走势!$F$38)+1-760+464)),NA(),IF(INDEX(指数走势!$F$38:$ACK$38,1,LOOKUP(2,1/(指数走势!$F$38:$ACK$38&lt;&gt;""),COLUMN(指数走势!$F$38:$ACK$38))-COLUMN(指数走势!$F$38)+1-760+464)=0,NA(),INDEX(指数走势!$F$38:$ACK$38,1,LOOKUP(2,1/(指数走势!$F$38:$ACK$38&lt;&gt;""),COLUMN(指数走势!$F$38:$ACK$38))-COLUMN(指数走势!$F$38)+1-760+464)))</f>
        <v>20.3917999267578</v>
      </c>
      <c r="QX102">
        <f>IF(ISERROR(INDEX(指数走势!$F$38:$ACK$38,1,LOOKUP(2,1/(指数走势!$F$38:$ACK$38&lt;&gt;""),COLUMN(指数走势!$F$38:$ACK$38))-COLUMN(指数走势!$F$38)+1-760+465)),NA(),IF(INDEX(指数走势!$F$38:$ACK$38,1,LOOKUP(2,1/(指数走势!$F$38:$ACK$38&lt;&gt;""),COLUMN(指数走势!$F$38:$ACK$38))-COLUMN(指数走势!$F$38)+1-760+465)=0,NA(),INDEX(指数走势!$F$38:$ACK$38,1,LOOKUP(2,1/(指数走势!$F$38:$ACK$38&lt;&gt;""),COLUMN(指数走势!$F$38:$ACK$38))-COLUMN(指数走势!$F$38)+1-760+465)))</f>
        <v>19.7409000396729</v>
      </c>
      <c r="QY102">
        <f>IF(ISERROR(INDEX(指数走势!$F$38:$ACK$38,1,LOOKUP(2,1/(指数走势!$F$38:$ACK$38&lt;&gt;""),COLUMN(指数走势!$F$38:$ACK$38))-COLUMN(指数走势!$F$38)+1-760+466)),NA(),IF(INDEX(指数走势!$F$38:$ACK$38,1,LOOKUP(2,1/(指数走势!$F$38:$ACK$38&lt;&gt;""),COLUMN(指数走势!$F$38:$ACK$38))-COLUMN(指数走势!$F$38)+1-760+466)=0,NA(),INDEX(指数走势!$F$38:$ACK$38,1,LOOKUP(2,1/(指数走势!$F$38:$ACK$38&lt;&gt;""),COLUMN(指数走势!$F$38:$ACK$38))-COLUMN(指数走势!$F$38)+1-760+466)))</f>
        <v>20.1611995697021</v>
      </c>
      <c r="QZ102">
        <f>IF(ISERROR(INDEX(指数走势!$F$38:$ACK$38,1,LOOKUP(2,1/(指数走势!$F$38:$ACK$38&lt;&gt;""),COLUMN(指数走势!$F$38:$ACK$38))-COLUMN(指数走势!$F$38)+1-760+467)),NA(),IF(INDEX(指数走势!$F$38:$ACK$38,1,LOOKUP(2,1/(指数走势!$F$38:$ACK$38&lt;&gt;""),COLUMN(指数走势!$F$38:$ACK$38))-COLUMN(指数走势!$F$38)+1-760+467)=0,NA(),INDEX(指数走势!$F$38:$ACK$38,1,LOOKUP(2,1/(指数走势!$F$38:$ACK$38&lt;&gt;""),COLUMN(指数走势!$F$38:$ACK$38))-COLUMN(指数走势!$F$38)+1-760+467)))</f>
        <v>20.1611995697021</v>
      </c>
      <c r="RA102">
        <f>IF(ISERROR(INDEX(指数走势!$F$38:$ACK$38,1,LOOKUP(2,1/(指数走势!$F$38:$ACK$38&lt;&gt;""),COLUMN(指数走势!$F$38:$ACK$38))-COLUMN(指数走势!$F$38)+1-760+468)),NA(),IF(INDEX(指数走势!$F$38:$ACK$38,1,LOOKUP(2,1/(指数走势!$F$38:$ACK$38&lt;&gt;""),COLUMN(指数走势!$F$38:$ACK$38))-COLUMN(指数走势!$F$38)+1-760+468)=0,NA(),INDEX(指数走势!$F$38:$ACK$38,1,LOOKUP(2,1/(指数走势!$F$38:$ACK$38&lt;&gt;""),COLUMN(指数走势!$F$38:$ACK$38))-COLUMN(指数走势!$F$38)+1-760+468)))</f>
        <v>20.1611995697021</v>
      </c>
      <c r="RB102">
        <f>IF(ISERROR(INDEX(指数走势!$F$38:$ACK$38,1,LOOKUP(2,1/(指数走势!$F$38:$ACK$38&lt;&gt;""),COLUMN(指数走势!$F$38:$ACK$38))-COLUMN(指数走势!$F$38)+1-760+469)),NA(),IF(INDEX(指数走势!$F$38:$ACK$38,1,LOOKUP(2,1/(指数走势!$F$38:$ACK$38&lt;&gt;""),COLUMN(指数走势!$F$38:$ACK$38))-COLUMN(指数走势!$F$38)+1-760+469)=0,NA(),INDEX(指数走势!$F$38:$ACK$38,1,LOOKUP(2,1/(指数走势!$F$38:$ACK$38&lt;&gt;""),COLUMN(指数走势!$F$38:$ACK$38))-COLUMN(指数走势!$F$38)+1-760+469)))</f>
        <v>20.2672004699707</v>
      </c>
      <c r="RC102">
        <f>IF(ISERROR(INDEX(指数走势!$F$38:$ACK$38,1,LOOKUP(2,1/(指数走势!$F$38:$ACK$38&lt;&gt;""),COLUMN(指数走势!$F$38:$ACK$38))-COLUMN(指数走势!$F$38)+1-760+470)),NA(),IF(INDEX(指数走势!$F$38:$ACK$38,1,LOOKUP(2,1/(指数走势!$F$38:$ACK$38&lt;&gt;""),COLUMN(指数走势!$F$38:$ACK$38))-COLUMN(指数走势!$F$38)+1-760+470)=0,NA(),INDEX(指数走势!$F$38:$ACK$38,1,LOOKUP(2,1/(指数走势!$F$38:$ACK$38&lt;&gt;""),COLUMN(指数走势!$F$38:$ACK$38))-COLUMN(指数走势!$F$38)+1-760+470)))</f>
        <v>20.9608001708984</v>
      </c>
      <c r="RD102">
        <f>IF(ISERROR(INDEX(指数走势!$F$38:$ACK$38,1,LOOKUP(2,1/(指数走势!$F$38:$ACK$38&lt;&gt;""),COLUMN(指数走势!$F$38:$ACK$38))-COLUMN(指数走势!$F$38)+1-760+471)),NA(),IF(INDEX(指数走势!$F$38:$ACK$38,1,LOOKUP(2,1/(指数走势!$F$38:$ACK$38&lt;&gt;""),COLUMN(指数走势!$F$38:$ACK$38))-COLUMN(指数走势!$F$38)+1-760+471)=0,NA(),INDEX(指数走势!$F$38:$ACK$38,1,LOOKUP(2,1/(指数走势!$F$38:$ACK$38&lt;&gt;""),COLUMN(指数走势!$F$38:$ACK$38))-COLUMN(指数走势!$F$38)+1-760+471)))</f>
        <v>20.7329006195068</v>
      </c>
      <c r="RE102">
        <f>IF(ISERROR(INDEX(指数走势!$F$38:$ACK$38,1,LOOKUP(2,1/(指数走势!$F$38:$ACK$38&lt;&gt;""),COLUMN(指数走势!$F$38:$ACK$38))-COLUMN(指数走势!$F$38)+1-760+472)),NA(),IF(INDEX(指数走势!$F$38:$ACK$38,1,LOOKUP(2,1/(指数走势!$F$38:$ACK$38&lt;&gt;""),COLUMN(指数走势!$F$38:$ACK$38))-COLUMN(指数走势!$F$38)+1-760+472)=0,NA(),INDEX(指数走势!$F$38:$ACK$38,1,LOOKUP(2,1/(指数走势!$F$38:$ACK$38&lt;&gt;""),COLUMN(指数走势!$F$38:$ACK$38))-COLUMN(指数走势!$F$38)+1-760+472)))</f>
        <v>20.8983001708984</v>
      </c>
      <c r="RF102">
        <f>IF(ISERROR(INDEX(指数走势!$F$38:$ACK$38,1,LOOKUP(2,1/(指数走势!$F$38:$ACK$38&lt;&gt;""),COLUMN(指数走势!$F$38:$ACK$38))-COLUMN(指数走势!$F$38)+1-760+473)),NA(),IF(INDEX(指数走势!$F$38:$ACK$38,1,LOOKUP(2,1/(指数走势!$F$38:$ACK$38&lt;&gt;""),COLUMN(指数走势!$F$38:$ACK$38))-COLUMN(指数走势!$F$38)+1-760+473)=0,NA(),INDEX(指数走势!$F$38:$ACK$38,1,LOOKUP(2,1/(指数走势!$F$38:$ACK$38&lt;&gt;""),COLUMN(指数走势!$F$38:$ACK$38))-COLUMN(指数走势!$F$38)+1-760+473)))</f>
        <v>20.9043006896973</v>
      </c>
      <c r="RG102">
        <f>IF(ISERROR(INDEX(指数走势!$F$38:$ACK$38,1,LOOKUP(2,1/(指数走势!$F$38:$ACK$38&lt;&gt;""),COLUMN(指数走势!$F$38:$ACK$38))-COLUMN(指数走势!$F$38)+1-760+474)),NA(),IF(INDEX(指数走势!$F$38:$ACK$38,1,LOOKUP(2,1/(指数走势!$F$38:$ACK$38&lt;&gt;""),COLUMN(指数走势!$F$38:$ACK$38))-COLUMN(指数走势!$F$38)+1-760+474)=0,NA(),INDEX(指数走势!$F$38:$ACK$38,1,LOOKUP(2,1/(指数走势!$F$38:$ACK$38&lt;&gt;""),COLUMN(指数走势!$F$38:$ACK$38))-COLUMN(指数走势!$F$38)+1-760+474)))</f>
        <v>20.7819995880127</v>
      </c>
      <c r="RH102">
        <f>IF(ISERROR(INDEX(指数走势!$F$38:$ACK$38,1,LOOKUP(2,1/(指数走势!$F$38:$ACK$38&lt;&gt;""),COLUMN(指数走势!$F$38:$ACK$38))-COLUMN(指数走势!$F$38)+1-760+475)),NA(),IF(INDEX(指数走势!$F$38:$ACK$38,1,LOOKUP(2,1/(指数走势!$F$38:$ACK$38&lt;&gt;""),COLUMN(指数走势!$F$38:$ACK$38))-COLUMN(指数走势!$F$38)+1-760+475)=0,NA(),INDEX(指数走势!$F$38:$ACK$38,1,LOOKUP(2,1/(指数走势!$F$38:$ACK$38&lt;&gt;""),COLUMN(指数走势!$F$38:$ACK$38))-COLUMN(指数走势!$F$38)+1-760+475)))</f>
        <v>21.065299987793</v>
      </c>
      <c r="RI102">
        <f>IF(ISERROR(INDEX(指数走势!$F$38:$ACK$38,1,LOOKUP(2,1/(指数走势!$F$38:$ACK$38&lt;&gt;""),COLUMN(指数走势!$F$38:$ACK$38))-COLUMN(指数走势!$F$38)+1-760+476)),NA(),IF(INDEX(指数走势!$F$38:$ACK$38,1,LOOKUP(2,1/(指数走势!$F$38:$ACK$38&lt;&gt;""),COLUMN(指数走势!$F$38:$ACK$38))-COLUMN(指数走势!$F$38)+1-760+476)=0,NA(),INDEX(指数走势!$F$38:$ACK$38,1,LOOKUP(2,1/(指数走势!$F$38:$ACK$38&lt;&gt;""),COLUMN(指数走势!$F$38:$ACK$38))-COLUMN(指数走势!$F$38)+1-760+476)))</f>
        <v>21.818000793457</v>
      </c>
      <c r="RJ102">
        <f>IF(ISERROR(INDEX(指数走势!$F$38:$ACK$38,1,LOOKUP(2,1/(指数走势!$F$38:$ACK$38&lt;&gt;""),COLUMN(指数走势!$F$38:$ACK$38))-COLUMN(指数走势!$F$38)+1-760+477)),NA(),IF(INDEX(指数走势!$F$38:$ACK$38,1,LOOKUP(2,1/(指数走势!$F$38:$ACK$38&lt;&gt;""),COLUMN(指数走势!$F$38:$ACK$38))-COLUMN(指数走势!$F$38)+1-760+477)=0,NA(),INDEX(指数走势!$F$38:$ACK$38,1,LOOKUP(2,1/(指数走势!$F$38:$ACK$38&lt;&gt;""),COLUMN(指数走势!$F$38:$ACK$38))-COLUMN(指数走势!$F$38)+1-760+477)))</f>
        <v>21.569299697876</v>
      </c>
      <c r="RK102">
        <f>IF(ISERROR(INDEX(指数走势!$F$38:$ACK$38,1,LOOKUP(2,1/(指数走势!$F$38:$ACK$38&lt;&gt;""),COLUMN(指数走势!$F$38:$ACK$38))-COLUMN(指数走势!$F$38)+1-760+478)),NA(),IF(INDEX(指数走势!$F$38:$ACK$38,1,LOOKUP(2,1/(指数走势!$F$38:$ACK$38&lt;&gt;""),COLUMN(指数走势!$F$38:$ACK$38))-COLUMN(指数走势!$F$38)+1-760+478)=0,NA(),INDEX(指数走势!$F$38:$ACK$38,1,LOOKUP(2,1/(指数走势!$F$38:$ACK$38&lt;&gt;""),COLUMN(指数走势!$F$38:$ACK$38))-COLUMN(指数走势!$F$38)+1-760+478)))</f>
        <v>21.7341995239258</v>
      </c>
      <c r="RL102">
        <f>IF(ISERROR(INDEX(指数走势!$F$38:$ACK$38,1,LOOKUP(2,1/(指数走势!$F$38:$ACK$38&lt;&gt;""),COLUMN(指数走势!$F$38:$ACK$38))-COLUMN(指数走势!$F$38)+1-760+479)),NA(),IF(INDEX(指数走势!$F$38:$ACK$38,1,LOOKUP(2,1/(指数走势!$F$38:$ACK$38&lt;&gt;""),COLUMN(指数走势!$F$38:$ACK$38))-COLUMN(指数走势!$F$38)+1-760+479)=0,NA(),INDEX(指数走势!$F$38:$ACK$38,1,LOOKUP(2,1/(指数走势!$F$38:$ACK$38&lt;&gt;""),COLUMN(指数走势!$F$38:$ACK$38))-COLUMN(指数走势!$F$38)+1-760+479)))</f>
        <v>21.6895008087158</v>
      </c>
      <c r="RM102">
        <f>IF(ISERROR(INDEX(指数走势!$F$38:$ACK$38,1,LOOKUP(2,1/(指数走势!$F$38:$ACK$38&lt;&gt;""),COLUMN(指数走势!$F$38:$ACK$38))-COLUMN(指数走势!$F$38)+1-760+480)),NA(),IF(INDEX(指数走势!$F$38:$ACK$38,1,LOOKUP(2,1/(指数走势!$F$38:$ACK$38&lt;&gt;""),COLUMN(指数走势!$F$38:$ACK$38))-COLUMN(指数走势!$F$38)+1-760+480)=0,NA(),INDEX(指数走势!$F$38:$ACK$38,1,LOOKUP(2,1/(指数走势!$F$38:$ACK$38&lt;&gt;""),COLUMN(指数走势!$F$38:$ACK$38))-COLUMN(指数走势!$F$38)+1-760+480)))</f>
        <v>22.6494007110596</v>
      </c>
      <c r="RN102">
        <f>IF(ISERROR(INDEX(指数走势!$F$38:$ACK$38,1,LOOKUP(2,1/(指数走势!$F$38:$ACK$38&lt;&gt;""),COLUMN(指数走势!$F$38:$ACK$38))-COLUMN(指数走势!$F$38)+1-760+481)),NA(),IF(INDEX(指数走势!$F$38:$ACK$38,1,LOOKUP(2,1/(指数走势!$F$38:$ACK$38&lt;&gt;""),COLUMN(指数走势!$F$38:$ACK$38))-COLUMN(指数走势!$F$38)+1-760+481)=0,NA(),INDEX(指数走势!$F$38:$ACK$38,1,LOOKUP(2,1/(指数走势!$F$38:$ACK$38&lt;&gt;""),COLUMN(指数走势!$F$38:$ACK$38))-COLUMN(指数走势!$F$38)+1-760+481)))</f>
        <v>21.7268009185791</v>
      </c>
      <c r="RO102">
        <f>IF(ISERROR(INDEX(指数走势!$F$38:$ACK$38,1,LOOKUP(2,1/(指数走势!$F$38:$ACK$38&lt;&gt;""),COLUMN(指数走势!$F$38:$ACK$38))-COLUMN(指数走势!$F$38)+1-760+482)),NA(),IF(INDEX(指数走势!$F$38:$ACK$38,1,LOOKUP(2,1/(指数走势!$F$38:$ACK$38&lt;&gt;""),COLUMN(指数走势!$F$38:$ACK$38))-COLUMN(指数走势!$F$38)+1-760+482)=0,NA(),INDEX(指数走势!$F$38:$ACK$38,1,LOOKUP(2,1/(指数走势!$F$38:$ACK$38&lt;&gt;""),COLUMN(指数走势!$F$38:$ACK$38))-COLUMN(指数走势!$F$38)+1-760+482)))</f>
        <v>22.0501003265381</v>
      </c>
      <c r="RP102">
        <f>IF(ISERROR(INDEX(指数走势!$F$38:$ACK$38,1,LOOKUP(2,1/(指数走势!$F$38:$ACK$38&lt;&gt;""),COLUMN(指数走势!$F$38:$ACK$38))-COLUMN(指数走势!$F$38)+1-760+483)),NA(),IF(INDEX(指数走势!$F$38:$ACK$38,1,LOOKUP(2,1/(指数走势!$F$38:$ACK$38&lt;&gt;""),COLUMN(指数走势!$F$38:$ACK$38))-COLUMN(指数走势!$F$38)+1-760+483)=0,NA(),INDEX(指数走势!$F$38:$ACK$38,1,LOOKUP(2,1/(指数走势!$F$38:$ACK$38&lt;&gt;""),COLUMN(指数走势!$F$38:$ACK$38))-COLUMN(指数走势!$F$38)+1-760+483)))</f>
        <v>21.4207992553711</v>
      </c>
      <c r="RQ102">
        <f>IF(ISERROR(INDEX(指数走势!$F$38:$ACK$38,1,LOOKUP(2,1/(指数走势!$F$38:$ACK$38&lt;&gt;""),COLUMN(指数走势!$F$38:$ACK$38))-COLUMN(指数走势!$F$38)+1-760+484)),NA(),IF(INDEX(指数走势!$F$38:$ACK$38,1,LOOKUP(2,1/(指数走势!$F$38:$ACK$38&lt;&gt;""),COLUMN(指数走势!$F$38:$ACK$38))-COLUMN(指数走势!$F$38)+1-760+484)=0,NA(),INDEX(指数走势!$F$38:$ACK$38,1,LOOKUP(2,1/(指数走势!$F$38:$ACK$38&lt;&gt;""),COLUMN(指数走势!$F$38:$ACK$38))-COLUMN(指数走势!$F$38)+1-760+484)))</f>
        <v>21.1590003967285</v>
      </c>
      <c r="RR102">
        <f>IF(ISERROR(INDEX(指数走势!$F$38:$ACK$38,1,LOOKUP(2,1/(指数走势!$F$38:$ACK$38&lt;&gt;""),COLUMN(指数走势!$F$38:$ACK$38))-COLUMN(指数走势!$F$38)+1-760+485)),NA(),IF(INDEX(指数走势!$F$38:$ACK$38,1,LOOKUP(2,1/(指数走势!$F$38:$ACK$38&lt;&gt;""),COLUMN(指数走势!$F$38:$ACK$38))-COLUMN(指数走势!$F$38)+1-760+485)=0,NA(),INDEX(指数走势!$F$38:$ACK$38,1,LOOKUP(2,1/(指数走势!$F$38:$ACK$38&lt;&gt;""),COLUMN(指数走势!$F$38:$ACK$38))-COLUMN(指数走势!$F$38)+1-760+485)))</f>
        <v>21.1721992492676</v>
      </c>
      <c r="RS102">
        <f>IF(ISERROR(INDEX(指数走势!$F$38:$ACK$38,1,LOOKUP(2,1/(指数走势!$F$38:$ACK$38&lt;&gt;""),COLUMN(指数走势!$F$38:$ACK$38))-COLUMN(指数走势!$F$38)+1-760+486)),NA(),IF(INDEX(指数走势!$F$38:$ACK$38,1,LOOKUP(2,1/(指数走势!$F$38:$ACK$38&lt;&gt;""),COLUMN(指数走势!$F$38:$ACK$38))-COLUMN(指数走势!$F$38)+1-760+486)=0,NA(),INDEX(指数走势!$F$38:$ACK$38,1,LOOKUP(2,1/(指数走势!$F$38:$ACK$38&lt;&gt;""),COLUMN(指数走势!$F$38:$ACK$38))-COLUMN(指数走势!$F$38)+1-760+486)))</f>
        <v>21.4375991821289</v>
      </c>
      <c r="RT102">
        <f>IF(ISERROR(INDEX(指数走势!$F$38:$ACK$38,1,LOOKUP(2,1/(指数走势!$F$38:$ACK$38&lt;&gt;""),COLUMN(指数走势!$F$38:$ACK$38))-COLUMN(指数走势!$F$38)+1-760+487)),NA(),IF(INDEX(指数走势!$F$38:$ACK$38,1,LOOKUP(2,1/(指数走势!$F$38:$ACK$38&lt;&gt;""),COLUMN(指数走势!$F$38:$ACK$38))-COLUMN(指数走势!$F$38)+1-760+487)=0,NA(),INDEX(指数走势!$F$38:$ACK$38,1,LOOKUP(2,1/(指数走势!$F$38:$ACK$38&lt;&gt;""),COLUMN(指数走势!$F$38:$ACK$38))-COLUMN(指数走势!$F$38)+1-760+487)))</f>
        <v>21.4456996917725</v>
      </c>
      <c r="RU102">
        <f>IF(ISERROR(INDEX(指数走势!$F$38:$ACK$38,1,LOOKUP(2,1/(指数走势!$F$38:$ACK$38&lt;&gt;""),COLUMN(指数走势!$F$38:$ACK$38))-COLUMN(指数走势!$F$38)+1-760+488)),NA(),IF(INDEX(指数走势!$F$38:$ACK$38,1,LOOKUP(2,1/(指数走势!$F$38:$ACK$38&lt;&gt;""),COLUMN(指数走势!$F$38:$ACK$38))-COLUMN(指数走势!$F$38)+1-760+488)=0,NA(),INDEX(指数走势!$F$38:$ACK$38,1,LOOKUP(2,1/(指数走势!$F$38:$ACK$38&lt;&gt;""),COLUMN(指数走势!$F$38:$ACK$38))-COLUMN(指数走势!$F$38)+1-760+488)))</f>
        <v>21.1455001831055</v>
      </c>
      <c r="RV102">
        <f>IF(ISERROR(INDEX(指数走势!$F$38:$ACK$38,1,LOOKUP(2,1/(指数走势!$F$38:$ACK$38&lt;&gt;""),COLUMN(指数走势!$F$38:$ACK$38))-COLUMN(指数走势!$F$38)+1-760+489)),NA(),IF(INDEX(指数走势!$F$38:$ACK$38,1,LOOKUP(2,1/(指数走势!$F$38:$ACK$38&lt;&gt;""),COLUMN(指数走势!$F$38:$ACK$38))-COLUMN(指数走势!$F$38)+1-760+489)=0,NA(),INDEX(指数走势!$F$38:$ACK$38,1,LOOKUP(2,1/(指数走势!$F$38:$ACK$38&lt;&gt;""),COLUMN(指数走势!$F$38:$ACK$38))-COLUMN(指数走势!$F$38)+1-760+489)))</f>
        <v>21.1558990478516</v>
      </c>
      <c r="RW102">
        <f>IF(ISERROR(INDEX(指数走势!$F$38:$ACK$38,1,LOOKUP(2,1/(指数走势!$F$38:$ACK$38&lt;&gt;""),COLUMN(指数走势!$F$38:$ACK$38))-COLUMN(指数走势!$F$38)+1-760+490)),NA(),IF(INDEX(指数走势!$F$38:$ACK$38,1,LOOKUP(2,1/(指数走势!$F$38:$ACK$38&lt;&gt;""),COLUMN(指数走势!$F$38:$ACK$38))-COLUMN(指数走势!$F$38)+1-760+490)=0,NA(),INDEX(指数走势!$F$38:$ACK$38,1,LOOKUP(2,1/(指数走势!$F$38:$ACK$38&lt;&gt;""),COLUMN(指数走势!$F$38:$ACK$38))-COLUMN(指数走势!$F$38)+1-760+490)))</f>
        <v>20.6229000091553</v>
      </c>
      <c r="RX102">
        <f>IF(ISERROR(INDEX(指数走势!$F$38:$ACK$38,1,LOOKUP(2,1/(指数走势!$F$38:$ACK$38&lt;&gt;""),COLUMN(指数走势!$F$38:$ACK$38))-COLUMN(指数走势!$F$38)+1-760+491)),NA(),IF(INDEX(指数走势!$F$38:$ACK$38,1,LOOKUP(2,1/(指数走势!$F$38:$ACK$38&lt;&gt;""),COLUMN(指数走势!$F$38:$ACK$38))-COLUMN(指数走势!$F$38)+1-760+491)=0,NA(),INDEX(指数走势!$F$38:$ACK$38,1,LOOKUP(2,1/(指数走势!$F$38:$ACK$38&lt;&gt;""),COLUMN(指数走势!$F$38:$ACK$38))-COLUMN(指数走势!$F$38)+1-760+491)))</f>
        <v>20.5263996124268</v>
      </c>
      <c r="RY102">
        <f>IF(ISERROR(INDEX(指数走势!$F$38:$ACK$38,1,LOOKUP(2,1/(指数走势!$F$38:$ACK$38&lt;&gt;""),COLUMN(指数走势!$F$38:$ACK$38))-COLUMN(指数走势!$F$38)+1-760+492)),NA(),IF(INDEX(指数走势!$F$38:$ACK$38,1,LOOKUP(2,1/(指数走势!$F$38:$ACK$38&lt;&gt;""),COLUMN(指数走势!$F$38:$ACK$38))-COLUMN(指数走势!$F$38)+1-760+492)=0,NA(),INDEX(指数走势!$F$38:$ACK$38,1,LOOKUP(2,1/(指数走势!$F$38:$ACK$38&lt;&gt;""),COLUMN(指数走势!$F$38:$ACK$38))-COLUMN(指数走势!$F$38)+1-760+492)))</f>
        <v>20.4043006896973</v>
      </c>
      <c r="RZ102">
        <f>IF(ISERROR(INDEX(指数走势!$F$38:$ACK$38,1,LOOKUP(2,1/(指数走势!$F$38:$ACK$38&lt;&gt;""),COLUMN(指数走势!$F$38:$ACK$38))-COLUMN(指数走势!$F$38)+1-760+493)),NA(),IF(INDEX(指数走势!$F$38:$ACK$38,1,LOOKUP(2,1/(指数走势!$F$38:$ACK$38&lt;&gt;""),COLUMN(指数走势!$F$38:$ACK$38))-COLUMN(指数走势!$F$38)+1-760+493)=0,NA(),INDEX(指数走势!$F$38:$ACK$38,1,LOOKUP(2,1/(指数走势!$F$38:$ACK$38&lt;&gt;""),COLUMN(指数走势!$F$38:$ACK$38))-COLUMN(指数走势!$F$38)+1-760+493)))</f>
        <v>20.763500213623</v>
      </c>
      <c r="SA102">
        <f>IF(ISERROR(INDEX(指数走势!$F$38:$ACK$38,1,LOOKUP(2,1/(指数走势!$F$38:$ACK$38&lt;&gt;""),COLUMN(指数走势!$F$38:$ACK$38))-COLUMN(指数走势!$F$38)+1-760+494)),NA(),IF(INDEX(指数走势!$F$38:$ACK$38,1,LOOKUP(2,1/(指数走势!$F$38:$ACK$38&lt;&gt;""),COLUMN(指数走势!$F$38:$ACK$38))-COLUMN(指数走势!$F$38)+1-760+494)=0,NA(),INDEX(指数走势!$F$38:$ACK$38,1,LOOKUP(2,1/(指数走势!$F$38:$ACK$38&lt;&gt;""),COLUMN(指数走势!$F$38:$ACK$38))-COLUMN(指数走势!$F$38)+1-760+494)))</f>
        <v>20.2215995788574</v>
      </c>
      <c r="SB102">
        <f>IF(ISERROR(INDEX(指数走势!$F$38:$ACK$38,1,LOOKUP(2,1/(指数走势!$F$38:$ACK$38&lt;&gt;""),COLUMN(指数走势!$F$38:$ACK$38))-COLUMN(指数走势!$F$38)+1-760+495)),NA(),IF(INDEX(指数走势!$F$38:$ACK$38,1,LOOKUP(2,1/(指数走势!$F$38:$ACK$38&lt;&gt;""),COLUMN(指数走势!$F$38:$ACK$38))-COLUMN(指数走势!$F$38)+1-760+495)=0,NA(),INDEX(指数走势!$F$38:$ACK$38,1,LOOKUP(2,1/(指数走势!$F$38:$ACK$38&lt;&gt;""),COLUMN(指数走势!$F$38:$ACK$38))-COLUMN(指数走势!$F$38)+1-760+495)))</f>
        <v>20.4270992279053</v>
      </c>
      <c r="SC102">
        <f>IF(ISERROR(INDEX(指数走势!$F$38:$ACK$38,1,LOOKUP(2,1/(指数走势!$F$38:$ACK$38&lt;&gt;""),COLUMN(指数走势!$F$38:$ACK$38))-COLUMN(指数走势!$F$38)+1-760+496)),NA(),IF(INDEX(指数走势!$F$38:$ACK$38,1,LOOKUP(2,1/(指数走势!$F$38:$ACK$38&lt;&gt;""),COLUMN(指数走势!$F$38:$ACK$38))-COLUMN(指数走势!$F$38)+1-760+496)=0,NA(),INDEX(指数走势!$F$38:$ACK$38,1,LOOKUP(2,1/(指数走势!$F$38:$ACK$38&lt;&gt;""),COLUMN(指数走势!$F$38:$ACK$38))-COLUMN(指数走势!$F$38)+1-760+496)))</f>
        <v>20.5816993713379</v>
      </c>
      <c r="SD102">
        <f>IF(ISERROR(INDEX(指数走势!$F$38:$ACK$38,1,LOOKUP(2,1/(指数走势!$F$38:$ACK$38&lt;&gt;""),COLUMN(指数走势!$F$38:$ACK$38))-COLUMN(指数走势!$F$38)+1-760+497)),NA(),IF(INDEX(指数走势!$F$38:$ACK$38,1,LOOKUP(2,1/(指数走势!$F$38:$ACK$38&lt;&gt;""),COLUMN(指数走势!$F$38:$ACK$38))-COLUMN(指数走势!$F$38)+1-760+497)=0,NA(),INDEX(指数走势!$F$38:$ACK$38,1,LOOKUP(2,1/(指数走势!$F$38:$ACK$38&lt;&gt;""),COLUMN(指数走势!$F$38:$ACK$38))-COLUMN(指数走势!$F$38)+1-760+497)))</f>
        <v>20.8740997314453</v>
      </c>
      <c r="SE102">
        <f>IF(ISERROR(INDEX(指数走势!$F$38:$ACK$38,1,LOOKUP(2,1/(指数走势!$F$38:$ACK$38&lt;&gt;""),COLUMN(指数走势!$F$38:$ACK$38))-COLUMN(指数走势!$F$38)+1-760+498)),NA(),IF(INDEX(指数走势!$F$38:$ACK$38,1,LOOKUP(2,1/(指数走势!$F$38:$ACK$38&lt;&gt;""),COLUMN(指数走势!$F$38:$ACK$38))-COLUMN(指数走势!$F$38)+1-760+498)=0,NA(),INDEX(指数走势!$F$38:$ACK$38,1,LOOKUP(2,1/(指数走势!$F$38:$ACK$38&lt;&gt;""),COLUMN(指数走势!$F$38:$ACK$38))-COLUMN(指数走势!$F$38)+1-760+498)))</f>
        <v>20.7157001495361</v>
      </c>
      <c r="SF102">
        <f>IF(ISERROR(INDEX(指数走势!$F$38:$ACK$38,1,LOOKUP(2,1/(指数走势!$F$38:$ACK$38&lt;&gt;""),COLUMN(指数走势!$F$38:$ACK$38))-COLUMN(指数走势!$F$38)+1-760+499)),NA(),IF(INDEX(指数走势!$F$38:$ACK$38,1,LOOKUP(2,1/(指数走势!$F$38:$ACK$38&lt;&gt;""),COLUMN(指数走势!$F$38:$ACK$38))-COLUMN(指数走势!$F$38)+1-760+499)=0,NA(),INDEX(指数走势!$F$38:$ACK$38,1,LOOKUP(2,1/(指数走势!$F$38:$ACK$38&lt;&gt;""),COLUMN(指数走势!$F$38:$ACK$38))-COLUMN(指数走势!$F$38)+1-760+499)))</f>
        <v>21.3521995544434</v>
      </c>
      <c r="SG102">
        <f>IF(ISERROR(INDEX(指数走势!$F$38:$ACK$38,1,LOOKUP(2,1/(指数走势!$F$38:$ACK$38&lt;&gt;""),COLUMN(指数走势!$F$38:$ACK$38))-COLUMN(指数走势!$F$38)+1-760+500)),NA(),IF(INDEX(指数走势!$F$38:$ACK$38,1,LOOKUP(2,1/(指数走势!$F$38:$ACK$38&lt;&gt;""),COLUMN(指数走势!$F$38:$ACK$38))-COLUMN(指数走势!$F$38)+1-760+500)=0,NA(),INDEX(指数走势!$F$38:$ACK$38,1,LOOKUP(2,1/(指数走势!$F$38:$ACK$38&lt;&gt;""),COLUMN(指数走势!$F$38:$ACK$38))-COLUMN(指数走势!$F$38)+1-760+500)))</f>
        <v>20.5373001098633</v>
      </c>
      <c r="SH102">
        <f>IF(ISERROR(INDEX(指数走势!$F$38:$ACK$38,1,LOOKUP(2,1/(指数走势!$F$38:$ACK$38&lt;&gt;""),COLUMN(指数走势!$F$38:$ACK$38))-COLUMN(指数走势!$F$38)+1-760+501)),NA(),IF(INDEX(指数走势!$F$38:$ACK$38,1,LOOKUP(2,1/(指数走势!$F$38:$ACK$38&lt;&gt;""),COLUMN(指数走势!$F$38:$ACK$38))-COLUMN(指数走势!$F$38)+1-760+501)=0,NA(),INDEX(指数走势!$F$38:$ACK$38,1,LOOKUP(2,1/(指数走势!$F$38:$ACK$38&lt;&gt;""),COLUMN(指数走势!$F$38:$ACK$38))-COLUMN(指数走势!$F$38)+1-760+501)))</f>
        <v>20.6984004974365</v>
      </c>
      <c r="SI102">
        <f>IF(ISERROR(INDEX(指数走势!$F$38:$ACK$38,1,LOOKUP(2,1/(指数走势!$F$38:$ACK$38&lt;&gt;""),COLUMN(指数走势!$F$38:$ACK$38))-COLUMN(指数走势!$F$38)+1-760+502)),NA(),IF(INDEX(指数走势!$F$38:$ACK$38,1,LOOKUP(2,1/(指数走势!$F$38:$ACK$38&lt;&gt;""),COLUMN(指数走势!$F$38:$ACK$38))-COLUMN(指数走势!$F$38)+1-760+502)=0,NA(),INDEX(指数走势!$F$38:$ACK$38,1,LOOKUP(2,1/(指数走势!$F$38:$ACK$38&lt;&gt;""),COLUMN(指数走势!$F$38:$ACK$38))-COLUMN(指数走势!$F$38)+1-760+502)))</f>
        <v>20.2721004486084</v>
      </c>
      <c r="SJ102">
        <f>IF(ISERROR(INDEX(指数走势!$F$38:$ACK$38,1,LOOKUP(2,1/(指数走势!$F$38:$ACK$38&lt;&gt;""),COLUMN(指数走势!$F$38:$ACK$38))-COLUMN(指数走势!$F$38)+1-760+503)),NA(),IF(INDEX(指数走势!$F$38:$ACK$38,1,LOOKUP(2,1/(指数走势!$F$38:$ACK$38&lt;&gt;""),COLUMN(指数走势!$F$38:$ACK$38))-COLUMN(指数走势!$F$38)+1-760+503)=0,NA(),INDEX(指数走势!$F$38:$ACK$38,1,LOOKUP(2,1/(指数走势!$F$38:$ACK$38&lt;&gt;""),COLUMN(指数走势!$F$38:$ACK$38))-COLUMN(指数走势!$F$38)+1-760+503)))</f>
        <v>20.0212001800537</v>
      </c>
      <c r="SK102">
        <f>IF(ISERROR(INDEX(指数走势!$F$38:$ACK$38,1,LOOKUP(2,1/(指数走势!$F$38:$ACK$38&lt;&gt;""),COLUMN(指数走势!$F$38:$ACK$38))-COLUMN(指数走势!$F$38)+1-760+504)),NA(),IF(INDEX(指数走势!$F$38:$ACK$38,1,LOOKUP(2,1/(指数走势!$F$38:$ACK$38&lt;&gt;""),COLUMN(指数走势!$F$38:$ACK$38))-COLUMN(指数走势!$F$38)+1-760+504)=0,NA(),INDEX(指数走势!$F$38:$ACK$38,1,LOOKUP(2,1/(指数走势!$F$38:$ACK$38&lt;&gt;""),COLUMN(指数走势!$F$38:$ACK$38))-COLUMN(指数走势!$F$38)+1-760+504)))</f>
        <v>20.1783008575439</v>
      </c>
      <c r="SL102">
        <f>IF(ISERROR(INDEX(指数走势!$F$38:$ACK$38,1,LOOKUP(2,1/(指数走势!$F$38:$ACK$38&lt;&gt;""),COLUMN(指数走势!$F$38:$ACK$38))-COLUMN(指数走势!$F$38)+1-760+505)),NA(),IF(INDEX(指数走势!$F$38:$ACK$38,1,LOOKUP(2,1/(指数走势!$F$38:$ACK$38&lt;&gt;""),COLUMN(指数走势!$F$38:$ACK$38))-COLUMN(指数走势!$F$38)+1-760+505)=0,NA(),INDEX(指数走势!$F$38:$ACK$38,1,LOOKUP(2,1/(指数走势!$F$38:$ACK$38&lt;&gt;""),COLUMN(指数走势!$F$38:$ACK$38))-COLUMN(指数走势!$F$38)+1-760+505)))</f>
        <v>20.2497005462646</v>
      </c>
      <c r="SM102">
        <f>IF(ISERROR(INDEX(指数走势!$F$38:$ACK$38,1,LOOKUP(2,1/(指数走势!$F$38:$ACK$38&lt;&gt;""),COLUMN(指数走势!$F$38:$ACK$38))-COLUMN(指数走势!$F$38)+1-760+506)),NA(),IF(INDEX(指数走势!$F$38:$ACK$38,1,LOOKUP(2,1/(指数走势!$F$38:$ACK$38&lt;&gt;""),COLUMN(指数走势!$F$38:$ACK$38))-COLUMN(指数走势!$F$38)+1-760+506)=0,NA(),INDEX(指数走势!$F$38:$ACK$38,1,LOOKUP(2,1/(指数走势!$F$38:$ACK$38&lt;&gt;""),COLUMN(指数走势!$F$38:$ACK$38))-COLUMN(指数走势!$F$38)+1-760+506)))</f>
        <v>19.9638996124268</v>
      </c>
      <c r="SN102">
        <f>IF(ISERROR(INDEX(指数走势!$F$38:$ACK$38,1,LOOKUP(2,1/(指数走势!$F$38:$ACK$38&lt;&gt;""),COLUMN(指数走势!$F$38:$ACK$38))-COLUMN(指数走势!$F$38)+1-760+507)),NA(),IF(INDEX(指数走势!$F$38:$ACK$38,1,LOOKUP(2,1/(指数走势!$F$38:$ACK$38&lt;&gt;""),COLUMN(指数走势!$F$38:$ACK$38))-COLUMN(指数走势!$F$38)+1-760+507)=0,NA(),INDEX(指数走势!$F$38:$ACK$38,1,LOOKUP(2,1/(指数走势!$F$38:$ACK$38&lt;&gt;""),COLUMN(指数走势!$F$38:$ACK$38))-COLUMN(指数走势!$F$38)+1-760+507)))</f>
        <v>19.5543003082275</v>
      </c>
      <c r="SO102">
        <f>IF(ISERROR(INDEX(指数走势!$F$38:$ACK$38,1,LOOKUP(2,1/(指数走势!$F$38:$ACK$38&lt;&gt;""),COLUMN(指数走势!$F$38:$ACK$38))-COLUMN(指数走势!$F$38)+1-760+508)),NA(),IF(INDEX(指数走势!$F$38:$ACK$38,1,LOOKUP(2,1/(指数走势!$F$38:$ACK$38&lt;&gt;""),COLUMN(指数走势!$F$38:$ACK$38))-COLUMN(指数走势!$F$38)+1-760+508)=0,NA(),INDEX(指数走势!$F$38:$ACK$38,1,LOOKUP(2,1/(指数走势!$F$38:$ACK$38&lt;&gt;""),COLUMN(指数走势!$F$38:$ACK$38))-COLUMN(指数走势!$F$38)+1-760+508)))</f>
        <v>19.779899597168</v>
      </c>
      <c r="SP102">
        <f>IF(ISERROR(INDEX(指数走势!$F$38:$ACK$38,1,LOOKUP(2,1/(指数走势!$F$38:$ACK$38&lt;&gt;""),COLUMN(指数走势!$F$38:$ACK$38))-COLUMN(指数走势!$F$38)+1-760+509)),NA(),IF(INDEX(指数走势!$F$38:$ACK$38,1,LOOKUP(2,1/(指数走势!$F$38:$ACK$38&lt;&gt;""),COLUMN(指数走势!$F$38:$ACK$38))-COLUMN(指数走势!$F$38)+1-760+509)=0,NA(),INDEX(指数走势!$F$38:$ACK$38,1,LOOKUP(2,1/(指数走势!$F$38:$ACK$38&lt;&gt;""),COLUMN(指数走势!$F$38:$ACK$38))-COLUMN(指数走势!$F$38)+1-760+509)))</f>
        <v>19.8488998413086</v>
      </c>
      <c r="SQ102">
        <f>IF(ISERROR(INDEX(指数走势!$F$38:$ACK$38,1,LOOKUP(2,1/(指数走势!$F$38:$ACK$38&lt;&gt;""),COLUMN(指数走势!$F$38:$ACK$38))-COLUMN(指数走势!$F$38)+1-760+510)),NA(),IF(INDEX(指数走势!$F$38:$ACK$38,1,LOOKUP(2,1/(指数走势!$F$38:$ACK$38&lt;&gt;""),COLUMN(指数走势!$F$38:$ACK$38))-COLUMN(指数走势!$F$38)+1-760+510)=0,NA(),INDEX(指数走势!$F$38:$ACK$38,1,LOOKUP(2,1/(指数走势!$F$38:$ACK$38&lt;&gt;""),COLUMN(指数走势!$F$38:$ACK$38))-COLUMN(指数走势!$F$38)+1-760+510)))</f>
        <v>20.1982002258301</v>
      </c>
      <c r="SR102">
        <f>IF(ISERROR(INDEX(指数走势!$F$38:$ACK$38,1,LOOKUP(2,1/(指数走势!$F$38:$ACK$38&lt;&gt;""),COLUMN(指数走势!$F$38:$ACK$38))-COLUMN(指数走势!$F$38)+1-760+511)),NA(),IF(INDEX(指数走势!$F$38:$ACK$38,1,LOOKUP(2,1/(指数走势!$F$38:$ACK$38&lt;&gt;""),COLUMN(指数走势!$F$38:$ACK$38))-COLUMN(指数走势!$F$38)+1-760+511)=0,NA(),INDEX(指数走势!$F$38:$ACK$38,1,LOOKUP(2,1/(指数走势!$F$38:$ACK$38&lt;&gt;""),COLUMN(指数走势!$F$38:$ACK$38))-COLUMN(指数走势!$F$38)+1-760+511)))</f>
        <v>20.4120998382568</v>
      </c>
      <c r="SS102">
        <f>IF(ISERROR(INDEX(指数走势!$F$38:$ACK$38,1,LOOKUP(2,1/(指数走势!$F$38:$ACK$38&lt;&gt;""),COLUMN(指数走势!$F$38:$ACK$38))-COLUMN(指数走势!$F$38)+1-760+512)),NA(),IF(INDEX(指数走势!$F$38:$ACK$38,1,LOOKUP(2,1/(指数走势!$F$38:$ACK$38&lt;&gt;""),COLUMN(指数走势!$F$38:$ACK$38))-COLUMN(指数走势!$F$38)+1-760+512)=0,NA(),INDEX(指数走势!$F$38:$ACK$38,1,LOOKUP(2,1/(指数走势!$F$38:$ACK$38&lt;&gt;""),COLUMN(指数走势!$F$38:$ACK$38))-COLUMN(指数走势!$F$38)+1-760+512)))</f>
        <v>20.2970008850098</v>
      </c>
      <c r="ST102">
        <f>IF(ISERROR(INDEX(指数走势!$F$38:$ACK$38,1,LOOKUP(2,1/(指数走势!$F$38:$ACK$38&lt;&gt;""),COLUMN(指数走势!$F$38:$ACK$38))-COLUMN(指数走势!$F$38)+1-760+513)),NA(),IF(INDEX(指数走势!$F$38:$ACK$38,1,LOOKUP(2,1/(指数走势!$F$38:$ACK$38&lt;&gt;""),COLUMN(指数走势!$F$38:$ACK$38))-COLUMN(指数走势!$F$38)+1-760+513)=0,NA(),INDEX(指数走势!$F$38:$ACK$38,1,LOOKUP(2,1/(指数走势!$F$38:$ACK$38&lt;&gt;""),COLUMN(指数走势!$F$38:$ACK$38))-COLUMN(指数走势!$F$38)+1-760+513)))</f>
        <v>20.3173999786377</v>
      </c>
      <c r="SU102">
        <f>IF(ISERROR(INDEX(指数走势!$F$38:$ACK$38,1,LOOKUP(2,1/(指数走势!$F$38:$ACK$38&lt;&gt;""),COLUMN(指数走势!$F$38:$ACK$38))-COLUMN(指数走势!$F$38)+1-760+514)),NA(),IF(INDEX(指数走势!$F$38:$ACK$38,1,LOOKUP(2,1/(指数走势!$F$38:$ACK$38&lt;&gt;""),COLUMN(指数走势!$F$38:$ACK$38))-COLUMN(指数走势!$F$38)+1-760+514)=0,NA(),INDEX(指数走势!$F$38:$ACK$38,1,LOOKUP(2,1/(指数走势!$F$38:$ACK$38&lt;&gt;""),COLUMN(指数走势!$F$38:$ACK$38))-COLUMN(指数走势!$F$38)+1-760+514)))</f>
        <v>20.100700378418</v>
      </c>
      <c r="SV102">
        <f>IF(ISERROR(INDEX(指数走势!$F$38:$ACK$38,1,LOOKUP(2,1/(指数走势!$F$38:$ACK$38&lt;&gt;""),COLUMN(指数走势!$F$38:$ACK$38))-COLUMN(指数走势!$F$38)+1-760+515)),NA(),IF(INDEX(指数走势!$F$38:$ACK$38,1,LOOKUP(2,1/(指数走势!$F$38:$ACK$38&lt;&gt;""),COLUMN(指数走势!$F$38:$ACK$38))-COLUMN(指数走势!$F$38)+1-760+515)=0,NA(),INDEX(指数走势!$F$38:$ACK$38,1,LOOKUP(2,1/(指数走势!$F$38:$ACK$38&lt;&gt;""),COLUMN(指数走势!$F$38:$ACK$38))-COLUMN(指数走势!$F$38)+1-760+515)))</f>
        <v>20.1007995605469</v>
      </c>
      <c r="SW102">
        <f>IF(ISERROR(INDEX(指数走势!$F$38:$ACK$38,1,LOOKUP(2,1/(指数走势!$F$38:$ACK$38&lt;&gt;""),COLUMN(指数走势!$F$38:$ACK$38))-COLUMN(指数走势!$F$38)+1-760+516)),NA(),IF(INDEX(指数走势!$F$38:$ACK$38,1,LOOKUP(2,1/(指数走势!$F$38:$ACK$38&lt;&gt;""),COLUMN(指数走势!$F$38:$ACK$38))-COLUMN(指数走势!$F$38)+1-760+516)=0,NA(),INDEX(指数走势!$F$38:$ACK$38,1,LOOKUP(2,1/(指数走势!$F$38:$ACK$38&lt;&gt;""),COLUMN(指数走势!$F$38:$ACK$38))-COLUMN(指数走势!$F$38)+1-760+516)))</f>
        <v>20.0440006256104</v>
      </c>
      <c r="SX102">
        <f>IF(ISERROR(INDEX(指数走势!$F$38:$ACK$38,1,LOOKUP(2,1/(指数走势!$F$38:$ACK$38&lt;&gt;""),COLUMN(指数走势!$F$38:$ACK$38))-COLUMN(指数走势!$F$38)+1-760+517)),NA(),IF(INDEX(指数走势!$F$38:$ACK$38,1,LOOKUP(2,1/(指数走势!$F$38:$ACK$38&lt;&gt;""),COLUMN(指数走势!$F$38:$ACK$38))-COLUMN(指数走势!$F$38)+1-760+517)=0,NA(),INDEX(指数走势!$F$38:$ACK$38,1,LOOKUP(2,1/(指数走势!$F$38:$ACK$38&lt;&gt;""),COLUMN(指数走势!$F$38:$ACK$38))-COLUMN(指数走势!$F$38)+1-760+517)))</f>
        <v>19.8558006286621</v>
      </c>
      <c r="SY102">
        <f>IF(ISERROR(INDEX(指数走势!$F$38:$ACK$38,1,LOOKUP(2,1/(指数走势!$F$38:$ACK$38&lt;&gt;""),COLUMN(指数走势!$F$38:$ACK$38))-COLUMN(指数走势!$F$38)+1-760+518)),NA(),IF(INDEX(指数走势!$F$38:$ACK$38,1,LOOKUP(2,1/(指数走势!$F$38:$ACK$38&lt;&gt;""),COLUMN(指数走势!$F$38:$ACK$38))-COLUMN(指数走势!$F$38)+1-760+518)=0,NA(),INDEX(指数走势!$F$38:$ACK$38,1,LOOKUP(2,1/(指数走势!$F$38:$ACK$38&lt;&gt;""),COLUMN(指数走势!$F$38:$ACK$38))-COLUMN(指数走势!$F$38)+1-760+518)))</f>
        <v>19.765100479126</v>
      </c>
      <c r="SZ102">
        <f>IF(ISERROR(INDEX(指数走势!$F$38:$ACK$38,1,LOOKUP(2,1/(指数走势!$F$38:$ACK$38&lt;&gt;""),COLUMN(指数走势!$F$38:$ACK$38))-COLUMN(指数走势!$F$38)+1-760+519)),NA(),IF(INDEX(指数走势!$F$38:$ACK$38,1,LOOKUP(2,1/(指数走势!$F$38:$ACK$38&lt;&gt;""),COLUMN(指数走势!$F$38:$ACK$38))-COLUMN(指数走势!$F$38)+1-760+519)=0,NA(),INDEX(指数走势!$F$38:$ACK$38,1,LOOKUP(2,1/(指数走势!$F$38:$ACK$38&lt;&gt;""),COLUMN(指数走势!$F$38:$ACK$38))-COLUMN(指数走势!$F$38)+1-760+519)))</f>
        <v>19.8339996337891</v>
      </c>
      <c r="TA102">
        <f>IF(ISERROR(INDEX(指数走势!$F$38:$ACK$38,1,LOOKUP(2,1/(指数走势!$F$38:$ACK$38&lt;&gt;""),COLUMN(指数走势!$F$38:$ACK$38))-COLUMN(指数走势!$F$38)+1-760+520)),NA(),IF(INDEX(指数走势!$F$38:$ACK$38,1,LOOKUP(2,1/(指数走势!$F$38:$ACK$38&lt;&gt;""),COLUMN(指数走势!$F$38:$ACK$38))-COLUMN(指数走势!$F$38)+1-760+520)=0,NA(),INDEX(指数走势!$F$38:$ACK$38,1,LOOKUP(2,1/(指数走势!$F$38:$ACK$38&lt;&gt;""),COLUMN(指数走势!$F$38:$ACK$38))-COLUMN(指数走势!$F$38)+1-760+520)))</f>
        <v>20.0988998413086</v>
      </c>
      <c r="TB102">
        <f>IF(ISERROR(INDEX(指数走势!$F$38:$ACK$38,1,LOOKUP(2,1/(指数走势!$F$38:$ACK$38&lt;&gt;""),COLUMN(指数走势!$F$38:$ACK$38))-COLUMN(指数走势!$F$38)+1-760+521)),NA(),IF(INDEX(指数走势!$F$38:$ACK$38,1,LOOKUP(2,1/(指数走势!$F$38:$ACK$38&lt;&gt;""),COLUMN(指数走势!$F$38:$ACK$38))-COLUMN(指数走势!$F$38)+1-760+521)=0,NA(),INDEX(指数走势!$F$38:$ACK$38,1,LOOKUP(2,1/(指数走势!$F$38:$ACK$38&lt;&gt;""),COLUMN(指数走势!$F$38:$ACK$38))-COLUMN(指数走势!$F$38)+1-760+521)))</f>
        <v>19.7406997680664</v>
      </c>
      <c r="TC102">
        <f>IF(ISERROR(INDEX(指数走势!$F$38:$ACK$38,1,LOOKUP(2,1/(指数走势!$F$38:$ACK$38&lt;&gt;""),COLUMN(指数走势!$F$38:$ACK$38))-COLUMN(指数走势!$F$38)+1-760+522)),NA(),IF(INDEX(指数走势!$F$38:$ACK$38,1,LOOKUP(2,1/(指数走势!$F$38:$ACK$38&lt;&gt;""),COLUMN(指数走势!$F$38:$ACK$38))-COLUMN(指数走势!$F$38)+1-760+522)=0,NA(),INDEX(指数走势!$F$38:$ACK$38,1,LOOKUP(2,1/(指数走势!$F$38:$ACK$38&lt;&gt;""),COLUMN(指数走势!$F$38:$ACK$38))-COLUMN(指数走势!$F$38)+1-760+522)))</f>
        <v>19.6907997131348</v>
      </c>
      <c r="TD102">
        <f>IF(ISERROR(INDEX(指数走势!$F$38:$ACK$38,1,LOOKUP(2,1/(指数走势!$F$38:$ACK$38&lt;&gt;""),COLUMN(指数走势!$F$38:$ACK$38))-COLUMN(指数走势!$F$38)+1-760+523)),NA(),IF(INDEX(指数走势!$F$38:$ACK$38,1,LOOKUP(2,1/(指数走势!$F$38:$ACK$38&lt;&gt;""),COLUMN(指数走势!$F$38:$ACK$38))-COLUMN(指数走势!$F$38)+1-760+523)=0,NA(),INDEX(指数走势!$F$38:$ACK$38,1,LOOKUP(2,1/(指数走势!$F$38:$ACK$38&lt;&gt;""),COLUMN(指数走势!$F$38:$ACK$38))-COLUMN(指数走势!$F$38)+1-760+523)))</f>
        <v>19.8080997467041</v>
      </c>
      <c r="TE102">
        <f>IF(ISERROR(INDEX(指数走势!$F$38:$ACK$38,1,LOOKUP(2,1/(指数走势!$F$38:$ACK$38&lt;&gt;""),COLUMN(指数走势!$F$38:$ACK$38))-COLUMN(指数走势!$F$38)+1-760+524)),NA(),IF(INDEX(指数走势!$F$38:$ACK$38,1,LOOKUP(2,1/(指数走势!$F$38:$ACK$38&lt;&gt;""),COLUMN(指数走势!$F$38:$ACK$38))-COLUMN(指数走势!$F$38)+1-760+524)=0,NA(),INDEX(指数走势!$F$38:$ACK$38,1,LOOKUP(2,1/(指数走势!$F$38:$ACK$38&lt;&gt;""),COLUMN(指数走势!$F$38:$ACK$38))-COLUMN(指数走势!$F$38)+1-760+524)))</f>
        <v>19.9288997650146</v>
      </c>
      <c r="TF102">
        <f>IF(ISERROR(INDEX(指数走势!$F$38:$ACK$38,1,LOOKUP(2,1/(指数走势!$F$38:$ACK$38&lt;&gt;""),COLUMN(指数走势!$F$38:$ACK$38))-COLUMN(指数走势!$F$38)+1-760+525)),NA(),IF(INDEX(指数走势!$F$38:$ACK$38,1,LOOKUP(2,1/(指数走势!$F$38:$ACK$38&lt;&gt;""),COLUMN(指数走势!$F$38:$ACK$38))-COLUMN(指数走势!$F$38)+1-760+525)=0,NA(),INDEX(指数走势!$F$38:$ACK$38,1,LOOKUP(2,1/(指数走势!$F$38:$ACK$38&lt;&gt;""),COLUMN(指数走势!$F$38:$ACK$38))-COLUMN(指数走势!$F$38)+1-760+525)))</f>
        <v>20.5949001312256</v>
      </c>
      <c r="TG102">
        <f>IF(ISERROR(INDEX(指数走势!$F$38:$ACK$38,1,LOOKUP(2,1/(指数走势!$F$38:$ACK$38&lt;&gt;""),COLUMN(指数走势!$F$38:$ACK$38))-COLUMN(指数走势!$F$38)+1-760+526)),NA(),IF(INDEX(指数走势!$F$38:$ACK$38,1,LOOKUP(2,1/(指数走势!$F$38:$ACK$38&lt;&gt;""),COLUMN(指数走势!$F$38:$ACK$38))-COLUMN(指数走势!$F$38)+1-760+526)=0,NA(),INDEX(指数走势!$F$38:$ACK$38,1,LOOKUP(2,1/(指数走势!$F$38:$ACK$38&lt;&gt;""),COLUMN(指数走势!$F$38:$ACK$38))-COLUMN(指数走势!$F$38)+1-760+526)))</f>
        <v>20.550199508667</v>
      </c>
      <c r="TH102">
        <f>IF(ISERROR(INDEX(指数走势!$F$38:$ACK$38,1,LOOKUP(2,1/(指数走势!$F$38:$ACK$38&lt;&gt;""),COLUMN(指数走势!$F$38:$ACK$38))-COLUMN(指数走势!$F$38)+1-760+527)),NA(),IF(INDEX(指数走势!$F$38:$ACK$38,1,LOOKUP(2,1/(指数走势!$F$38:$ACK$38&lt;&gt;""),COLUMN(指数走势!$F$38:$ACK$38))-COLUMN(指数走势!$F$38)+1-760+527)=0,NA(),INDEX(指数走势!$F$38:$ACK$38,1,LOOKUP(2,1/(指数走势!$F$38:$ACK$38&lt;&gt;""),COLUMN(指数走势!$F$38:$ACK$38))-COLUMN(指数走势!$F$38)+1-760+527)))</f>
        <v>20.5573997497559</v>
      </c>
      <c r="TI102">
        <f>IF(ISERROR(INDEX(指数走势!$F$38:$ACK$38,1,LOOKUP(2,1/(指数走势!$F$38:$ACK$38&lt;&gt;""),COLUMN(指数走势!$F$38:$ACK$38))-COLUMN(指数走势!$F$38)+1-760+528)),NA(),IF(INDEX(指数走势!$F$38:$ACK$38,1,LOOKUP(2,1/(指数走势!$F$38:$ACK$38&lt;&gt;""),COLUMN(指数走势!$F$38:$ACK$38))-COLUMN(指数走势!$F$38)+1-760+528)=0,NA(),INDEX(指数走势!$F$38:$ACK$38,1,LOOKUP(2,1/(指数走势!$F$38:$ACK$38&lt;&gt;""),COLUMN(指数走势!$F$38:$ACK$38))-COLUMN(指数走势!$F$38)+1-760+528)))</f>
        <v>20.8386001586914</v>
      </c>
      <c r="TJ102">
        <f>IF(ISERROR(INDEX(指数走势!$F$38:$ACK$38,1,LOOKUP(2,1/(指数走势!$F$38:$ACK$38&lt;&gt;""),COLUMN(指数走势!$F$38:$ACK$38))-COLUMN(指数走势!$F$38)+1-760+529)),NA(),IF(INDEX(指数走势!$F$38:$ACK$38,1,LOOKUP(2,1/(指数走势!$F$38:$ACK$38&lt;&gt;""),COLUMN(指数走势!$F$38:$ACK$38))-COLUMN(指数走势!$F$38)+1-760+529)=0,NA(),INDEX(指数走势!$F$38:$ACK$38,1,LOOKUP(2,1/(指数走势!$F$38:$ACK$38&lt;&gt;""),COLUMN(指数走势!$F$38:$ACK$38))-COLUMN(指数走势!$F$38)+1-760+529)))</f>
        <v>21.0247993469238</v>
      </c>
      <c r="TK102">
        <f>IF(ISERROR(INDEX(指数走势!$F$38:$ACK$38,1,LOOKUP(2,1/(指数走势!$F$38:$ACK$38&lt;&gt;""),COLUMN(指数走势!$F$38:$ACK$38))-COLUMN(指数走势!$F$38)+1-760+530)),NA(),IF(INDEX(指数走势!$F$38:$ACK$38,1,LOOKUP(2,1/(指数走势!$F$38:$ACK$38&lt;&gt;""),COLUMN(指数走势!$F$38:$ACK$38))-COLUMN(指数走势!$F$38)+1-760+530)=0,NA(),INDEX(指数走势!$F$38:$ACK$38,1,LOOKUP(2,1/(指数走势!$F$38:$ACK$38&lt;&gt;""),COLUMN(指数走势!$F$38:$ACK$38))-COLUMN(指数走势!$F$38)+1-760+530)))</f>
        <v>21.1350994110107</v>
      </c>
      <c r="TL102">
        <f>IF(ISERROR(INDEX(指数走势!$F$38:$ACK$38,1,LOOKUP(2,1/(指数走势!$F$38:$ACK$38&lt;&gt;""),COLUMN(指数走势!$F$38:$ACK$38))-COLUMN(指数走势!$F$38)+1-760+531)),NA(),IF(INDEX(指数走势!$F$38:$ACK$38,1,LOOKUP(2,1/(指数走势!$F$38:$ACK$38&lt;&gt;""),COLUMN(指数走势!$F$38:$ACK$38))-COLUMN(指数走势!$F$38)+1-760+531)=0,NA(),INDEX(指数走势!$F$38:$ACK$38,1,LOOKUP(2,1/(指数走势!$F$38:$ACK$38&lt;&gt;""),COLUMN(指数走势!$F$38:$ACK$38))-COLUMN(指数走势!$F$38)+1-760+531)))</f>
        <v>21.7707004547119</v>
      </c>
      <c r="TM102">
        <f>IF(ISERROR(INDEX(指数走势!$F$38:$ACK$38,1,LOOKUP(2,1/(指数走势!$F$38:$ACK$38&lt;&gt;""),COLUMN(指数走势!$F$38:$ACK$38))-COLUMN(指数走势!$F$38)+1-760+532)),NA(),IF(INDEX(指数走势!$F$38:$ACK$38,1,LOOKUP(2,1/(指数走势!$F$38:$ACK$38&lt;&gt;""),COLUMN(指数走势!$F$38:$ACK$38))-COLUMN(指数走势!$F$38)+1-760+532)=0,NA(),INDEX(指数走势!$F$38:$ACK$38,1,LOOKUP(2,1/(指数走势!$F$38:$ACK$38&lt;&gt;""),COLUMN(指数走势!$F$38:$ACK$38))-COLUMN(指数走势!$F$38)+1-760+532)))</f>
        <v>21.7866992950439</v>
      </c>
      <c r="TN102">
        <f>IF(ISERROR(INDEX(指数走势!$F$38:$ACK$38,1,LOOKUP(2,1/(指数走势!$F$38:$ACK$38&lt;&gt;""),COLUMN(指数走势!$F$38:$ACK$38))-COLUMN(指数走势!$F$38)+1-760+533)),NA(),IF(INDEX(指数走势!$F$38:$ACK$38,1,LOOKUP(2,1/(指数走势!$F$38:$ACK$38&lt;&gt;""),COLUMN(指数走势!$F$38:$ACK$38))-COLUMN(指数走势!$F$38)+1-760+533)=0,NA(),INDEX(指数走势!$F$38:$ACK$38,1,LOOKUP(2,1/(指数走势!$F$38:$ACK$38&lt;&gt;""),COLUMN(指数走势!$F$38:$ACK$38))-COLUMN(指数走势!$F$38)+1-760+533)))</f>
        <v>21.5069999694824</v>
      </c>
      <c r="TO102">
        <f>IF(ISERROR(INDEX(指数走势!$F$38:$ACK$38,1,LOOKUP(2,1/(指数走势!$F$38:$ACK$38&lt;&gt;""),COLUMN(指数走势!$F$38:$ACK$38))-COLUMN(指数走势!$F$38)+1-760+534)),NA(),IF(INDEX(指数走势!$F$38:$ACK$38,1,LOOKUP(2,1/(指数走势!$F$38:$ACK$38&lt;&gt;""),COLUMN(指数走势!$F$38:$ACK$38))-COLUMN(指数走势!$F$38)+1-760+534)=0,NA(),INDEX(指数走势!$F$38:$ACK$38,1,LOOKUP(2,1/(指数走势!$F$38:$ACK$38&lt;&gt;""),COLUMN(指数走势!$F$38:$ACK$38))-COLUMN(指数走势!$F$38)+1-760+534)))</f>
        <v>21.5848007202148</v>
      </c>
      <c r="TP102">
        <f>IF(ISERROR(INDEX(指数走势!$F$38:$ACK$38,1,LOOKUP(2,1/(指数走势!$F$38:$ACK$38&lt;&gt;""),COLUMN(指数走势!$F$38:$ACK$38))-COLUMN(指数走势!$F$38)+1-760+535)),NA(),IF(INDEX(指数走势!$F$38:$ACK$38,1,LOOKUP(2,1/(指数走势!$F$38:$ACK$38&lt;&gt;""),COLUMN(指数走势!$F$38:$ACK$38))-COLUMN(指数走势!$F$38)+1-760+535)=0,NA(),INDEX(指数走势!$F$38:$ACK$38,1,LOOKUP(2,1/(指数走势!$F$38:$ACK$38&lt;&gt;""),COLUMN(指数走势!$F$38:$ACK$38))-COLUMN(指数走势!$F$38)+1-760+535)))</f>
        <v>22.1632995605469</v>
      </c>
      <c r="TQ102">
        <f>IF(ISERROR(INDEX(指数走势!$F$38:$ACK$38,1,LOOKUP(2,1/(指数走势!$F$38:$ACK$38&lt;&gt;""),COLUMN(指数走势!$F$38:$ACK$38))-COLUMN(指数走势!$F$38)+1-760+536)),NA(),IF(INDEX(指数走势!$F$38:$ACK$38,1,LOOKUP(2,1/(指数走势!$F$38:$ACK$38&lt;&gt;""),COLUMN(指数走势!$F$38:$ACK$38))-COLUMN(指数走势!$F$38)+1-760+536)=0,NA(),INDEX(指数走势!$F$38:$ACK$38,1,LOOKUP(2,1/(指数走势!$F$38:$ACK$38&lt;&gt;""),COLUMN(指数走势!$F$38:$ACK$38))-COLUMN(指数走势!$F$38)+1-760+536)))</f>
        <v>21.7094993591309</v>
      </c>
      <c r="TR102">
        <f>IF(ISERROR(INDEX(指数走势!$F$38:$ACK$38,1,LOOKUP(2,1/(指数走势!$F$38:$ACK$38&lt;&gt;""),COLUMN(指数走势!$F$38:$ACK$38))-COLUMN(指数走势!$F$38)+1-760+537)),NA(),IF(INDEX(指数走势!$F$38:$ACK$38,1,LOOKUP(2,1/(指数走势!$F$38:$ACK$38&lt;&gt;""),COLUMN(指数走势!$F$38:$ACK$38))-COLUMN(指数走势!$F$38)+1-760+537)=0,NA(),INDEX(指数走势!$F$38:$ACK$38,1,LOOKUP(2,1/(指数走势!$F$38:$ACK$38&lt;&gt;""),COLUMN(指数走势!$F$38:$ACK$38))-COLUMN(指数走势!$F$38)+1-760+537)))</f>
        <v>21.4610996246338</v>
      </c>
      <c r="TS102">
        <f>IF(ISERROR(INDEX(指数走势!$F$38:$ACK$38,1,LOOKUP(2,1/(指数走势!$F$38:$ACK$38&lt;&gt;""),COLUMN(指数走势!$F$38:$ACK$38))-COLUMN(指数走势!$F$38)+1-760+538)),NA(),IF(INDEX(指数走势!$F$38:$ACK$38,1,LOOKUP(2,1/(指数走势!$F$38:$ACK$38&lt;&gt;""),COLUMN(指数走势!$F$38:$ACK$38))-COLUMN(指数走势!$F$38)+1-760+538)=0,NA(),INDEX(指数走势!$F$38:$ACK$38,1,LOOKUP(2,1/(指数走势!$F$38:$ACK$38&lt;&gt;""),COLUMN(指数走势!$F$38:$ACK$38))-COLUMN(指数走势!$F$38)+1-760+538)))</f>
        <v>21.2332000732422</v>
      </c>
      <c r="TT102">
        <f>IF(ISERROR(INDEX(指数走势!$F$38:$ACK$38,1,LOOKUP(2,1/(指数走势!$F$38:$ACK$38&lt;&gt;""),COLUMN(指数走势!$F$38:$ACK$38))-COLUMN(指数走势!$F$38)+1-760+539)),NA(),IF(INDEX(指数走势!$F$38:$ACK$38,1,LOOKUP(2,1/(指数走势!$F$38:$ACK$38&lt;&gt;""),COLUMN(指数走势!$F$38:$ACK$38))-COLUMN(指数走势!$F$38)+1-760+539)=0,NA(),INDEX(指数走势!$F$38:$ACK$38,1,LOOKUP(2,1/(指数走势!$F$38:$ACK$38&lt;&gt;""),COLUMN(指数走势!$F$38:$ACK$38))-COLUMN(指数走势!$F$38)+1-760+539)))</f>
        <v>21.5498008728027</v>
      </c>
      <c r="TU102">
        <f>IF(ISERROR(INDEX(指数走势!$F$38:$ACK$38,1,LOOKUP(2,1/(指数走势!$F$38:$ACK$38&lt;&gt;""),COLUMN(指数走势!$F$38:$ACK$38))-COLUMN(指数走势!$F$38)+1-760+540)),NA(),IF(INDEX(指数走势!$F$38:$ACK$38,1,LOOKUP(2,1/(指数走势!$F$38:$ACK$38&lt;&gt;""),COLUMN(指数走势!$F$38:$ACK$38))-COLUMN(指数走势!$F$38)+1-760+540)=0,NA(),INDEX(指数走势!$F$38:$ACK$38,1,LOOKUP(2,1/(指数走势!$F$38:$ACK$38&lt;&gt;""),COLUMN(指数走势!$F$38:$ACK$38))-COLUMN(指数走势!$F$38)+1-760+540)))</f>
        <v>21.702600479126</v>
      </c>
      <c r="TV102">
        <f>IF(ISERROR(INDEX(指数走势!$F$38:$ACK$38,1,LOOKUP(2,1/(指数走势!$F$38:$ACK$38&lt;&gt;""),COLUMN(指数走势!$F$38:$ACK$38))-COLUMN(指数走势!$F$38)+1-760+541)),NA(),IF(INDEX(指数走势!$F$38:$ACK$38,1,LOOKUP(2,1/(指数走势!$F$38:$ACK$38&lt;&gt;""),COLUMN(指数走势!$F$38:$ACK$38))-COLUMN(指数走势!$F$38)+1-760+541)=0,NA(),INDEX(指数走势!$F$38:$ACK$38,1,LOOKUP(2,1/(指数走势!$F$38:$ACK$38&lt;&gt;""),COLUMN(指数走势!$F$38:$ACK$38))-COLUMN(指数走势!$F$38)+1-760+541)))</f>
        <v>21.8320999145508</v>
      </c>
      <c r="TW102">
        <f>IF(ISERROR(INDEX(指数走势!$F$38:$ACK$38,1,LOOKUP(2,1/(指数走势!$F$38:$ACK$38&lt;&gt;""),COLUMN(指数走势!$F$38:$ACK$38))-COLUMN(指数走势!$F$38)+1-760+542)),NA(),IF(INDEX(指数走势!$F$38:$ACK$38,1,LOOKUP(2,1/(指数走势!$F$38:$ACK$38&lt;&gt;""),COLUMN(指数走势!$F$38:$ACK$38))-COLUMN(指数走势!$F$38)+1-760+542)=0,NA(),INDEX(指数走势!$F$38:$ACK$38,1,LOOKUP(2,1/(指数走势!$F$38:$ACK$38&lt;&gt;""),COLUMN(指数走势!$F$38:$ACK$38))-COLUMN(指数走势!$F$38)+1-760+542)))</f>
        <v>21.8714008331299</v>
      </c>
      <c r="TX102">
        <f>IF(ISERROR(INDEX(指数走势!$F$38:$ACK$38,1,LOOKUP(2,1/(指数走势!$F$38:$ACK$38&lt;&gt;""),COLUMN(指数走势!$F$38:$ACK$38))-COLUMN(指数走势!$F$38)+1-760+543)),NA(),IF(INDEX(指数走势!$F$38:$ACK$38,1,LOOKUP(2,1/(指数走势!$F$38:$ACK$38&lt;&gt;""),COLUMN(指数走势!$F$38:$ACK$38))-COLUMN(指数走势!$F$38)+1-760+543)=0,NA(),INDEX(指数走势!$F$38:$ACK$38,1,LOOKUP(2,1/(指数走势!$F$38:$ACK$38&lt;&gt;""),COLUMN(指数走势!$F$38:$ACK$38))-COLUMN(指数走势!$F$38)+1-760+543)))</f>
        <v>21.576099395752</v>
      </c>
      <c r="TY102">
        <f>IF(ISERROR(INDEX(指数走势!$F$38:$ACK$38,1,LOOKUP(2,1/(指数走势!$F$38:$ACK$38&lt;&gt;""),COLUMN(指数走势!$F$38:$ACK$38))-COLUMN(指数走势!$F$38)+1-760+544)),NA(),IF(INDEX(指数走势!$F$38:$ACK$38,1,LOOKUP(2,1/(指数走势!$F$38:$ACK$38&lt;&gt;""),COLUMN(指数走势!$F$38:$ACK$38))-COLUMN(指数走势!$F$38)+1-760+544)=0,NA(),INDEX(指数走势!$F$38:$ACK$38,1,LOOKUP(2,1/(指数走势!$F$38:$ACK$38&lt;&gt;""),COLUMN(指数走势!$F$38:$ACK$38))-COLUMN(指数走势!$F$38)+1-760+544)))</f>
        <v>21.6089992523193</v>
      </c>
      <c r="TZ102">
        <f>IF(ISERROR(INDEX(指数走势!$F$38:$ACK$38,1,LOOKUP(2,1/(指数走势!$F$38:$ACK$38&lt;&gt;""),COLUMN(指数走势!$F$38:$ACK$38))-COLUMN(指数走势!$F$38)+1-760+545)),NA(),IF(INDEX(指数走势!$F$38:$ACK$38,1,LOOKUP(2,1/(指数走势!$F$38:$ACK$38&lt;&gt;""),COLUMN(指数走势!$F$38:$ACK$38))-COLUMN(指数走势!$F$38)+1-760+545)=0,NA(),INDEX(指数走势!$F$38:$ACK$38,1,LOOKUP(2,1/(指数走势!$F$38:$ACK$38&lt;&gt;""),COLUMN(指数走势!$F$38:$ACK$38))-COLUMN(指数走势!$F$38)+1-760+545)))</f>
        <v>21.5468006134033</v>
      </c>
      <c r="UA102">
        <f>IF(ISERROR(INDEX(指数走势!$F$38:$ACK$38,1,LOOKUP(2,1/(指数走势!$F$38:$ACK$38&lt;&gt;""),COLUMN(指数走势!$F$38:$ACK$38))-COLUMN(指数走势!$F$38)+1-760+546)),NA(),IF(INDEX(指数走势!$F$38:$ACK$38,1,LOOKUP(2,1/(指数走势!$F$38:$ACK$38&lt;&gt;""),COLUMN(指数走势!$F$38:$ACK$38))-COLUMN(指数走势!$F$38)+1-760+546)=0,NA(),INDEX(指数走势!$F$38:$ACK$38,1,LOOKUP(2,1/(指数走势!$F$38:$ACK$38&lt;&gt;""),COLUMN(指数走势!$F$38:$ACK$38))-COLUMN(指数走势!$F$38)+1-760+546)))</f>
        <v>22.1149997711182</v>
      </c>
      <c r="UB102">
        <f>IF(ISERROR(INDEX(指数走势!$F$38:$ACK$38,1,LOOKUP(2,1/(指数走势!$F$38:$ACK$38&lt;&gt;""),COLUMN(指数走势!$F$38:$ACK$38))-COLUMN(指数走势!$F$38)+1-760+547)),NA(),IF(INDEX(指数走势!$F$38:$ACK$38,1,LOOKUP(2,1/(指数走势!$F$38:$ACK$38&lt;&gt;""),COLUMN(指数走势!$F$38:$ACK$38))-COLUMN(指数走势!$F$38)+1-760+547)=0,NA(),INDEX(指数走势!$F$38:$ACK$38,1,LOOKUP(2,1/(指数走势!$F$38:$ACK$38&lt;&gt;""),COLUMN(指数走势!$F$38:$ACK$38))-COLUMN(指数走势!$F$38)+1-760+547)))</f>
        <v>22.0748996734619</v>
      </c>
      <c r="UC102">
        <f>IF(ISERROR(INDEX(指数走势!$F$38:$ACK$38,1,LOOKUP(2,1/(指数走势!$F$38:$ACK$38&lt;&gt;""),COLUMN(指数走势!$F$38:$ACK$38))-COLUMN(指数走势!$F$38)+1-760+548)),NA(),IF(INDEX(指数走势!$F$38:$ACK$38,1,LOOKUP(2,1/(指数走势!$F$38:$ACK$38&lt;&gt;""),COLUMN(指数走势!$F$38:$ACK$38))-COLUMN(指数走势!$F$38)+1-760+548)=0,NA(),INDEX(指数走势!$F$38:$ACK$38,1,LOOKUP(2,1/(指数走势!$F$38:$ACK$38&lt;&gt;""),COLUMN(指数走势!$F$38:$ACK$38))-COLUMN(指数走势!$F$38)+1-760+548)))</f>
        <v>21.940299987793</v>
      </c>
      <c r="UD102">
        <f>IF(ISERROR(INDEX(指数走势!$F$38:$ACK$38,1,LOOKUP(2,1/(指数走势!$F$38:$ACK$38&lt;&gt;""),COLUMN(指数走势!$F$38:$ACK$38))-COLUMN(指数走势!$F$38)+1-760+549)),NA(),IF(INDEX(指数走势!$F$38:$ACK$38,1,LOOKUP(2,1/(指数走势!$F$38:$ACK$38&lt;&gt;""),COLUMN(指数走势!$F$38:$ACK$38))-COLUMN(指数走势!$F$38)+1-760+549)=0,NA(),INDEX(指数走势!$F$38:$ACK$38,1,LOOKUP(2,1/(指数走势!$F$38:$ACK$38&lt;&gt;""),COLUMN(指数走势!$F$38:$ACK$38))-COLUMN(指数走势!$F$38)+1-760+549)))</f>
        <v>21.9734992980957</v>
      </c>
      <c r="UE102">
        <f>IF(ISERROR(INDEX(指数走势!$F$38:$ACK$38,1,LOOKUP(2,1/(指数走势!$F$38:$ACK$38&lt;&gt;""),COLUMN(指数走势!$F$38:$ACK$38))-COLUMN(指数走势!$F$38)+1-760+550)),NA(),IF(INDEX(指数走势!$F$38:$ACK$38,1,LOOKUP(2,1/(指数走势!$F$38:$ACK$38&lt;&gt;""),COLUMN(指数走势!$F$38:$ACK$38))-COLUMN(指数走势!$F$38)+1-760+550)=0,NA(),INDEX(指数走势!$F$38:$ACK$38,1,LOOKUP(2,1/(指数走势!$F$38:$ACK$38&lt;&gt;""),COLUMN(指数走势!$F$38:$ACK$38))-COLUMN(指数走势!$F$38)+1-760+550)))</f>
        <v>21.6879997253418</v>
      </c>
      <c r="UF102">
        <f>IF(ISERROR(INDEX(指数走势!$F$38:$ACK$38,1,LOOKUP(2,1/(指数走势!$F$38:$ACK$38&lt;&gt;""),COLUMN(指数走势!$F$38:$ACK$38))-COLUMN(指数走势!$F$38)+1-760+551)),NA(),IF(INDEX(指数走势!$F$38:$ACK$38,1,LOOKUP(2,1/(指数走势!$F$38:$ACK$38&lt;&gt;""),COLUMN(指数走势!$F$38:$ACK$38))-COLUMN(指数走势!$F$38)+1-760+551)=0,NA(),INDEX(指数走势!$F$38:$ACK$38,1,LOOKUP(2,1/(指数走势!$F$38:$ACK$38&lt;&gt;""),COLUMN(指数走势!$F$38:$ACK$38))-COLUMN(指数走势!$F$38)+1-760+551)))</f>
        <v>21.5543994903564</v>
      </c>
      <c r="UG102">
        <f>IF(ISERROR(INDEX(指数走势!$F$38:$ACK$38,1,LOOKUP(2,1/(指数走势!$F$38:$ACK$38&lt;&gt;""),COLUMN(指数走势!$F$38:$ACK$38))-COLUMN(指数走势!$F$38)+1-760+552)),NA(),IF(INDEX(指数走势!$F$38:$ACK$38,1,LOOKUP(2,1/(指数走势!$F$38:$ACK$38&lt;&gt;""),COLUMN(指数走势!$F$38:$ACK$38))-COLUMN(指数走势!$F$38)+1-760+552)=0,NA(),INDEX(指数走势!$F$38:$ACK$38,1,LOOKUP(2,1/(指数走势!$F$38:$ACK$38&lt;&gt;""),COLUMN(指数走势!$F$38:$ACK$38))-COLUMN(指数走势!$F$38)+1-760+552)))</f>
        <v>21.3673000335693</v>
      </c>
      <c r="UH102">
        <f>IF(ISERROR(INDEX(指数走势!$F$38:$ACK$38,1,LOOKUP(2,1/(指数走势!$F$38:$ACK$38&lt;&gt;""),COLUMN(指数走势!$F$38:$ACK$38))-COLUMN(指数走势!$F$38)+1-760+553)),NA(),IF(INDEX(指数走势!$F$38:$ACK$38,1,LOOKUP(2,1/(指数走势!$F$38:$ACK$38&lt;&gt;""),COLUMN(指数走势!$F$38:$ACK$38))-COLUMN(指数走势!$F$38)+1-760+553)=0,NA(),INDEX(指数走势!$F$38:$ACK$38,1,LOOKUP(2,1/(指数走势!$F$38:$ACK$38&lt;&gt;""),COLUMN(指数走势!$F$38:$ACK$38))-COLUMN(指数走势!$F$38)+1-760+553)))</f>
        <v>21.7700996398926</v>
      </c>
      <c r="UI102">
        <f>IF(ISERROR(INDEX(指数走势!$F$38:$ACK$38,1,LOOKUP(2,1/(指数走势!$F$38:$ACK$38&lt;&gt;""),COLUMN(指数走势!$F$38:$ACK$38))-COLUMN(指数走势!$F$38)+1-760+554)),NA(),IF(INDEX(指数走势!$F$38:$ACK$38,1,LOOKUP(2,1/(指数走势!$F$38:$ACK$38&lt;&gt;""),COLUMN(指数走势!$F$38:$ACK$38))-COLUMN(指数走势!$F$38)+1-760+554)=0,NA(),INDEX(指数走势!$F$38:$ACK$38,1,LOOKUP(2,1/(指数走势!$F$38:$ACK$38&lt;&gt;""),COLUMN(指数走势!$F$38:$ACK$38))-COLUMN(指数走势!$F$38)+1-760+554)))</f>
        <v>22.4346008300781</v>
      </c>
      <c r="UJ102">
        <f>IF(ISERROR(INDEX(指数走势!$F$38:$ACK$38,1,LOOKUP(2,1/(指数走势!$F$38:$ACK$38&lt;&gt;""),COLUMN(指数走势!$F$38:$ACK$38))-COLUMN(指数走势!$F$38)+1-760+555)),NA(),IF(INDEX(指数走势!$F$38:$ACK$38,1,LOOKUP(2,1/(指数走势!$F$38:$ACK$38&lt;&gt;""),COLUMN(指数走势!$F$38:$ACK$38))-COLUMN(指数走势!$F$38)+1-760+555)=0,NA(),INDEX(指数走势!$F$38:$ACK$38,1,LOOKUP(2,1/(指数走势!$F$38:$ACK$38&lt;&gt;""),COLUMN(指数走势!$F$38:$ACK$38))-COLUMN(指数走势!$F$38)+1-760+555)))</f>
        <v>22.2437992095947</v>
      </c>
      <c r="UK102">
        <f>IF(ISERROR(INDEX(指数走势!$F$38:$ACK$38,1,LOOKUP(2,1/(指数走势!$F$38:$ACK$38&lt;&gt;""),COLUMN(指数走势!$F$38:$ACK$38))-COLUMN(指数走势!$F$38)+1-760+556)),NA(),IF(INDEX(指数走势!$F$38:$ACK$38,1,LOOKUP(2,1/(指数走势!$F$38:$ACK$38&lt;&gt;""),COLUMN(指数走势!$F$38:$ACK$38))-COLUMN(指数走势!$F$38)+1-760+556)=0,NA(),INDEX(指数走势!$F$38:$ACK$38,1,LOOKUP(2,1/(指数走势!$F$38:$ACK$38&lt;&gt;""),COLUMN(指数走势!$F$38:$ACK$38))-COLUMN(指数走势!$F$38)+1-760+556)))</f>
        <v>22.2915000915527</v>
      </c>
      <c r="UL102">
        <f>IF(ISERROR(INDEX(指数走势!$F$38:$ACK$38,1,LOOKUP(2,1/(指数走势!$F$38:$ACK$38&lt;&gt;""),COLUMN(指数走势!$F$38:$ACK$38))-COLUMN(指数走势!$F$38)+1-760+557)),NA(),IF(INDEX(指数走势!$F$38:$ACK$38,1,LOOKUP(2,1/(指数走势!$F$38:$ACK$38&lt;&gt;""),COLUMN(指数走势!$F$38:$ACK$38))-COLUMN(指数走势!$F$38)+1-760+557)=0,NA(),INDEX(指数走势!$F$38:$ACK$38,1,LOOKUP(2,1/(指数走势!$F$38:$ACK$38&lt;&gt;""),COLUMN(指数走势!$F$38:$ACK$38))-COLUMN(指数走势!$F$38)+1-760+557)))</f>
        <v>21.8864994049072</v>
      </c>
      <c r="UM102">
        <f>IF(ISERROR(INDEX(指数走势!$F$38:$ACK$38,1,LOOKUP(2,1/(指数走势!$F$38:$ACK$38&lt;&gt;""),COLUMN(指数走势!$F$38:$ACK$38))-COLUMN(指数走势!$F$38)+1-760+558)),NA(),IF(INDEX(指数走势!$F$38:$ACK$38,1,LOOKUP(2,1/(指数走势!$F$38:$ACK$38&lt;&gt;""),COLUMN(指数走势!$F$38:$ACK$38))-COLUMN(指数走势!$F$38)+1-760+558)=0,NA(),INDEX(指数走势!$F$38:$ACK$38,1,LOOKUP(2,1/(指数走势!$F$38:$ACK$38&lt;&gt;""),COLUMN(指数走势!$F$38:$ACK$38))-COLUMN(指数走势!$F$38)+1-760+558)))</f>
        <v>21.3388996124268</v>
      </c>
      <c r="UN102">
        <f>IF(ISERROR(INDEX(指数走势!$F$38:$ACK$38,1,LOOKUP(2,1/(指数走势!$F$38:$ACK$38&lt;&gt;""),COLUMN(指数走势!$F$38:$ACK$38))-COLUMN(指数走势!$F$38)+1-760+559)),NA(),IF(INDEX(指数走势!$F$38:$ACK$38,1,LOOKUP(2,1/(指数走势!$F$38:$ACK$38&lt;&gt;""),COLUMN(指数走势!$F$38:$ACK$38))-COLUMN(指数走势!$F$38)+1-760+559)=0,NA(),INDEX(指数走势!$F$38:$ACK$38,1,LOOKUP(2,1/(指数走势!$F$38:$ACK$38&lt;&gt;""),COLUMN(指数走势!$F$38:$ACK$38))-COLUMN(指数走势!$F$38)+1-760+559)))</f>
        <v>22.0531005859375</v>
      </c>
      <c r="UO102">
        <f>IF(ISERROR(INDEX(指数走势!$F$38:$ACK$38,1,LOOKUP(2,1/(指数走势!$F$38:$ACK$38&lt;&gt;""),COLUMN(指数走势!$F$38:$ACK$38))-COLUMN(指数走势!$F$38)+1-760+560)),NA(),IF(INDEX(指数走势!$F$38:$ACK$38,1,LOOKUP(2,1/(指数走势!$F$38:$ACK$38&lt;&gt;""),COLUMN(指数走势!$F$38:$ACK$38))-COLUMN(指数走势!$F$38)+1-760+560)=0,NA(),INDEX(指数走势!$F$38:$ACK$38,1,LOOKUP(2,1/(指数走势!$F$38:$ACK$38&lt;&gt;""),COLUMN(指数走势!$F$38:$ACK$38))-COLUMN(指数走势!$F$38)+1-760+560)))</f>
        <v>21.9412994384766</v>
      </c>
      <c r="UP102">
        <f>IF(ISERROR(INDEX(指数走势!$F$38:$ACK$38,1,LOOKUP(2,1/(指数走势!$F$38:$ACK$38&lt;&gt;""),COLUMN(指数走势!$F$38:$ACK$38))-COLUMN(指数走势!$F$38)+1-760+561)),NA(),IF(INDEX(指数走势!$F$38:$ACK$38,1,LOOKUP(2,1/(指数走势!$F$38:$ACK$38&lt;&gt;""),COLUMN(指数走势!$F$38:$ACK$38))-COLUMN(指数走势!$F$38)+1-760+561)=0,NA(),INDEX(指数走势!$F$38:$ACK$38,1,LOOKUP(2,1/(指数走势!$F$38:$ACK$38&lt;&gt;""),COLUMN(指数走势!$F$38:$ACK$38))-COLUMN(指数走势!$F$38)+1-760+561)))</f>
        <v>21.7605991363525</v>
      </c>
      <c r="UQ102">
        <f>IF(ISERROR(INDEX(指数走势!$F$38:$ACK$38,1,LOOKUP(2,1/(指数走势!$F$38:$ACK$38&lt;&gt;""),COLUMN(指数走势!$F$38:$ACK$38))-COLUMN(指数走势!$F$38)+1-760+562)),NA(),IF(INDEX(指数走势!$F$38:$ACK$38,1,LOOKUP(2,1/(指数走势!$F$38:$ACK$38&lt;&gt;""),COLUMN(指数走势!$F$38:$ACK$38))-COLUMN(指数走势!$F$38)+1-760+562)=0,NA(),INDEX(指数走势!$F$38:$ACK$38,1,LOOKUP(2,1/(指数走势!$F$38:$ACK$38&lt;&gt;""),COLUMN(指数走势!$F$38:$ACK$38))-COLUMN(指数走势!$F$38)+1-760+562)))</f>
        <v>21.3920001983643</v>
      </c>
      <c r="UR102">
        <f>IF(ISERROR(INDEX(指数走势!$F$38:$ACK$38,1,LOOKUP(2,1/(指数走势!$F$38:$ACK$38&lt;&gt;""),COLUMN(指数走势!$F$38:$ACK$38))-COLUMN(指数走势!$F$38)+1-760+563)),NA(),IF(INDEX(指数走势!$F$38:$ACK$38,1,LOOKUP(2,1/(指数走势!$F$38:$ACK$38&lt;&gt;""),COLUMN(指数走势!$F$38:$ACK$38))-COLUMN(指数走势!$F$38)+1-760+563)=0,NA(),INDEX(指数走势!$F$38:$ACK$38,1,LOOKUP(2,1/(指数走势!$F$38:$ACK$38&lt;&gt;""),COLUMN(指数走势!$F$38:$ACK$38))-COLUMN(指数走势!$F$38)+1-760+563)))</f>
        <v>21.7968006134033</v>
      </c>
      <c r="US102">
        <f>IF(ISERROR(INDEX(指数走势!$F$38:$ACK$38,1,LOOKUP(2,1/(指数走势!$F$38:$ACK$38&lt;&gt;""),COLUMN(指数走势!$F$38:$ACK$38))-COLUMN(指数走势!$F$38)+1-760+564)),NA(),IF(INDEX(指数走势!$F$38:$ACK$38,1,LOOKUP(2,1/(指数走势!$F$38:$ACK$38&lt;&gt;""),COLUMN(指数走势!$F$38:$ACK$38))-COLUMN(指数走势!$F$38)+1-760+564)=0,NA(),INDEX(指数走势!$F$38:$ACK$38,1,LOOKUP(2,1/(指数走势!$F$38:$ACK$38&lt;&gt;""),COLUMN(指数走势!$F$38:$ACK$38))-COLUMN(指数走势!$F$38)+1-760+564)))</f>
        <v>22.1865997314453</v>
      </c>
      <c r="UT102">
        <f>IF(ISERROR(INDEX(指数走势!$F$38:$ACK$38,1,LOOKUP(2,1/(指数走势!$F$38:$ACK$38&lt;&gt;""),COLUMN(指数走势!$F$38:$ACK$38))-COLUMN(指数走势!$F$38)+1-760+565)),NA(),IF(INDEX(指数走势!$F$38:$ACK$38,1,LOOKUP(2,1/(指数走势!$F$38:$ACK$38&lt;&gt;""),COLUMN(指数走势!$F$38:$ACK$38))-COLUMN(指数走势!$F$38)+1-760+565)=0,NA(),INDEX(指数走势!$F$38:$ACK$38,1,LOOKUP(2,1/(指数走势!$F$38:$ACK$38&lt;&gt;""),COLUMN(指数走势!$F$38:$ACK$38))-COLUMN(指数走势!$F$38)+1-760+565)))</f>
        <v>22.5358009338379</v>
      </c>
      <c r="UU102">
        <f>IF(ISERROR(INDEX(指数走势!$F$38:$ACK$38,1,LOOKUP(2,1/(指数走势!$F$38:$ACK$38&lt;&gt;""),COLUMN(指数走势!$F$38:$ACK$38))-COLUMN(指数走势!$F$38)+1-760+566)),NA(),IF(INDEX(指数走势!$F$38:$ACK$38,1,LOOKUP(2,1/(指数走势!$F$38:$ACK$38&lt;&gt;""),COLUMN(指数走势!$F$38:$ACK$38))-COLUMN(指数走势!$F$38)+1-760+566)=0,NA(),INDEX(指数走势!$F$38:$ACK$38,1,LOOKUP(2,1/(指数走势!$F$38:$ACK$38&lt;&gt;""),COLUMN(指数走势!$F$38:$ACK$38))-COLUMN(指数走势!$F$38)+1-760+566)))</f>
        <v>22.7273998260498</v>
      </c>
      <c r="UV102">
        <f>IF(ISERROR(INDEX(指数走势!$F$38:$ACK$38,1,LOOKUP(2,1/(指数走势!$F$38:$ACK$38&lt;&gt;""),COLUMN(指数走势!$F$38:$ACK$38))-COLUMN(指数走势!$F$38)+1-760+567)),NA(),IF(INDEX(指数走势!$F$38:$ACK$38,1,LOOKUP(2,1/(指数走势!$F$38:$ACK$38&lt;&gt;""),COLUMN(指数走势!$F$38:$ACK$38))-COLUMN(指数走势!$F$38)+1-760+567)=0,NA(),INDEX(指数走势!$F$38:$ACK$38,1,LOOKUP(2,1/(指数走势!$F$38:$ACK$38&lt;&gt;""),COLUMN(指数走势!$F$38:$ACK$38))-COLUMN(指数走势!$F$38)+1-760+567)))</f>
        <v>22.6674995422363</v>
      </c>
      <c r="UW102">
        <f>IF(ISERROR(INDEX(指数走势!$F$38:$ACK$38,1,LOOKUP(2,1/(指数走势!$F$38:$ACK$38&lt;&gt;""),COLUMN(指数走势!$F$38:$ACK$38))-COLUMN(指数走势!$F$38)+1-760+568)),NA(),IF(INDEX(指数走势!$F$38:$ACK$38,1,LOOKUP(2,1/(指数走势!$F$38:$ACK$38&lt;&gt;""),COLUMN(指数走势!$F$38:$ACK$38))-COLUMN(指数走势!$F$38)+1-760+568)=0,NA(),INDEX(指数走势!$F$38:$ACK$38,1,LOOKUP(2,1/(指数走势!$F$38:$ACK$38&lt;&gt;""),COLUMN(指数走势!$F$38:$ACK$38))-COLUMN(指数走势!$F$38)+1-760+568)))</f>
        <v>23.1210994720459</v>
      </c>
      <c r="UX102">
        <f>IF(ISERROR(INDEX(指数走势!$F$38:$ACK$38,1,LOOKUP(2,1/(指数走势!$F$38:$ACK$38&lt;&gt;""),COLUMN(指数走势!$F$38:$ACK$38))-COLUMN(指数走势!$F$38)+1-760+569)),NA(),IF(INDEX(指数走势!$F$38:$ACK$38,1,LOOKUP(2,1/(指数走势!$F$38:$ACK$38&lt;&gt;""),COLUMN(指数走势!$F$38:$ACK$38))-COLUMN(指数走势!$F$38)+1-760+569)=0,NA(),INDEX(指数走势!$F$38:$ACK$38,1,LOOKUP(2,1/(指数走势!$F$38:$ACK$38&lt;&gt;""),COLUMN(指数走势!$F$38:$ACK$38))-COLUMN(指数走势!$F$38)+1-760+569)))</f>
        <v>23.3160991668701</v>
      </c>
      <c r="UY102">
        <f>IF(ISERROR(INDEX(指数走势!$F$38:$ACK$38,1,LOOKUP(2,1/(指数走势!$F$38:$ACK$38&lt;&gt;""),COLUMN(指数走势!$F$38:$ACK$38))-COLUMN(指数走势!$F$38)+1-760+570)),NA(),IF(INDEX(指数走势!$F$38:$ACK$38,1,LOOKUP(2,1/(指数走势!$F$38:$ACK$38&lt;&gt;""),COLUMN(指数走势!$F$38:$ACK$38))-COLUMN(指数走势!$F$38)+1-760+570)=0,NA(),INDEX(指数走势!$F$38:$ACK$38,1,LOOKUP(2,1/(指数走势!$F$38:$ACK$38&lt;&gt;""),COLUMN(指数走势!$F$38:$ACK$38))-COLUMN(指数走势!$F$38)+1-760+570)))</f>
        <v>23.3747005462646</v>
      </c>
      <c r="UZ102">
        <f>IF(ISERROR(INDEX(指数走势!$F$38:$ACK$38,1,LOOKUP(2,1/(指数走势!$F$38:$ACK$38&lt;&gt;""),COLUMN(指数走势!$F$38:$ACK$38))-COLUMN(指数走势!$F$38)+1-760+571)),NA(),IF(INDEX(指数走势!$F$38:$ACK$38,1,LOOKUP(2,1/(指数走势!$F$38:$ACK$38&lt;&gt;""),COLUMN(指数走势!$F$38:$ACK$38))-COLUMN(指数走势!$F$38)+1-760+571)=0,NA(),INDEX(指数走势!$F$38:$ACK$38,1,LOOKUP(2,1/(指数走势!$F$38:$ACK$38&lt;&gt;""),COLUMN(指数走势!$F$38:$ACK$38))-COLUMN(指数走势!$F$38)+1-760+571)))</f>
        <v>24.2406005859375</v>
      </c>
      <c r="VA102">
        <f>IF(ISERROR(INDEX(指数走势!$F$38:$ACK$38,1,LOOKUP(2,1/(指数走势!$F$38:$ACK$38&lt;&gt;""),COLUMN(指数走势!$F$38:$ACK$38))-COLUMN(指数走势!$F$38)+1-760+572)),NA(),IF(INDEX(指数走势!$F$38:$ACK$38,1,LOOKUP(2,1/(指数走势!$F$38:$ACK$38&lt;&gt;""),COLUMN(指数走势!$F$38:$ACK$38))-COLUMN(指数走势!$F$38)+1-760+572)=0,NA(),INDEX(指数走势!$F$38:$ACK$38,1,LOOKUP(2,1/(指数走势!$F$38:$ACK$38&lt;&gt;""),COLUMN(指数走势!$F$38:$ACK$38))-COLUMN(指数走势!$F$38)+1-760+572)))</f>
        <v>23.8034000396729</v>
      </c>
      <c r="VB102">
        <f>IF(ISERROR(INDEX(指数走势!$F$38:$ACK$38,1,LOOKUP(2,1/(指数走势!$F$38:$ACK$38&lt;&gt;""),COLUMN(指数走势!$F$38:$ACK$38))-COLUMN(指数走势!$F$38)+1-760+573)),NA(),IF(INDEX(指数走势!$F$38:$ACK$38,1,LOOKUP(2,1/(指数走势!$F$38:$ACK$38&lt;&gt;""),COLUMN(指数走势!$F$38:$ACK$38))-COLUMN(指数走势!$F$38)+1-760+573)=0,NA(),INDEX(指数走势!$F$38:$ACK$38,1,LOOKUP(2,1/(指数走势!$F$38:$ACK$38&lt;&gt;""),COLUMN(指数走势!$F$38:$ACK$38))-COLUMN(指数走势!$F$38)+1-760+573)))</f>
        <v>23.8644008636475</v>
      </c>
      <c r="VC102">
        <f>IF(ISERROR(INDEX(指数走势!$F$38:$ACK$38,1,LOOKUP(2,1/(指数走势!$F$38:$ACK$38&lt;&gt;""),COLUMN(指数走势!$F$38:$ACK$38))-COLUMN(指数走势!$F$38)+1-760+574)),NA(),IF(INDEX(指数走势!$F$38:$ACK$38,1,LOOKUP(2,1/(指数走势!$F$38:$ACK$38&lt;&gt;""),COLUMN(指数走势!$F$38:$ACK$38))-COLUMN(指数走势!$F$38)+1-760+574)=0,NA(),INDEX(指数走势!$F$38:$ACK$38,1,LOOKUP(2,1/(指数走势!$F$38:$ACK$38&lt;&gt;""),COLUMN(指数走势!$F$38:$ACK$38))-COLUMN(指数走势!$F$38)+1-760+574)))</f>
        <v>23.7287998199463</v>
      </c>
      <c r="VD102">
        <f>IF(ISERROR(INDEX(指数走势!$F$38:$ACK$38,1,LOOKUP(2,1/(指数走势!$F$38:$ACK$38&lt;&gt;""),COLUMN(指数走势!$F$38:$ACK$38))-COLUMN(指数走势!$F$38)+1-760+575)),NA(),IF(INDEX(指数走势!$F$38:$ACK$38,1,LOOKUP(2,1/(指数走势!$F$38:$ACK$38&lt;&gt;""),COLUMN(指数走势!$F$38:$ACK$38))-COLUMN(指数走势!$F$38)+1-760+575)=0,NA(),INDEX(指数走势!$F$38:$ACK$38,1,LOOKUP(2,1/(指数走势!$F$38:$ACK$38&lt;&gt;""),COLUMN(指数走势!$F$38:$ACK$38))-COLUMN(指数走势!$F$38)+1-760+575)))</f>
        <v>23.4724998474121</v>
      </c>
      <c r="VE102">
        <f>IF(ISERROR(INDEX(指数走势!$F$38:$ACK$38,1,LOOKUP(2,1/(指数走势!$F$38:$ACK$38&lt;&gt;""),COLUMN(指数走势!$F$38:$ACK$38))-COLUMN(指数走势!$F$38)+1-760+576)),NA(),IF(INDEX(指数走势!$F$38:$ACK$38,1,LOOKUP(2,1/(指数走势!$F$38:$ACK$38&lt;&gt;""),COLUMN(指数走势!$F$38:$ACK$38))-COLUMN(指数走势!$F$38)+1-760+576)=0,NA(),INDEX(指数走势!$F$38:$ACK$38,1,LOOKUP(2,1/(指数走势!$F$38:$ACK$38&lt;&gt;""),COLUMN(指数走势!$F$38:$ACK$38))-COLUMN(指数走势!$F$38)+1-760+576)))</f>
        <v>24.1772994995117</v>
      </c>
      <c r="VF102">
        <f>IF(ISERROR(INDEX(指数走势!$F$38:$ACK$38,1,LOOKUP(2,1/(指数走势!$F$38:$ACK$38&lt;&gt;""),COLUMN(指数走势!$F$38:$ACK$38))-COLUMN(指数走势!$F$38)+1-760+577)),NA(),IF(INDEX(指数走势!$F$38:$ACK$38,1,LOOKUP(2,1/(指数走势!$F$38:$ACK$38&lt;&gt;""),COLUMN(指数走势!$F$38:$ACK$38))-COLUMN(指数走势!$F$38)+1-760+577)=0,NA(),INDEX(指数走势!$F$38:$ACK$38,1,LOOKUP(2,1/(指数走势!$F$38:$ACK$38&lt;&gt;""),COLUMN(指数走势!$F$38:$ACK$38))-COLUMN(指数走势!$F$38)+1-760+577)))</f>
        <v>24.2866992950439</v>
      </c>
      <c r="VG102">
        <f>IF(ISERROR(INDEX(指数走势!$F$38:$ACK$38,1,LOOKUP(2,1/(指数走势!$F$38:$ACK$38&lt;&gt;""),COLUMN(指数走势!$F$38:$ACK$38))-COLUMN(指数走势!$F$38)+1-760+578)),NA(),IF(INDEX(指数走势!$F$38:$ACK$38,1,LOOKUP(2,1/(指数走势!$F$38:$ACK$38&lt;&gt;""),COLUMN(指数走势!$F$38:$ACK$38))-COLUMN(指数走势!$F$38)+1-760+578)=0,NA(),INDEX(指数走势!$F$38:$ACK$38,1,LOOKUP(2,1/(指数走势!$F$38:$ACK$38&lt;&gt;""),COLUMN(指数走势!$F$38:$ACK$38))-COLUMN(指数走势!$F$38)+1-760+578)))</f>
        <v>23.6893997192383</v>
      </c>
      <c r="VH102">
        <f>IF(ISERROR(INDEX(指数走势!$F$38:$ACK$38,1,LOOKUP(2,1/(指数走势!$F$38:$ACK$38&lt;&gt;""),COLUMN(指数走势!$F$38:$ACK$38))-COLUMN(指数走势!$F$38)+1-760+579)),NA(),IF(INDEX(指数走势!$F$38:$ACK$38,1,LOOKUP(2,1/(指数走势!$F$38:$ACK$38&lt;&gt;""),COLUMN(指数走势!$F$38:$ACK$38))-COLUMN(指数走势!$F$38)+1-760+579)=0,NA(),INDEX(指数走势!$F$38:$ACK$38,1,LOOKUP(2,1/(指数走势!$F$38:$ACK$38&lt;&gt;""),COLUMN(指数走势!$F$38:$ACK$38))-COLUMN(指数走势!$F$38)+1-760+579)))</f>
        <v>24.2231006622314</v>
      </c>
      <c r="VI102">
        <f>IF(ISERROR(INDEX(指数走势!$F$38:$ACK$38,1,LOOKUP(2,1/(指数走势!$F$38:$ACK$38&lt;&gt;""),COLUMN(指数走势!$F$38:$ACK$38))-COLUMN(指数走势!$F$38)+1-760+580)),NA(),IF(INDEX(指数走势!$F$38:$ACK$38,1,LOOKUP(2,1/(指数走势!$F$38:$ACK$38&lt;&gt;""),COLUMN(指数走势!$F$38:$ACK$38))-COLUMN(指数走势!$F$38)+1-760+580)=0,NA(),INDEX(指数走势!$F$38:$ACK$38,1,LOOKUP(2,1/(指数走势!$F$38:$ACK$38&lt;&gt;""),COLUMN(指数走势!$F$38:$ACK$38))-COLUMN(指数走势!$F$38)+1-760+580)))</f>
        <v>24.5627002716064</v>
      </c>
      <c r="VJ102">
        <f>IF(ISERROR(INDEX(指数走势!$F$38:$ACK$38,1,LOOKUP(2,1/(指数走势!$F$38:$ACK$38&lt;&gt;""),COLUMN(指数走势!$F$38:$ACK$38))-COLUMN(指数走势!$F$38)+1-760+581)),NA(),IF(INDEX(指数走势!$F$38:$ACK$38,1,LOOKUP(2,1/(指数走势!$F$38:$ACK$38&lt;&gt;""),COLUMN(指数走势!$F$38:$ACK$38))-COLUMN(指数走势!$F$38)+1-760+581)=0,NA(),INDEX(指数走势!$F$38:$ACK$38,1,LOOKUP(2,1/(指数走势!$F$38:$ACK$38&lt;&gt;""),COLUMN(指数走势!$F$38:$ACK$38))-COLUMN(指数走势!$F$38)+1-760+581)))</f>
        <v>24.6469993591309</v>
      </c>
      <c r="VK102">
        <f>IF(ISERROR(INDEX(指数走势!$F$38:$ACK$38,1,LOOKUP(2,1/(指数走势!$F$38:$ACK$38&lt;&gt;""),COLUMN(指数走势!$F$38:$ACK$38))-COLUMN(指数走势!$F$38)+1-760+582)),NA(),IF(INDEX(指数走势!$F$38:$ACK$38,1,LOOKUP(2,1/(指数走势!$F$38:$ACK$38&lt;&gt;""),COLUMN(指数走势!$F$38:$ACK$38))-COLUMN(指数走势!$F$38)+1-760+582)=0,NA(),INDEX(指数走势!$F$38:$ACK$38,1,LOOKUP(2,1/(指数走势!$F$38:$ACK$38&lt;&gt;""),COLUMN(指数走势!$F$38:$ACK$38))-COLUMN(指数走势!$F$38)+1-760+582)))</f>
        <v>23.8330001831055</v>
      </c>
      <c r="VL102">
        <f>IF(ISERROR(INDEX(指数走势!$F$38:$ACK$38,1,LOOKUP(2,1/(指数走势!$F$38:$ACK$38&lt;&gt;""),COLUMN(指数走势!$F$38:$ACK$38))-COLUMN(指数走势!$F$38)+1-760+583)),NA(),IF(INDEX(指数走势!$F$38:$ACK$38,1,LOOKUP(2,1/(指数走势!$F$38:$ACK$38&lt;&gt;""),COLUMN(指数走势!$F$38:$ACK$38))-COLUMN(指数走势!$F$38)+1-760+583)=0,NA(),INDEX(指数走势!$F$38:$ACK$38,1,LOOKUP(2,1/(指数走势!$F$38:$ACK$38&lt;&gt;""),COLUMN(指数走势!$F$38:$ACK$38))-COLUMN(指数走势!$F$38)+1-760+583)))</f>
        <v>23.3570003509521</v>
      </c>
      <c r="VM102">
        <f>IF(ISERROR(INDEX(指数走势!$F$38:$ACK$38,1,LOOKUP(2,1/(指数走势!$F$38:$ACK$38&lt;&gt;""),COLUMN(指数走势!$F$38:$ACK$38))-COLUMN(指数走势!$F$38)+1-760+584)),NA(),IF(INDEX(指数走势!$F$38:$ACK$38,1,LOOKUP(2,1/(指数走势!$F$38:$ACK$38&lt;&gt;""),COLUMN(指数走势!$F$38:$ACK$38))-COLUMN(指数走势!$F$38)+1-760+584)=0,NA(),INDEX(指数走势!$F$38:$ACK$38,1,LOOKUP(2,1/(指数走势!$F$38:$ACK$38&lt;&gt;""),COLUMN(指数走势!$F$38:$ACK$38))-COLUMN(指数走势!$F$38)+1-760+584)))</f>
        <v>22.6382007598877</v>
      </c>
      <c r="VN102">
        <f>IF(ISERROR(INDEX(指数走势!$F$38:$ACK$38,1,LOOKUP(2,1/(指数走势!$F$38:$ACK$38&lt;&gt;""),COLUMN(指数走势!$F$38:$ACK$38))-COLUMN(指数走势!$F$38)+1-760+585)),NA(),IF(INDEX(指数走势!$F$38:$ACK$38,1,LOOKUP(2,1/(指数走势!$F$38:$ACK$38&lt;&gt;""),COLUMN(指数走势!$F$38:$ACK$38))-COLUMN(指数走势!$F$38)+1-760+585)=0,NA(),INDEX(指数走势!$F$38:$ACK$38,1,LOOKUP(2,1/(指数走势!$F$38:$ACK$38&lt;&gt;""),COLUMN(指数走势!$F$38:$ACK$38))-COLUMN(指数走势!$F$38)+1-760+585)))</f>
        <v>23.1371994018555</v>
      </c>
      <c r="VO102">
        <f>IF(ISERROR(INDEX(指数走势!$F$38:$ACK$38,1,LOOKUP(2,1/(指数走势!$F$38:$ACK$38&lt;&gt;""),COLUMN(指数走势!$F$38:$ACK$38))-COLUMN(指数走势!$F$38)+1-760+586)),NA(),IF(INDEX(指数走势!$F$38:$ACK$38,1,LOOKUP(2,1/(指数走势!$F$38:$ACK$38&lt;&gt;""),COLUMN(指数走势!$F$38:$ACK$38))-COLUMN(指数走势!$F$38)+1-760+586)=0,NA(),INDEX(指数走势!$F$38:$ACK$38,1,LOOKUP(2,1/(指数走势!$F$38:$ACK$38&lt;&gt;""),COLUMN(指数走势!$F$38:$ACK$38))-COLUMN(指数走势!$F$38)+1-760+586)))</f>
        <v>22.882999420166</v>
      </c>
      <c r="VP102">
        <f>IF(ISERROR(INDEX(指数走势!$F$38:$ACK$38,1,LOOKUP(2,1/(指数走势!$F$38:$ACK$38&lt;&gt;""),COLUMN(指数走势!$F$38:$ACK$38))-COLUMN(指数走势!$F$38)+1-760+587)),NA(),IF(INDEX(指数走势!$F$38:$ACK$38,1,LOOKUP(2,1/(指数走势!$F$38:$ACK$38&lt;&gt;""),COLUMN(指数走势!$F$38:$ACK$38))-COLUMN(指数走势!$F$38)+1-760+587)=0,NA(),INDEX(指数走势!$F$38:$ACK$38,1,LOOKUP(2,1/(指数走势!$F$38:$ACK$38&lt;&gt;""),COLUMN(指数走势!$F$38:$ACK$38))-COLUMN(指数走势!$F$38)+1-760+587)))</f>
        <v>22.1312999725342</v>
      </c>
      <c r="VQ102">
        <f>IF(ISERROR(INDEX(指数走势!$F$38:$ACK$38,1,LOOKUP(2,1/(指数走势!$F$38:$ACK$38&lt;&gt;""),COLUMN(指数走势!$F$38:$ACK$38))-COLUMN(指数走势!$F$38)+1-760+588)),NA(),IF(INDEX(指数走势!$F$38:$ACK$38,1,LOOKUP(2,1/(指数走势!$F$38:$ACK$38&lt;&gt;""),COLUMN(指数走势!$F$38:$ACK$38))-COLUMN(指数走势!$F$38)+1-760+588)=0,NA(),INDEX(指数走势!$F$38:$ACK$38,1,LOOKUP(2,1/(指数走势!$F$38:$ACK$38&lt;&gt;""),COLUMN(指数走势!$F$38:$ACK$38))-COLUMN(指数走势!$F$38)+1-760+588)))</f>
        <v>22.8477993011475</v>
      </c>
      <c r="VR102">
        <f>IF(ISERROR(INDEX(指数走势!$F$38:$ACK$38,1,LOOKUP(2,1/(指数走势!$F$38:$ACK$38&lt;&gt;""),COLUMN(指数走势!$F$38:$ACK$38))-COLUMN(指数走势!$F$38)+1-760+589)),NA(),IF(INDEX(指数走势!$F$38:$ACK$38,1,LOOKUP(2,1/(指数走势!$F$38:$ACK$38&lt;&gt;""),COLUMN(指数走势!$F$38:$ACK$38))-COLUMN(指数走势!$F$38)+1-760+589)=0,NA(),INDEX(指数走势!$F$38:$ACK$38,1,LOOKUP(2,1/(指数走势!$F$38:$ACK$38&lt;&gt;""),COLUMN(指数走势!$F$38:$ACK$38))-COLUMN(指数走势!$F$38)+1-760+589)))</f>
        <v>23.0464992523193</v>
      </c>
      <c r="VS102">
        <f>IF(ISERROR(INDEX(指数走势!$F$38:$ACK$38,1,LOOKUP(2,1/(指数走势!$F$38:$ACK$38&lt;&gt;""),COLUMN(指数走势!$F$38:$ACK$38))-COLUMN(指数走势!$F$38)+1-760+590)),NA(),IF(INDEX(指数走势!$F$38:$ACK$38,1,LOOKUP(2,1/(指数走势!$F$38:$ACK$38&lt;&gt;""),COLUMN(指数走势!$F$38:$ACK$38))-COLUMN(指数走势!$F$38)+1-760+590)=0,NA(),INDEX(指数走势!$F$38:$ACK$38,1,LOOKUP(2,1/(指数走势!$F$38:$ACK$38&lt;&gt;""),COLUMN(指数走势!$F$38:$ACK$38))-COLUMN(指数走势!$F$38)+1-760+590)))</f>
        <v>22.75830078125</v>
      </c>
      <c r="VT102">
        <f>IF(ISERROR(INDEX(指数走势!$F$38:$ACK$38,1,LOOKUP(2,1/(指数走势!$F$38:$ACK$38&lt;&gt;""),COLUMN(指数走势!$F$38:$ACK$38))-COLUMN(指数走势!$F$38)+1-760+591)),NA(),IF(INDEX(指数走势!$F$38:$ACK$38,1,LOOKUP(2,1/(指数走势!$F$38:$ACK$38&lt;&gt;""),COLUMN(指数走势!$F$38:$ACK$38))-COLUMN(指数走势!$F$38)+1-760+591)=0,NA(),INDEX(指数走势!$F$38:$ACK$38,1,LOOKUP(2,1/(指数走势!$F$38:$ACK$38&lt;&gt;""),COLUMN(指数走势!$F$38:$ACK$38))-COLUMN(指数走势!$F$38)+1-760+591)))</f>
        <v>22.9878997802734</v>
      </c>
      <c r="VU102">
        <f>IF(ISERROR(INDEX(指数走势!$F$38:$ACK$38,1,LOOKUP(2,1/(指数走势!$F$38:$ACK$38&lt;&gt;""),COLUMN(指数走势!$F$38:$ACK$38))-COLUMN(指数走势!$F$38)+1-760+592)),NA(),IF(INDEX(指数走势!$F$38:$ACK$38,1,LOOKUP(2,1/(指数走势!$F$38:$ACK$38&lt;&gt;""),COLUMN(指数走势!$F$38:$ACK$38))-COLUMN(指数走势!$F$38)+1-760+592)=0,NA(),INDEX(指数走势!$F$38:$ACK$38,1,LOOKUP(2,1/(指数走势!$F$38:$ACK$38&lt;&gt;""),COLUMN(指数走势!$F$38:$ACK$38))-COLUMN(指数走势!$F$38)+1-760+592)))</f>
        <v>23.2833003997803</v>
      </c>
      <c r="VV102">
        <f>IF(ISERROR(INDEX(指数走势!$F$38:$ACK$38,1,LOOKUP(2,1/(指数走势!$F$38:$ACK$38&lt;&gt;""),COLUMN(指数走势!$F$38:$ACK$38))-COLUMN(指数走势!$F$38)+1-760+593)),NA(),IF(INDEX(指数走势!$F$38:$ACK$38,1,LOOKUP(2,1/(指数走势!$F$38:$ACK$38&lt;&gt;""),COLUMN(指数走势!$F$38:$ACK$38))-COLUMN(指数走势!$F$38)+1-760+593)=0,NA(),INDEX(指数走势!$F$38:$ACK$38,1,LOOKUP(2,1/(指数走势!$F$38:$ACK$38&lt;&gt;""),COLUMN(指数走势!$F$38:$ACK$38))-COLUMN(指数走势!$F$38)+1-760+593)))</f>
        <v>23.7898998260498</v>
      </c>
      <c r="VW102">
        <f>IF(ISERROR(INDEX(指数走势!$F$38:$ACK$38,1,LOOKUP(2,1/(指数走势!$F$38:$ACK$38&lt;&gt;""),COLUMN(指数走势!$F$38:$ACK$38))-COLUMN(指数走势!$F$38)+1-760+594)),NA(),IF(INDEX(指数走势!$F$38:$ACK$38,1,LOOKUP(2,1/(指数走势!$F$38:$ACK$38&lt;&gt;""),COLUMN(指数走势!$F$38:$ACK$38))-COLUMN(指数走势!$F$38)+1-760+594)=0,NA(),INDEX(指数走势!$F$38:$ACK$38,1,LOOKUP(2,1/(指数走势!$F$38:$ACK$38&lt;&gt;""),COLUMN(指数走势!$F$38:$ACK$38))-COLUMN(指数走势!$F$38)+1-760+594)))</f>
        <v>23.4421997070313</v>
      </c>
      <c r="VX102">
        <f>IF(ISERROR(INDEX(指数走势!$F$38:$ACK$38,1,LOOKUP(2,1/(指数走势!$F$38:$ACK$38&lt;&gt;""),COLUMN(指数走势!$F$38:$ACK$38))-COLUMN(指数走势!$F$38)+1-760+595)),NA(),IF(INDEX(指数走势!$F$38:$ACK$38,1,LOOKUP(2,1/(指数走势!$F$38:$ACK$38&lt;&gt;""),COLUMN(指数走势!$F$38:$ACK$38))-COLUMN(指数走势!$F$38)+1-760+595)=0,NA(),INDEX(指数走势!$F$38:$ACK$38,1,LOOKUP(2,1/(指数走势!$F$38:$ACK$38&lt;&gt;""),COLUMN(指数走势!$F$38:$ACK$38))-COLUMN(指数走势!$F$38)+1-760+595)))</f>
        <v>23.4090003967285</v>
      </c>
      <c r="VY102">
        <f>IF(ISERROR(INDEX(指数走势!$F$38:$ACK$38,1,LOOKUP(2,1/(指数走势!$F$38:$ACK$38&lt;&gt;""),COLUMN(指数走势!$F$38:$ACK$38))-COLUMN(指数走势!$F$38)+1-760+596)),NA(),IF(INDEX(指数走势!$F$38:$ACK$38,1,LOOKUP(2,1/(指数走势!$F$38:$ACK$38&lt;&gt;""),COLUMN(指数走势!$F$38:$ACK$38))-COLUMN(指数走势!$F$38)+1-760+596)=0,NA(),INDEX(指数走势!$F$38:$ACK$38,1,LOOKUP(2,1/(指数走势!$F$38:$ACK$38&lt;&gt;""),COLUMN(指数走势!$F$38:$ACK$38))-COLUMN(指数走势!$F$38)+1-760+596)))</f>
        <v>23.5009994506836</v>
      </c>
      <c r="VZ102">
        <f>IF(ISERROR(INDEX(指数走势!$F$38:$ACK$38,1,LOOKUP(2,1/(指数走势!$F$38:$ACK$38&lt;&gt;""),COLUMN(指数走势!$F$38:$ACK$38))-COLUMN(指数走势!$F$38)+1-760+597)),NA(),IF(INDEX(指数走势!$F$38:$ACK$38,1,LOOKUP(2,1/(指数走势!$F$38:$ACK$38&lt;&gt;""),COLUMN(指数走势!$F$38:$ACK$38))-COLUMN(指数走势!$F$38)+1-760+597)=0,NA(),INDEX(指数走势!$F$38:$ACK$38,1,LOOKUP(2,1/(指数走势!$F$38:$ACK$38&lt;&gt;""),COLUMN(指数走势!$F$38:$ACK$38))-COLUMN(指数走势!$F$38)+1-760+597)))</f>
        <v>22.8540992736816</v>
      </c>
      <c r="WA102">
        <f>IF(ISERROR(INDEX(指数走势!$F$38:$ACK$38,1,LOOKUP(2,1/(指数走势!$F$38:$ACK$38&lt;&gt;""),COLUMN(指数走势!$F$38:$ACK$38))-COLUMN(指数走势!$F$38)+1-760+598)),NA(),IF(INDEX(指数走势!$F$38:$ACK$38,1,LOOKUP(2,1/(指数走势!$F$38:$ACK$38&lt;&gt;""),COLUMN(指数走势!$F$38:$ACK$38))-COLUMN(指数走势!$F$38)+1-760+598)=0,NA(),INDEX(指数走势!$F$38:$ACK$38,1,LOOKUP(2,1/(指数走势!$F$38:$ACK$38&lt;&gt;""),COLUMN(指数走势!$F$38:$ACK$38))-COLUMN(指数走势!$F$38)+1-760+598)))</f>
        <v>22.8467998504639</v>
      </c>
      <c r="WB102">
        <f>IF(ISERROR(INDEX(指数走势!$F$38:$ACK$38,1,LOOKUP(2,1/(指数走势!$F$38:$ACK$38&lt;&gt;""),COLUMN(指数走势!$F$38:$ACK$38))-COLUMN(指数走势!$F$38)+1-760+599)),NA(),IF(INDEX(指数走势!$F$38:$ACK$38,1,LOOKUP(2,1/(指数走势!$F$38:$ACK$38&lt;&gt;""),COLUMN(指数走势!$F$38:$ACK$38))-COLUMN(指数走势!$F$38)+1-760+599)=0,NA(),INDEX(指数走势!$F$38:$ACK$38,1,LOOKUP(2,1/(指数走势!$F$38:$ACK$38&lt;&gt;""),COLUMN(指数走势!$F$38:$ACK$38))-COLUMN(指数走势!$F$38)+1-760+599)))</f>
        <v>22.5941009521484</v>
      </c>
      <c r="WC102">
        <f>IF(ISERROR(INDEX(指数走势!$F$38:$ACK$38,1,LOOKUP(2,1/(指数走势!$F$38:$ACK$38&lt;&gt;""),COLUMN(指数走势!$F$38:$ACK$38))-COLUMN(指数走势!$F$38)+1-760+600)),NA(),IF(INDEX(指数走势!$F$38:$ACK$38,1,LOOKUP(2,1/(指数走势!$F$38:$ACK$38&lt;&gt;""),COLUMN(指数走势!$F$38:$ACK$38))-COLUMN(指数走势!$F$38)+1-760+600)=0,NA(),INDEX(指数走势!$F$38:$ACK$38,1,LOOKUP(2,1/(指数走势!$F$38:$ACK$38&lt;&gt;""),COLUMN(指数走势!$F$38:$ACK$38))-COLUMN(指数走势!$F$38)+1-760+600)))</f>
        <v>22.5090999603271</v>
      </c>
      <c r="WD102">
        <f>IF(ISERROR(INDEX(指数走势!$F$38:$ACK$38,1,LOOKUP(2,1/(指数走势!$F$38:$ACK$38&lt;&gt;""),COLUMN(指数走势!$F$38:$ACK$38))-COLUMN(指数走势!$F$38)+1-760+601)),NA(),IF(INDEX(指数走势!$F$38:$ACK$38,1,LOOKUP(2,1/(指数走势!$F$38:$ACK$38&lt;&gt;""),COLUMN(指数走势!$F$38:$ACK$38))-COLUMN(指数走势!$F$38)+1-760+601)=0,NA(),INDEX(指数走势!$F$38:$ACK$38,1,LOOKUP(2,1/(指数走势!$F$38:$ACK$38&lt;&gt;""),COLUMN(指数走势!$F$38:$ACK$38))-COLUMN(指数走势!$F$38)+1-760+601)))</f>
        <v>23.119499206543</v>
      </c>
      <c r="WE102">
        <f>IF(ISERROR(INDEX(指数走势!$F$38:$ACK$38,1,LOOKUP(2,1/(指数走势!$F$38:$ACK$38&lt;&gt;""),COLUMN(指数走势!$F$38:$ACK$38))-COLUMN(指数走势!$F$38)+1-760+602)),NA(),IF(INDEX(指数走势!$F$38:$ACK$38,1,LOOKUP(2,1/(指数走势!$F$38:$ACK$38&lt;&gt;""),COLUMN(指数走势!$F$38:$ACK$38))-COLUMN(指数走势!$F$38)+1-760+602)=0,NA(),INDEX(指数走势!$F$38:$ACK$38,1,LOOKUP(2,1/(指数走势!$F$38:$ACK$38&lt;&gt;""),COLUMN(指数走势!$F$38:$ACK$38))-COLUMN(指数走势!$F$38)+1-760+602)))</f>
        <v>22.6949005126953</v>
      </c>
      <c r="WF102">
        <f>IF(ISERROR(INDEX(指数走势!$F$38:$ACK$38,1,LOOKUP(2,1/(指数走势!$F$38:$ACK$38&lt;&gt;""),COLUMN(指数走势!$F$38:$ACK$38))-COLUMN(指数走势!$F$38)+1-760+603)),NA(),IF(INDEX(指数走势!$F$38:$ACK$38,1,LOOKUP(2,1/(指数走势!$F$38:$ACK$38&lt;&gt;""),COLUMN(指数走势!$F$38:$ACK$38))-COLUMN(指数走势!$F$38)+1-760+603)=0,NA(),INDEX(指数走势!$F$38:$ACK$38,1,LOOKUP(2,1/(指数走势!$F$38:$ACK$38&lt;&gt;""),COLUMN(指数走势!$F$38:$ACK$38))-COLUMN(指数走势!$F$38)+1-760+603)))</f>
        <v>23.0918006896973</v>
      </c>
      <c r="WG102">
        <f>IF(ISERROR(INDEX(指数走势!$F$38:$ACK$38,1,LOOKUP(2,1/(指数走势!$F$38:$ACK$38&lt;&gt;""),COLUMN(指数走势!$F$38:$ACK$38))-COLUMN(指数走势!$F$38)+1-760+604)),NA(),IF(INDEX(指数走势!$F$38:$ACK$38,1,LOOKUP(2,1/(指数走势!$F$38:$ACK$38&lt;&gt;""),COLUMN(指数走势!$F$38:$ACK$38))-COLUMN(指数走势!$F$38)+1-760+604)=0,NA(),INDEX(指数走势!$F$38:$ACK$38,1,LOOKUP(2,1/(指数走势!$F$38:$ACK$38&lt;&gt;""),COLUMN(指数走势!$F$38:$ACK$38))-COLUMN(指数走势!$F$38)+1-760+604)))</f>
        <v>23.0235996246338</v>
      </c>
      <c r="WH102">
        <f>IF(ISERROR(INDEX(指数走势!$F$38:$ACK$38,1,LOOKUP(2,1/(指数走势!$F$38:$ACK$38&lt;&gt;""),COLUMN(指数走势!$F$38:$ACK$38))-COLUMN(指数走势!$F$38)+1-760+605)),NA(),IF(INDEX(指数走势!$F$38:$ACK$38,1,LOOKUP(2,1/(指数走势!$F$38:$ACK$38&lt;&gt;""),COLUMN(指数走势!$F$38:$ACK$38))-COLUMN(指数走势!$F$38)+1-760+605)=0,NA(),INDEX(指数走势!$F$38:$ACK$38,1,LOOKUP(2,1/(指数走势!$F$38:$ACK$38&lt;&gt;""),COLUMN(指数走势!$F$38:$ACK$38))-COLUMN(指数走势!$F$38)+1-760+605)))</f>
        <v>23.0797004699707</v>
      </c>
      <c r="WI102">
        <f>IF(ISERROR(INDEX(指数走势!$F$38:$ACK$38,1,LOOKUP(2,1/(指数走势!$F$38:$ACK$38&lt;&gt;""),COLUMN(指数走势!$F$38:$ACK$38))-COLUMN(指数走势!$F$38)+1-760+606)),NA(),IF(INDEX(指数走势!$F$38:$ACK$38,1,LOOKUP(2,1/(指数走势!$F$38:$ACK$38&lt;&gt;""),COLUMN(指数走势!$F$38:$ACK$38))-COLUMN(指数走势!$F$38)+1-760+606)=0,NA(),INDEX(指数走势!$F$38:$ACK$38,1,LOOKUP(2,1/(指数走势!$F$38:$ACK$38&lt;&gt;""),COLUMN(指数走势!$F$38:$ACK$38))-COLUMN(指数走势!$F$38)+1-760+606)))</f>
        <v>23.0914001464844</v>
      </c>
      <c r="WJ102">
        <f>IF(ISERROR(INDEX(指数走势!$F$38:$ACK$38,1,LOOKUP(2,1/(指数走势!$F$38:$ACK$38&lt;&gt;""),COLUMN(指数走势!$F$38:$ACK$38))-COLUMN(指数走势!$F$38)+1-760+607)),NA(),IF(INDEX(指数走势!$F$38:$ACK$38,1,LOOKUP(2,1/(指数走势!$F$38:$ACK$38&lt;&gt;""),COLUMN(指数走势!$F$38:$ACK$38))-COLUMN(指数走势!$F$38)+1-760+607)=0,NA(),INDEX(指数走势!$F$38:$ACK$38,1,LOOKUP(2,1/(指数走势!$F$38:$ACK$38&lt;&gt;""),COLUMN(指数走势!$F$38:$ACK$38))-COLUMN(指数走势!$F$38)+1-760+607)))</f>
        <v>22.4705009460449</v>
      </c>
      <c r="WK102">
        <f>IF(ISERROR(INDEX(指数走势!$F$38:$ACK$38,1,LOOKUP(2,1/(指数走势!$F$38:$ACK$38&lt;&gt;""),COLUMN(指数走势!$F$38:$ACK$38))-COLUMN(指数走势!$F$38)+1-760+608)),NA(),IF(INDEX(指数走势!$F$38:$ACK$38,1,LOOKUP(2,1/(指数走势!$F$38:$ACK$38&lt;&gt;""),COLUMN(指数走势!$F$38:$ACK$38))-COLUMN(指数走势!$F$38)+1-760+608)=0,NA(),INDEX(指数走势!$F$38:$ACK$38,1,LOOKUP(2,1/(指数走势!$F$38:$ACK$38&lt;&gt;""),COLUMN(指数走势!$F$38:$ACK$38))-COLUMN(指数走势!$F$38)+1-760+608)))</f>
        <v>22.2639999389648</v>
      </c>
      <c r="WL102">
        <f>IF(ISERROR(INDEX(指数走势!$F$38:$ACK$38,1,LOOKUP(2,1/(指数走势!$F$38:$ACK$38&lt;&gt;""),COLUMN(指数走势!$F$38:$ACK$38))-COLUMN(指数走势!$F$38)+1-760+609)),NA(),IF(INDEX(指数走势!$F$38:$ACK$38,1,LOOKUP(2,1/(指数走势!$F$38:$ACK$38&lt;&gt;""),COLUMN(指数走势!$F$38:$ACK$38))-COLUMN(指数走势!$F$38)+1-760+609)=0,NA(),INDEX(指数走势!$F$38:$ACK$38,1,LOOKUP(2,1/(指数走势!$F$38:$ACK$38&lt;&gt;""),COLUMN(指数走势!$F$38:$ACK$38))-COLUMN(指数走势!$F$38)+1-760+609)))</f>
        <v>21.8418998718262</v>
      </c>
      <c r="WM102">
        <f>IF(ISERROR(INDEX(指数走势!$F$38:$ACK$38,1,LOOKUP(2,1/(指数走势!$F$38:$ACK$38&lt;&gt;""),COLUMN(指数走势!$F$38:$ACK$38))-COLUMN(指数走势!$F$38)+1-760+610)),NA(),IF(INDEX(指数走势!$F$38:$ACK$38,1,LOOKUP(2,1/(指数走势!$F$38:$ACK$38&lt;&gt;""),COLUMN(指数走势!$F$38:$ACK$38))-COLUMN(指数走势!$F$38)+1-760+610)=0,NA(),INDEX(指数走势!$F$38:$ACK$38,1,LOOKUP(2,1/(指数走势!$F$38:$ACK$38&lt;&gt;""),COLUMN(指数走势!$F$38:$ACK$38))-COLUMN(指数走势!$F$38)+1-760+610)))</f>
        <v>21.7418994903564</v>
      </c>
      <c r="WN102">
        <f>IF(ISERROR(INDEX(指数走势!$F$38:$ACK$38,1,LOOKUP(2,1/(指数走势!$F$38:$ACK$38&lt;&gt;""),COLUMN(指数走势!$F$38:$ACK$38))-COLUMN(指数走势!$F$38)+1-760+611)),NA(),IF(INDEX(指数走势!$F$38:$ACK$38,1,LOOKUP(2,1/(指数走势!$F$38:$ACK$38&lt;&gt;""),COLUMN(指数走势!$F$38:$ACK$38))-COLUMN(指数走势!$F$38)+1-760+611)=0,NA(),INDEX(指数走势!$F$38:$ACK$38,1,LOOKUP(2,1/(指数走势!$F$38:$ACK$38&lt;&gt;""),COLUMN(指数走势!$F$38:$ACK$38))-COLUMN(指数走势!$F$38)+1-760+611)))</f>
        <v>21.5737991333008</v>
      </c>
      <c r="WO102">
        <f>IF(ISERROR(INDEX(指数走势!$F$38:$ACK$38,1,LOOKUP(2,1/(指数走势!$F$38:$ACK$38&lt;&gt;""),COLUMN(指数走势!$F$38:$ACK$38))-COLUMN(指数走势!$F$38)+1-760+612)),NA(),IF(INDEX(指数走势!$F$38:$ACK$38,1,LOOKUP(2,1/(指数走势!$F$38:$ACK$38&lt;&gt;""),COLUMN(指数走势!$F$38:$ACK$38))-COLUMN(指数走势!$F$38)+1-760+612)=0,NA(),INDEX(指数走势!$F$38:$ACK$38,1,LOOKUP(2,1/(指数走势!$F$38:$ACK$38&lt;&gt;""),COLUMN(指数走势!$F$38:$ACK$38))-COLUMN(指数走势!$F$38)+1-760+612)))</f>
        <v>20.9710998535156</v>
      </c>
      <c r="WP102">
        <f>IF(ISERROR(INDEX(指数走势!$F$38:$ACK$38,1,LOOKUP(2,1/(指数走势!$F$38:$ACK$38&lt;&gt;""),COLUMN(指数走势!$F$38:$ACK$38))-COLUMN(指数走势!$F$38)+1-760+613)),NA(),IF(INDEX(指数走势!$F$38:$ACK$38,1,LOOKUP(2,1/(指数走势!$F$38:$ACK$38&lt;&gt;""),COLUMN(指数走势!$F$38:$ACK$38))-COLUMN(指数走势!$F$38)+1-760+613)=0,NA(),INDEX(指数走势!$F$38:$ACK$38,1,LOOKUP(2,1/(指数走势!$F$38:$ACK$38&lt;&gt;""),COLUMN(指数走势!$F$38:$ACK$38))-COLUMN(指数走势!$F$38)+1-760+613)))</f>
        <v>21.559700012207</v>
      </c>
      <c r="WQ102">
        <f>IF(ISERROR(INDEX(指数走势!$F$38:$ACK$38,1,LOOKUP(2,1/(指数走势!$F$38:$ACK$38&lt;&gt;""),COLUMN(指数走势!$F$38:$ACK$38))-COLUMN(指数走势!$F$38)+1-760+614)),NA(),IF(INDEX(指数走势!$F$38:$ACK$38,1,LOOKUP(2,1/(指数走势!$F$38:$ACK$38&lt;&gt;""),COLUMN(指数走势!$F$38:$ACK$38))-COLUMN(指数走势!$F$38)+1-760+614)=0,NA(),INDEX(指数走势!$F$38:$ACK$38,1,LOOKUP(2,1/(指数走势!$F$38:$ACK$38&lt;&gt;""),COLUMN(指数走势!$F$38:$ACK$38))-COLUMN(指数走势!$F$38)+1-760+614)))</f>
        <v>22.4680004119873</v>
      </c>
      <c r="WR102">
        <f>IF(ISERROR(INDEX(指数走势!$F$38:$ACK$38,1,LOOKUP(2,1/(指数走势!$F$38:$ACK$38&lt;&gt;""),COLUMN(指数走势!$F$38:$ACK$38))-COLUMN(指数走势!$F$38)+1-760+615)),NA(),IF(INDEX(指数走势!$F$38:$ACK$38,1,LOOKUP(2,1/(指数走势!$F$38:$ACK$38&lt;&gt;""),COLUMN(指数走势!$F$38:$ACK$38))-COLUMN(指数走势!$F$38)+1-760+615)=0,NA(),INDEX(指数走势!$F$38:$ACK$38,1,LOOKUP(2,1/(指数走势!$F$38:$ACK$38&lt;&gt;""),COLUMN(指数走势!$F$38:$ACK$38))-COLUMN(指数走势!$F$38)+1-760+615)))</f>
        <v>22.4710006713867</v>
      </c>
      <c r="WS102">
        <f>IF(ISERROR(INDEX(指数走势!$F$38:$ACK$38,1,LOOKUP(2,1/(指数走势!$F$38:$ACK$38&lt;&gt;""),COLUMN(指数走势!$F$38:$ACK$38))-COLUMN(指数走势!$F$38)+1-760+616)),NA(),IF(INDEX(指数走势!$F$38:$ACK$38,1,LOOKUP(2,1/(指数走势!$F$38:$ACK$38&lt;&gt;""),COLUMN(指数走势!$F$38:$ACK$38))-COLUMN(指数走势!$F$38)+1-760+616)=0,NA(),INDEX(指数走势!$F$38:$ACK$38,1,LOOKUP(2,1/(指数走势!$F$38:$ACK$38&lt;&gt;""),COLUMN(指数走势!$F$38:$ACK$38))-COLUMN(指数走势!$F$38)+1-760+616)))</f>
        <v>22.2677993774414</v>
      </c>
      <c r="WT102">
        <f>IF(ISERROR(INDEX(指数走势!$F$38:$ACK$38,1,LOOKUP(2,1/(指数走势!$F$38:$ACK$38&lt;&gt;""),COLUMN(指数走势!$F$38:$ACK$38))-COLUMN(指数走势!$F$38)+1-760+617)),NA(),IF(INDEX(指数走势!$F$38:$ACK$38,1,LOOKUP(2,1/(指数走势!$F$38:$ACK$38&lt;&gt;""),COLUMN(指数走势!$F$38:$ACK$38))-COLUMN(指数走势!$F$38)+1-760+617)=0,NA(),INDEX(指数走势!$F$38:$ACK$38,1,LOOKUP(2,1/(指数走势!$F$38:$ACK$38&lt;&gt;""),COLUMN(指数走势!$F$38:$ACK$38))-COLUMN(指数走势!$F$38)+1-760+617)))</f>
        <v>23.3791999816895</v>
      </c>
      <c r="WU102">
        <f>IF(ISERROR(INDEX(指数走势!$F$38:$ACK$38,1,LOOKUP(2,1/(指数走势!$F$38:$ACK$38&lt;&gt;""),COLUMN(指数走势!$F$38:$ACK$38))-COLUMN(指数走势!$F$38)+1-760+618)),NA(),IF(INDEX(指数走势!$F$38:$ACK$38,1,LOOKUP(2,1/(指数走势!$F$38:$ACK$38&lt;&gt;""),COLUMN(指数走势!$F$38:$ACK$38))-COLUMN(指数走势!$F$38)+1-760+618)=0,NA(),INDEX(指数走势!$F$38:$ACK$38,1,LOOKUP(2,1/(指数走势!$F$38:$ACK$38&lt;&gt;""),COLUMN(指数走势!$F$38:$ACK$38))-COLUMN(指数走势!$F$38)+1-760+618)))</f>
        <v>23.6306991577148</v>
      </c>
      <c r="WV102">
        <f>IF(ISERROR(INDEX(指数走势!$F$38:$ACK$38,1,LOOKUP(2,1/(指数走势!$F$38:$ACK$38&lt;&gt;""),COLUMN(指数走势!$F$38:$ACK$38))-COLUMN(指数走势!$F$38)+1-760+619)),NA(),IF(INDEX(指数走势!$F$38:$ACK$38,1,LOOKUP(2,1/(指数走势!$F$38:$ACK$38&lt;&gt;""),COLUMN(指数走势!$F$38:$ACK$38))-COLUMN(指数走势!$F$38)+1-760+619)=0,NA(),INDEX(指数走势!$F$38:$ACK$38,1,LOOKUP(2,1/(指数走势!$F$38:$ACK$38&lt;&gt;""),COLUMN(指数走势!$F$38:$ACK$38))-COLUMN(指数走势!$F$38)+1-760+619)))</f>
        <v>23.6410999298096</v>
      </c>
      <c r="WW102">
        <f>IF(ISERROR(INDEX(指数走势!$F$38:$ACK$38,1,LOOKUP(2,1/(指数走势!$F$38:$ACK$38&lt;&gt;""),COLUMN(指数走势!$F$38:$ACK$38))-COLUMN(指数走势!$F$38)+1-760+620)),NA(),IF(INDEX(指数走势!$F$38:$ACK$38,1,LOOKUP(2,1/(指数走势!$F$38:$ACK$38&lt;&gt;""),COLUMN(指数走势!$F$38:$ACK$38))-COLUMN(指数走势!$F$38)+1-760+620)=0,NA(),INDEX(指数走势!$F$38:$ACK$38,1,LOOKUP(2,1/(指数走势!$F$38:$ACK$38&lt;&gt;""),COLUMN(指数走势!$F$38:$ACK$38))-COLUMN(指数走势!$F$38)+1-760+620)))</f>
        <v>23.323299407959</v>
      </c>
      <c r="WX102">
        <f>IF(ISERROR(INDEX(指数走势!$F$38:$ACK$38,1,LOOKUP(2,1/(指数走势!$F$38:$ACK$38&lt;&gt;""),COLUMN(指数走势!$F$38:$ACK$38))-COLUMN(指数走势!$F$38)+1-760+621)),NA(),IF(INDEX(指数走势!$F$38:$ACK$38,1,LOOKUP(2,1/(指数走势!$F$38:$ACK$38&lt;&gt;""),COLUMN(指数走势!$F$38:$ACK$38))-COLUMN(指数走势!$F$38)+1-760+621)=0,NA(),INDEX(指数走势!$F$38:$ACK$38,1,LOOKUP(2,1/(指数走势!$F$38:$ACK$38&lt;&gt;""),COLUMN(指数走势!$F$38:$ACK$38))-COLUMN(指数走势!$F$38)+1-760+621)))</f>
        <v>23.5459995269775</v>
      </c>
      <c r="WY102">
        <f>IF(ISERROR(INDEX(指数走势!$F$38:$ACK$38,1,LOOKUP(2,1/(指数走势!$F$38:$ACK$38&lt;&gt;""),COLUMN(指数走势!$F$38:$ACK$38))-COLUMN(指数走势!$F$38)+1-760+622)),NA(),IF(INDEX(指数走势!$F$38:$ACK$38,1,LOOKUP(2,1/(指数走势!$F$38:$ACK$38&lt;&gt;""),COLUMN(指数走势!$F$38:$ACK$38))-COLUMN(指数走势!$F$38)+1-760+622)=0,NA(),INDEX(指数走势!$F$38:$ACK$38,1,LOOKUP(2,1/(指数走势!$F$38:$ACK$38&lt;&gt;""),COLUMN(指数走势!$F$38:$ACK$38))-COLUMN(指数走势!$F$38)+1-760+622)))</f>
        <v>23.6453990936279</v>
      </c>
      <c r="WZ102">
        <f>IF(ISERROR(INDEX(指数走势!$F$38:$ACK$38,1,LOOKUP(2,1/(指数走势!$F$38:$ACK$38&lt;&gt;""),COLUMN(指数走势!$F$38:$ACK$38))-COLUMN(指数走势!$F$38)+1-760+623)),NA(),IF(INDEX(指数走势!$F$38:$ACK$38,1,LOOKUP(2,1/(指数走势!$F$38:$ACK$38&lt;&gt;""),COLUMN(指数走势!$F$38:$ACK$38))-COLUMN(指数走势!$F$38)+1-760+623)=0,NA(),INDEX(指数走势!$F$38:$ACK$38,1,LOOKUP(2,1/(指数走势!$F$38:$ACK$38&lt;&gt;""),COLUMN(指数走势!$F$38:$ACK$38))-COLUMN(指数走势!$F$38)+1-760+623)))</f>
        <v>23.62619972229</v>
      </c>
      <c r="XA102">
        <f>IF(ISERROR(INDEX(指数走势!$F$38:$ACK$38,1,LOOKUP(2,1/(指数走势!$F$38:$ACK$38&lt;&gt;""),COLUMN(指数走势!$F$38:$ACK$38))-COLUMN(指数走势!$F$38)+1-760+624)),NA(),IF(INDEX(指数走势!$F$38:$ACK$38,1,LOOKUP(2,1/(指数走势!$F$38:$ACK$38&lt;&gt;""),COLUMN(指数走势!$F$38:$ACK$38))-COLUMN(指数走势!$F$38)+1-760+624)=0,NA(),INDEX(指数走势!$F$38:$ACK$38,1,LOOKUP(2,1/(指数走势!$F$38:$ACK$38&lt;&gt;""),COLUMN(指数走势!$F$38:$ACK$38))-COLUMN(指数走势!$F$38)+1-760+624)))</f>
        <v>23.2870998382568</v>
      </c>
      <c r="XB102">
        <f>IF(ISERROR(INDEX(指数走势!$F$38:$ACK$38,1,LOOKUP(2,1/(指数走势!$F$38:$ACK$38&lt;&gt;""),COLUMN(指数走势!$F$38:$ACK$38))-COLUMN(指数走势!$F$38)+1-760+625)),NA(),IF(INDEX(指数走势!$F$38:$ACK$38,1,LOOKUP(2,1/(指数走势!$F$38:$ACK$38&lt;&gt;""),COLUMN(指数走势!$F$38:$ACK$38))-COLUMN(指数走势!$F$38)+1-760+625)=0,NA(),INDEX(指数走势!$F$38:$ACK$38,1,LOOKUP(2,1/(指数走势!$F$38:$ACK$38&lt;&gt;""),COLUMN(指数走势!$F$38:$ACK$38))-COLUMN(指数走势!$F$38)+1-760+625)))</f>
        <v>23.3987998962402</v>
      </c>
      <c r="XC102">
        <f>IF(ISERROR(INDEX(指数走势!$F$38:$ACK$38,1,LOOKUP(2,1/(指数走势!$F$38:$ACK$38&lt;&gt;""),COLUMN(指数走势!$F$38:$ACK$38))-COLUMN(指数走势!$F$38)+1-760+626)),NA(),IF(INDEX(指数走势!$F$38:$ACK$38,1,LOOKUP(2,1/(指数走势!$F$38:$ACK$38&lt;&gt;""),COLUMN(指数走势!$F$38:$ACK$38))-COLUMN(指数走势!$F$38)+1-760+626)=0,NA(),INDEX(指数走势!$F$38:$ACK$38,1,LOOKUP(2,1/(指数走势!$F$38:$ACK$38&lt;&gt;""),COLUMN(指数走势!$F$38:$ACK$38))-COLUMN(指数走势!$F$38)+1-760+626)))</f>
        <v>23.230899810791</v>
      </c>
      <c r="XD102">
        <f>IF(ISERROR(INDEX(指数走势!$F$38:$ACK$38,1,LOOKUP(2,1/(指数走势!$F$38:$ACK$38&lt;&gt;""),COLUMN(指数走势!$F$38:$ACK$38))-COLUMN(指数走势!$F$38)+1-760+627)),NA(),IF(INDEX(指数走势!$F$38:$ACK$38,1,LOOKUP(2,1/(指数走势!$F$38:$ACK$38&lt;&gt;""),COLUMN(指数走势!$F$38:$ACK$38))-COLUMN(指数走势!$F$38)+1-760+627)=0,NA(),INDEX(指数走势!$F$38:$ACK$38,1,LOOKUP(2,1/(指数走势!$F$38:$ACK$38&lt;&gt;""),COLUMN(指数走势!$F$38:$ACK$38))-COLUMN(指数走势!$F$38)+1-760+627)))</f>
        <v>23.7152996063232</v>
      </c>
      <c r="XE102">
        <f>IF(ISERROR(INDEX(指数走势!$F$38:$ACK$38,1,LOOKUP(2,1/(指数走势!$F$38:$ACK$38&lt;&gt;""),COLUMN(指数走势!$F$38:$ACK$38))-COLUMN(指数走势!$F$38)+1-760+628)),NA(),IF(INDEX(指数走势!$F$38:$ACK$38,1,LOOKUP(2,1/(指数走势!$F$38:$ACK$38&lt;&gt;""),COLUMN(指数走势!$F$38:$ACK$38))-COLUMN(指数走势!$F$38)+1-760+628)=0,NA(),INDEX(指数走势!$F$38:$ACK$38,1,LOOKUP(2,1/(指数走势!$F$38:$ACK$38&lt;&gt;""),COLUMN(指数走势!$F$38:$ACK$38))-COLUMN(指数走势!$F$38)+1-760+628)))</f>
        <v>23.1329002380371</v>
      </c>
      <c r="XF102">
        <f>IF(ISERROR(INDEX(指数走势!$F$38:$ACK$38,1,LOOKUP(2,1/(指数走势!$F$38:$ACK$38&lt;&gt;""),COLUMN(指数走势!$F$38:$ACK$38))-COLUMN(指数走势!$F$38)+1-760+629)),NA(),IF(INDEX(指数走势!$F$38:$ACK$38,1,LOOKUP(2,1/(指数走势!$F$38:$ACK$38&lt;&gt;""),COLUMN(指数走势!$F$38:$ACK$38))-COLUMN(指数走势!$F$38)+1-760+629)=0,NA(),INDEX(指数走势!$F$38:$ACK$38,1,LOOKUP(2,1/(指数走势!$F$38:$ACK$38&lt;&gt;""),COLUMN(指数走势!$F$38:$ACK$38))-COLUMN(指数走势!$F$38)+1-760+629)))</f>
        <v>22.7418994903564</v>
      </c>
      <c r="XG102">
        <f>IF(ISERROR(INDEX(指数走势!$F$38:$ACK$38,1,LOOKUP(2,1/(指数走势!$F$38:$ACK$38&lt;&gt;""),COLUMN(指数走势!$F$38:$ACK$38))-COLUMN(指数走势!$F$38)+1-760+630)),NA(),IF(INDEX(指数走势!$F$38:$ACK$38,1,LOOKUP(2,1/(指数走势!$F$38:$ACK$38&lt;&gt;""),COLUMN(指数走势!$F$38:$ACK$38))-COLUMN(指数走势!$F$38)+1-760+630)=0,NA(),INDEX(指数走势!$F$38:$ACK$38,1,LOOKUP(2,1/(指数走势!$F$38:$ACK$38&lt;&gt;""),COLUMN(指数走势!$F$38:$ACK$38))-COLUMN(指数走势!$F$38)+1-760+630)))</f>
        <v>23.0023994445801</v>
      </c>
      <c r="XH102">
        <f>IF(ISERROR(INDEX(指数走势!$F$38:$ACK$38,1,LOOKUP(2,1/(指数走势!$F$38:$ACK$38&lt;&gt;""),COLUMN(指数走势!$F$38:$ACK$38))-COLUMN(指数走势!$F$38)+1-760+631)),NA(),IF(INDEX(指数走势!$F$38:$ACK$38,1,LOOKUP(2,1/(指数走势!$F$38:$ACK$38&lt;&gt;""),COLUMN(指数走势!$F$38:$ACK$38))-COLUMN(指数走势!$F$38)+1-760+631)=0,NA(),INDEX(指数走势!$F$38:$ACK$38,1,LOOKUP(2,1/(指数走势!$F$38:$ACK$38&lt;&gt;""),COLUMN(指数走势!$F$38:$ACK$38))-COLUMN(指数走势!$F$38)+1-760+631)))</f>
        <v>22.8577995300293</v>
      </c>
      <c r="XI102">
        <f>IF(ISERROR(INDEX(指数走势!$F$38:$ACK$38,1,LOOKUP(2,1/(指数走势!$F$38:$ACK$38&lt;&gt;""),COLUMN(指数走势!$F$38:$ACK$38))-COLUMN(指数走势!$F$38)+1-760+632)),NA(),IF(INDEX(指数走势!$F$38:$ACK$38,1,LOOKUP(2,1/(指数走势!$F$38:$ACK$38&lt;&gt;""),COLUMN(指数走势!$F$38:$ACK$38))-COLUMN(指数走势!$F$38)+1-760+632)=0,NA(),INDEX(指数走势!$F$38:$ACK$38,1,LOOKUP(2,1/(指数走势!$F$38:$ACK$38&lt;&gt;""),COLUMN(指数走势!$F$38:$ACK$38))-COLUMN(指数走势!$F$38)+1-760+632)))</f>
        <v>23.1033992767334</v>
      </c>
      <c r="XJ102">
        <f>IF(ISERROR(INDEX(指数走势!$F$38:$ACK$38,1,LOOKUP(2,1/(指数走势!$F$38:$ACK$38&lt;&gt;""),COLUMN(指数走势!$F$38:$ACK$38))-COLUMN(指数走势!$F$38)+1-760+633)),NA(),IF(INDEX(指数走势!$F$38:$ACK$38,1,LOOKUP(2,1/(指数走势!$F$38:$ACK$38&lt;&gt;""),COLUMN(指数走势!$F$38:$ACK$38))-COLUMN(指数走势!$F$38)+1-760+633)=0,NA(),INDEX(指数走势!$F$38:$ACK$38,1,LOOKUP(2,1/(指数走势!$F$38:$ACK$38&lt;&gt;""),COLUMN(指数走势!$F$38:$ACK$38))-COLUMN(指数走势!$F$38)+1-760+633)))</f>
        <v>23.1965999603271</v>
      </c>
      <c r="XK102">
        <f>IF(ISERROR(INDEX(指数走势!$F$38:$ACK$38,1,LOOKUP(2,1/(指数走势!$F$38:$ACK$38&lt;&gt;""),COLUMN(指数走势!$F$38:$ACK$38))-COLUMN(指数走势!$F$38)+1-760+634)),NA(),IF(INDEX(指数走势!$F$38:$ACK$38,1,LOOKUP(2,1/(指数走势!$F$38:$ACK$38&lt;&gt;""),COLUMN(指数走势!$F$38:$ACK$38))-COLUMN(指数走势!$F$38)+1-760+634)=0,NA(),INDEX(指数走势!$F$38:$ACK$38,1,LOOKUP(2,1/(指数走势!$F$38:$ACK$38&lt;&gt;""),COLUMN(指数走势!$F$38:$ACK$38))-COLUMN(指数走势!$F$38)+1-760+634)))</f>
        <v>22.9801998138428</v>
      </c>
      <c r="XL102">
        <f>IF(ISERROR(INDEX(指数走势!$F$38:$ACK$38,1,LOOKUP(2,1/(指数走势!$F$38:$ACK$38&lt;&gt;""),COLUMN(指数走势!$F$38:$ACK$38))-COLUMN(指数走势!$F$38)+1-760+635)),NA(),IF(INDEX(指数走势!$F$38:$ACK$38,1,LOOKUP(2,1/(指数走势!$F$38:$ACK$38&lt;&gt;""),COLUMN(指数走势!$F$38:$ACK$38))-COLUMN(指数走势!$F$38)+1-760+635)=0,NA(),INDEX(指数走势!$F$38:$ACK$38,1,LOOKUP(2,1/(指数走势!$F$38:$ACK$38&lt;&gt;""),COLUMN(指数走势!$F$38:$ACK$38))-COLUMN(指数走势!$F$38)+1-760+635)))</f>
        <v>22.976900100708</v>
      </c>
      <c r="XM102">
        <f>IF(ISERROR(INDEX(指数走势!$F$38:$ACK$38,1,LOOKUP(2,1/(指数走势!$F$38:$ACK$38&lt;&gt;""),COLUMN(指数走势!$F$38:$ACK$38))-COLUMN(指数走势!$F$38)+1-760+636)),NA(),IF(INDEX(指数走势!$F$38:$ACK$38,1,LOOKUP(2,1/(指数走势!$F$38:$ACK$38&lt;&gt;""),COLUMN(指数走势!$F$38:$ACK$38))-COLUMN(指数走势!$F$38)+1-760+636)=0,NA(),INDEX(指数走势!$F$38:$ACK$38,1,LOOKUP(2,1/(指数走势!$F$38:$ACK$38&lt;&gt;""),COLUMN(指数走势!$F$38:$ACK$38))-COLUMN(指数走势!$F$38)+1-760+636)))</f>
        <v>22.976900100708</v>
      </c>
      <c r="XN102">
        <f>IF(ISERROR(INDEX(指数走势!$F$38:$ACK$38,1,LOOKUP(2,1/(指数走势!$F$38:$ACK$38&lt;&gt;""),COLUMN(指数走势!$F$38:$ACK$38))-COLUMN(指数走势!$F$38)+1-760+637)),NA(),IF(INDEX(指数走势!$F$38:$ACK$38,1,LOOKUP(2,1/(指数走势!$F$38:$ACK$38&lt;&gt;""),COLUMN(指数走势!$F$38:$ACK$38))-COLUMN(指数走势!$F$38)+1-760+637)=0,NA(),INDEX(指数走势!$F$38:$ACK$38,1,LOOKUP(2,1/(指数走势!$F$38:$ACK$38&lt;&gt;""),COLUMN(指数走势!$F$38:$ACK$38))-COLUMN(指数走势!$F$38)+1-760+637)))</f>
        <v>22.976900100708</v>
      </c>
      <c r="XO102">
        <f>IF(ISERROR(INDEX(指数走势!$F$38:$ACK$38,1,LOOKUP(2,1/(指数走势!$F$38:$ACK$38&lt;&gt;""),COLUMN(指数走势!$F$38:$ACK$38))-COLUMN(指数走势!$F$38)+1-760+638)),NA(),IF(INDEX(指数走势!$F$38:$ACK$38,1,LOOKUP(2,1/(指数走势!$F$38:$ACK$38&lt;&gt;""),COLUMN(指数走势!$F$38:$ACK$38))-COLUMN(指数走势!$F$38)+1-760+638)=0,NA(),INDEX(指数走势!$F$38:$ACK$38,1,LOOKUP(2,1/(指数走势!$F$38:$ACK$38&lt;&gt;""),COLUMN(指数走势!$F$38:$ACK$38))-COLUMN(指数走势!$F$38)+1-760+638)))</f>
        <v>22.7952003479004</v>
      </c>
      <c r="XP102">
        <f>IF(ISERROR(INDEX(指数走势!$F$38:$ACK$38,1,LOOKUP(2,1/(指数走势!$F$38:$ACK$38&lt;&gt;""),COLUMN(指数走势!$F$38:$ACK$38))-COLUMN(指数走势!$F$38)+1-760+639)),NA(),IF(INDEX(指数走势!$F$38:$ACK$38,1,LOOKUP(2,1/(指数走势!$F$38:$ACK$38&lt;&gt;""),COLUMN(指数走势!$F$38:$ACK$38))-COLUMN(指数走势!$F$38)+1-760+639)=0,NA(),INDEX(指数走势!$F$38:$ACK$38,1,LOOKUP(2,1/(指数走势!$F$38:$ACK$38&lt;&gt;""),COLUMN(指数走势!$F$38:$ACK$38))-COLUMN(指数走势!$F$38)+1-760+639)))</f>
        <v>23.0813007354736</v>
      </c>
      <c r="XQ102">
        <f>IF(ISERROR(INDEX(指数走势!$F$38:$ACK$38,1,LOOKUP(2,1/(指数走势!$F$38:$ACK$38&lt;&gt;""),COLUMN(指数走势!$F$38:$ACK$38))-COLUMN(指数走势!$F$38)+1-760+640)),NA(),IF(INDEX(指数走势!$F$38:$ACK$38,1,LOOKUP(2,1/(指数走势!$F$38:$ACK$38&lt;&gt;""),COLUMN(指数走势!$F$38:$ACK$38))-COLUMN(指数走势!$F$38)+1-760+640)=0,NA(),INDEX(指数走势!$F$38:$ACK$38,1,LOOKUP(2,1/(指数走势!$F$38:$ACK$38&lt;&gt;""),COLUMN(指数走势!$F$38:$ACK$38))-COLUMN(指数走势!$F$38)+1-760+640)))</f>
        <v>22.8721008300781</v>
      </c>
      <c r="XR102">
        <f>IF(ISERROR(INDEX(指数走势!$F$38:$ACK$38,1,LOOKUP(2,1/(指数走势!$F$38:$ACK$38&lt;&gt;""),COLUMN(指数走势!$F$38:$ACK$38))-COLUMN(指数走势!$F$38)+1-760+641)),NA(),IF(INDEX(指数走势!$F$38:$ACK$38,1,LOOKUP(2,1/(指数走势!$F$38:$ACK$38&lt;&gt;""),COLUMN(指数走势!$F$38:$ACK$38))-COLUMN(指数走势!$F$38)+1-760+641)=0,NA(),INDEX(指数走势!$F$38:$ACK$38,1,LOOKUP(2,1/(指数走势!$F$38:$ACK$38&lt;&gt;""),COLUMN(指数走势!$F$38:$ACK$38))-COLUMN(指数走势!$F$38)+1-760+641)))</f>
        <v>23.8486003875732</v>
      </c>
      <c r="XS102">
        <f>IF(ISERROR(INDEX(指数走势!$F$38:$ACK$38,1,LOOKUP(2,1/(指数走势!$F$38:$ACK$38&lt;&gt;""),COLUMN(指数走势!$F$38:$ACK$38))-COLUMN(指数走势!$F$38)+1-760+642)),NA(),IF(INDEX(指数走势!$F$38:$ACK$38,1,LOOKUP(2,1/(指数走势!$F$38:$ACK$38&lt;&gt;""),COLUMN(指数走势!$F$38:$ACK$38))-COLUMN(指数走势!$F$38)+1-760+642)=0,NA(),INDEX(指数走势!$F$38:$ACK$38,1,LOOKUP(2,1/(指数走势!$F$38:$ACK$38&lt;&gt;""),COLUMN(指数走势!$F$38:$ACK$38))-COLUMN(指数走势!$F$38)+1-760+642)))</f>
        <v>24.0751991271973</v>
      </c>
      <c r="XT102">
        <f>IF(ISERROR(INDEX(指数走势!$F$38:$ACK$38,1,LOOKUP(2,1/(指数走势!$F$38:$ACK$38&lt;&gt;""),COLUMN(指数走势!$F$38:$ACK$38))-COLUMN(指数走势!$F$38)+1-760+643)),NA(),IF(INDEX(指数走势!$F$38:$ACK$38,1,LOOKUP(2,1/(指数走势!$F$38:$ACK$38&lt;&gt;""),COLUMN(指数走势!$F$38:$ACK$38))-COLUMN(指数走势!$F$38)+1-760+643)=0,NA(),INDEX(指数走势!$F$38:$ACK$38,1,LOOKUP(2,1/(指数走势!$F$38:$ACK$38&lt;&gt;""),COLUMN(指数走势!$F$38:$ACK$38))-COLUMN(指数走势!$F$38)+1-760+643)))</f>
        <v>23.6802005767822</v>
      </c>
      <c r="XU102">
        <f>IF(ISERROR(INDEX(指数走势!$F$38:$ACK$38,1,LOOKUP(2,1/(指数走势!$F$38:$ACK$38&lt;&gt;""),COLUMN(指数走势!$F$38:$ACK$38))-COLUMN(指数走势!$F$38)+1-760+644)),NA(),IF(INDEX(指数走势!$F$38:$ACK$38,1,LOOKUP(2,1/(指数走势!$F$38:$ACK$38&lt;&gt;""),COLUMN(指数走势!$F$38:$ACK$38))-COLUMN(指数走势!$F$38)+1-760+644)=0,NA(),INDEX(指数走势!$F$38:$ACK$38,1,LOOKUP(2,1/(指数走势!$F$38:$ACK$38&lt;&gt;""),COLUMN(指数走势!$F$38:$ACK$38))-COLUMN(指数走势!$F$38)+1-760+644)))</f>
        <v>23.3754005432129</v>
      </c>
      <c r="XV102">
        <f>IF(ISERROR(INDEX(指数走势!$F$38:$ACK$38,1,LOOKUP(2,1/(指数走势!$F$38:$ACK$38&lt;&gt;""),COLUMN(指数走势!$F$38:$ACK$38))-COLUMN(指数走势!$F$38)+1-760+645)),NA(),IF(INDEX(指数走势!$F$38:$ACK$38,1,LOOKUP(2,1/(指数走势!$F$38:$ACK$38&lt;&gt;""),COLUMN(指数走势!$F$38:$ACK$38))-COLUMN(指数走势!$F$38)+1-760+645)=0,NA(),INDEX(指数走势!$F$38:$ACK$38,1,LOOKUP(2,1/(指数走势!$F$38:$ACK$38&lt;&gt;""),COLUMN(指数走势!$F$38:$ACK$38))-COLUMN(指数走势!$F$38)+1-760+645)))</f>
        <v>23.430700302124</v>
      </c>
      <c r="XW102">
        <f>IF(ISERROR(INDEX(指数走势!$F$38:$ACK$38,1,LOOKUP(2,1/(指数走势!$F$38:$ACK$38&lt;&gt;""),COLUMN(指数走势!$F$38:$ACK$38))-COLUMN(指数走势!$F$38)+1-760+646)),NA(),IF(INDEX(指数走势!$F$38:$ACK$38,1,LOOKUP(2,1/(指数走势!$F$38:$ACK$38&lt;&gt;""),COLUMN(指数走势!$F$38:$ACK$38))-COLUMN(指数走势!$F$38)+1-760+646)=0,NA(),INDEX(指数走势!$F$38:$ACK$38,1,LOOKUP(2,1/(指数走势!$F$38:$ACK$38&lt;&gt;""),COLUMN(指数走势!$F$38:$ACK$38))-COLUMN(指数走势!$F$38)+1-760+646)))</f>
        <v>24.0659999847412</v>
      </c>
      <c r="XX102">
        <f>IF(ISERROR(INDEX(指数走势!$F$38:$ACK$38,1,LOOKUP(2,1/(指数走势!$F$38:$ACK$38&lt;&gt;""),COLUMN(指数走势!$F$38:$ACK$38))-COLUMN(指数走势!$F$38)+1-760+647)),NA(),IF(INDEX(指数走势!$F$38:$ACK$38,1,LOOKUP(2,1/(指数走势!$F$38:$ACK$38&lt;&gt;""),COLUMN(指数走势!$F$38:$ACK$38))-COLUMN(指数走势!$F$38)+1-760+647)=0,NA(),INDEX(指数走势!$F$38:$ACK$38,1,LOOKUP(2,1/(指数走势!$F$38:$ACK$38&lt;&gt;""),COLUMN(指数走势!$F$38:$ACK$38))-COLUMN(指数走势!$F$38)+1-760+647)))</f>
        <v>24.2327003479004</v>
      </c>
      <c r="XY102">
        <f>IF(ISERROR(INDEX(指数走势!$F$38:$ACK$38,1,LOOKUP(2,1/(指数走势!$F$38:$ACK$38&lt;&gt;""),COLUMN(指数走势!$F$38:$ACK$38))-COLUMN(指数走势!$F$38)+1-760+648)),NA(),IF(INDEX(指数走势!$F$38:$ACK$38,1,LOOKUP(2,1/(指数走势!$F$38:$ACK$38&lt;&gt;""),COLUMN(指数走势!$F$38:$ACK$38))-COLUMN(指数走势!$F$38)+1-760+648)=0,NA(),INDEX(指数走势!$F$38:$ACK$38,1,LOOKUP(2,1/(指数走势!$F$38:$ACK$38&lt;&gt;""),COLUMN(指数走势!$F$38:$ACK$38))-COLUMN(指数走势!$F$38)+1-760+648)))</f>
        <v>24.5590000152588</v>
      </c>
      <c r="XZ102">
        <f>IF(ISERROR(INDEX(指数走势!$F$38:$ACK$38,1,LOOKUP(2,1/(指数走势!$F$38:$ACK$38&lt;&gt;""),COLUMN(指数走势!$F$38:$ACK$38))-COLUMN(指数走势!$F$38)+1-760+649)),NA(),IF(INDEX(指数走势!$F$38:$ACK$38,1,LOOKUP(2,1/(指数走势!$F$38:$ACK$38&lt;&gt;""),COLUMN(指数走势!$F$38:$ACK$38))-COLUMN(指数走势!$F$38)+1-760+649)=0,NA(),INDEX(指数走势!$F$38:$ACK$38,1,LOOKUP(2,1/(指数走势!$F$38:$ACK$38&lt;&gt;""),COLUMN(指数走势!$F$38:$ACK$38))-COLUMN(指数走势!$F$38)+1-760+649)))</f>
        <v>24.1522006988525</v>
      </c>
      <c r="YA102">
        <f>IF(ISERROR(INDEX(指数走势!$F$38:$ACK$38,1,LOOKUP(2,1/(指数走势!$F$38:$ACK$38&lt;&gt;""),COLUMN(指数走势!$F$38:$ACK$38))-COLUMN(指数走势!$F$38)+1-760+650)),NA(),IF(INDEX(指数走势!$F$38:$ACK$38,1,LOOKUP(2,1/(指数走势!$F$38:$ACK$38&lt;&gt;""),COLUMN(指数走势!$F$38:$ACK$38))-COLUMN(指数走势!$F$38)+1-760+650)=0,NA(),INDEX(指数走势!$F$38:$ACK$38,1,LOOKUP(2,1/(指数走势!$F$38:$ACK$38&lt;&gt;""),COLUMN(指数走势!$F$38:$ACK$38))-COLUMN(指数走势!$F$38)+1-760+650)))</f>
        <v>24.1128997802734</v>
      </c>
      <c r="YB102">
        <f>IF(ISERROR(INDEX(指数走势!$F$38:$ACK$38,1,LOOKUP(2,1/(指数走势!$F$38:$ACK$38&lt;&gt;""),COLUMN(指数走势!$F$38:$ACK$38))-COLUMN(指数走势!$F$38)+1-760+651)),NA(),IF(INDEX(指数走势!$F$38:$ACK$38,1,LOOKUP(2,1/(指数走势!$F$38:$ACK$38&lt;&gt;""),COLUMN(指数走势!$F$38:$ACK$38))-COLUMN(指数走势!$F$38)+1-760+651)=0,NA(),INDEX(指数走势!$F$38:$ACK$38,1,LOOKUP(2,1/(指数走势!$F$38:$ACK$38&lt;&gt;""),COLUMN(指数走势!$F$38:$ACK$38))-COLUMN(指数走势!$F$38)+1-760+651)))</f>
        <v>23.7707996368408</v>
      </c>
      <c r="YC102">
        <f>IF(ISERROR(INDEX(指数走势!$F$38:$ACK$38,1,LOOKUP(2,1/(指数走势!$F$38:$ACK$38&lt;&gt;""),COLUMN(指数走势!$F$38:$ACK$38))-COLUMN(指数走势!$F$38)+1-760+652)),NA(),IF(INDEX(指数走势!$F$38:$ACK$38,1,LOOKUP(2,1/(指数走势!$F$38:$ACK$38&lt;&gt;""),COLUMN(指数走势!$F$38:$ACK$38))-COLUMN(指数走势!$F$38)+1-760+652)=0,NA(),INDEX(指数走势!$F$38:$ACK$38,1,LOOKUP(2,1/(指数走势!$F$38:$ACK$38&lt;&gt;""),COLUMN(指数走势!$F$38:$ACK$38))-COLUMN(指数走势!$F$38)+1-760+652)))</f>
        <v>23.5184001922607</v>
      </c>
      <c r="YD102">
        <f>IF(ISERROR(INDEX(指数走势!$F$38:$ACK$38,1,LOOKUP(2,1/(指数走势!$F$38:$ACK$38&lt;&gt;""),COLUMN(指数走势!$F$38:$ACK$38))-COLUMN(指数走势!$F$38)+1-760+653)),NA(),IF(INDEX(指数走势!$F$38:$ACK$38,1,LOOKUP(2,1/(指数走势!$F$38:$ACK$38&lt;&gt;""),COLUMN(指数走势!$F$38:$ACK$38))-COLUMN(指数走势!$F$38)+1-760+653)=0,NA(),INDEX(指数走势!$F$38:$ACK$38,1,LOOKUP(2,1/(指数走势!$F$38:$ACK$38&lt;&gt;""),COLUMN(指数走势!$F$38:$ACK$38))-COLUMN(指数走势!$F$38)+1-760+653)))</f>
        <v>23.7268009185791</v>
      </c>
      <c r="YE102">
        <f>IF(ISERROR(INDEX(指数走势!$F$38:$ACK$38,1,LOOKUP(2,1/(指数走势!$F$38:$ACK$38&lt;&gt;""),COLUMN(指数走势!$F$38:$ACK$38))-COLUMN(指数走势!$F$38)+1-760+654)),NA(),IF(INDEX(指数走势!$F$38:$ACK$38,1,LOOKUP(2,1/(指数走势!$F$38:$ACK$38&lt;&gt;""),COLUMN(指数走势!$F$38:$ACK$38))-COLUMN(指数走势!$F$38)+1-760+654)=0,NA(),INDEX(指数走势!$F$38:$ACK$38,1,LOOKUP(2,1/(指数走势!$F$38:$ACK$38&lt;&gt;""),COLUMN(指数走势!$F$38:$ACK$38))-COLUMN(指数走势!$F$38)+1-760+654)))</f>
        <v>23.7192001342773</v>
      </c>
      <c r="YF102">
        <f>IF(ISERROR(INDEX(指数走势!$F$38:$ACK$38,1,LOOKUP(2,1/(指数走势!$F$38:$ACK$38&lt;&gt;""),COLUMN(指数走势!$F$38:$ACK$38))-COLUMN(指数走势!$F$38)+1-760+655)),NA(),IF(INDEX(指数走势!$F$38:$ACK$38,1,LOOKUP(2,1/(指数走势!$F$38:$ACK$38&lt;&gt;""),COLUMN(指数走势!$F$38:$ACK$38))-COLUMN(指数走势!$F$38)+1-760+655)=0,NA(),INDEX(指数走势!$F$38:$ACK$38,1,LOOKUP(2,1/(指数走势!$F$38:$ACK$38&lt;&gt;""),COLUMN(指数走势!$F$38:$ACK$38))-COLUMN(指数走势!$F$38)+1-760+655)))</f>
        <v>23.8409996032715</v>
      </c>
      <c r="YG102">
        <f>IF(ISERROR(INDEX(指数走势!$F$38:$ACK$38,1,LOOKUP(2,1/(指数走势!$F$38:$ACK$38&lt;&gt;""),COLUMN(指数走势!$F$38:$ACK$38))-COLUMN(指数走势!$F$38)+1-760+656)),NA(),IF(INDEX(指数走势!$F$38:$ACK$38,1,LOOKUP(2,1/(指数走势!$F$38:$ACK$38&lt;&gt;""),COLUMN(指数走势!$F$38:$ACK$38))-COLUMN(指数走势!$F$38)+1-760+656)=0,NA(),INDEX(指数走势!$F$38:$ACK$38,1,LOOKUP(2,1/(指数走势!$F$38:$ACK$38&lt;&gt;""),COLUMN(指数走势!$F$38:$ACK$38))-COLUMN(指数走势!$F$38)+1-760+656)))</f>
        <v>23.6935005187988</v>
      </c>
      <c r="YH102">
        <f>IF(ISERROR(INDEX(指数走势!$F$38:$ACK$38,1,LOOKUP(2,1/(指数走势!$F$38:$ACK$38&lt;&gt;""),COLUMN(指数走势!$F$38:$ACK$38))-COLUMN(指数走势!$F$38)+1-760+657)),NA(),IF(INDEX(指数走势!$F$38:$ACK$38,1,LOOKUP(2,1/(指数走势!$F$38:$ACK$38&lt;&gt;""),COLUMN(指数走势!$F$38:$ACK$38))-COLUMN(指数走势!$F$38)+1-760+657)=0,NA(),INDEX(指数走势!$F$38:$ACK$38,1,LOOKUP(2,1/(指数走势!$F$38:$ACK$38&lt;&gt;""),COLUMN(指数走势!$F$38:$ACK$38))-COLUMN(指数走势!$F$38)+1-760+657)))</f>
        <v>23.9328002929688</v>
      </c>
      <c r="YI102">
        <f>IF(ISERROR(INDEX(指数走势!$F$38:$ACK$38,1,LOOKUP(2,1/(指数走势!$F$38:$ACK$38&lt;&gt;""),COLUMN(指数走势!$F$38:$ACK$38))-COLUMN(指数走势!$F$38)+1-760+658)),NA(),IF(INDEX(指数走势!$F$38:$ACK$38,1,LOOKUP(2,1/(指数走势!$F$38:$ACK$38&lt;&gt;""),COLUMN(指数走势!$F$38:$ACK$38))-COLUMN(指数走势!$F$38)+1-760+658)=0,NA(),INDEX(指数走势!$F$38:$ACK$38,1,LOOKUP(2,1/(指数走势!$F$38:$ACK$38&lt;&gt;""),COLUMN(指数走势!$F$38:$ACK$38))-COLUMN(指数走势!$F$38)+1-760+658)))</f>
        <v>24.4817008972168</v>
      </c>
      <c r="YJ102">
        <f>IF(ISERROR(INDEX(指数走势!$F$38:$ACK$38,1,LOOKUP(2,1/(指数走势!$F$38:$ACK$38&lt;&gt;""),COLUMN(指数走势!$F$38:$ACK$38))-COLUMN(指数走势!$F$38)+1-760+659)),NA(),IF(INDEX(指数走势!$F$38:$ACK$38,1,LOOKUP(2,1/(指数走势!$F$38:$ACK$38&lt;&gt;""),COLUMN(指数走势!$F$38:$ACK$38))-COLUMN(指数走势!$F$38)+1-760+659)=0,NA(),INDEX(指数走势!$F$38:$ACK$38,1,LOOKUP(2,1/(指数走势!$F$38:$ACK$38&lt;&gt;""),COLUMN(指数走势!$F$38:$ACK$38))-COLUMN(指数走势!$F$38)+1-760+659)))</f>
        <v>24.3848991394043</v>
      </c>
      <c r="YK102">
        <f>IF(ISERROR(INDEX(指数走势!$F$38:$ACK$38,1,LOOKUP(2,1/(指数走势!$F$38:$ACK$38&lt;&gt;""),COLUMN(指数走势!$F$38:$ACK$38))-COLUMN(指数走势!$F$38)+1-760+660)),NA(),IF(INDEX(指数走势!$F$38:$ACK$38,1,LOOKUP(2,1/(指数走势!$F$38:$ACK$38&lt;&gt;""),COLUMN(指数走势!$F$38:$ACK$38))-COLUMN(指数走势!$F$38)+1-760+660)=0,NA(),INDEX(指数走势!$F$38:$ACK$38,1,LOOKUP(2,1/(指数走势!$F$38:$ACK$38&lt;&gt;""),COLUMN(指数走势!$F$38:$ACK$38))-COLUMN(指数走势!$F$38)+1-760+660)))</f>
        <v>23.841100692749</v>
      </c>
      <c r="YL102">
        <f>IF(ISERROR(INDEX(指数走势!$F$38:$ACK$38,1,LOOKUP(2,1/(指数走势!$F$38:$ACK$38&lt;&gt;""),COLUMN(指数走势!$F$38:$ACK$38))-COLUMN(指数走势!$F$38)+1-760+661)),NA(),IF(INDEX(指数走势!$F$38:$ACK$38,1,LOOKUP(2,1/(指数走势!$F$38:$ACK$38&lt;&gt;""),COLUMN(指数走势!$F$38:$ACK$38))-COLUMN(指数走势!$F$38)+1-760+661)=0,NA(),INDEX(指数走势!$F$38:$ACK$38,1,LOOKUP(2,1/(指数走势!$F$38:$ACK$38&lt;&gt;""),COLUMN(指数走势!$F$38:$ACK$38))-COLUMN(指数走势!$F$38)+1-760+661)))</f>
        <v>23.2201995849609</v>
      </c>
      <c r="YM102">
        <f>IF(ISERROR(INDEX(指数走势!$F$38:$ACK$38,1,LOOKUP(2,1/(指数走势!$F$38:$ACK$38&lt;&gt;""),COLUMN(指数走势!$F$38:$ACK$38))-COLUMN(指数走势!$F$38)+1-760+662)),NA(),IF(INDEX(指数走势!$F$38:$ACK$38,1,LOOKUP(2,1/(指数走势!$F$38:$ACK$38&lt;&gt;""),COLUMN(指数走势!$F$38:$ACK$38))-COLUMN(指数走势!$F$38)+1-760+662)=0,NA(),INDEX(指数走势!$F$38:$ACK$38,1,LOOKUP(2,1/(指数走势!$F$38:$ACK$38&lt;&gt;""),COLUMN(指数走势!$F$38:$ACK$38))-COLUMN(指数走势!$F$38)+1-760+662)))</f>
        <v>22.8719005584717</v>
      </c>
      <c r="YN102">
        <f>IF(ISERROR(INDEX(指数走势!$F$38:$ACK$38,1,LOOKUP(2,1/(指数走势!$F$38:$ACK$38&lt;&gt;""),COLUMN(指数走势!$F$38:$ACK$38))-COLUMN(指数走势!$F$38)+1-760+663)),NA(),IF(INDEX(指数走势!$F$38:$ACK$38,1,LOOKUP(2,1/(指数走势!$F$38:$ACK$38&lt;&gt;""),COLUMN(指数走势!$F$38:$ACK$38))-COLUMN(指数走势!$F$38)+1-760+663)=0,NA(),INDEX(指数走势!$F$38:$ACK$38,1,LOOKUP(2,1/(指数走势!$F$38:$ACK$38&lt;&gt;""),COLUMN(指数走势!$F$38:$ACK$38))-COLUMN(指数走势!$F$38)+1-760+663)))</f>
        <v>22.363899230957</v>
      </c>
      <c r="YO102">
        <f>IF(ISERROR(INDEX(指数走势!$F$38:$ACK$38,1,LOOKUP(2,1/(指数走势!$F$38:$ACK$38&lt;&gt;""),COLUMN(指数走势!$F$38:$ACK$38))-COLUMN(指数走势!$F$38)+1-760+664)),NA(),IF(INDEX(指数走势!$F$38:$ACK$38,1,LOOKUP(2,1/(指数走势!$F$38:$ACK$38&lt;&gt;""),COLUMN(指数走势!$F$38:$ACK$38))-COLUMN(指数走势!$F$38)+1-760+664)=0,NA(),INDEX(指数走势!$F$38:$ACK$38,1,LOOKUP(2,1/(指数走势!$F$38:$ACK$38&lt;&gt;""),COLUMN(指数走势!$F$38:$ACK$38))-COLUMN(指数走势!$F$38)+1-760+664)))</f>
        <v>22.4719009399414</v>
      </c>
      <c r="YP102">
        <f>IF(ISERROR(INDEX(指数走势!$F$38:$ACK$38,1,LOOKUP(2,1/(指数走势!$F$38:$ACK$38&lt;&gt;""),COLUMN(指数走势!$F$38:$ACK$38))-COLUMN(指数走势!$F$38)+1-760+665)),NA(),IF(INDEX(指数走势!$F$38:$ACK$38,1,LOOKUP(2,1/(指数走势!$F$38:$ACK$38&lt;&gt;""),COLUMN(指数走势!$F$38:$ACK$38))-COLUMN(指数走势!$F$38)+1-760+665)=0,NA(),INDEX(指数走势!$F$38:$ACK$38,1,LOOKUP(2,1/(指数走势!$F$38:$ACK$38&lt;&gt;""),COLUMN(指数走势!$F$38:$ACK$38))-COLUMN(指数走势!$F$38)+1-760+665)))</f>
        <v>22.1268005371094</v>
      </c>
      <c r="YQ102">
        <f>IF(ISERROR(INDEX(指数走势!$F$38:$ACK$38,1,LOOKUP(2,1/(指数走势!$F$38:$ACK$38&lt;&gt;""),COLUMN(指数走势!$F$38:$ACK$38))-COLUMN(指数走势!$F$38)+1-760+666)),NA(),IF(INDEX(指数走势!$F$38:$ACK$38,1,LOOKUP(2,1/(指数走势!$F$38:$ACK$38&lt;&gt;""),COLUMN(指数走势!$F$38:$ACK$38))-COLUMN(指数走势!$F$38)+1-760+666)=0,NA(),INDEX(指数走势!$F$38:$ACK$38,1,LOOKUP(2,1/(指数走势!$F$38:$ACK$38&lt;&gt;""),COLUMN(指数走势!$F$38:$ACK$38))-COLUMN(指数走势!$F$38)+1-760+666)))</f>
        <v>22.4890003204346</v>
      </c>
      <c r="YR102">
        <f>IF(ISERROR(INDEX(指数走势!$F$38:$ACK$38,1,LOOKUP(2,1/(指数走势!$F$38:$ACK$38&lt;&gt;""),COLUMN(指数走势!$F$38:$ACK$38))-COLUMN(指数走势!$F$38)+1-760+667)),NA(),IF(INDEX(指数走势!$F$38:$ACK$38,1,LOOKUP(2,1/(指数走势!$F$38:$ACK$38&lt;&gt;""),COLUMN(指数走势!$F$38:$ACK$38))-COLUMN(指数走势!$F$38)+1-760+667)=0,NA(),INDEX(指数走势!$F$38:$ACK$38,1,LOOKUP(2,1/(指数走势!$F$38:$ACK$38&lt;&gt;""),COLUMN(指数走势!$F$38:$ACK$38))-COLUMN(指数走势!$F$38)+1-760+667)))</f>
        <v>22.5076999664307</v>
      </c>
      <c r="YS102">
        <f>IF(ISERROR(INDEX(指数走势!$F$38:$ACK$38,1,LOOKUP(2,1/(指数走势!$F$38:$ACK$38&lt;&gt;""),COLUMN(指数走势!$F$38:$ACK$38))-COLUMN(指数走势!$F$38)+1-760+668)),NA(),IF(INDEX(指数走势!$F$38:$ACK$38,1,LOOKUP(2,1/(指数走势!$F$38:$ACK$38&lt;&gt;""),COLUMN(指数走势!$F$38:$ACK$38))-COLUMN(指数走势!$F$38)+1-760+668)=0,NA(),INDEX(指数走势!$F$38:$ACK$38,1,LOOKUP(2,1/(指数走势!$F$38:$ACK$38&lt;&gt;""),COLUMN(指数走势!$F$38:$ACK$38))-COLUMN(指数走势!$F$38)+1-760+668)))</f>
        <v>22.6774005889893</v>
      </c>
      <c r="YT102">
        <f>IF(ISERROR(INDEX(指数走势!$F$38:$ACK$38,1,LOOKUP(2,1/(指数走势!$F$38:$ACK$38&lt;&gt;""),COLUMN(指数走势!$F$38:$ACK$38))-COLUMN(指数走势!$F$38)+1-760+669)),NA(),IF(INDEX(指数走势!$F$38:$ACK$38,1,LOOKUP(2,1/(指数走势!$F$38:$ACK$38&lt;&gt;""),COLUMN(指数走势!$F$38:$ACK$38))-COLUMN(指数走势!$F$38)+1-760+669)=0,NA(),INDEX(指数走势!$F$38:$ACK$38,1,LOOKUP(2,1/(指数走势!$F$38:$ACK$38&lt;&gt;""),COLUMN(指数走势!$F$38:$ACK$38))-COLUMN(指数走势!$F$38)+1-760+669)))</f>
        <v>22.3306007385254</v>
      </c>
      <c r="YU102">
        <f>IF(ISERROR(INDEX(指数走势!$F$38:$ACK$38,1,LOOKUP(2,1/(指数走势!$F$38:$ACK$38&lt;&gt;""),COLUMN(指数走势!$F$38:$ACK$38))-COLUMN(指数走势!$F$38)+1-760+670)),NA(),IF(INDEX(指数走势!$F$38:$ACK$38,1,LOOKUP(2,1/(指数走势!$F$38:$ACK$38&lt;&gt;""),COLUMN(指数走势!$F$38:$ACK$38))-COLUMN(指数走势!$F$38)+1-760+670)=0,NA(),INDEX(指数走势!$F$38:$ACK$38,1,LOOKUP(2,1/(指数走势!$F$38:$ACK$38&lt;&gt;""),COLUMN(指数走势!$F$38:$ACK$38))-COLUMN(指数走势!$F$38)+1-760+670)))</f>
        <v>22.0953998565674</v>
      </c>
      <c r="YV102">
        <f>IF(ISERROR(INDEX(指数走势!$F$38:$ACK$38,1,LOOKUP(2,1/(指数走势!$F$38:$ACK$38&lt;&gt;""),COLUMN(指数走势!$F$38:$ACK$38))-COLUMN(指数走势!$F$38)+1-760+671)),NA(),IF(INDEX(指数走势!$F$38:$ACK$38,1,LOOKUP(2,1/(指数走势!$F$38:$ACK$38&lt;&gt;""),COLUMN(指数走势!$F$38:$ACK$38))-COLUMN(指数走势!$F$38)+1-760+671)=0,NA(),INDEX(指数走势!$F$38:$ACK$38,1,LOOKUP(2,1/(指数走势!$F$38:$ACK$38&lt;&gt;""),COLUMN(指数走势!$F$38:$ACK$38))-COLUMN(指数走势!$F$38)+1-760+671)))</f>
        <v>21.6205005645752</v>
      </c>
      <c r="YW102">
        <f>IF(ISERROR(INDEX(指数走势!$F$38:$ACK$38,1,LOOKUP(2,1/(指数走势!$F$38:$ACK$38&lt;&gt;""),COLUMN(指数走势!$F$38:$ACK$38))-COLUMN(指数走势!$F$38)+1-760+672)),NA(),IF(INDEX(指数走势!$F$38:$ACK$38,1,LOOKUP(2,1/(指数走势!$F$38:$ACK$38&lt;&gt;""),COLUMN(指数走势!$F$38:$ACK$38))-COLUMN(指数走势!$F$38)+1-760+672)=0,NA(),INDEX(指数走势!$F$38:$ACK$38,1,LOOKUP(2,1/(指数走势!$F$38:$ACK$38&lt;&gt;""),COLUMN(指数走势!$F$38:$ACK$38))-COLUMN(指数走势!$F$38)+1-760+672)))</f>
        <v>21.6408996582031</v>
      </c>
      <c r="YX102">
        <f>IF(ISERROR(INDEX(指数走势!$F$38:$ACK$38,1,LOOKUP(2,1/(指数走势!$F$38:$ACK$38&lt;&gt;""),COLUMN(指数走势!$F$38:$ACK$38))-COLUMN(指数走势!$F$38)+1-760+673)),NA(),IF(INDEX(指数走势!$F$38:$ACK$38,1,LOOKUP(2,1/(指数走势!$F$38:$ACK$38&lt;&gt;""),COLUMN(指数走势!$F$38:$ACK$38))-COLUMN(指数走势!$F$38)+1-760+673)=0,NA(),INDEX(指数走势!$F$38:$ACK$38,1,LOOKUP(2,1/(指数走势!$F$38:$ACK$38&lt;&gt;""),COLUMN(指数走势!$F$38:$ACK$38))-COLUMN(指数走势!$F$38)+1-760+673)))</f>
        <v>21.0925998687744</v>
      </c>
      <c r="YY102">
        <f>IF(ISERROR(INDEX(指数走势!$F$38:$ACK$38,1,LOOKUP(2,1/(指数走势!$F$38:$ACK$38&lt;&gt;""),COLUMN(指数走势!$F$38:$ACK$38))-COLUMN(指数走势!$F$38)+1-760+674)),NA(),IF(INDEX(指数走势!$F$38:$ACK$38,1,LOOKUP(2,1/(指数走势!$F$38:$ACK$38&lt;&gt;""),COLUMN(指数走势!$F$38:$ACK$38))-COLUMN(指数走势!$F$38)+1-760+674)=0,NA(),INDEX(指数走势!$F$38:$ACK$38,1,LOOKUP(2,1/(指数走势!$F$38:$ACK$38&lt;&gt;""),COLUMN(指数走势!$F$38:$ACK$38))-COLUMN(指数走势!$F$38)+1-760+674)))</f>
        <v>21.203800201416</v>
      </c>
      <c r="YZ102">
        <f>IF(ISERROR(INDEX(指数走势!$F$38:$ACK$38,1,LOOKUP(2,1/(指数走势!$F$38:$ACK$38&lt;&gt;""),COLUMN(指数走势!$F$38:$ACK$38))-COLUMN(指数走势!$F$38)+1-760+675)),NA(),IF(INDEX(指数走势!$F$38:$ACK$38,1,LOOKUP(2,1/(指数走势!$F$38:$ACK$38&lt;&gt;""),COLUMN(指数走势!$F$38:$ACK$38))-COLUMN(指数走势!$F$38)+1-760+675)=0,NA(),INDEX(指数走势!$F$38:$ACK$38,1,LOOKUP(2,1/(指数走势!$F$38:$ACK$38&lt;&gt;""),COLUMN(指数走势!$F$38:$ACK$38))-COLUMN(指数走势!$F$38)+1-760+675)))</f>
        <v>20.6912994384766</v>
      </c>
      <c r="ZA102">
        <f>IF(ISERROR(INDEX(指数走势!$F$38:$ACK$38,1,LOOKUP(2,1/(指数走势!$F$38:$ACK$38&lt;&gt;""),COLUMN(指数走势!$F$38:$ACK$38))-COLUMN(指数走势!$F$38)+1-760+676)),NA(),IF(INDEX(指数走势!$F$38:$ACK$38,1,LOOKUP(2,1/(指数走势!$F$38:$ACK$38&lt;&gt;""),COLUMN(指数走势!$F$38:$ACK$38))-COLUMN(指数走势!$F$38)+1-760+676)=0,NA(),INDEX(指数走势!$F$38:$ACK$38,1,LOOKUP(2,1/(指数走势!$F$38:$ACK$38&lt;&gt;""),COLUMN(指数走势!$F$38:$ACK$38))-COLUMN(指数走势!$F$38)+1-760+676)))</f>
        <v>20.3462009429932</v>
      </c>
      <c r="ZB102">
        <f>IF(ISERROR(INDEX(指数走势!$F$38:$ACK$38,1,LOOKUP(2,1/(指数走势!$F$38:$ACK$38&lt;&gt;""),COLUMN(指数走势!$F$38:$ACK$38))-COLUMN(指数走势!$F$38)+1-760+677)),NA(),IF(INDEX(指数走势!$F$38:$ACK$38,1,LOOKUP(2,1/(指数走势!$F$38:$ACK$38&lt;&gt;""),COLUMN(指数走势!$F$38:$ACK$38))-COLUMN(指数走势!$F$38)+1-760+677)=0,NA(),INDEX(指数走势!$F$38:$ACK$38,1,LOOKUP(2,1/(指数走势!$F$38:$ACK$38&lt;&gt;""),COLUMN(指数走势!$F$38:$ACK$38))-COLUMN(指数走势!$F$38)+1-760+677)))</f>
        <v>20.0856990814209</v>
      </c>
      <c r="ZC102">
        <f>IF(ISERROR(INDEX(指数走势!$F$38:$ACK$38,1,LOOKUP(2,1/(指数走势!$F$38:$ACK$38&lt;&gt;""),COLUMN(指数走势!$F$38:$ACK$38))-COLUMN(指数走势!$F$38)+1-760+678)),NA(),IF(INDEX(指数走势!$F$38:$ACK$38,1,LOOKUP(2,1/(指数走势!$F$38:$ACK$38&lt;&gt;""),COLUMN(指数走势!$F$38:$ACK$38))-COLUMN(指数走势!$F$38)+1-760+678)=0,NA(),INDEX(指数走势!$F$38:$ACK$38,1,LOOKUP(2,1/(指数走势!$F$38:$ACK$38&lt;&gt;""),COLUMN(指数走势!$F$38:$ACK$38))-COLUMN(指数走势!$F$38)+1-760+678)))</f>
        <v>20.2399997711182</v>
      </c>
      <c r="ZD102">
        <f>IF(ISERROR(INDEX(指数走势!$F$38:$ACK$38,1,LOOKUP(2,1/(指数走势!$F$38:$ACK$38&lt;&gt;""),COLUMN(指数走势!$F$38:$ACK$38))-COLUMN(指数走势!$F$38)+1-760+679)),NA(),IF(INDEX(指数走势!$F$38:$ACK$38,1,LOOKUP(2,1/(指数走势!$F$38:$ACK$38&lt;&gt;""),COLUMN(指数走势!$F$38:$ACK$38))-COLUMN(指数走势!$F$38)+1-760+679)=0,NA(),INDEX(指数走势!$F$38:$ACK$38,1,LOOKUP(2,1/(指数走势!$F$38:$ACK$38&lt;&gt;""),COLUMN(指数走势!$F$38:$ACK$38))-COLUMN(指数走势!$F$38)+1-760+679)))</f>
        <v>20.8882999420166</v>
      </c>
      <c r="ZE102">
        <f>IF(ISERROR(INDEX(指数走势!$F$38:$ACK$38,1,LOOKUP(2,1/(指数走势!$F$38:$ACK$38&lt;&gt;""),COLUMN(指数走势!$F$38:$ACK$38))-COLUMN(指数走势!$F$38)+1-760+680)),NA(),IF(INDEX(指数走势!$F$38:$ACK$38,1,LOOKUP(2,1/(指数走势!$F$38:$ACK$38&lt;&gt;""),COLUMN(指数走势!$F$38:$ACK$38))-COLUMN(指数走势!$F$38)+1-760+680)=0,NA(),INDEX(指数走势!$F$38:$ACK$38,1,LOOKUP(2,1/(指数走势!$F$38:$ACK$38&lt;&gt;""),COLUMN(指数走势!$F$38:$ACK$38))-COLUMN(指数走势!$F$38)+1-760+680)))</f>
        <v>20.7863998413086</v>
      </c>
      <c r="ZF102">
        <f>IF(ISERROR(INDEX(指数走势!$F$38:$ACK$38,1,LOOKUP(2,1/(指数走势!$F$38:$ACK$38&lt;&gt;""),COLUMN(指数走势!$F$38:$ACK$38))-COLUMN(指数走势!$F$38)+1-760+681)),NA(),IF(INDEX(指数走势!$F$38:$ACK$38,1,LOOKUP(2,1/(指数走势!$F$38:$ACK$38&lt;&gt;""),COLUMN(指数走势!$F$38:$ACK$38))-COLUMN(指数走势!$F$38)+1-760+681)=0,NA(),INDEX(指数走势!$F$38:$ACK$38,1,LOOKUP(2,1/(指数走势!$F$38:$ACK$38&lt;&gt;""),COLUMN(指数走势!$F$38:$ACK$38))-COLUMN(指数走势!$F$38)+1-760+681)))</f>
        <v>21.3460998535156</v>
      </c>
      <c r="ZG102">
        <f>IF(ISERROR(INDEX(指数走势!$F$38:$ACK$38,1,LOOKUP(2,1/(指数走势!$F$38:$ACK$38&lt;&gt;""),COLUMN(指数走势!$F$38:$ACK$38))-COLUMN(指数走势!$F$38)+1-760+682)),NA(),IF(INDEX(指数走势!$F$38:$ACK$38,1,LOOKUP(2,1/(指数走势!$F$38:$ACK$38&lt;&gt;""),COLUMN(指数走势!$F$38:$ACK$38))-COLUMN(指数走势!$F$38)+1-760+682)=0,NA(),INDEX(指数走势!$F$38:$ACK$38,1,LOOKUP(2,1/(指数走势!$F$38:$ACK$38&lt;&gt;""),COLUMN(指数走势!$F$38:$ACK$38))-COLUMN(指数走势!$F$38)+1-760+682)))</f>
        <v>21.3199996948242</v>
      </c>
      <c r="ZH102">
        <f>IF(ISERROR(INDEX(指数走势!$F$38:$ACK$38,1,LOOKUP(2,1/(指数走势!$F$38:$ACK$38&lt;&gt;""),COLUMN(指数走势!$F$38:$ACK$38))-COLUMN(指数走势!$F$38)+1-760+683)),NA(),IF(INDEX(指数走势!$F$38:$ACK$38,1,LOOKUP(2,1/(指数走势!$F$38:$ACK$38&lt;&gt;""),COLUMN(指数走势!$F$38:$ACK$38))-COLUMN(指数走势!$F$38)+1-760+683)=0,NA(),INDEX(指数走势!$F$38:$ACK$38,1,LOOKUP(2,1/(指数走势!$F$38:$ACK$38&lt;&gt;""),COLUMN(指数走势!$F$38:$ACK$38))-COLUMN(指数走势!$F$38)+1-760+683)))</f>
        <v>21.2812004089355</v>
      </c>
      <c r="ZI102">
        <f>IF(ISERROR(INDEX(指数走势!$F$38:$ACK$38,1,LOOKUP(2,1/(指数走势!$F$38:$ACK$38&lt;&gt;""),COLUMN(指数走势!$F$38:$ACK$38))-COLUMN(指数走势!$F$38)+1-760+684)),NA(),IF(INDEX(指数走势!$F$38:$ACK$38,1,LOOKUP(2,1/(指数走势!$F$38:$ACK$38&lt;&gt;""),COLUMN(指数走势!$F$38:$ACK$38))-COLUMN(指数走势!$F$38)+1-760+684)=0,NA(),INDEX(指数走势!$F$38:$ACK$38,1,LOOKUP(2,1/(指数走势!$F$38:$ACK$38&lt;&gt;""),COLUMN(指数走势!$F$38:$ACK$38))-COLUMN(指数走势!$F$38)+1-760+684)))</f>
        <v>21.210599899292</v>
      </c>
      <c r="ZJ102">
        <f>IF(ISERROR(INDEX(指数走势!$F$38:$ACK$38,1,LOOKUP(2,1/(指数走势!$F$38:$ACK$38&lt;&gt;""),COLUMN(指数走势!$F$38:$ACK$38))-COLUMN(指数走势!$F$38)+1-760+685)),NA(),IF(INDEX(指数走势!$F$38:$ACK$38,1,LOOKUP(2,1/(指数走势!$F$38:$ACK$38&lt;&gt;""),COLUMN(指数走势!$F$38:$ACK$38))-COLUMN(指数走势!$F$38)+1-760+685)=0,NA(),INDEX(指数走势!$F$38:$ACK$38,1,LOOKUP(2,1/(指数走势!$F$38:$ACK$38&lt;&gt;""),COLUMN(指数走势!$F$38:$ACK$38))-COLUMN(指数走势!$F$38)+1-760+685)))</f>
        <v>21.694299697876</v>
      </c>
      <c r="ZK102">
        <f>IF(ISERROR(INDEX(指数走势!$F$38:$ACK$38,1,LOOKUP(2,1/(指数走势!$F$38:$ACK$38&lt;&gt;""),COLUMN(指数走势!$F$38:$ACK$38))-COLUMN(指数走势!$F$38)+1-760+686)),NA(),IF(INDEX(指数走势!$F$38:$ACK$38,1,LOOKUP(2,1/(指数走势!$F$38:$ACK$38&lt;&gt;""),COLUMN(指数走势!$F$38:$ACK$38))-COLUMN(指数走势!$F$38)+1-760+686)=0,NA(),INDEX(指数走势!$F$38:$ACK$38,1,LOOKUP(2,1/(指数走势!$F$38:$ACK$38&lt;&gt;""),COLUMN(指数走势!$F$38:$ACK$38))-COLUMN(指数走势!$F$38)+1-760+686)))</f>
        <v>21.5788993835449</v>
      </c>
      <c r="ZL102">
        <f>IF(ISERROR(INDEX(指数走势!$F$38:$ACK$38,1,LOOKUP(2,1/(指数走势!$F$38:$ACK$38&lt;&gt;""),COLUMN(指数走势!$F$38:$ACK$38))-COLUMN(指数走势!$F$38)+1-760+687)),NA(),IF(INDEX(指数走势!$F$38:$ACK$38,1,LOOKUP(2,1/(指数走势!$F$38:$ACK$38&lt;&gt;""),COLUMN(指数走势!$F$38:$ACK$38))-COLUMN(指数走势!$F$38)+1-760+687)=0,NA(),INDEX(指数走势!$F$38:$ACK$38,1,LOOKUP(2,1/(指数走势!$F$38:$ACK$38&lt;&gt;""),COLUMN(指数走势!$F$38:$ACK$38))-COLUMN(指数走势!$F$38)+1-760+687)))</f>
        <v>21.2863998413086</v>
      </c>
      <c r="ZM102">
        <f>IF(ISERROR(INDEX(指数走势!$F$38:$ACK$38,1,LOOKUP(2,1/(指数走势!$F$38:$ACK$38&lt;&gt;""),COLUMN(指数走势!$F$38:$ACK$38))-COLUMN(指数走势!$F$38)+1-760+688)),NA(),IF(INDEX(指数走势!$F$38:$ACK$38,1,LOOKUP(2,1/(指数走势!$F$38:$ACK$38&lt;&gt;""),COLUMN(指数走势!$F$38:$ACK$38))-COLUMN(指数走势!$F$38)+1-760+688)=0,NA(),INDEX(指数走势!$F$38:$ACK$38,1,LOOKUP(2,1/(指数走势!$F$38:$ACK$38&lt;&gt;""),COLUMN(指数走势!$F$38:$ACK$38))-COLUMN(指数走势!$F$38)+1-760+688)))</f>
        <v>22.0323009490967</v>
      </c>
      <c r="ZN102">
        <f>IF(ISERROR(INDEX(指数走势!$F$38:$ACK$38,1,LOOKUP(2,1/(指数走势!$F$38:$ACK$38&lt;&gt;""),COLUMN(指数走势!$F$38:$ACK$38))-COLUMN(指数走势!$F$38)+1-760+689)),NA(),IF(INDEX(指数走势!$F$38:$ACK$38,1,LOOKUP(2,1/(指数走势!$F$38:$ACK$38&lt;&gt;""),COLUMN(指数走势!$F$38:$ACK$38))-COLUMN(指数走势!$F$38)+1-760+689)=0,NA(),INDEX(指数走势!$F$38:$ACK$38,1,LOOKUP(2,1/(指数走势!$F$38:$ACK$38&lt;&gt;""),COLUMN(指数走势!$F$38:$ACK$38))-COLUMN(指数走势!$F$38)+1-760+689)))</f>
        <v>21.4193000793457</v>
      </c>
      <c r="ZO102">
        <f>IF(ISERROR(INDEX(指数走势!$F$38:$ACK$38,1,LOOKUP(2,1/(指数走势!$F$38:$ACK$38&lt;&gt;""),COLUMN(指数走势!$F$38:$ACK$38))-COLUMN(指数走势!$F$38)+1-760+690)),NA(),IF(INDEX(指数走势!$F$38:$ACK$38,1,LOOKUP(2,1/(指数走势!$F$38:$ACK$38&lt;&gt;""),COLUMN(指数走势!$F$38:$ACK$38))-COLUMN(指数走势!$F$38)+1-760+690)=0,NA(),INDEX(指数走势!$F$38:$ACK$38,1,LOOKUP(2,1/(指数走势!$F$38:$ACK$38&lt;&gt;""),COLUMN(指数走势!$F$38:$ACK$38))-COLUMN(指数走势!$F$38)+1-760+690)))</f>
        <v>20.8071002960205</v>
      </c>
      <c r="ZP102">
        <f>IF(ISERROR(INDEX(指数走势!$F$38:$ACK$38,1,LOOKUP(2,1/(指数走势!$F$38:$ACK$38&lt;&gt;""),COLUMN(指数走势!$F$38:$ACK$38))-COLUMN(指数走势!$F$38)+1-760+691)),NA(),IF(INDEX(指数走势!$F$38:$ACK$38,1,LOOKUP(2,1/(指数走势!$F$38:$ACK$38&lt;&gt;""),COLUMN(指数走势!$F$38:$ACK$38))-COLUMN(指数走势!$F$38)+1-760+691)=0,NA(),INDEX(指数走势!$F$38:$ACK$38,1,LOOKUP(2,1/(指数走势!$F$38:$ACK$38&lt;&gt;""),COLUMN(指数走势!$F$38:$ACK$38))-COLUMN(指数走势!$F$38)+1-760+691)))</f>
        <v>21.4120998382568</v>
      </c>
      <c r="ZQ102">
        <f>IF(ISERROR(INDEX(指数走势!$F$38:$ACK$38,1,LOOKUP(2,1/(指数走势!$F$38:$ACK$38&lt;&gt;""),COLUMN(指数走势!$F$38:$ACK$38))-COLUMN(指数走势!$F$38)+1-760+692)),NA(),IF(INDEX(指数走势!$F$38:$ACK$38,1,LOOKUP(2,1/(指数走势!$F$38:$ACK$38&lt;&gt;""),COLUMN(指数走势!$F$38:$ACK$38))-COLUMN(指数走势!$F$38)+1-760+692)=0,NA(),INDEX(指数走势!$F$38:$ACK$38,1,LOOKUP(2,1/(指数走势!$F$38:$ACK$38&lt;&gt;""),COLUMN(指数走势!$F$38:$ACK$38))-COLUMN(指数走势!$F$38)+1-760+692)))</f>
        <v>21.5639991760254</v>
      </c>
      <c r="ZR102">
        <f>IF(ISERROR(INDEX(指数走势!$F$38:$ACK$38,1,LOOKUP(2,1/(指数走势!$F$38:$ACK$38&lt;&gt;""),COLUMN(指数走势!$F$38:$ACK$38))-COLUMN(指数走势!$F$38)+1-760+693)),NA(),IF(INDEX(指数走势!$F$38:$ACK$38,1,LOOKUP(2,1/(指数走势!$F$38:$ACK$38&lt;&gt;""),COLUMN(指数走势!$F$38:$ACK$38))-COLUMN(指数走势!$F$38)+1-760+693)=0,NA(),INDEX(指数走势!$F$38:$ACK$38,1,LOOKUP(2,1/(指数走势!$F$38:$ACK$38&lt;&gt;""),COLUMN(指数走势!$F$38:$ACK$38))-COLUMN(指数走势!$F$38)+1-760+693)))</f>
        <v>21.7506008148193</v>
      </c>
      <c r="ZS102">
        <f>IF(ISERROR(INDEX(指数走势!$F$38:$ACK$38,1,LOOKUP(2,1/(指数走势!$F$38:$ACK$38&lt;&gt;""),COLUMN(指数走势!$F$38:$ACK$38))-COLUMN(指数走势!$F$38)+1-760+694)),NA(),IF(INDEX(指数走势!$F$38:$ACK$38,1,LOOKUP(2,1/(指数走势!$F$38:$ACK$38&lt;&gt;""),COLUMN(指数走势!$F$38:$ACK$38))-COLUMN(指数走势!$F$38)+1-760+694)=0,NA(),INDEX(指数走势!$F$38:$ACK$38,1,LOOKUP(2,1/(指数走势!$F$38:$ACK$38&lt;&gt;""),COLUMN(指数走势!$F$38:$ACK$38))-COLUMN(指数走势!$F$38)+1-760+694)))</f>
        <v>22.0256004333496</v>
      </c>
      <c r="ZT102">
        <f>IF(ISERROR(INDEX(指数走势!$F$38:$ACK$38,1,LOOKUP(2,1/(指数走势!$F$38:$ACK$38&lt;&gt;""),COLUMN(指数走势!$F$38:$ACK$38))-COLUMN(指数走势!$F$38)+1-760+695)),NA(),IF(INDEX(指数走势!$F$38:$ACK$38,1,LOOKUP(2,1/(指数走势!$F$38:$ACK$38&lt;&gt;""),COLUMN(指数走势!$F$38:$ACK$38))-COLUMN(指数走势!$F$38)+1-760+695)=0,NA(),INDEX(指数走势!$F$38:$ACK$38,1,LOOKUP(2,1/(指数走势!$F$38:$ACK$38&lt;&gt;""),COLUMN(指数走势!$F$38:$ACK$38))-COLUMN(指数走势!$F$38)+1-760+695)))</f>
        <v>21.5373001098633</v>
      </c>
      <c r="ZU102">
        <f>IF(ISERROR(INDEX(指数走势!$F$38:$ACK$38,1,LOOKUP(2,1/(指数走势!$F$38:$ACK$38&lt;&gt;""),COLUMN(指数走势!$F$38:$ACK$38))-COLUMN(指数走势!$F$38)+1-760+696)),NA(),IF(INDEX(指数走势!$F$38:$ACK$38,1,LOOKUP(2,1/(指数走势!$F$38:$ACK$38&lt;&gt;""),COLUMN(指数走势!$F$38:$ACK$38))-COLUMN(指数走势!$F$38)+1-760+696)=0,NA(),INDEX(指数走势!$F$38:$ACK$38,1,LOOKUP(2,1/(指数走势!$F$38:$ACK$38&lt;&gt;""),COLUMN(指数走势!$F$38:$ACK$38))-COLUMN(指数走势!$F$38)+1-760+696)))</f>
        <v>21.493200302124</v>
      </c>
      <c r="ZV102">
        <f>IF(ISERROR(INDEX(指数走势!$F$38:$ACK$38,1,LOOKUP(2,1/(指数走势!$F$38:$ACK$38&lt;&gt;""),COLUMN(指数走势!$F$38:$ACK$38))-COLUMN(指数走势!$F$38)+1-760+697)),NA(),IF(INDEX(指数走势!$F$38:$ACK$38,1,LOOKUP(2,1/(指数走势!$F$38:$ACK$38&lt;&gt;""),COLUMN(指数走势!$F$38:$ACK$38))-COLUMN(指数走势!$F$38)+1-760+697)=0,NA(),INDEX(指数走势!$F$38:$ACK$38,1,LOOKUP(2,1/(指数走势!$F$38:$ACK$38&lt;&gt;""),COLUMN(指数走势!$F$38:$ACK$38))-COLUMN(指数走势!$F$38)+1-760+697)))</f>
        <v>21.9811992645264</v>
      </c>
      <c r="ZW102">
        <f>IF(ISERROR(INDEX(指数走势!$F$38:$ACK$38,1,LOOKUP(2,1/(指数走势!$F$38:$ACK$38&lt;&gt;""),COLUMN(指数走势!$F$38:$ACK$38))-COLUMN(指数走势!$F$38)+1-760+698)),NA(),IF(INDEX(指数走势!$F$38:$ACK$38,1,LOOKUP(2,1/(指数走势!$F$38:$ACK$38&lt;&gt;""),COLUMN(指数走势!$F$38:$ACK$38))-COLUMN(指数走势!$F$38)+1-760+698)=0,NA(),INDEX(指数走势!$F$38:$ACK$38,1,LOOKUP(2,1/(指数走势!$F$38:$ACK$38&lt;&gt;""),COLUMN(指数走势!$F$38:$ACK$38))-COLUMN(指数走势!$F$38)+1-760+698)))</f>
        <v>21.596700668335</v>
      </c>
      <c r="ZX102">
        <f>IF(ISERROR(INDEX(指数走势!$F$38:$ACK$38,1,LOOKUP(2,1/(指数走势!$F$38:$ACK$38&lt;&gt;""),COLUMN(指数走势!$F$38:$ACK$38))-COLUMN(指数走势!$F$38)+1-760+699)),NA(),IF(INDEX(指数走势!$F$38:$ACK$38,1,LOOKUP(2,1/(指数走势!$F$38:$ACK$38&lt;&gt;""),COLUMN(指数走势!$F$38:$ACK$38))-COLUMN(指数走势!$F$38)+1-760+699)=0,NA(),INDEX(指数走势!$F$38:$ACK$38,1,LOOKUP(2,1/(指数走势!$F$38:$ACK$38&lt;&gt;""),COLUMN(指数走势!$F$38:$ACK$38))-COLUMN(指数走势!$F$38)+1-760+699)))</f>
        <v>21.596700668335</v>
      </c>
      <c r="ZY102">
        <f>IF(ISERROR(INDEX(指数走势!$F$38:$ACK$38,1,LOOKUP(2,1/(指数走势!$F$38:$ACK$38&lt;&gt;""),COLUMN(指数走势!$F$38:$ACK$38))-COLUMN(指数走势!$F$38)+1-760+700)),NA(),IF(INDEX(指数走势!$F$38:$ACK$38,1,LOOKUP(2,1/(指数走势!$F$38:$ACK$38&lt;&gt;""),COLUMN(指数走势!$F$38:$ACK$38))-COLUMN(指数走势!$F$38)+1-760+700)=0,NA(),INDEX(指数走势!$F$38:$ACK$38,1,LOOKUP(2,1/(指数走势!$F$38:$ACK$38&lt;&gt;""),COLUMN(指数走势!$F$38:$ACK$38))-COLUMN(指数走势!$F$38)+1-760+700)))</f>
        <v>21.6033000946045</v>
      </c>
      <c r="ZZ102">
        <f>IF(ISERROR(INDEX(指数走势!$F$38:$ACK$38,1,LOOKUP(2,1/(指数走势!$F$38:$ACK$38&lt;&gt;""),COLUMN(指数走势!$F$38:$ACK$38))-COLUMN(指数走势!$F$38)+1-760+701)),NA(),IF(INDEX(指数走势!$F$38:$ACK$38,1,LOOKUP(2,1/(指数走势!$F$38:$ACK$38&lt;&gt;""),COLUMN(指数走势!$F$38:$ACK$38))-COLUMN(指数走势!$F$38)+1-760+701)=0,NA(),INDEX(指数走势!$F$38:$ACK$38,1,LOOKUP(2,1/(指数走势!$F$38:$ACK$38&lt;&gt;""),COLUMN(指数走势!$F$38:$ACK$38))-COLUMN(指数走势!$F$38)+1-760+701)))</f>
        <v>22.6280002593994</v>
      </c>
      <c r="AAA102">
        <f>IF(ISERROR(INDEX(指数走势!$F$38:$ACK$38,1,LOOKUP(2,1/(指数走势!$F$38:$ACK$38&lt;&gt;""),COLUMN(指数走势!$F$38:$ACK$38))-COLUMN(指数走势!$F$38)+1-760+702)),NA(),IF(INDEX(指数走势!$F$38:$ACK$38,1,LOOKUP(2,1/(指数走势!$F$38:$ACK$38&lt;&gt;""),COLUMN(指数走势!$F$38:$ACK$38))-COLUMN(指数走势!$F$38)+1-760+702)=0,NA(),INDEX(指数走势!$F$38:$ACK$38,1,LOOKUP(2,1/(指数走势!$F$38:$ACK$38&lt;&gt;""),COLUMN(指数走势!$F$38:$ACK$38))-COLUMN(指数走势!$F$38)+1-760+702)))</f>
        <v>22.2877006530762</v>
      </c>
      <c r="AAB102">
        <f>IF(ISERROR(INDEX(指数走势!$F$38:$ACK$38,1,LOOKUP(2,1/(指数走势!$F$38:$ACK$38&lt;&gt;""),COLUMN(指数走势!$F$38:$ACK$38))-COLUMN(指数走势!$F$38)+1-760+703)),NA(),IF(INDEX(指数走势!$F$38:$ACK$38,1,LOOKUP(2,1/(指数走势!$F$38:$ACK$38&lt;&gt;""),COLUMN(指数走势!$F$38:$ACK$38))-COLUMN(指数走势!$F$38)+1-760+703)=0,NA(),INDEX(指数走势!$F$38:$ACK$38,1,LOOKUP(2,1/(指数走势!$F$38:$ACK$38&lt;&gt;""),COLUMN(指数走势!$F$38:$ACK$38))-COLUMN(指数走势!$F$38)+1-760+703)))</f>
        <v>22.3899993896484</v>
      </c>
      <c r="AAC102">
        <f>IF(ISERROR(INDEX(指数走势!$F$38:$ACK$38,1,LOOKUP(2,1/(指数走势!$F$38:$ACK$38&lt;&gt;""),COLUMN(指数走势!$F$38:$ACK$38))-COLUMN(指数走势!$F$38)+1-760+704)),NA(),IF(INDEX(指数走势!$F$38:$ACK$38,1,LOOKUP(2,1/(指数走势!$F$38:$ACK$38&lt;&gt;""),COLUMN(指数走势!$F$38:$ACK$38))-COLUMN(指数走势!$F$38)+1-760+704)=0,NA(),INDEX(指数走势!$F$38:$ACK$38,1,LOOKUP(2,1/(指数走势!$F$38:$ACK$38&lt;&gt;""),COLUMN(指数走势!$F$38:$ACK$38))-COLUMN(指数走势!$F$38)+1-760+704)))</f>
        <v>22.0743999481201</v>
      </c>
      <c r="AAD102">
        <f>IF(ISERROR(INDEX(指数走势!$F$38:$ACK$38,1,LOOKUP(2,1/(指数走势!$F$38:$ACK$38&lt;&gt;""),COLUMN(指数走势!$F$38:$ACK$38))-COLUMN(指数走势!$F$38)+1-760+705)),NA(),IF(INDEX(指数走势!$F$38:$ACK$38,1,LOOKUP(2,1/(指数走势!$F$38:$ACK$38&lt;&gt;""),COLUMN(指数走势!$F$38:$ACK$38))-COLUMN(指数走势!$F$38)+1-760+705)=0,NA(),INDEX(指数走势!$F$38:$ACK$38,1,LOOKUP(2,1/(指数走势!$F$38:$ACK$38&lt;&gt;""),COLUMN(指数走势!$F$38:$ACK$38))-COLUMN(指数走势!$F$38)+1-760+705)))</f>
        <v>22.2247009277344</v>
      </c>
      <c r="AAE102">
        <f>IF(ISERROR(INDEX(指数走势!$F$38:$ACK$38,1,LOOKUP(2,1/(指数走势!$F$38:$ACK$38&lt;&gt;""),COLUMN(指数走势!$F$38:$ACK$38))-COLUMN(指数走势!$F$38)+1-760+706)),NA(),IF(INDEX(指数走势!$F$38:$ACK$38,1,LOOKUP(2,1/(指数走势!$F$38:$ACK$38&lt;&gt;""),COLUMN(指数走势!$F$38:$ACK$38))-COLUMN(指数走势!$F$38)+1-760+706)=0,NA(),INDEX(指数走势!$F$38:$ACK$38,1,LOOKUP(2,1/(指数走势!$F$38:$ACK$38&lt;&gt;""),COLUMN(指数走势!$F$38:$ACK$38))-COLUMN(指数走势!$F$38)+1-760+706)))</f>
        <v>22.5459995269775</v>
      </c>
      <c r="AAF102">
        <f>IF(ISERROR(INDEX(指数走势!$F$38:$ACK$38,1,LOOKUP(2,1/(指数走势!$F$38:$ACK$38&lt;&gt;""),COLUMN(指数走势!$F$38:$ACK$38))-COLUMN(指数走势!$F$38)+1-760+707)),NA(),IF(INDEX(指数走势!$F$38:$ACK$38,1,LOOKUP(2,1/(指数走势!$F$38:$ACK$38&lt;&gt;""),COLUMN(指数走势!$F$38:$ACK$38))-COLUMN(指数走势!$F$38)+1-760+707)=0,NA(),INDEX(指数走势!$F$38:$ACK$38,1,LOOKUP(2,1/(指数走势!$F$38:$ACK$38&lt;&gt;""),COLUMN(指数走势!$F$38:$ACK$38))-COLUMN(指数走势!$F$38)+1-760+707)))</f>
        <v>23.3593006134033</v>
      </c>
      <c r="AAG102">
        <f>IF(ISERROR(INDEX(指数走势!$F$38:$ACK$38,1,LOOKUP(2,1/(指数走势!$F$38:$ACK$38&lt;&gt;""),COLUMN(指数走势!$F$38:$ACK$38))-COLUMN(指数走势!$F$38)+1-760+708)),NA(),IF(INDEX(指数走势!$F$38:$ACK$38,1,LOOKUP(2,1/(指数走势!$F$38:$ACK$38&lt;&gt;""),COLUMN(指数走势!$F$38:$ACK$38))-COLUMN(指数走势!$F$38)+1-760+708)=0,NA(),INDEX(指数走势!$F$38:$ACK$38,1,LOOKUP(2,1/(指数走势!$F$38:$ACK$38&lt;&gt;""),COLUMN(指数走势!$F$38:$ACK$38))-COLUMN(指数走势!$F$38)+1-760+708)))</f>
        <v>23.1832008361816</v>
      </c>
      <c r="AAH102">
        <f>IF(ISERROR(INDEX(指数走势!$F$38:$ACK$38,1,LOOKUP(2,1/(指数走势!$F$38:$ACK$38&lt;&gt;""),COLUMN(指数走势!$F$38:$ACK$38))-COLUMN(指数走势!$F$38)+1-760+709)),NA(),IF(INDEX(指数走势!$F$38:$ACK$38,1,LOOKUP(2,1/(指数走势!$F$38:$ACK$38&lt;&gt;""),COLUMN(指数走势!$F$38:$ACK$38))-COLUMN(指数走势!$F$38)+1-760+709)=0,NA(),INDEX(指数走势!$F$38:$ACK$38,1,LOOKUP(2,1/(指数走势!$F$38:$ACK$38&lt;&gt;""),COLUMN(指数走势!$F$38:$ACK$38))-COLUMN(指数走势!$F$38)+1-760+709)))</f>
        <v>23.4057006835938</v>
      </c>
      <c r="AAI102">
        <f>IF(ISERROR(INDEX(指数走势!$F$38:$ACK$38,1,LOOKUP(2,1/(指数走势!$F$38:$ACK$38&lt;&gt;""),COLUMN(指数走势!$F$38:$ACK$38))-COLUMN(指数走势!$F$38)+1-760+710)),NA(),IF(INDEX(指数走势!$F$38:$ACK$38,1,LOOKUP(2,1/(指数走势!$F$38:$ACK$38&lt;&gt;""),COLUMN(指数走势!$F$38:$ACK$38))-COLUMN(指数走势!$F$38)+1-760+710)=0,NA(),INDEX(指数走势!$F$38:$ACK$38,1,LOOKUP(2,1/(指数走势!$F$38:$ACK$38&lt;&gt;""),COLUMN(指数走势!$F$38:$ACK$38))-COLUMN(指数走势!$F$38)+1-760+710)))</f>
        <v>23.3584995269775</v>
      </c>
      <c r="AAJ102">
        <f>IF(ISERROR(INDEX(指数走势!$F$38:$ACK$38,1,LOOKUP(2,1/(指数走势!$F$38:$ACK$38&lt;&gt;""),COLUMN(指数走势!$F$38:$ACK$38))-COLUMN(指数走势!$F$38)+1-760+711)),NA(),IF(INDEX(指数走势!$F$38:$ACK$38,1,LOOKUP(2,1/(指数走势!$F$38:$ACK$38&lt;&gt;""),COLUMN(指数走势!$F$38:$ACK$38))-COLUMN(指数走势!$F$38)+1-760+711)=0,NA(),INDEX(指数走势!$F$38:$ACK$38,1,LOOKUP(2,1/(指数走势!$F$38:$ACK$38&lt;&gt;""),COLUMN(指数走势!$F$38:$ACK$38))-COLUMN(指数走势!$F$38)+1-760+711)))</f>
        <v>22.7936000823975</v>
      </c>
      <c r="AAK102">
        <f>IF(ISERROR(INDEX(指数走势!$F$38:$ACK$38,1,LOOKUP(2,1/(指数走势!$F$38:$ACK$38&lt;&gt;""),COLUMN(指数走势!$F$38:$ACK$38))-COLUMN(指数走势!$F$38)+1-760+712)),NA(),IF(INDEX(指数走势!$F$38:$ACK$38,1,LOOKUP(2,1/(指数走势!$F$38:$ACK$38&lt;&gt;""),COLUMN(指数走势!$F$38:$ACK$38))-COLUMN(指数走势!$F$38)+1-760+712)=0,NA(),INDEX(指数走势!$F$38:$ACK$38,1,LOOKUP(2,1/(指数走势!$F$38:$ACK$38&lt;&gt;""),COLUMN(指数走势!$F$38:$ACK$38))-COLUMN(指数走势!$F$38)+1-760+712)))</f>
        <v>22.4032001495361</v>
      </c>
      <c r="AAL102">
        <f>IF(ISERROR(INDEX(指数走势!$F$38:$ACK$38,1,LOOKUP(2,1/(指数走势!$F$38:$ACK$38&lt;&gt;""),COLUMN(指数走势!$F$38:$ACK$38))-COLUMN(指数走势!$F$38)+1-760+713)),NA(),IF(INDEX(指数走势!$F$38:$ACK$38,1,LOOKUP(2,1/(指数走势!$F$38:$ACK$38&lt;&gt;""),COLUMN(指数走势!$F$38:$ACK$38))-COLUMN(指数走势!$F$38)+1-760+713)=0,NA(),INDEX(指数走势!$F$38:$ACK$38,1,LOOKUP(2,1/(指数走势!$F$38:$ACK$38&lt;&gt;""),COLUMN(指数走势!$F$38:$ACK$38))-COLUMN(指数走势!$F$38)+1-760+713)))</f>
        <v>22.4785995483398</v>
      </c>
      <c r="AAM102">
        <f>IF(ISERROR(INDEX(指数走势!$F$38:$ACK$38,1,LOOKUP(2,1/(指数走势!$F$38:$ACK$38&lt;&gt;""),COLUMN(指数走势!$F$38:$ACK$38))-COLUMN(指数走势!$F$38)+1-760+714)),NA(),IF(INDEX(指数走势!$F$38:$ACK$38,1,LOOKUP(2,1/(指数走势!$F$38:$ACK$38&lt;&gt;""),COLUMN(指数走势!$F$38:$ACK$38))-COLUMN(指数走势!$F$38)+1-760+714)=0,NA(),INDEX(指数走势!$F$38:$ACK$38,1,LOOKUP(2,1/(指数走势!$F$38:$ACK$38&lt;&gt;""),COLUMN(指数走势!$F$38:$ACK$38))-COLUMN(指数走势!$F$38)+1-760+714)))</f>
        <v>22.3750991821289</v>
      </c>
      <c r="AAN102">
        <f>IF(ISERROR(INDEX(指数走势!$F$38:$ACK$38,1,LOOKUP(2,1/(指数走势!$F$38:$ACK$38&lt;&gt;""),COLUMN(指数走势!$F$38:$ACK$38))-COLUMN(指数走势!$F$38)+1-760+715)),NA(),IF(INDEX(指数走势!$F$38:$ACK$38,1,LOOKUP(2,1/(指数走势!$F$38:$ACK$38&lt;&gt;""),COLUMN(指数走势!$F$38:$ACK$38))-COLUMN(指数走势!$F$38)+1-760+715)=0,NA(),INDEX(指数走势!$F$38:$ACK$38,1,LOOKUP(2,1/(指数走势!$F$38:$ACK$38&lt;&gt;""),COLUMN(指数走势!$F$38:$ACK$38))-COLUMN(指数走势!$F$38)+1-760+715)))</f>
        <v>22.1299991607666</v>
      </c>
      <c r="AAO102">
        <f>IF(ISERROR(INDEX(指数走势!$F$38:$ACK$38,1,LOOKUP(2,1/(指数走势!$F$38:$ACK$38&lt;&gt;""),COLUMN(指数走势!$F$38:$ACK$38))-COLUMN(指数走势!$F$38)+1-760+716)),NA(),IF(INDEX(指数走势!$F$38:$ACK$38,1,LOOKUP(2,1/(指数走势!$F$38:$ACK$38&lt;&gt;""),COLUMN(指数走势!$F$38:$ACK$38))-COLUMN(指数走势!$F$38)+1-760+716)=0,NA(),INDEX(指数走势!$F$38:$ACK$38,1,LOOKUP(2,1/(指数走势!$F$38:$ACK$38&lt;&gt;""),COLUMN(指数走势!$F$38:$ACK$38))-COLUMN(指数走势!$F$38)+1-760+716)))</f>
        <v>22.4843006134033</v>
      </c>
      <c r="AAP102">
        <f>IF(ISERROR(INDEX(指数走势!$F$38:$ACK$38,1,LOOKUP(2,1/(指数走势!$F$38:$ACK$38&lt;&gt;""),COLUMN(指数走势!$F$38:$ACK$38))-COLUMN(指数走势!$F$38)+1-760+717)),NA(),IF(INDEX(指数走势!$F$38:$ACK$38,1,LOOKUP(2,1/(指数走势!$F$38:$ACK$38&lt;&gt;""),COLUMN(指数走势!$F$38:$ACK$38))-COLUMN(指数走势!$F$38)+1-760+717)=0,NA(),INDEX(指数走势!$F$38:$ACK$38,1,LOOKUP(2,1/(指数走势!$F$38:$ACK$38&lt;&gt;""),COLUMN(指数走势!$F$38:$ACK$38))-COLUMN(指数走势!$F$38)+1-760+717)))</f>
        <v>22.084400177002</v>
      </c>
      <c r="AAQ102">
        <f>IF(ISERROR(INDEX(指数走势!$F$38:$ACK$38,1,LOOKUP(2,1/(指数走势!$F$38:$ACK$38&lt;&gt;""),COLUMN(指数走势!$F$38:$ACK$38))-COLUMN(指数走势!$F$38)+1-760+718)),NA(),IF(INDEX(指数走势!$F$38:$ACK$38,1,LOOKUP(2,1/(指数走势!$F$38:$ACK$38&lt;&gt;""),COLUMN(指数走势!$F$38:$ACK$38))-COLUMN(指数走势!$F$38)+1-760+718)=0,NA(),INDEX(指数走势!$F$38:$ACK$38,1,LOOKUP(2,1/(指数走势!$F$38:$ACK$38&lt;&gt;""),COLUMN(指数走势!$F$38:$ACK$38))-COLUMN(指数走势!$F$38)+1-760+718)))</f>
        <v>22.4234008789063</v>
      </c>
      <c r="AAR102">
        <f>IF(ISERROR(INDEX(指数走势!$F$38:$ACK$38,1,LOOKUP(2,1/(指数走势!$F$38:$ACK$38&lt;&gt;""),COLUMN(指数走势!$F$38:$ACK$38))-COLUMN(指数走势!$F$38)+1-760+719)),NA(),IF(INDEX(指数走势!$F$38:$ACK$38,1,LOOKUP(2,1/(指数走势!$F$38:$ACK$38&lt;&gt;""),COLUMN(指数走势!$F$38:$ACK$38))-COLUMN(指数走势!$F$38)+1-760+719)=0,NA(),INDEX(指数走势!$F$38:$ACK$38,1,LOOKUP(2,1/(指数走势!$F$38:$ACK$38&lt;&gt;""),COLUMN(指数走势!$F$38:$ACK$38))-COLUMN(指数走势!$F$38)+1-760+719)))</f>
        <v>23.1000003814697</v>
      </c>
      <c r="AAS102">
        <f>IF(ISERROR(INDEX(指数走势!$F$38:$ACK$38,1,LOOKUP(2,1/(指数走势!$F$38:$ACK$38&lt;&gt;""),COLUMN(指数走势!$F$38:$ACK$38))-COLUMN(指数走势!$F$38)+1-760+720)),NA(),IF(INDEX(指数走势!$F$38:$ACK$38,1,LOOKUP(2,1/(指数走势!$F$38:$ACK$38&lt;&gt;""),COLUMN(指数走势!$F$38:$ACK$38))-COLUMN(指数走势!$F$38)+1-760+720)=0,NA(),INDEX(指数走势!$F$38:$ACK$38,1,LOOKUP(2,1/(指数走势!$F$38:$ACK$38&lt;&gt;""),COLUMN(指数走势!$F$38:$ACK$38))-COLUMN(指数走势!$F$38)+1-760+720)))</f>
        <v>22.9218006134033</v>
      </c>
      <c r="AAT102">
        <f>IF(ISERROR(INDEX(指数走势!$F$38:$ACK$38,1,LOOKUP(2,1/(指数走势!$F$38:$ACK$38&lt;&gt;""),COLUMN(指数走势!$F$38:$ACK$38))-COLUMN(指数走势!$F$38)+1-760+721)),NA(),IF(INDEX(指数走势!$F$38:$ACK$38,1,LOOKUP(2,1/(指数走势!$F$38:$ACK$38&lt;&gt;""),COLUMN(指数走势!$F$38:$ACK$38))-COLUMN(指数走势!$F$38)+1-760+721)=0,NA(),INDEX(指数走势!$F$38:$ACK$38,1,LOOKUP(2,1/(指数走势!$F$38:$ACK$38&lt;&gt;""),COLUMN(指数走势!$F$38:$ACK$38))-COLUMN(指数走势!$F$38)+1-760+721)))</f>
        <v>22.7299003601074</v>
      </c>
      <c r="AAU102">
        <f>IF(ISERROR(INDEX(指数走势!$F$38:$ACK$38,1,LOOKUP(2,1/(指数走势!$F$38:$ACK$38&lt;&gt;""),COLUMN(指数走势!$F$38:$ACK$38))-COLUMN(指数走势!$F$38)+1-760+722)),NA(),IF(INDEX(指数走势!$F$38:$ACK$38,1,LOOKUP(2,1/(指数走势!$F$38:$ACK$38&lt;&gt;""),COLUMN(指数走势!$F$38:$ACK$38))-COLUMN(指数走势!$F$38)+1-760+722)=0,NA(),INDEX(指数走势!$F$38:$ACK$38,1,LOOKUP(2,1/(指数走势!$F$38:$ACK$38&lt;&gt;""),COLUMN(指数走势!$F$38:$ACK$38))-COLUMN(指数走势!$F$38)+1-760+722)))</f>
        <v>22.8465995788574</v>
      </c>
      <c r="AAV102">
        <f>IF(ISERROR(INDEX(指数走势!$F$38:$ACK$38,1,LOOKUP(2,1/(指数走势!$F$38:$ACK$38&lt;&gt;""),COLUMN(指数走势!$F$38:$ACK$38))-COLUMN(指数走势!$F$38)+1-760+723)),NA(),IF(INDEX(指数走势!$F$38:$ACK$38,1,LOOKUP(2,1/(指数走势!$F$38:$ACK$38&lt;&gt;""),COLUMN(指数走势!$F$38:$ACK$38))-COLUMN(指数走势!$F$38)+1-760+723)=0,NA(),INDEX(指数走势!$F$38:$ACK$38,1,LOOKUP(2,1/(指数走势!$F$38:$ACK$38&lt;&gt;""),COLUMN(指数走势!$F$38:$ACK$38))-COLUMN(指数走势!$F$38)+1-760+723)))</f>
        <v>21.7150001525879</v>
      </c>
      <c r="AAW102">
        <f>IF(ISERROR(INDEX(指数走势!$F$38:$ACK$38,1,LOOKUP(2,1/(指数走势!$F$38:$ACK$38&lt;&gt;""),COLUMN(指数走势!$F$38:$ACK$38))-COLUMN(指数走势!$F$38)+1-760+724)),NA(),IF(INDEX(指数走势!$F$38:$ACK$38,1,LOOKUP(2,1/(指数走势!$F$38:$ACK$38&lt;&gt;""),COLUMN(指数走势!$F$38:$ACK$38))-COLUMN(指数走势!$F$38)+1-760+724)=0,NA(),INDEX(指数走势!$F$38:$ACK$38,1,LOOKUP(2,1/(指数走势!$F$38:$ACK$38&lt;&gt;""),COLUMN(指数走势!$F$38:$ACK$38))-COLUMN(指数走势!$F$38)+1-760+724)))</f>
        <v>21.7872009277344</v>
      </c>
      <c r="AAX102">
        <f>IF(ISERROR(INDEX(指数走势!$F$38:$ACK$38,1,LOOKUP(2,1/(指数走势!$F$38:$ACK$38&lt;&gt;""),COLUMN(指数走势!$F$38:$ACK$38))-COLUMN(指数走势!$F$38)+1-760+725)),NA(),IF(INDEX(指数走势!$F$38:$ACK$38,1,LOOKUP(2,1/(指数走势!$F$38:$ACK$38&lt;&gt;""),COLUMN(指数走势!$F$38:$ACK$38))-COLUMN(指数走势!$F$38)+1-760+725)=0,NA(),INDEX(指数走势!$F$38:$ACK$38,1,LOOKUP(2,1/(指数走势!$F$38:$ACK$38&lt;&gt;""),COLUMN(指数走势!$F$38:$ACK$38))-COLUMN(指数走势!$F$38)+1-760+725)))</f>
        <v>21.3117008209229</v>
      </c>
      <c r="AAY102">
        <f>IF(ISERROR(INDEX(指数走势!$F$38:$ACK$38,1,LOOKUP(2,1/(指数走势!$F$38:$ACK$38&lt;&gt;""),COLUMN(指数走势!$F$38:$ACK$38))-COLUMN(指数走势!$F$38)+1-760+726)),NA(),IF(INDEX(指数走势!$F$38:$ACK$38,1,LOOKUP(2,1/(指数走势!$F$38:$ACK$38&lt;&gt;""),COLUMN(指数走势!$F$38:$ACK$38))-COLUMN(指数走势!$F$38)+1-760+726)=0,NA(),INDEX(指数走势!$F$38:$ACK$38,1,LOOKUP(2,1/(指数走势!$F$38:$ACK$38&lt;&gt;""),COLUMN(指数走势!$F$38:$ACK$38))-COLUMN(指数走势!$F$38)+1-760+726)))</f>
        <v>21.1478996276855</v>
      </c>
      <c r="AAZ102">
        <f>IF(ISERROR(INDEX(指数走势!$F$38:$ACK$38,1,LOOKUP(2,1/(指数走势!$F$38:$ACK$38&lt;&gt;""),COLUMN(指数走势!$F$38:$ACK$38))-COLUMN(指数走势!$F$38)+1-760+727)),NA(),IF(INDEX(指数走势!$F$38:$ACK$38,1,LOOKUP(2,1/(指数走势!$F$38:$ACK$38&lt;&gt;""),COLUMN(指数走势!$F$38:$ACK$38))-COLUMN(指数走势!$F$38)+1-760+727)=0,NA(),INDEX(指数走势!$F$38:$ACK$38,1,LOOKUP(2,1/(指数走势!$F$38:$ACK$38&lt;&gt;""),COLUMN(指数走势!$F$38:$ACK$38))-COLUMN(指数走势!$F$38)+1-760+727)))</f>
        <v>21.3229007720947</v>
      </c>
      <c r="ABA102">
        <f>IF(ISERROR(INDEX(指数走势!$F$38:$ACK$38,1,LOOKUP(2,1/(指数走势!$F$38:$ACK$38&lt;&gt;""),COLUMN(指数走势!$F$38:$ACK$38))-COLUMN(指数走势!$F$38)+1-760+728)),NA(),IF(INDEX(指数走势!$F$38:$ACK$38,1,LOOKUP(2,1/(指数走势!$F$38:$ACK$38&lt;&gt;""),COLUMN(指数走势!$F$38:$ACK$38))-COLUMN(指数走势!$F$38)+1-760+728)=0,NA(),INDEX(指数走势!$F$38:$ACK$38,1,LOOKUP(2,1/(指数走势!$F$38:$ACK$38&lt;&gt;""),COLUMN(指数走势!$F$38:$ACK$38))-COLUMN(指数走势!$F$38)+1-760+728)))</f>
        <v>21.2506999969482</v>
      </c>
      <c r="ABB102">
        <f>IF(ISERROR(INDEX(指数走势!$F$38:$ACK$38,1,LOOKUP(2,1/(指数走势!$F$38:$ACK$38&lt;&gt;""),COLUMN(指数走势!$F$38:$ACK$38))-COLUMN(指数走势!$F$38)+1-760+729)),NA(),IF(INDEX(指数走势!$F$38:$ACK$38,1,LOOKUP(2,1/(指数走势!$F$38:$ACK$38&lt;&gt;""),COLUMN(指数走势!$F$38:$ACK$38))-COLUMN(指数走势!$F$38)+1-760+729)=0,NA(),INDEX(指数走势!$F$38:$ACK$38,1,LOOKUP(2,1/(指数走势!$F$38:$ACK$38&lt;&gt;""),COLUMN(指数走势!$F$38:$ACK$38))-COLUMN(指数走势!$F$38)+1-760+729)))</f>
        <v>20.3798007965088</v>
      </c>
      <c r="ABC102">
        <f>IF(ISERROR(INDEX(指数走势!$F$38:$ACK$38,1,LOOKUP(2,1/(指数走势!$F$38:$ACK$38&lt;&gt;""),COLUMN(指数走势!$F$38:$ACK$38))-COLUMN(指数走势!$F$38)+1-760+730)),NA(),IF(INDEX(指数走势!$F$38:$ACK$38,1,LOOKUP(2,1/(指数走势!$F$38:$ACK$38&lt;&gt;""),COLUMN(指数走势!$F$38:$ACK$38))-COLUMN(指数走势!$F$38)+1-760+730)=0,NA(),INDEX(指数走势!$F$38:$ACK$38,1,LOOKUP(2,1/(指数走势!$F$38:$ACK$38&lt;&gt;""),COLUMN(指数走势!$F$38:$ACK$38))-COLUMN(指数走势!$F$38)+1-760+730)))</f>
        <v>20.5335006713867</v>
      </c>
      <c r="ABD102">
        <f>IF(ISERROR(INDEX(指数走势!$F$38:$ACK$38,1,LOOKUP(2,1/(指数走势!$F$38:$ACK$38&lt;&gt;""),COLUMN(指数走势!$F$38:$ACK$38))-COLUMN(指数走势!$F$38)+1-760+731)),NA(),IF(INDEX(指数走势!$F$38:$ACK$38,1,LOOKUP(2,1/(指数走势!$F$38:$ACK$38&lt;&gt;""),COLUMN(指数走势!$F$38:$ACK$38))-COLUMN(指数走势!$F$38)+1-760+731)=0,NA(),INDEX(指数走势!$F$38:$ACK$38,1,LOOKUP(2,1/(指数走势!$F$38:$ACK$38&lt;&gt;""),COLUMN(指数走势!$F$38:$ACK$38))-COLUMN(指数走势!$F$38)+1-760+731)))</f>
        <v>20.5335006713867</v>
      </c>
      <c r="ABE102">
        <f>IF(ISERROR(INDEX(指数走势!$F$38:$ACK$38,1,LOOKUP(2,1/(指数走势!$F$38:$ACK$38&lt;&gt;""),COLUMN(指数走势!$F$38:$ACK$38))-COLUMN(指数走势!$F$38)+1-760+732)),NA(),IF(INDEX(指数走势!$F$38:$ACK$38,1,LOOKUP(2,1/(指数走势!$F$38:$ACK$38&lt;&gt;""),COLUMN(指数走势!$F$38:$ACK$38))-COLUMN(指数走势!$F$38)+1-760+732)=0,NA(),INDEX(指数走势!$F$38:$ACK$38,1,LOOKUP(2,1/(指数走势!$F$38:$ACK$38&lt;&gt;""),COLUMN(指数走势!$F$38:$ACK$38))-COLUMN(指数走势!$F$38)+1-760+732)))</f>
        <v>20.8507995605469</v>
      </c>
      <c r="ABF102">
        <f>IF(ISERROR(INDEX(指数走势!$F$38:$ACK$38,1,LOOKUP(2,1/(指数走势!$F$38:$ACK$38&lt;&gt;""),COLUMN(指数走势!$F$38:$ACK$38))-COLUMN(指数走势!$F$38)+1-760+733)),NA(),IF(INDEX(指数走势!$F$38:$ACK$38,1,LOOKUP(2,1/(指数走势!$F$38:$ACK$38&lt;&gt;""),COLUMN(指数走势!$F$38:$ACK$38))-COLUMN(指数走势!$F$38)+1-760+733)=0,NA(),INDEX(指数走势!$F$38:$ACK$38,1,LOOKUP(2,1/(指数走势!$F$38:$ACK$38&lt;&gt;""),COLUMN(指数走势!$F$38:$ACK$38))-COLUMN(指数走势!$F$38)+1-760+733)))</f>
        <v>20.6117992401123</v>
      </c>
      <c r="ABG102">
        <f>IF(ISERROR(INDEX(指数走势!$F$38:$ACK$38,1,LOOKUP(2,1/(指数走势!$F$38:$ACK$38&lt;&gt;""),COLUMN(指数走势!$F$38:$ACK$38))-COLUMN(指数走势!$F$38)+1-760+734)),NA(),IF(INDEX(指数走势!$F$38:$ACK$38,1,LOOKUP(2,1/(指数走势!$F$38:$ACK$38&lt;&gt;""),COLUMN(指数走势!$F$38:$ACK$38))-COLUMN(指数走势!$F$38)+1-760+734)=0,NA(),INDEX(指数走势!$F$38:$ACK$38,1,LOOKUP(2,1/(指数走势!$F$38:$ACK$38&lt;&gt;""),COLUMN(指数走势!$F$38:$ACK$38))-COLUMN(指数走势!$F$38)+1-760+734)))</f>
        <v>20.5331993103027</v>
      </c>
      <c r="ABH102">
        <f>IF(ISERROR(INDEX(指数走势!$F$38:$ACK$38,1,LOOKUP(2,1/(指数走势!$F$38:$ACK$38&lt;&gt;""),COLUMN(指数走势!$F$38:$ACK$38))-COLUMN(指数走势!$F$38)+1-760+735)),NA(),IF(INDEX(指数走势!$F$38:$ACK$38,1,LOOKUP(2,1/(指数走势!$F$38:$ACK$38&lt;&gt;""),COLUMN(指数走势!$F$38:$ACK$38))-COLUMN(指数走势!$F$38)+1-760+735)=0,NA(),INDEX(指数走势!$F$38:$ACK$38,1,LOOKUP(2,1/(指数走势!$F$38:$ACK$38&lt;&gt;""),COLUMN(指数走势!$F$38:$ACK$38))-COLUMN(指数走势!$F$38)+1-760+735)))</f>
        <v>20.5384998321533</v>
      </c>
      <c r="ABI102">
        <f>IF(ISERROR(INDEX(指数走势!$F$38:$ACK$38,1,LOOKUP(2,1/(指数走势!$F$38:$ACK$38&lt;&gt;""),COLUMN(指数走势!$F$38:$ACK$38))-COLUMN(指数走势!$F$38)+1-760+736)),NA(),IF(INDEX(指数走势!$F$38:$ACK$38,1,LOOKUP(2,1/(指数走势!$F$38:$ACK$38&lt;&gt;""),COLUMN(指数走势!$F$38:$ACK$38))-COLUMN(指数走势!$F$38)+1-760+736)=0,NA(),INDEX(指数走势!$F$38:$ACK$38,1,LOOKUP(2,1/(指数走势!$F$38:$ACK$38&lt;&gt;""),COLUMN(指数走势!$F$38:$ACK$38))-COLUMN(指数走势!$F$38)+1-760+736)))</f>
        <v>21.5548000335693</v>
      </c>
      <c r="ABJ102">
        <f>IF(ISERROR(INDEX(指数走势!$F$38:$ACK$38,1,LOOKUP(2,1/(指数走势!$F$38:$ACK$38&lt;&gt;""),COLUMN(指数走势!$F$38:$ACK$38))-COLUMN(指数走势!$F$38)+1-760+737)),NA(),IF(INDEX(指数走势!$F$38:$ACK$38,1,LOOKUP(2,1/(指数走势!$F$38:$ACK$38&lt;&gt;""),COLUMN(指数走势!$F$38:$ACK$38))-COLUMN(指数走势!$F$38)+1-760+737)=0,NA(),INDEX(指数走势!$F$38:$ACK$38,1,LOOKUP(2,1/(指数走势!$F$38:$ACK$38&lt;&gt;""),COLUMN(指数走势!$F$38:$ACK$38))-COLUMN(指数走势!$F$38)+1-760+737)))</f>
        <v>22.9001998901367</v>
      </c>
      <c r="ABK102">
        <f>IF(ISERROR(INDEX(指数走势!$F$38:$ACK$38,1,LOOKUP(2,1/(指数走势!$F$38:$ACK$38&lt;&gt;""),COLUMN(指数走势!$F$38:$ACK$38))-COLUMN(指数走势!$F$38)+1-760+738)),NA(),IF(INDEX(指数走势!$F$38:$ACK$38,1,LOOKUP(2,1/(指数走势!$F$38:$ACK$38&lt;&gt;""),COLUMN(指数走势!$F$38:$ACK$38))-COLUMN(指数走势!$F$38)+1-760+738)=0,NA(),INDEX(指数走势!$F$38:$ACK$38,1,LOOKUP(2,1/(指数走势!$F$38:$ACK$38&lt;&gt;""),COLUMN(指数走势!$F$38:$ACK$38))-COLUMN(指数走势!$F$38)+1-760+738)))</f>
        <v>22.281099319458</v>
      </c>
      <c r="ABL102">
        <f>IF(ISERROR(INDEX(指数走势!$F$38:$ACK$38,1,LOOKUP(2,1/(指数走势!$F$38:$ACK$38&lt;&gt;""),COLUMN(指数走势!$F$38:$ACK$38))-COLUMN(指数走势!$F$38)+1-760+739)),NA(),IF(INDEX(指数走势!$F$38:$ACK$38,1,LOOKUP(2,1/(指数走势!$F$38:$ACK$38&lt;&gt;""),COLUMN(指数走势!$F$38:$ACK$38))-COLUMN(指数走势!$F$38)+1-760+739)=0,NA(),INDEX(指数走势!$F$38:$ACK$38,1,LOOKUP(2,1/(指数走势!$F$38:$ACK$38&lt;&gt;""),COLUMN(指数走势!$F$38:$ACK$38))-COLUMN(指数走势!$F$38)+1-760+739)))</f>
        <v>21.895299911499</v>
      </c>
      <c r="ABM102">
        <f>IF(ISERROR(INDEX(指数走势!$F$38:$ACK$38,1,LOOKUP(2,1/(指数走势!$F$38:$ACK$38&lt;&gt;""),COLUMN(指数走势!$F$38:$ACK$38))-COLUMN(指数走势!$F$38)+1-760+740)),NA(),IF(INDEX(指数走势!$F$38:$ACK$38,1,LOOKUP(2,1/(指数走势!$F$38:$ACK$38&lt;&gt;""),COLUMN(指数走势!$F$38:$ACK$38))-COLUMN(指数走势!$F$38)+1-760+740)=0,NA(),INDEX(指数走势!$F$38:$ACK$38,1,LOOKUP(2,1/(指数走势!$F$38:$ACK$38&lt;&gt;""),COLUMN(指数走势!$F$38:$ACK$38))-COLUMN(指数走势!$F$38)+1-760+740)))</f>
        <v>21.5697002410889</v>
      </c>
      <c r="ABN102">
        <f>IF(ISERROR(INDEX(指数走势!$F$38:$ACK$38,1,LOOKUP(2,1/(指数走势!$F$38:$ACK$38&lt;&gt;""),COLUMN(指数走势!$F$38:$ACK$38))-COLUMN(指数走势!$F$38)+1-760+741)),NA(),IF(INDEX(指数走势!$F$38:$ACK$38,1,LOOKUP(2,1/(指数走势!$F$38:$ACK$38&lt;&gt;""),COLUMN(指数走势!$F$38:$ACK$38))-COLUMN(指数走势!$F$38)+1-760+741)=0,NA(),INDEX(指数走势!$F$38:$ACK$38,1,LOOKUP(2,1/(指数走势!$F$38:$ACK$38&lt;&gt;""),COLUMN(指数走势!$F$38:$ACK$38))-COLUMN(指数走势!$F$38)+1-760+741)))</f>
        <v>22.9284992218018</v>
      </c>
      <c r="ABO102">
        <f>IF(ISERROR(INDEX(指数走势!$F$38:$ACK$38,1,LOOKUP(2,1/(指数走势!$F$38:$ACK$38&lt;&gt;""),COLUMN(指数走势!$F$38:$ACK$38))-COLUMN(指数走势!$F$38)+1-760+742)),NA(),IF(INDEX(指数走势!$F$38:$ACK$38,1,LOOKUP(2,1/(指数走势!$F$38:$ACK$38&lt;&gt;""),COLUMN(指数走势!$F$38:$ACK$38))-COLUMN(指数走势!$F$38)+1-760+742)=0,NA(),INDEX(指数走势!$F$38:$ACK$38,1,LOOKUP(2,1/(指数走势!$F$38:$ACK$38&lt;&gt;""),COLUMN(指数走势!$F$38:$ACK$38))-COLUMN(指数走势!$F$38)+1-760+742)))</f>
        <v>22.8894996643066</v>
      </c>
      <c r="ABP102">
        <f>IF(ISERROR(INDEX(指数走势!$F$38:$ACK$38,1,LOOKUP(2,1/(指数走势!$F$38:$ACK$38&lt;&gt;""),COLUMN(指数走势!$F$38:$ACK$38))-COLUMN(指数走势!$F$38)+1-760+743)),NA(),IF(INDEX(指数走势!$F$38:$ACK$38,1,LOOKUP(2,1/(指数走势!$F$38:$ACK$38&lt;&gt;""),COLUMN(指数走势!$F$38:$ACK$38))-COLUMN(指数走势!$F$38)+1-760+743)=0,NA(),INDEX(指数走势!$F$38:$ACK$38,1,LOOKUP(2,1/(指数走势!$F$38:$ACK$38&lt;&gt;""),COLUMN(指数走势!$F$38:$ACK$38))-COLUMN(指数走势!$F$38)+1-760+743)))</f>
        <v>22.7826995849609</v>
      </c>
      <c r="ABQ102">
        <f>IF(ISERROR(INDEX(指数走势!$F$38:$ACK$38,1,LOOKUP(2,1/(指数走势!$F$38:$ACK$38&lt;&gt;""),COLUMN(指数走势!$F$38:$ACK$38))-COLUMN(指数走势!$F$38)+1-760+744)),NA(),IF(INDEX(指数走势!$F$38:$ACK$38,1,LOOKUP(2,1/(指数走势!$F$38:$ACK$38&lt;&gt;""),COLUMN(指数走势!$F$38:$ACK$38))-COLUMN(指数走势!$F$38)+1-760+744)=0,NA(),INDEX(指数走势!$F$38:$ACK$38,1,LOOKUP(2,1/(指数走势!$F$38:$ACK$38&lt;&gt;""),COLUMN(指数走势!$F$38:$ACK$38))-COLUMN(指数走势!$F$38)+1-760+744)))</f>
        <v>22.3698997497559</v>
      </c>
      <c r="ABR102">
        <f>IF(ISERROR(INDEX(指数走势!$F$38:$ACK$38,1,LOOKUP(2,1/(指数走势!$F$38:$ACK$38&lt;&gt;""),COLUMN(指数走势!$F$38:$ACK$38))-COLUMN(指数走势!$F$38)+1-760+745)),NA(),IF(INDEX(指数走势!$F$38:$ACK$38,1,LOOKUP(2,1/(指数走势!$F$38:$ACK$38&lt;&gt;""),COLUMN(指数走势!$F$38:$ACK$38))-COLUMN(指数走势!$F$38)+1-760+745)=0,NA(),INDEX(指数走势!$F$38:$ACK$38,1,LOOKUP(2,1/(指数走势!$F$38:$ACK$38&lt;&gt;""),COLUMN(指数走势!$F$38:$ACK$38))-COLUMN(指数走势!$F$38)+1-760+745)))</f>
        <v>22.6606998443604</v>
      </c>
      <c r="ABS102">
        <f>IF(ISERROR(INDEX(指数走势!$F$38:$ACK$38,1,LOOKUP(2,1/(指数走势!$F$38:$ACK$38&lt;&gt;""),COLUMN(指数走势!$F$38:$ACK$38))-COLUMN(指数走势!$F$38)+1-760+746)),NA(),IF(INDEX(指数走势!$F$38:$ACK$38,1,LOOKUP(2,1/(指数走势!$F$38:$ACK$38&lt;&gt;""),COLUMN(指数走势!$F$38:$ACK$38))-COLUMN(指数走势!$F$38)+1-760+746)=0,NA(),INDEX(指数走势!$F$38:$ACK$38,1,LOOKUP(2,1/(指数走势!$F$38:$ACK$38&lt;&gt;""),COLUMN(指数走势!$F$38:$ACK$38))-COLUMN(指数走势!$F$38)+1-760+746)))</f>
        <v>22.9867000579834</v>
      </c>
      <c r="ABT102">
        <f>IF(ISERROR(INDEX(指数走势!$F$38:$ACK$38,1,LOOKUP(2,1/(指数走势!$F$38:$ACK$38&lt;&gt;""),COLUMN(指数走势!$F$38:$ACK$38))-COLUMN(指数走势!$F$38)+1-760+747)),NA(),IF(INDEX(指数走势!$F$38:$ACK$38,1,LOOKUP(2,1/(指数走势!$F$38:$ACK$38&lt;&gt;""),COLUMN(指数走势!$F$38:$ACK$38))-COLUMN(指数走势!$F$38)+1-760+747)=0,NA(),INDEX(指数走势!$F$38:$ACK$38,1,LOOKUP(2,1/(指数走势!$F$38:$ACK$38&lt;&gt;""),COLUMN(指数走势!$F$38:$ACK$38))-COLUMN(指数走势!$F$38)+1-760+747)))</f>
        <v>22.5013008117676</v>
      </c>
      <c r="ABU102">
        <f>IF(ISERROR(INDEX(指数走势!$F$38:$ACK$38,1,LOOKUP(2,1/(指数走势!$F$38:$ACK$38&lt;&gt;""),COLUMN(指数走势!$F$38:$ACK$38))-COLUMN(指数走势!$F$38)+1-760+748)),NA(),IF(INDEX(指数走势!$F$38:$ACK$38,1,LOOKUP(2,1/(指数走势!$F$38:$ACK$38&lt;&gt;""),COLUMN(指数走势!$F$38:$ACK$38))-COLUMN(指数走势!$F$38)+1-760+748)=0,NA(),INDEX(指数走势!$F$38:$ACK$38,1,LOOKUP(2,1/(指数走势!$F$38:$ACK$38&lt;&gt;""),COLUMN(指数走势!$F$38:$ACK$38))-COLUMN(指数走势!$F$38)+1-760+748)))</f>
        <v>22.6065998077393</v>
      </c>
      <c r="ABV102">
        <f>IF(ISERROR(INDEX(指数走势!$F$38:$ACK$38,1,LOOKUP(2,1/(指数走势!$F$38:$ACK$38&lt;&gt;""),COLUMN(指数走势!$F$38:$ACK$38))-COLUMN(指数走势!$F$38)+1-760+749)),NA(),IF(INDEX(指数走势!$F$38:$ACK$38,1,LOOKUP(2,1/(指数走势!$F$38:$ACK$38&lt;&gt;""),COLUMN(指数走势!$F$38:$ACK$38))-COLUMN(指数走势!$F$38)+1-760+749)=0,NA(),INDEX(指数走势!$F$38:$ACK$38,1,LOOKUP(2,1/(指数走势!$F$38:$ACK$38&lt;&gt;""),COLUMN(指数走势!$F$38:$ACK$38))-COLUMN(指数走势!$F$38)+1-760+749)))</f>
        <v>22.5983009338379</v>
      </c>
      <c r="ABW102">
        <f>IF(ISERROR(INDEX(指数走势!$F$38:$ACK$38,1,LOOKUP(2,1/(指数走势!$F$38:$ACK$38&lt;&gt;""),COLUMN(指数走势!$F$38:$ACK$38))-COLUMN(指数走势!$F$38)+1-760+750)),NA(),IF(INDEX(指数走势!$F$38:$ACK$38,1,LOOKUP(2,1/(指数走势!$F$38:$ACK$38&lt;&gt;""),COLUMN(指数走势!$F$38:$ACK$38))-COLUMN(指数走势!$F$38)+1-760+750)=0,NA(),INDEX(指数走势!$F$38:$ACK$38,1,LOOKUP(2,1/(指数走势!$F$38:$ACK$38&lt;&gt;""),COLUMN(指数走势!$F$38:$ACK$38))-COLUMN(指数走势!$F$38)+1-760+750)))</f>
        <v>22.5582008361816</v>
      </c>
      <c r="ABX102">
        <f>IF(ISERROR(INDEX(指数走势!$F$38:$ACK$38,1,LOOKUP(2,1/(指数走势!$F$38:$ACK$38&lt;&gt;""),COLUMN(指数走势!$F$38:$ACK$38))-COLUMN(指数走势!$F$38)+1-760+751)),NA(),IF(INDEX(指数走势!$F$38:$ACK$38,1,LOOKUP(2,1/(指数走势!$F$38:$ACK$38&lt;&gt;""),COLUMN(指数走势!$F$38:$ACK$38))-COLUMN(指数走势!$F$38)+1-760+751)=0,NA(),INDEX(指数走势!$F$38:$ACK$38,1,LOOKUP(2,1/(指数走势!$F$38:$ACK$38&lt;&gt;""),COLUMN(指数走势!$F$38:$ACK$38))-COLUMN(指数走势!$F$38)+1-760+751)))</f>
        <v>21.7082996368408</v>
      </c>
      <c r="ABY102">
        <f>IF(ISERROR(INDEX(指数走势!$F$38:$ACK$38,1,LOOKUP(2,1/(指数走势!$F$38:$ACK$38&lt;&gt;""),COLUMN(指数走势!$F$38:$ACK$38))-COLUMN(指数走势!$F$38)+1-760+752)),NA(),IF(INDEX(指数走势!$F$38:$ACK$38,1,LOOKUP(2,1/(指数走势!$F$38:$ACK$38&lt;&gt;""),COLUMN(指数走势!$F$38:$ACK$38))-COLUMN(指数走势!$F$38)+1-760+752)=0,NA(),INDEX(指数走势!$F$38:$ACK$38,1,LOOKUP(2,1/(指数走势!$F$38:$ACK$38&lt;&gt;""),COLUMN(指数走势!$F$38:$ACK$38))-COLUMN(指数走势!$F$38)+1-760+752)))</f>
        <v>22.0923004150391</v>
      </c>
      <c r="ABZ102">
        <f>IF(ISERROR(INDEX(指数走势!$F$38:$ACK$38,1,LOOKUP(2,1/(指数走势!$F$38:$ACK$38&lt;&gt;""),COLUMN(指数走势!$F$38:$ACK$38))-COLUMN(指数走势!$F$38)+1-760+753)),NA(),IF(INDEX(指数走势!$F$38:$ACK$38,1,LOOKUP(2,1/(指数走势!$F$38:$ACK$38&lt;&gt;""),COLUMN(指数走势!$F$38:$ACK$38))-COLUMN(指数走势!$F$38)+1-760+753)=0,NA(),INDEX(指数走势!$F$38:$ACK$38,1,LOOKUP(2,1/(指数走势!$F$38:$ACK$38&lt;&gt;""),COLUMN(指数走势!$F$38:$ACK$38))-COLUMN(指数走势!$F$38)+1-760+753)))</f>
        <v>21.8554992675781</v>
      </c>
      <c r="ACA102">
        <f>IF(ISERROR(INDEX(指数走势!$F$38:$ACK$38,1,LOOKUP(2,1/(指数走势!$F$38:$ACK$38&lt;&gt;""),COLUMN(指数走势!$F$38:$ACK$38))-COLUMN(指数走势!$F$38)+1-760+754)),NA(),IF(INDEX(指数走势!$F$38:$ACK$38,1,LOOKUP(2,1/(指数走势!$F$38:$ACK$38&lt;&gt;""),COLUMN(指数走势!$F$38:$ACK$38))-COLUMN(指数走势!$F$38)+1-760+754)=0,NA(),INDEX(指数走势!$F$38:$ACK$38,1,LOOKUP(2,1/(指数走势!$F$38:$ACK$38&lt;&gt;""),COLUMN(指数走势!$F$38:$ACK$38))-COLUMN(指数走势!$F$38)+1-760+754)))</f>
        <v>21.0006999969482</v>
      </c>
      <c r="ACB102">
        <f>IF(ISERROR(INDEX(指数走势!$F$38:$ACK$38,1,LOOKUP(2,1/(指数走势!$F$38:$ACK$38&lt;&gt;""),COLUMN(指数走势!$F$38:$ACK$38))-COLUMN(指数走势!$F$38)+1-760+755)),NA(),IF(INDEX(指数走势!$F$38:$ACK$38,1,LOOKUP(2,1/(指数走势!$F$38:$ACK$38&lt;&gt;""),COLUMN(指数走势!$F$38:$ACK$38))-COLUMN(指数走势!$F$38)+1-760+755)=0,NA(),INDEX(指数走势!$F$38:$ACK$38,1,LOOKUP(2,1/(指数走势!$F$38:$ACK$38&lt;&gt;""),COLUMN(指数走势!$F$38:$ACK$38))-COLUMN(指数走势!$F$38)+1-760+755)))</f>
        <v>21.5338001251221</v>
      </c>
      <c r="ACC102">
        <f>IF(ISERROR(INDEX(指数走势!$F$38:$ACK$38,1,LOOKUP(2,1/(指数走势!$F$38:$ACK$38&lt;&gt;""),COLUMN(指数走势!$F$38:$ACK$38))-COLUMN(指数走势!$F$38)+1-760+756)),NA(),IF(INDEX(指数走势!$F$38:$ACK$38,1,LOOKUP(2,1/(指数走势!$F$38:$ACK$38&lt;&gt;""),COLUMN(指数走势!$F$38:$ACK$38))-COLUMN(指数走势!$F$38)+1-760+756)=0,NA(),INDEX(指数走势!$F$38:$ACK$38,1,LOOKUP(2,1/(指数走势!$F$38:$ACK$38&lt;&gt;""),COLUMN(指数走势!$F$38:$ACK$38))-COLUMN(指数走势!$F$38)+1-760+756)))</f>
        <v>21.899299621582</v>
      </c>
      <c r="ACD102">
        <f>IF(ISERROR(INDEX(指数走势!$F$38:$ACK$38,1,LOOKUP(2,1/(指数走势!$F$38:$ACK$38&lt;&gt;""),COLUMN(指数走势!$F$38:$ACK$38))-COLUMN(指数走势!$F$38)+1-760+757)),NA(),IF(INDEX(指数走势!$F$38:$ACK$38,1,LOOKUP(2,1/(指数走势!$F$38:$ACK$38&lt;&gt;""),COLUMN(指数走势!$F$38:$ACK$38))-COLUMN(指数走势!$F$38)+1-760+757)=0,NA(),INDEX(指数走势!$F$38:$ACK$38,1,LOOKUP(2,1/(指数走势!$F$38:$ACK$38&lt;&gt;""),COLUMN(指数走势!$F$38:$ACK$38))-COLUMN(指数走势!$F$38)+1-760+757)))</f>
        <v>21.899299621582</v>
      </c>
      <c r="ACE102">
        <f>IF(ISERROR(INDEX(指数走势!$F$38:$ACK$38,1,LOOKUP(2,1/(指数走势!$F$38:$ACK$38&lt;&gt;""),COLUMN(指数走势!$F$38:$ACK$38))-COLUMN(指数走势!$F$38)+1-760+758)),NA(),IF(INDEX(指数走势!$F$38:$ACK$38,1,LOOKUP(2,1/(指数走势!$F$38:$ACK$38&lt;&gt;""),COLUMN(指数走势!$F$38:$ACK$38))-COLUMN(指数走势!$F$38)+1-760+758)=0,NA(),INDEX(指数走势!$F$38:$ACK$38,1,LOOKUP(2,1/(指数走势!$F$38:$ACK$38&lt;&gt;""),COLUMN(指数走势!$F$38:$ACK$38))-COLUMN(指数走势!$F$38)+1-760+758)))</f>
        <v>21.6781005859375</v>
      </c>
      <c r="ACF102">
        <f>IF(ISERROR(INDEX(指数走势!$F$38:$ACK$38,1,LOOKUP(2,1/(指数走势!$F$38:$ACK$38&lt;&gt;""),COLUMN(指数走势!$F$38:$ACK$38))-COLUMN(指数走势!$F$38)+1-760+759)),NA(),IF(INDEX(指数走势!$F$38:$ACK$38,1,LOOKUP(2,1/(指数走势!$F$38:$ACK$38&lt;&gt;""),COLUMN(指数走势!$F$38:$ACK$38))-COLUMN(指数走势!$F$38)+1-760+759)=0,NA(),INDEX(指数走势!$F$38:$ACK$38,1,LOOKUP(2,1/(指数走势!$F$38:$ACK$38&lt;&gt;""),COLUMN(指数走势!$F$38:$ACK$38))-COLUMN(指数走势!$F$38)+1-760+759)))</f>
        <v>21.8528995513916</v>
      </c>
      <c r="ACG102">
        <f>IF(ISERROR(INDEX(指数走势!$F$38:$ACK$38,1,LOOKUP(2,1/(指数走势!$F$38:$ACK$38&lt;&gt;""),COLUMN(指数走势!$F$38:$ACK$38))-COLUMN(指数走势!$F$38)+1-760+760)),NA(),IF(INDEX(指数走势!$F$38:$ACK$38,1,LOOKUP(2,1/(指数走势!$F$38:$ACK$38&lt;&gt;""),COLUMN(指数走势!$F$38:$ACK$38))-COLUMN(指数走势!$F$38)+1-760+760)=0,NA(),INDEX(指数走势!$F$38:$ACK$38,1,LOOKUP(2,1/(指数走势!$F$38:$ACK$38&lt;&gt;""),COLUMN(指数走势!$F$38:$ACK$38))-COLUMN(指数走势!$F$38)+1-760+760)))</f>
        <v>21.8528995513916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A股港股</vt:lpstr>
      <vt:lpstr>中债</vt:lpstr>
      <vt:lpstr>中国宏观</vt:lpstr>
      <vt:lpstr>海外数据</vt:lpstr>
      <vt:lpstr>宏观数据</vt:lpstr>
      <vt:lpstr>指数走势</vt:lpstr>
      <vt:lpstr>A股成交额换手率测试1</vt:lpstr>
      <vt:lpstr>辅助数据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G、JUN℡</cp:lastModifiedBy>
  <cp:revision>3</cp:revision>
  <dcterms:created xsi:type="dcterms:W3CDTF">2026-04-01T07:53:00Z</dcterms:created>
  <dcterms:modified xsi:type="dcterms:W3CDTF">2026-07-06T02:50:57Z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F555826F98A84D78B99EBED783B4C921_13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