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17.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5.3" sheetId="1" r:id="rId4"/>
    <sheet state="visible" name="V5.2" sheetId="2" r:id="rId5"/>
    <sheet state="visible" name="Version5.1" sheetId="3" r:id="rId6"/>
    <sheet state="visible" name="Version5.0" sheetId="4" r:id="rId7"/>
    <sheet state="visible" name="Version4.2" sheetId="5" r:id="rId8"/>
    <sheet state="visible" name="Version4.1" sheetId="6" r:id="rId9"/>
    <sheet state="visible" name="Version4.0" sheetId="7" r:id="rId10"/>
    <sheet state="visible" name="Version3.2" sheetId="8" r:id="rId11"/>
    <sheet state="visible" name="Version3.1" sheetId="9" r:id="rId12"/>
    <sheet state="visible" name="Version3.0" sheetId="10" r:id="rId13"/>
    <sheet state="visible" name="Version2.2" sheetId="11" r:id="rId14"/>
    <sheet state="visible" name="Version2.1" sheetId="12" r:id="rId15"/>
    <sheet state="visible" name="Version2" sheetId="13" r:id="rId16"/>
    <sheet state="visible" name="Version1.1" sheetId="14" r:id="rId17"/>
    <sheet state="visible" name="Version1" sheetId="15" r:id="rId18"/>
  </sheets>
  <definedNames/>
  <calcPr/>
</workbook>
</file>

<file path=xl/comments1.xml><?xml version="1.0" encoding="utf-8"?>
<comments xmlns:r="http://schemas.openxmlformats.org/officeDocument/2006/relationships" xmlns="http://schemas.openxmlformats.org/spreadsheetml/2006/main">
  <authors>
    <author/>
  </authors>
  <commentList>
    <comment authorId="0" ref="J9">
      <text>
        <t xml:space="preserve">Also Test Servo with regulator
	-jgermeni jgermeni</t>
      </text>
    </comment>
  </commentList>
</comments>
</file>

<file path=xl/comments2.xml><?xml version="1.0" encoding="utf-8"?>
<comments xmlns:r="http://schemas.openxmlformats.org/officeDocument/2006/relationships" xmlns="http://schemas.openxmlformats.org/spreadsheetml/2006/main">
  <authors>
    <author/>
  </authors>
  <commentList>
    <comment authorId="0" ref="D12">
      <text>
        <t xml:space="preserve">doesnt need explicit vin, it screws onto gps module
	-Leonid Shuster</t>
      </text>
    </comment>
  </commentList>
</comments>
</file>

<file path=xl/comments3.xml><?xml version="1.0" encoding="utf-8"?>
<comments xmlns:r="http://schemas.openxmlformats.org/officeDocument/2006/relationships" xmlns="http://schemas.openxmlformats.org/spreadsheetml/2006/main">
  <authors>
    <author/>
  </authors>
  <commentList>
    <comment authorId="0" ref="I16">
      <text>
        <t xml:space="preserve">if any of these sensors are being powered by the RPi 3v3 or 1v8 pins, then I believe you are double counting current draw.
	-Tela Favaloro
They are all powered by the battery through a voltage regulator
	-jgermeni jgermeni</t>
      </text>
    </comment>
    <comment authorId="0" ref="R36">
      <text>
        <t xml:space="preserve">yes, I expect you are out of battery. However, I do think you are still overestimating consumption. I believe this power budget is based on datasheet values (it could be more self-documenting); the next step is to actually measure current draw from the battery when in the "high" state.
	-Tela Favaloro</t>
      </text>
    </comment>
    <comment authorId="0" ref="H40">
      <text>
        <t xml:space="preserve">this is still overly simplified. You are missing quiescent current, which is why you should really include high and low current-draw states. As such, you are overestimating consumption.
	-Tela Favaloro</t>
      </text>
    </comment>
    <comment authorId="0" ref="E33">
      <text>
        <t xml:space="preserve">is this anticipated max current or allowable as specified in the datasheet?
	-Tela Favaloro
This is the max current needed at that voltage
	-jgermeni jgermeni</t>
      </text>
    </comment>
    <comment authorId="0" ref="K26">
      <text>
        <t xml:space="preserve">is this really always transmitting for the full hour?
	-Tela Favaloro</t>
      </text>
    </comment>
    <comment authorId="0" ref="I8">
      <text>
        <t xml:space="preserve">again, it is not best practice to use the max current available on the pin- is that what you are doing? are you double counting current draw by stating what is available and what will be consumed by the components operating on the rail?
	-Tela Favaloro
On the datasheet, it says these pins are not output pins, rather these are input pins that only power the Raspberry pi
	-jgermeni jgermeni</t>
      </text>
    </comment>
    <comment authorId="0" ref="G8">
      <text>
        <t xml:space="preserve">actually, these two pins will have a voltage variation on the output - what is it? it will be on the datasheet
	-Tela Favaloro
The datasheet does not specify, instead it says these pins power the raspberry pi peripherals requiring input power
	-jgermeni jgermeni</t>
      </text>
    </comment>
    <comment authorId="0" ref="I7">
      <text>
        <t xml:space="preserve">double check these values through measurement
	-Tela Favaloro</t>
      </text>
    </comment>
    <comment authorId="0" ref="S11">
      <text>
        <t xml:space="preserve">it is unlikely that you will use the maximum current listed in the datasheet, which means you are overestimating current demand. What do you expect each component on the 5 used pins to draw? I do not see 5 pins represented here, just the max possible current which is really an oversimplification
	-Tela Favaloro</t>
      </text>
    </comment>
    <comment authorId="0" ref="S13">
      <text>
        <t xml:space="preserve">then current would be 0...
	-Tela Favaloro</t>
      </text>
    </comment>
  </commentList>
</comments>
</file>

<file path=xl/comments4.xml><?xml version="1.0" encoding="utf-8"?>
<comments xmlns:r="http://schemas.openxmlformats.org/officeDocument/2006/relationships" xmlns="http://schemas.openxmlformats.org/spreadsheetml/2006/main">
  <authors>
    <author/>
  </authors>
  <commentList>
    <comment authorId="0" ref="S23">
      <text>
        <t xml:space="preserve">Only estimates minimum and maximum flight times, actual flight time will need to be integrated with the throttle needed for a certain amount of time
	-jgermeni jgermeni</t>
      </text>
    </comment>
    <comment authorId="0" ref="H30">
      <text>
        <t xml:space="preserve">Dependent on Servo High Time N33
	-jgermeni jgermeni</t>
      </text>
    </comment>
  </commentList>
</comments>
</file>

<file path=xl/comments5.xml><?xml version="1.0" encoding="utf-8"?>
<comments xmlns:r="http://schemas.openxmlformats.org/officeDocument/2006/relationships" xmlns="http://schemas.openxmlformats.org/spreadsheetml/2006/main">
  <authors>
    <author/>
  </authors>
  <commentList>
    <comment authorId="0" ref="I14">
      <text>
        <t xml:space="preserve">Max Current for oscillation
	-jgermeni jgermeni</t>
      </text>
    </comment>
    <comment authorId="0" ref="I13">
      <text>
        <t xml:space="preserve">Max Current for oscillation
	-jgermeni jgermeni</t>
      </text>
    </comment>
    <comment authorId="0" ref="I23">
      <text>
        <t xml:space="preserve">Current required for operation
	-jgermeni jgermeni</t>
      </text>
    </comment>
    <comment authorId="0" ref="I26">
      <text>
        <t xml:space="preserve">Operating Current
	-jgermeni jgermeni
----
Supply current for operation
	-jgermeni jgermeni</t>
      </text>
    </comment>
    <comment authorId="0" ref="J25">
      <text>
        <t xml:space="preserve">Max current at hovering speed
	-jgermeni jgermeni</t>
      </text>
    </comment>
    <comment authorId="0" ref="I25">
      <text>
        <t xml:space="preserve">Max current at full throttle
	-jgermeni jgermeni</t>
      </text>
    </comment>
    <comment authorId="0" ref="I22">
      <text>
        <t xml:space="preserve">Max Current from maintaining I2C Communication
	-jgermeni jgermeni</t>
      </text>
    </comment>
    <comment authorId="0" ref="I21">
      <text>
        <t xml:space="preserve">Max Operating Current
	-jgermeni jgermeni</t>
      </text>
    </comment>
    <comment authorId="0" ref="I20">
      <text>
        <t xml:space="preserve">Max GPS Antenna Current Requirements
	-jgermeni jgermeni</t>
      </text>
    </comment>
    <comment authorId="0" ref="I19">
      <text>
        <t xml:space="preserve">Current drain from backup power
	-jgermeni jgermeni</t>
      </text>
    </comment>
    <comment authorId="0" ref="I18">
      <text>
        <t xml:space="preserve">GPS Tracking Current
	-jgermeni jgermeni</t>
      </text>
    </comment>
    <comment authorId="0" ref="J18">
      <text>
        <t xml:space="preserve">GPS Acquisition current
	-jgermeni jgermeni</t>
      </text>
    </comment>
    <comment authorId="0" ref="I17">
      <text>
        <t xml:space="preserve">Constant Acquisition current for each
	-jgermeni jgermeni</t>
      </text>
    </comment>
    <comment authorId="0" ref="I16">
      <text>
        <t xml:space="preserve">Current to maintain I2C Voltage Lines
	-jgermeni jgermeni</t>
      </text>
    </comment>
    <comment authorId="0" ref="J15">
      <text>
        <t xml:space="preserve">Current on Standby Mode
	-jgermeni jgermeni</t>
      </text>
    </comment>
    <comment authorId="0" ref="I15">
      <text>
        <t xml:space="preserve">Max current during Conversion/Acquisition
	-jgermeni jgermeni</t>
      </text>
    </comment>
    <comment authorId="0" ref="J11">
      <text>
        <t xml:space="preserve">Max current for one I/O Pin
	-jgermeni jgermeni</t>
      </text>
    </comment>
    <comment authorId="0" ref="J10">
      <text>
        <t xml:space="preserve">Max current from one I/O Pin
	-jgermeni jgermeni</t>
      </text>
    </comment>
    <comment authorId="0" ref="L5">
      <text>
        <t xml:space="preserve">Will lose about 1mAh per day it is off
	-jgermeni jgermeni</t>
      </text>
    </comment>
    <comment authorId="0" ref="J5">
      <text>
        <t xml:space="preserve">Power down current of 30uA
	-jgermeni jgermeni</t>
      </text>
    </comment>
    <comment authorId="0" ref="I5">
      <text>
        <t xml:space="preserve">Max current(IDD) while executing code from FLASH/SRAM
	-jgermeni jgermeni</t>
      </text>
    </comment>
  </commentList>
</comments>
</file>

<file path=xl/sharedStrings.xml><?xml version="1.0" encoding="utf-8"?>
<sst xmlns="http://schemas.openxmlformats.org/spreadsheetml/2006/main" count="3266" uniqueCount="609">
  <si>
    <t>Version 5.3</t>
  </si>
  <si>
    <t>State Based Current(mA)</t>
  </si>
  <si>
    <t>Time in State(hrs/day)</t>
  </si>
  <si>
    <t>Name</t>
  </si>
  <si>
    <t>Description</t>
  </si>
  <si>
    <t>Quantity</t>
  </si>
  <si>
    <t>Nominal Voltage(V)</t>
  </si>
  <si>
    <t>Input V Regulation(VIH)</t>
  </si>
  <si>
    <t>Output V Variation(VOH)</t>
  </si>
  <si>
    <t>High Expected</t>
  </si>
  <si>
    <t>High Measured</t>
  </si>
  <si>
    <t>Low Expected</t>
  </si>
  <si>
    <t>Low Measured</t>
  </si>
  <si>
    <t>High</t>
  </si>
  <si>
    <t>Low</t>
  </si>
  <si>
    <t>Total Consumption/Cycle(mA*hrs)</t>
  </si>
  <si>
    <t>Total Energy/Cycle (mW*hrs)</t>
  </si>
  <si>
    <t>Power%</t>
  </si>
  <si>
    <t>Datasheet link</t>
  </si>
  <si>
    <t>Comments</t>
  </si>
  <si>
    <t>Versioning</t>
  </si>
  <si>
    <t>Power</t>
  </si>
  <si>
    <t>LiPo Battery Charger</t>
  </si>
  <si>
    <t>Charger</t>
  </si>
  <si>
    <t>100-240V AC (From outlet)</t>
  </si>
  <si>
    <t>N/A</t>
  </si>
  <si>
    <t>.1-10A adjustable</t>
  </si>
  <si>
    <t>100000
(when using AC input)</t>
  </si>
  <si>
    <t>https://www.maxamps.com/lipo-battery-charger-hitec-x2-ac-plus-black-edition-ac-dc-charger-power-supply</t>
  </si>
  <si>
    <t>With current battery, should take 61 minutes to fully 
charge from 83% depleted while auto-balancing cell voltages 
100W charging power max</t>
  </si>
  <si>
    <t>-Same as V5.2, but with the original
motors included instead of the 
replacements</t>
  </si>
  <si>
    <t>Microcontroller,
Microproccesor,
and Oscillators</t>
  </si>
  <si>
    <t>LIPO 11.1V 3S 11000mAh</t>
  </si>
  <si>
    <t>Battery</t>
  </si>
  <si>
    <t>9.6-12.6V</t>
  </si>
  <si>
    <t>https://www.maxamps.com/lipo-11000-3s-11-1v-battery-pack</t>
  </si>
  <si>
    <t>83% of 11000mAh discharge for max current
40C discharge rating, 440A max discharge current
5C charge rating, 48.5A max charge current
3.2 per cell cutoff voltage(9.6V total)
4.2 per cell max voltage(12.6V total)</t>
  </si>
  <si>
    <t>Sensors</t>
  </si>
  <si>
    <t>uC32</t>
  </si>
  <si>
    <t>Microcontroller</t>
  </si>
  <si>
    <t>(VDD) 2.3-3.6V
(Cannot go lower than 1.75V,
unless it will lose RAM data)
(I/O) 2.64-3.6V VIH
0-.66V VIL</t>
  </si>
  <si>
    <t>2.4 - 3.6V VOH
0-.4V VOL</t>
  </si>
  <si>
    <t>https://drive.google.com/file/d/1BTWidagNcykIAG8uyaztTt_ULJJs9Ibr/view?usp=sharing</t>
  </si>
  <si>
    <t xml:space="preserve">60mA current tested running servo code
</t>
  </si>
  <si>
    <t>Actuators</t>
  </si>
  <si>
    <t>Raspberry Pi
3B+</t>
  </si>
  <si>
    <t>Microprocessor(VBAT)</t>
  </si>
  <si>
    <t>2.5-5.25V</t>
  </si>
  <si>
    <t>https://drive.google.com/file/d/1S5aWydUc6pw0TgixZKUfUGhhEkZoeMQR/view?usp=sharing</t>
  </si>
  <si>
    <t>Using 5V 1.2A maximum current draw specifications on 
datasheet</t>
  </si>
  <si>
    <t>AKK KC03</t>
  </si>
  <si>
    <t>Camera/Transmitter</t>
  </si>
  <si>
    <t>7-20V</t>
  </si>
  <si>
    <t>Supplies 5V Vout for Camera</t>
  </si>
  <si>
    <t>https://www.amazon.com/AKK-Degree-800TVL-Switchable-Transmitter/dp/B01N48QUIP/ref=sr_1_3?dchild=1&amp;keywords=fpv+camera+and+transmitter&amp;qid=1616895803&amp;sr=8-3</t>
  </si>
  <si>
    <t>Supply current for transmitter too</t>
  </si>
  <si>
    <t>FS-iA6B Receiver</t>
  </si>
  <si>
    <t>RC Receiver</t>
  </si>
  <si>
    <t>4-6.5V</t>
  </si>
  <si>
    <t>https://www.amazon.com/gp/product/B0744DPPL8/ref=as_li_tl?ie=UTF8&amp;tag=rc-transmitter-20&amp;camp=1789&amp;creative=9325&amp;linkCode=as2&amp;creativeASIN=B0744DPPL8&amp;linkId=e75bb88993f8c17e22040ee7751ea7c0</t>
  </si>
  <si>
    <t>Tested receiving 30mA current constant for receiving</t>
  </si>
  <si>
    <t>Serial Telemetry
Transmitter</t>
  </si>
  <si>
    <t>Data Transmitter</t>
  </si>
  <si>
    <t>5V</t>
  </si>
  <si>
    <t>https://www.sparkfun.com/products/15007</t>
  </si>
  <si>
    <t>100mA current needed for transmitting at 20dBm</t>
  </si>
  <si>
    <t>MPL3115A2</t>
  </si>
  <si>
    <t>Pressure/Temperature Sensor</t>
  </si>
  <si>
    <t>(VDD)1.95-3.6V
(VDDIO)1.62-3.6V
(I/O) 2.475-3.3V VIH
0-.99V VIL</t>
  </si>
  <si>
    <t>2.97-3.3V VOH
0-.33V VOL</t>
  </si>
  <si>
    <t>https://drive.google.com/file/d/1yr01Xi78aFAP9uDOiIQcZWPEP93LwSbV/view?usp=sharing</t>
  </si>
  <si>
    <t>Typical current needed during Acquisition/Conversion
of data in high resolution mode</t>
  </si>
  <si>
    <t>HC-SR04</t>
  </si>
  <si>
    <t>Ultrasonic</t>
  </si>
  <si>
    <t>(VDD) 5V
(Trigger)2-5V</t>
  </si>
  <si>
    <t>2-5V</t>
  </si>
  <si>
    <t>https://drive.google.com/file/d/1TtpSB2pmre7adCPPsE4JPd05eTOPkMdb/view?usp=sharing</t>
  </si>
  <si>
    <t>Current needed for each 4 sensors running for whole 
cycle, added power for PWM usage by sensors to return
data at 16hz (.844mW)</t>
  </si>
  <si>
    <t>MTK 3339</t>
  </si>
  <si>
    <t>GPS Module</t>
  </si>
  <si>
    <t>(VDD)3-4.3V
(VDDBackup)2-4.3V
(I/O) 2-3.3V VIH
0-.8V VIL</t>
  </si>
  <si>
    <t>2.4-2.8V VOH
0-.4V VOL</t>
  </si>
  <si>
    <t>https://drive.google.com/file/d/1mWoPrDEnQztybVbRIB_2A5kyKjJ62z7w/view?usp=sharing</t>
  </si>
  <si>
    <t>25mA(Tested) Acquisition of GPS Signal takes 30s max, 
20mA supply current for Tracking, adds 1.09mW for
continuous UART power usage</t>
  </si>
  <si>
    <t>ICM-20948</t>
  </si>
  <si>
    <t>IMU 9DoF IC</t>
  </si>
  <si>
    <t>(VDD)1.71-3.6V
(VDDIO) 1.71-1.95V
(I/O) 1.35-2.3V VIH
0-.54V VIL</t>
  </si>
  <si>
    <t>1.62-1.8V VOH
0-.18V VOL</t>
  </si>
  <si>
    <t>https://drive.google.com/file/d/1zcN4oXY7YiwJI4uVzpOdaHv_k6EPhOHg/view?usp=sharing</t>
  </si>
  <si>
    <t>Typical current during data acquisition in 9-axis mode</t>
  </si>
  <si>
    <t>MPRLS0001
PG00001C</t>
  </si>
  <si>
    <t>Pressure sensor IC</t>
  </si>
  <si>
    <t>(VDD)1.8-3.6V
(I/O) 0-.66V VIL
2.64-3.3V VIH</t>
  </si>
  <si>
    <t>0-.66V VOL
2.64-3.3V VOH</t>
  </si>
  <si>
    <t>https://sensing.honeywell.com/honeywell-sensing-micropressure-board-mount-pressure-mpr-series-datasheet-32332628-en.pdf</t>
  </si>
  <si>
    <t>Tested to receive 3mA max while on</t>
  </si>
  <si>
    <t>1275kV</t>
  </si>
  <si>
    <t>Motor</t>
  </si>
  <si>
    <t>6.4-12.6V</t>
  </si>
  <si>
    <t>https://hobbyking.com/en_us/turnigy-aerodrive-sk3-2822-1275kv-brushless-outrunner-motor.html?queryID=&amp;objectID=47269&amp;indexName=hbk_live_magento_en_us_products</t>
  </si>
  <si>
    <t>Depends on how much time drone is rising, 2x hover thrust 
at full throttle, .125g of thrust per motor to hover
Also took into account 85% motor efficiency(Brushless)
See motor Power section</t>
  </si>
  <si>
    <t>RC Sail Winch Servo</t>
  </si>
  <si>
    <t>Servo</t>
  </si>
  <si>
    <t>4.8-6V</t>
  </si>
  <si>
    <t>https://www.ebay.com/itm/254648162225?chn=ps&amp;mkevt=1&amp;mkcid=28#rpdCntId</t>
  </si>
  <si>
    <t xml:space="preserve">Depends on how much time drone is turning,
Current ranges from 3-350mA, depending on how much
the drone is turning
</t>
  </si>
  <si>
    <t>Total Difference</t>
  </si>
  <si>
    <t>Max Voltage</t>
  </si>
  <si>
    <t>Total mAh</t>
  </si>
  <si>
    <t>Total mWh</t>
  </si>
  <si>
    <t>Power Rails</t>
  </si>
  <si>
    <t>Items</t>
  </si>
  <si>
    <t>Voltage(V)</t>
  </si>
  <si>
    <t>Average 
Dropout Voltage(V)</t>
  </si>
  <si>
    <t>Max Current(mA)</t>
  </si>
  <si>
    <t>Max Regulated Current(mA)</t>
  </si>
  <si>
    <t>Max
Heat Dissipation(mWh)
(Due to Regulators)
(Time Dependent)</t>
  </si>
  <si>
    <t>Max
Heat 
Dissipation(mW)</t>
  </si>
  <si>
    <t>Insert Flight Time
Here(Hours)</t>
  </si>
  <si>
    <t>Final Battery Calculation</t>
  </si>
  <si>
    <t>Results</t>
  </si>
  <si>
    <t>Rail 1</t>
  </si>
  <si>
    <t>11.1 Nominal
(Ranges from
12.6-9.6V)</t>
  </si>
  <si>
    <t>Heat comes from 4ft wires to 
and from each motor 1.588 ohms
per 1000  feet 14AWG at 3.044A max</t>
  </si>
  <si>
    <t>Total Energy Needed(mWh)</t>
  </si>
  <si>
    <t>Rail 2</t>
  </si>
  <si>
    <t>5V switching regulator for servos,
85% minimum efficiency</t>
  </si>
  <si>
    <t>Insert Percentage
of time at high
throttle here(0-1)</t>
  </si>
  <si>
    <t>Battery 83% discharge limit(mWh)</t>
  </si>
  <si>
    <t>Rail 3</t>
  </si>
  <si>
    <t>3.3V Regulator used on
microcontroller</t>
  </si>
  <si>
    <t>Battery Condition</t>
  </si>
  <si>
    <t>Rail 6</t>
  </si>
  <si>
    <t>Same 5V Switching Regulator
used for every other 5V part
85% efficient</t>
  </si>
  <si>
    <t>Insert Turning
time percentage
here(0-1)</t>
  </si>
  <si>
    <t>Power Used by Motors(mWh)</t>
  </si>
  <si>
    <t>Power Used by Servos(mWh)</t>
  </si>
  <si>
    <t>Maximum Total Power
lost to Heat(mWh)</t>
  </si>
  <si>
    <t>Power Used by Everything
Else(mWh)</t>
  </si>
  <si>
    <t>Power Lost to Heat
Else(mWh)</t>
  </si>
  <si>
    <t>Motor Power Test(Simulation)</t>
  </si>
  <si>
    <t>Throttle</t>
  </si>
  <si>
    <t>Power(W)
(20mph wind)</t>
  </si>
  <si>
    <t>Power(W)
(0mph wind)</t>
  </si>
  <si>
    <t>Thrust</t>
  </si>
  <si>
    <t>Insert Variables</t>
  </si>
  <si>
    <t>Static Variables</t>
  </si>
  <si>
    <t>Calculated 
Variables</t>
  </si>
  <si>
    <t>Insert Windspeed
(m/s)</t>
  </si>
  <si>
    <t>Max RPM</t>
  </si>
  <si>
    <t>J</t>
  </si>
  <si>
    <t>Insert Throttle(%)</t>
  </si>
  <si>
    <t>Cq0</t>
  </si>
  <si>
    <t>Cq</t>
  </si>
  <si>
    <t>Cq1</t>
  </si>
  <si>
    <t>Omega(rads/s)</t>
  </si>
  <si>
    <t>1.25N(Hovering)</t>
  </si>
  <si>
    <t>Cq2</t>
  </si>
  <si>
    <t>Power(W)(With
85% efficiency)</t>
  </si>
  <si>
    <t>2.5N(Full Throttle)</t>
  </si>
  <si>
    <t>Diameter(m)</t>
  </si>
  <si>
    <t>Current(A)</t>
  </si>
  <si>
    <t>Rho</t>
  </si>
  <si>
    <t>RPM</t>
  </si>
  <si>
    <t>5.1N(Max)</t>
  </si>
  <si>
    <t>Motor Test(Real)</t>
  </si>
  <si>
    <t>(With New ESC and new 2600kV Motors)</t>
  </si>
  <si>
    <t>Motor Throttle</t>
  </si>
  <si>
    <t>Motor Thrust(g)</t>
  </si>
  <si>
    <t>Motor Thrust(N)</t>
  </si>
  <si>
    <t>ESC Current(A)
(at 11.34V)</t>
  </si>
  <si>
    <t>ESC Power
Required(W)</t>
  </si>
  <si>
    <t>Hovering</t>
  </si>
  <si>
    <t>Max Thrust</t>
  </si>
  <si>
    <t>Effective Weight</t>
  </si>
  <si>
    <t>Hover Flight Time</t>
  </si>
  <si>
    <t>Max Powe Flight Time</t>
  </si>
  <si>
    <t>Effective Weight(N)</t>
  </si>
  <si>
    <t>Energy per Motor to Hover(W)</t>
  </si>
  <si>
    <t>Energy per Motor against 8N Drag(W)</t>
  </si>
  <si>
    <t>Version 5.2</t>
  </si>
  <si>
    <t>-Redid motor test and power with
new ESC</t>
  </si>
  <si>
    <t>-Verified IMU, Altimeter, RC receiver,
GPS, and Microcontroler power</t>
  </si>
  <si>
    <t>- Added column for tested and
verified current for each part</t>
  </si>
  <si>
    <t>https://www.raspberrypi.org/documentation/hardware/raspberrypi/power/README.md</t>
  </si>
  <si>
    <t>2600Kv</t>
  </si>
  <si>
    <t>https://www.amazon.com/dp/B08KRRWM7F?ref=ppx_pop_mob_ap_share</t>
  </si>
  <si>
    <t>Heat comes from 7.5ft wires to 
and from each motor 1.588 ohms
per 1000  feet 14AWG at 4.342A max</t>
  </si>
  <si>
    <t>Version 5.1</t>
  </si>
  <si>
    <t>.1-10A
adjustable</t>
  </si>
  <si>
    <t>- New Motor test done with new values</t>
  </si>
  <si>
    <t xml:space="preserve">- Changed some part to devboard,
needing new voltage and current:
microcontroller, microprocessor </t>
  </si>
  <si>
    <t xml:space="preserve">55mA typical current required for executing code within 
SRAM or Flash Memory with 80Mhz clock, 
.5mA typical current required for  two I2C pull-up resistors
</t>
  </si>
  <si>
    <t>crystal oscillators, camera, logic
converters, and all the sensors</t>
  </si>
  <si>
    <t>Current highly variant on activity, recommended minimum
power requirements from datasheet used, although power
will not exceed this due to low requirments needed for
processor, no other power estimations on datasheet¹</t>
  </si>
  <si>
    <t>- Removed 1.8 voltage rail</t>
  </si>
  <si>
    <t>Supply current for transmitter only</t>
  </si>
  <si>
    <t>Changed 3.3V rail to be powered by
microcontroller</t>
  </si>
  <si>
    <t>Needs 20mA max for receiving at 5V</t>
  </si>
  <si>
    <t>25mA Acquisition of GPS Signal takes 30s max, 
20mA supply current for Tracking, adds 1.09mW for
continuous UART power usage</t>
  </si>
  <si>
    <t>ANT-LTE-RPC-UFL</t>
  </si>
  <si>
    <t>GPS Antenna</t>
  </si>
  <si>
    <t>2.5-5.5V</t>
  </si>
  <si>
    <t>https://cdn-shop.adafruit.com/datasheets/GPS-01.pdf</t>
  </si>
  <si>
    <t>GPS Antenna follows specs recommended by GPS
module, should be placed where it can be detected,
typical current used</t>
  </si>
  <si>
    <t>Power acquired from typical data acquisition current</t>
  </si>
  <si>
    <t>SK3 2822-1275kv</t>
  </si>
  <si>
    <t>Source for 80% Battery Capacity Discharge Below:</t>
  </si>
  <si>
    <t xml:space="preserve">Depends on how much time drone is turning,
Current ranges from 0-1.2A, depending on how much
the drone is turning
</t>
  </si>
  <si>
    <t>https://www.ncbi.nlm.nih.gov/pmc/articles/PMC4506813/</t>
  </si>
  <si>
    <t>3.3V regulator</t>
  </si>
  <si>
    <t>1.8V regulator</t>
  </si>
  <si>
    <t>https://www.pololu.com/product/2830</t>
  </si>
  <si>
    <t>https://www.pololu.com/product/2840</t>
  </si>
  <si>
    <t>Heat comes from 4ft wires to 
and from each motor 1.588 ohms
per 1000  feet 12AWG at 3A max</t>
  </si>
  <si>
    <t>Max Needed</t>
  </si>
  <si>
    <t>Version 5.0</t>
  </si>
  <si>
    <t>-Added test value of motor thrust
and power per throttle</t>
  </si>
  <si>
    <t>-Changed Servo idle value to 3
based on test</t>
  </si>
  <si>
    <t>PIC32MX340F512H-80V</t>
  </si>
  <si>
    <t>-Changed Motor Power based on
test values</t>
  </si>
  <si>
    <t>Raspberry Pi
Compute Modules</t>
  </si>
  <si>
    <t>-Removed ESC power values since
motor test power included the ESC</t>
  </si>
  <si>
    <t>^</t>
  </si>
  <si>
    <t>3v3</t>
  </si>
  <si>
    <t>3.135-3.465V</t>
  </si>
  <si>
    <t>¹</t>
  </si>
  <si>
    <t>1v8</t>
  </si>
  <si>
    <t>1.71-1.89V</t>
  </si>
  <si>
    <t>VDAC</t>
  </si>
  <si>
    <t>2.25-3.465V</t>
  </si>
  <si>
    <t>GPIO 0-27</t>
  </si>
  <si>
    <t>(VDD) 1.71-3.3V
(I/O) 1.6-3.3V VIH
0-.9V VIL</t>
  </si>
  <si>
    <t>3-3.3V VOH
0-.14V VOL</t>
  </si>
  <si>
    <t>¹, Only 5 pins used, max 50mA current per I/O set, 18mA
per pin max, which includes current needed for 
SPI communication pull up resistors²</t>
  </si>
  <si>
    <t>GPIO 28-45</t>
  </si>
  <si>
    <t>¹, ²</t>
  </si>
  <si>
    <t>CB3LV-3C-8M</t>
  </si>
  <si>
    <t>80MHz Crystal Oscillator</t>
  </si>
  <si>
    <t>3-3.6V</t>
  </si>
  <si>
    <t>https://www.ctscorp.com/wp-content/uploads/2015/11/008-0256-0.pdf</t>
  </si>
  <si>
    <t>Typical crystal oscillator supply current needed, used for
microcontroller clocks</t>
  </si>
  <si>
    <t>ASEK</t>
  </si>
  <si>
    <t>32.768kHz crystal oscillator</t>
  </si>
  <si>
    <t>2.97-3.63V</t>
  </si>
  <si>
    <t>https://abracon.com/Oscillators/ASEK.pdf</t>
  </si>
  <si>
    <t>Typical crystal oscillator supply current needed</t>
  </si>
  <si>
    <t>Transmitter</t>
  </si>
  <si>
    <t>Camera</t>
  </si>
  <si>
    <t>5V input from transmitter</t>
  </si>
  <si>
    <t>Working current is for camera, but is supplied 
by transmitter 5V output</t>
  </si>
  <si>
    <t>Pressure/Temperature Sensor VDD</t>
  </si>
  <si>
    <t>BSS138</t>
  </si>
  <si>
    <t>Logic Converter</t>
  </si>
  <si>
    <t>1.8 or 3.3V</t>
  </si>
  <si>
    <t>3.3V or 1.8V</t>
  </si>
  <si>
    <t>https://www.onsemi.com/pdf/datasheet/bss138-d.pdf</t>
  </si>
  <si>
    <t>2 logic converters used between 1.8V and 3.3V
I2C Lines, 53.3mW max power dissipation for converting</t>
  </si>
  <si>
    <t>Heat comes from 4ft wires to 
each motor 1.588 ohms per 1000 
feet 12AWG at 8A max</t>
  </si>
  <si>
    <t>3.3V Linear Regulator</t>
  </si>
  <si>
    <t>Rail 4</t>
  </si>
  <si>
    <t>1.8V Linear Regulator</t>
  </si>
  <si>
    <t>5V Linear Regulator</t>
  </si>
  <si>
    <t>Motor Current(A)
(at 11.4V)</t>
  </si>
  <si>
    <t>Motor Power
Required(W)</t>
  </si>
  <si>
    <t>Version 4.2</t>
  </si>
  <si>
    <t>-Removed SDAC pin of raspberry
pi since it does not consume power</t>
  </si>
  <si>
    <t>-Moved the Transmitters and
Receivers to the microcontroller
section</t>
  </si>
  <si>
    <t>-Removed USB to UART since the
part will only be used for testing</t>
  </si>
  <si>
    <t>- Updated power rails to include
switching regulators for each 
voltage</t>
  </si>
  <si>
    <t>Source for 95% ESC Efficiency:</t>
  </si>
  <si>
    <t>Racerstar RS20A 
BLheli_S 4-in-1 
ESC</t>
  </si>
  <si>
    <t>ESC/ Motor Telemetry</t>
  </si>
  <si>
    <t>8.4-16.8V</t>
  </si>
  <si>
    <t>https://www.google.com/url?q=https://www.getfpv.com/racerstar-rs20a-blheli-s-4-in-1-esc.html&amp;sa=D&amp;source=editors&amp;ust=1620609461036000&amp;usg=AFQjCNGk7lLpngCDDl8FqtqQ8N8f2CbUaA</t>
  </si>
  <si>
    <t>12A max current from each of the 4 motor leads, 48A total 
Estimating ESC 95% Efficiency 5% of current is lost 
per motor</t>
  </si>
  <si>
    <t>https://digitalcommons.calpoly.edu/cgi/viewcontent.cgi?article=2617&amp;context=theses</t>
  </si>
  <si>
    <t>Motor Power</t>
  </si>
  <si>
    <t>Version 4.1</t>
  </si>
  <si>
    <t>-Added Motor Power section, edited
total motor power</t>
  </si>
  <si>
    <t>-Added Camera and Camera
transmitter</t>
  </si>
  <si>
    <t xml:space="preserve">55mA typical current required for executing code within 
SRAM or Flash Memory, .5mA typical current required for 
two I2C pull-up resistors
</t>
  </si>
  <si>
    <t>-Added RC receiver</t>
  </si>
  <si>
    <t>FT232RQ-REEL</t>
  </si>
  <si>
    <t>USB to UART FTDI IC</t>
  </si>
  <si>
    <t>3.3-5.25V</t>
  </si>
  <si>
    <t>https://www.digikey.com/en/products/detail/FT232RQ-REEL/768-1008-1-ND/1836403?itemSeq=359604914</t>
  </si>
  <si>
    <t>Used for USB to Uart connection to PIC32, typical supply 
current used</t>
  </si>
  <si>
    <t>-Added Uart to USB module</t>
  </si>
  <si>
    <t>-Added final transmitter</t>
  </si>
  <si>
    <t>SEDX_VDD</t>
  </si>
  <si>
    <t>1.71-3.3V</t>
  </si>
  <si>
    <t>Pins not used, still required to be powered with voltage
only</t>
  </si>
  <si>
    <t>Working current is for transmitter only</t>
  </si>
  <si>
    <t>Working current is for camera, but is supplied 
by transmitter</t>
  </si>
  <si>
    <t>Using a resistor to give lower voltage of 5V nominal, will
also detect low battery when input is below 4.6V after
voltage divider drop, else needs 30mA typical for receiving</t>
  </si>
  <si>
    <t>Only Extra heat from 678ohm
step-down resistor to 5V for the 
RC reciever at 9mA</t>
  </si>
  <si>
    <t>5V linear regulator</t>
  </si>
  <si>
    <t>3.3V linear Regulator</t>
  </si>
  <si>
    <t>1.8V linear Regulator</t>
  </si>
  <si>
    <t>Rail 5</t>
  </si>
  <si>
    <t>5V switching regulator for servos,
85% minimum efficiency for
8235mW means 1235mW heat loss</t>
  </si>
  <si>
    <t>Version 4.0</t>
  </si>
  <si>
    <t>-Changed battery charger a higher
capacity, lower C rate version</t>
  </si>
  <si>
    <t>-I2C VDDIO power requirements
for multiple components removed 
due to microcontroller
handling I2C power</t>
  </si>
  <si>
    <t>-GPS VDDbackup power negligible
(.007mA), so removed that row and
included input voltage in main GPS</t>
  </si>
  <si>
    <t>-Added GPS Antenna instead of
specifications for one in GPS
module</t>
  </si>
  <si>
    <t>-Included power needed for I2C and
SPI communication in controller
and processor</t>
  </si>
  <si>
    <t>-Changed many components to
typical power requirements from
maximum requirements</t>
  </si>
  <si>
    <t>80kHz Crystal Oscillator</t>
  </si>
  <si>
    <t>2 logic converters used between 1.8V and 3.3V
I2C Lines, 53.3mW power dissipation total for converting</t>
  </si>
  <si>
    <t>https://www.getfpv.com/racerstar-rs20a-blheli-s-4-in-1-esc.html</t>
  </si>
  <si>
    <t xml:space="preserve">12A max current from each of the 4 motor leads, 48A total
Estimating ESC 95% Efficiency
5% of current is lost per motor
</t>
  </si>
  <si>
    <t xml:space="preserve">Depends on how much time drone is rising, 2x hover thrust 
at full throttle, .125g of thrust per motor to hover
Found through m = C(P * D)^2/3
m = Thrust(grams)       C = constant 6.86 
D = diameter of rotor(inch)         P = Power required
Also took into account 85% motor efficiency(Brushless)
Total current ranges from 10.34A to 3.66A,
depending on motor activity(More time at full throttle)  </t>
  </si>
  <si>
    <t>https://justdrones.com.au/how-much-power-is-needed-to-hover/#:~:text=If%20you%20want%20your%20model,and%20I%20is%20the%20current.</t>
  </si>
  <si>
    <t>RedCon 360 Degree Digital Metal Gear HV Servo - DM 123</t>
  </si>
  <si>
    <t>https://hobbyking.com/en_us/corona-cs238mg-metal-gear-servo-4-6kg-0-14sec-22g.html?queryID=6f05347fba3881876e63e3f3d3558ea7&amp;objectID=35613&amp;indexName=hbk_live_magento_en_us_products</t>
  </si>
  <si>
    <t>Depends on how much time drone is turning,
Current ranges from 0-1.6A, depending on how much
the drone is turning
New Servo did not have datasheet, using current estimates
from previous model datasheet which was very similar</t>
  </si>
  <si>
    <t>No Regulator needed due to 
motor being able to take a
variable voltage</t>
  </si>
  <si>
    <t>Total Energy Needed(mW)</t>
  </si>
  <si>
    <t>5V linear regulator for raspberry pi
and sonic sensors</t>
  </si>
  <si>
    <t>Insert Percentage
of time at high
throttle here</t>
  </si>
  <si>
    <t>Total Battery Energy(mW)</t>
  </si>
  <si>
    <t>Battery 83% discharge limit(mW)</t>
  </si>
  <si>
    <t>Two 1.8V linear Regulators</t>
  </si>
  <si>
    <t>Insert Turning
time percentage
here</t>
  </si>
  <si>
    <t>5V switching regulator for servos,
85% minimum efficiency for
9412mW = 1411mW heat loss</t>
  </si>
  <si>
    <t>Version 3.2</t>
  </si>
  <si>
    <t>11-15V DC(from Battery)
100-240V AC (From outlet)</t>
  </si>
  <si>
    <t>.1-1A adjustable
charging current 
range</t>
  </si>
  <si>
    <t>16 W maximum from all
4 of the ports</t>
  </si>
  <si>
    <t>https://www.maxamps.com/lipo-battery-charger-hitec-x4-micro-ac-dc-1-cell-charger</t>
  </si>
  <si>
    <t>Charger for Lipo Battery
With current battery, should take 114 minutes to charge
from 80% depleted to 100% at 12.6V charging voltage
1A charging current, 12.6W charging power</t>
  </si>
  <si>
    <t>-Added Self-Documentation to
Batteries</t>
  </si>
  <si>
    <t>LIPO 11.1V 3S 9700mAh</t>
  </si>
  <si>
    <t>https://www.maxamps.com/lipo-9700-3s-11-1v-battery-pack</t>
  </si>
  <si>
    <t>80% discharge for current,
110C discharge rating, 5C charge rating
3.2 per cell cutoff voltage(9.6V total)
4.2 per cell max voltage(12.6V total)</t>
  </si>
  <si>
    <t>-Edited Flight time from 1 hr min
to 30 minutes minimum</t>
  </si>
  <si>
    <t>Most of these parts will be drawing high state current for
at least 1/2 hour flight cycle. Values will be from the 
datasheets of the specified parts located in the link to the 
left. VDD and IDD used for Power calculations, as well as 
VIH and VOH for I/O pins</t>
  </si>
  <si>
    <t>-Removed 2.8V rail by shifting
voltage input to 3.3V within limits
of each component input voltage</t>
  </si>
  <si>
    <t>Current variant on activity, recommended minimum
from datasheet estimated instead(overstimation)</t>
  </si>
  <si>
    <t>-Removed the 5V battery, will use 
voltage regulators from 11.1V
battery</t>
  </si>
  <si>
    <t>-Added final drone battery and flight
time calculation</t>
  </si>
  <si>
    <t>-Added new internal pressure sensor</t>
  </si>
  <si>
    <t>Only 5 pins used, max 50mA current per I/O set</t>
  </si>
  <si>
    <t>-Removed Placeholder Camera
Transmitted</t>
  </si>
  <si>
    <t>-Added interactive function chart
to test different motor high times
and flight times</t>
  </si>
  <si>
    <t>Not Used, still required to be powered with Voltage only,
Recommended minimum current estimated</t>
  </si>
  <si>
    <t>-Added Crystal Oscillators</t>
  </si>
  <si>
    <t>Estimated ESC Power</t>
  </si>
  <si>
    <t>1.95-3.6V</t>
  </si>
  <si>
    <t>Sensors also used at high state for 1 hour flight cycle</t>
  </si>
  <si>
    <t>VDDIO</t>
  </si>
  <si>
    <t>(VDDIO)1.62-3.6V
(I/O) 2.475-3.3V VIH
0-.99V VIL</t>
  </si>
  <si>
    <t>(VDD)3-4.3V
(I/O) 2-3.3V VIH
0-.8V VIL</t>
  </si>
  <si>
    <t>25mA Aquisition of GPS Signal, 20mA Tracking</t>
  </si>
  <si>
    <t>VDD Backup</t>
  </si>
  <si>
    <t>2-4.3V</t>
  </si>
  <si>
    <t>Backup needs to be powered, but won't be used</t>
  </si>
  <si>
    <t>1.71-3.6V</t>
  </si>
  <si>
    <t>(VDDIO) 1.71-1.95V
(I/O) 1.35-2.3V VIH
0-.54V VIL</t>
  </si>
  <si>
    <t xml:space="preserve">12A max current from each of the 4 motor leads.
Estimating ESC 98.5% Efficiency
1.5% of current is lost per motor
</t>
  </si>
  <si>
    <t xml:space="preserve">Depends on how much time drone is rising,
2x hover power at full throttle
Found through m = C(P * D)^2/3
m = Thrust(grams)       C = constant 6.86 
D = diameter of rotor(inch)         P = Power required
Also took into account 85% motor efficiency(Brushless)
Total power ranges from 1830mAh to 5172 mAh,
depending on motor activity(More time at full throttle)  </t>
  </si>
  <si>
    <t>Depends on how much time drone is turning,
Power ranges from 0-800mAh, depending on how much
the drone is turning
New Servo did not have datasheet, using current estimates
from previous model datasheet which was very similar</t>
  </si>
  <si>
    <t>Dropout Voltage(V)</t>
  </si>
  <si>
    <t>Max Extra
Heat Dissipation(mW)
(Due to Regulators)</t>
  </si>
  <si>
    <t>Spread out over 4 count
5V Regulators, no danger of going
above 800mA guaranteed current</t>
  </si>
  <si>
    <t>3.3V Regulator</t>
  </si>
  <si>
    <t>Battery 80% discharge limit(mW)</t>
  </si>
  <si>
    <t>2 count1.8V Regulators</t>
  </si>
  <si>
    <t>Maximum Total Power
lost to Heat</t>
  </si>
  <si>
    <t>Version 3.1</t>
  </si>
  <si>
    <t>Spectral Purity</t>
  </si>
  <si>
    <t>Max Power(mW)</t>
  </si>
  <si>
    <t>Power Completed</t>
  </si>
  <si>
    <t>LiPo battery charger</t>
  </si>
  <si>
    <t>11-15V</t>
  </si>
  <si>
    <t>Charger for both Lipo Batteries</t>
  </si>
  <si>
    <t>Yes</t>
  </si>
  <si>
    <t>-Added Comments for Review</t>
  </si>
  <si>
    <t>5V 3000 mAh
LiPo battery</t>
  </si>
  <si>
    <t>4.4-5V</t>
  </si>
  <si>
    <t>https://www.aliexpress.com/item/32608380312.html</t>
  </si>
  <si>
    <t>No C rating specified, 80% discharge, will be used for
components 5V and below using regulators</t>
  </si>
  <si>
    <t>-Changed Pressure Sensor to 3.3V</t>
  </si>
  <si>
    <t>LIPO 11.1V 3S 9000mAh</t>
  </si>
  <si>
    <t>9.6-11.1V</t>
  </si>
  <si>
    <t>https://www.maxamps.com/lipo-9000xl-3s-11-1v-battery-pack</t>
  </si>
  <si>
    <t>80% discharge for current, 100C rating sufficient
3.2 per cell cutoff voltage(9.6V total)</t>
  </si>
  <si>
    <t>-Deleted Reciver since it will be 
powered externally</t>
  </si>
  <si>
    <t>(DC5 &amp; DC5b) 2.3-3.6V
(I/O) 2.64-3.3V</t>
  </si>
  <si>
    <t>2.4 - 3.3V</t>
  </si>
  <si>
    <t>Most of these parts will be drawing high state current for
a 1 hour flight cycle. Values will be from the datasheets of
the specified parts located in the link to the left.
VDD and IDD used for Power calculations, as well as 
VIH and VOH for I/O pins</t>
  </si>
  <si>
    <t>-Changed Power completed column
from parts completed</t>
  </si>
  <si>
    <t>Power used variant on activity, recommended minimum
from datasheet estimated(overstimated)</t>
  </si>
  <si>
    <t>1.71V-1.89V</t>
  </si>
  <si>
    <t>1.71-3.3V
(I/O) 1.6-3.3V</t>
  </si>
  <si>
    <t>3-3.3V</t>
  </si>
  <si>
    <t>Not Used, still required to be powered with Voltage only</t>
  </si>
  <si>
    <t>1.62-3.6V
(I/O) 2.475-3.3V</t>
  </si>
  <si>
    <t>2.97-3.3V</t>
  </si>
  <si>
    <t>5V
(Trigger)2-5V</t>
  </si>
  <si>
    <t>3-4.3V
(I/O) 2-3.3V</t>
  </si>
  <si>
    <t>2.4-2.8V</t>
  </si>
  <si>
    <t>1.71-1.95V
(I/O) 1.35-2.3V</t>
  </si>
  <si>
    <t>1.62-1.8V</t>
  </si>
  <si>
    <t>iFlight SucceX 
Micro V1.2 
(M3 Holes) 
12A 2-4S 16x16 
4in1 ESC for 
CineBee 75HD 
- RaceDayQuads</t>
  </si>
  <si>
    <t>https://www.racedayquads.com/products/iflight-succex-micro-2-4s-12a-16x16-4in1-esc-for-cinebee-75hd?currency=USD&amp;variant=21519988097137&amp;gclid=Cj0KCQiA4feBBhC9ARIsABp_nbVZsG9jvSDoVZxiYzhzdObvOU_eZrsw8bplCz3ho7U08lDa3X1X3rYaAh1IEALw_wcB</t>
  </si>
  <si>
    <t xml:space="preserve">12A max current from each of the 4 motor leads.
ESCs theoretically do not require extra power, however the
resistance of the wires do have an effect in reality,
as well as the PWM from the microcontroller
No Datasheet means we cannot find the power required
unless tested in person </t>
  </si>
  <si>
    <t>No</t>
  </si>
  <si>
    <t xml:space="preserve">Depends on how much time drone is rising,
assuming 1/2 of the time, 2x hover power at full throttle
Found through m = C(P * D)^2/3
m = Thrust(grams)       C = constant 6.86 
D = diameter of rotor(inch)         P = Power required
Also took into account 85% motor efficiency(Brushless)    </t>
  </si>
  <si>
    <t>Skyzone P&amp;P
25mW Set w/
TS5825 Tx, 
RC832 Rx And 
Sony 480TVL 
CCD Camera 
and C/P Antennas</t>
  </si>
  <si>
    <t>Camera, Transmitter, Receiver all-in-one</t>
  </si>
  <si>
    <t>7-24V</t>
  </si>
  <si>
    <t>https://hobbyking.com/en_us/skyzone-p-p-25mw-set-w-ts5825-tx-rc832-rx-and-sony-480tvl-ccd-camera-and-c-p-antennas.html?queryID=aa6e639063a6285a400e4f9304b4c0b3&amp;objectID=52240&amp;indexName=hbk_live_magento_en_us_products</t>
  </si>
  <si>
    <t>Datasheet says 25mW power but 220mA current at input 
voltage?</t>
  </si>
  <si>
    <t>Depends on how much time drone is turning,
assuming 1/2 of the time
New Servo did not have datasheet, using current estimates
from previous model datasheet which was very similar</t>
  </si>
  <si>
    <t>Total max mW</t>
  </si>
  <si>
    <t>Rails</t>
  </si>
  <si>
    <t>Max Voltage(V)</t>
  </si>
  <si>
    <t>Max Heat Dissipation(mW)</t>
  </si>
  <si>
    <t>Microcontroller
and Microproccesor</t>
  </si>
  <si>
    <t>No Regulator</t>
  </si>
  <si>
    <t>Motors/Servos</t>
  </si>
  <si>
    <t>5-3.3V Regulator</t>
  </si>
  <si>
    <t>5-2.8V Regulator</t>
  </si>
  <si>
    <t>5-1.8V Regulator</t>
  </si>
  <si>
    <t>Version 3.0</t>
  </si>
  <si>
    <t>Input V Regulation</t>
  </si>
  <si>
    <t>Output V Variation</t>
  </si>
  <si>
    <t>Parts Completed</t>
  </si>
  <si>
    <t>-Microcontroller switched to Pic32</t>
  </si>
  <si>
    <t>-Fixed motor comments</t>
  </si>
  <si>
    <t>80% discharge for current
3.2 per cell cutoff voltage(9.6V total)</t>
  </si>
  <si>
    <t>Power used variant on activity, recommended minimum
estimated(overstimated)</t>
  </si>
  <si>
    <t>Not Used, still required to be powered</t>
  </si>
  <si>
    <t>1.62-3.6V
(I/O) 1.35-1.8V</t>
  </si>
  <si>
    <t>3-4.3V</t>
  </si>
  <si>
    <t>25mA Aquisition, 20mA Tracking</t>
  </si>
  <si>
    <t>12A max current from each of the 4 motor leads</t>
  </si>
  <si>
    <t>Says 25mW power but 220mA current?</t>
  </si>
  <si>
    <t>Receiver</t>
  </si>
  <si>
    <t>12V</t>
  </si>
  <si>
    <t>Depends on how much time drone is turning,
assuming 1/2 of the time</t>
  </si>
  <si>
    <t>7.4(maybe 8.4)</t>
  </si>
  <si>
    <t>https://www.st.com/content/ccc/resource/technical/document/datasheet/99/3b/7d/91/91/51/4b/be/CD00000544.pdf/files/CD00000544.pdf/jcr:content/translations/en.CD00000544.pdf</t>
  </si>
  <si>
    <t>Version 2.2</t>
  </si>
  <si>
    <t>-Edited Battery safety conditions</t>
  </si>
  <si>
    <t>-New microcontroller</t>
  </si>
  <si>
    <t>-Microprocessor power 
changed</t>
  </si>
  <si>
    <t>ATMega 2560</t>
  </si>
  <si>
    <t>1.8-5.5V
(I/O) 3-5.5V</t>
  </si>
  <si>
    <t>4.2-5.5V</t>
  </si>
  <si>
    <t>https://drive.google.com/file/d/1JIyTC4ekPDMyvyiWhSbZe47sSC0U8MXd/view?usp=sharing</t>
  </si>
  <si>
    <t>1 hr cycle of high state current(For all components)</t>
  </si>
  <si>
    <t>-Added VDDIO sections to
2 sensors</t>
  </si>
  <si>
    <t>AtMega 16U2</t>
  </si>
  <si>
    <t>USB to Serial Uart IC</t>
  </si>
  <si>
    <t>2.7-5.5V
(I/O) 2-5.5V</t>
  </si>
  <si>
    <t>https://drive.google.com/file/d/1fHHdqKPaRFD-DnXmgxf2bzb2MyaAhMV8/view?usp=sharing</t>
  </si>
  <si>
    <t>-Removed Regulators until
rails known</t>
  </si>
  <si>
    <t>-Changed USB to UART header 
to ATMega 16U2</t>
  </si>
  <si>
    <t>-Fixed I/O voltages and currents</t>
  </si>
  <si>
    <t>-Added new batteries and charger</t>
  </si>
  <si>
    <t>https://www.hindawi.com/journals/jat/2020/9689604/#EEq31</t>
  </si>
  <si>
    <t xml:space="preserve">
iFlight SucceX Micro V1.2 (M3 Holes) 12A 2-4S 16x16 4in1 ESC for CineBee 75HD - RaceDayQuads</t>
  </si>
  <si>
    <t>Depends on how much time drone is rising,
assuming 1/4 of the time, 1.5x hover power
P = k * m^(3/2) / r
k = 22.35 r = .1143m m = .25kg
WIll need better estimate of power draw</t>
  </si>
  <si>
    <t>Telemetry/Motors still in development, ESC power will
equal motor power
Alternate Power Equation: 
D=diameter=.2286m    T = thrust = 2.45N
rho = 1.225kg/m^3     P = Power = 1.634 A at full throttle</t>
  </si>
  <si>
    <t>Depends on how much time drone is turning,
assuming 1/4 of the time</t>
  </si>
  <si>
    <t>Battery Voltage</t>
  </si>
  <si>
    <t>Unkown If needed</t>
  </si>
  <si>
    <t>Rail 7</t>
  </si>
  <si>
    <t>Version 2.1</t>
  </si>
  <si>
    <t>Parts Finalized</t>
  </si>
  <si>
    <t>LIPO 11000 2S 7.4V</t>
  </si>
  <si>
    <t>7.4V</t>
  </si>
  <si>
    <t>6.4-7.4V</t>
  </si>
  <si>
    <t>https://www.maxamps.com/lipo-11000-2s-7-4v-battery-pack</t>
  </si>
  <si>
    <t>80% discharge for current
3.2 per cell cutoff voltage(6.4V total)</t>
  </si>
  <si>
    <t>-added rail section</t>
  </si>
  <si>
    <t>ATMega 328p</t>
  </si>
  <si>
    <t>1.8-5.5V</t>
  </si>
  <si>
    <t>4.5-5V</t>
  </si>
  <si>
    <t>https://drive.google.com/file/d/1atykOEdNdoKVKPgCqxFU7pUO-mo_7094/view?usp=sharing</t>
  </si>
  <si>
    <t>-Removed Raspberry Pi and Arduino</t>
  </si>
  <si>
    <t>Microprocessor</t>
  </si>
  <si>
    <t>2.5-5V</t>
  </si>
  <si>
    <t>-Changed completed to finalized</t>
  </si>
  <si>
    <t>3.3V+-5%</t>
  </si>
  <si>
    <t>-Added Versioning Section</t>
  </si>
  <si>
    <t>1.8V+-5%</t>
  </si>
  <si>
    <t>2.5-3.3V</t>
  </si>
  <si>
    <t>1.8-3.3V</t>
  </si>
  <si>
    <t>.14-3V</t>
  </si>
  <si>
    <t>Always on during 1hr flight,
small(1mA) leakage current estimated</t>
  </si>
  <si>
    <t>1.62-3.6V</t>
  </si>
  <si>
    <t>.1-.9(VDDIO)</t>
  </si>
  <si>
    <t>https://drive.google.com/file/d/1q5j4Re87awqTUBITzL8OHKex5bS2XR0f/view?usp=sharing</t>
  </si>
  <si>
    <t>^, I/O pin current not specified</t>
  </si>
  <si>
    <t>5V +-1%</t>
  </si>
  <si>
    <t>Same as Trig</t>
  </si>
  <si>
    <t>3-4.3V
Also in Vbackup</t>
  </si>
  <si>
    <t>0-3.3V</t>
  </si>
  <si>
    <t>1.71-3.6VDD
1.71-1.95VDDIO</t>
  </si>
  <si>
    <t>(.1-.9)(VDDIO)</t>
  </si>
  <si>
    <t>Raspberry Pi Camera Module V2</t>
  </si>
  <si>
    <t>5.1+-5%</t>
  </si>
  <si>
    <t>https://www.amazon.com/Raspberry-Pi-Camera-Module-Megapixel/dp/B01ER2SKFS</t>
  </si>
  <si>
    <t>^, cameras not finalized</t>
  </si>
  <si>
    <t>Hobbywing XRotor Micro 60A 4in1 ESC BLHeli-32 DShot1200 (3~6S)</t>
  </si>
  <si>
    <t>ESC/ Motor Telemetry(May not be needed, so is ignored in greater budget)</t>
  </si>
  <si>
    <t>https://hobbyking.com/en_us/hobbywing-xrotor-micro-60a-4in1-esc-blheli-32-dshot1200-3-6s.html?queryID=16632849d2c87d545598386bc0f8d7cb&amp;objectID=85292&amp;indexName=hbk_live_magento_en_us_products</t>
  </si>
  <si>
    <t>D1306-CCW</t>
  </si>
  <si>
    <t>7.4V+-5%</t>
  </si>
  <si>
    <t>https://drive.google.com/file/d/1p8-GT8CeA-p_ALbzQjDSlDcmsCHJGdQS/view?usp=sharing</t>
  </si>
  <si>
    <t>AFHDS 2A system</t>
  </si>
  <si>
    <t>Turnigy iA8 Receiver</t>
  </si>
  <si>
    <t>4-6.5V(Receiver)</t>
  </si>
  <si>
    <t>https://drive.google.com/file/d/1kN2bOoA_29U6SO1wM0piBJzzlqtop_N5/view?usp=sharing</t>
  </si>
  <si>
    <t>Current for receiver not specified
Controller uses 8 AA batteries</t>
  </si>
  <si>
    <t>CS238MG Metal Gear Servo</t>
  </si>
  <si>
    <t>MIC5225-1.8YM5-TR</t>
  </si>
  <si>
    <t>7V to 1.8V
Voltage Regulator</t>
  </si>
  <si>
    <t>2.3-16V</t>
  </si>
  <si>
    <t>1.35-1.85V</t>
  </si>
  <si>
    <t>https://drive.google.com/file/d/1faSSMPl11bIKwqmh37atNIKp6XqIosHe/view?usp=sharing</t>
  </si>
  <si>
    <t>Always on 1hr flight,
1 hr peripheral also draw eastimated</t>
  </si>
  <si>
    <t>MIC5225-2.8YM5 TR</t>
  </si>
  <si>
    <t>7V to 2.8V
Voltage Regulator</t>
  </si>
  <si>
    <t>2.35-2.85V</t>
  </si>
  <si>
    <t>MIC5225-3.3YM5-TR</t>
  </si>
  <si>
    <t>7V to 3.3V
Voltage Regulator</t>
  </si>
  <si>
    <t>2.95-3.35V</t>
  </si>
  <si>
    <t>MIC5225-5.0YM5 TR</t>
  </si>
  <si>
    <t>7V to 5.0V
Voltage Regulator</t>
  </si>
  <si>
    <t>4.65-5.05V</t>
  </si>
  <si>
    <t>FT230-XS-U</t>
  </si>
  <si>
    <t>2.97-5.5V VCC
1.62-3.63 VCCIO</t>
  </si>
  <si>
    <t>.4-VCCIO V</t>
  </si>
  <si>
    <t>https://drive.google.com/file/d/1aMF35tCYDVIaZ0ryEDQiB-dyMWEsim-W/view?usp=sharing</t>
  </si>
  <si>
    <t>Heat Dissipation(mW)</t>
  </si>
  <si>
    <t>Version 2</t>
  </si>
  <si>
    <t>Completed</t>
  </si>
  <si>
    <t>7.4V +- 10%</t>
  </si>
  <si>
    <t>Undecided, also will need charger</t>
  </si>
  <si>
    <t>-changed battery</t>
  </si>
  <si>
    <t>(ATMega 328p) Arduino Nano</t>
  </si>
  <si>
    <t>6-20V Unregulated(Pin 30)
5V regulated(Pin 27)</t>
  </si>
  <si>
    <t>5V +- 10%</t>
  </si>
  <si>
    <t>https://store.arduino.cc/usa/arduino-nano</t>
  </si>
  <si>
    <t>-added I/O pins for arduino</t>
  </si>
  <si>
    <t>I/O Pins</t>
  </si>
  <si>
    <t>5V+-5%</t>
  </si>
  <si>
    <t>5V +- 5%</t>
  </si>
  <si>
    <t>^,40mA max x 15 pins used(overestimated)</t>
  </si>
  <si>
    <t>-Completed comments for Raspberry pi</t>
  </si>
  <si>
    <t>-Updated motor power requirements</t>
  </si>
  <si>
    <t>Raspberry Pi Zero W</t>
  </si>
  <si>
    <t>4.63-5.57V</t>
  </si>
  <si>
    <t>https://www.adafruit.com/product/3400</t>
  </si>
  <si>
    <t>Vbat</t>
  </si>
  <si>
    <t>May not need telemetry. Motors still in development
Alternate Power Equation: 
D=diameter=.2286m    T = thrust = 2.45N
rho = 1.225kg/m^3     P = Power = 1.634 A at full throttle</t>
  </si>
  <si>
    <t>Total Consumption(mA*hrs)</t>
  </si>
  <si>
    <t>Total Energy/Day (mW*hrs)</t>
  </si>
  <si>
    <t>LIPO 8000 2S 7.4V</t>
  </si>
  <si>
    <t>https://www.maxamps.com/lipo-8000-2s-7-4v-dual-core-battery-pack</t>
  </si>
  <si>
    <t>-Added Completed section</t>
  </si>
  <si>
    <t>https://www.amazon.com/dp/B0097AU5OU/</t>
  </si>
  <si>
    <t>-Second Check through all materials</t>
  </si>
  <si>
    <t>-Changed data sheet links to drive pdfs, when possible</t>
  </si>
  <si>
    <t>^, will need better power draw estimate</t>
  </si>
  <si>
    <t>Power used variant on activity, recommended minimum
estimated</t>
  </si>
  <si>
    <t>-Added Raspberry pi compute modules</t>
  </si>
  <si>
    <t>-Added Voltage Regulators</t>
  </si>
  <si>
    <t>only 5 pins used, max 50mA current per I/O set</t>
  </si>
  <si>
    <t>May not need telemetry, 4x21 A?
Alternate Power Equation: 
D=diameter=.2286m    T = thrust = 2.45N
rho = 1.225kg/m^3     P = Power = 1.634 A at full throttle</t>
  </si>
  <si>
    <t>Depends on how much time drone is rising,
assuming 1/4 of the time, 1.5x hover power
P = k * m^(3/2) / r
k = 22.35 r = .1143m m = .125kg
WIll need better estimate of power draw</t>
  </si>
  <si>
    <t>5V to 1.8V
Voltage Regulator</t>
  </si>
  <si>
    <t>5V to 2.8V
Voltage Regulator</t>
  </si>
  <si>
    <t>5V to 3.3V
Voltage Regulator</t>
  </si>
  <si>
    <t>Version 1</t>
  </si>
  <si>
    <t>Shop link</t>
  </si>
  <si>
    <t>https://ww1.microchip.com/downloads/en/DeviceDoc/ATmega48A-PA-88A-PA-168A-PA-328-P-DS-DS40002061B.pdf</t>
  </si>
  <si>
    <t>Different Modules</t>
  </si>
  <si>
    <t>.1-.9(VDD)</t>
  </si>
  <si>
    <t>https://www.adafruit.com/product/1893</t>
  </si>
  <si>
    <t>^, will need 2 voltage inputs</t>
  </si>
  <si>
    <t>https://www.sparkfun.com/products/15569</t>
  </si>
  <si>
    <t>https://www.adafruit.com/product/790</t>
  </si>
  <si>
    <t>(1.71-1.95V)*.9
1.8V typical</t>
  </si>
  <si>
    <t>https://www.digikey.com/en/products/detail/tdk-invensense/ICM-20948/6623535</t>
  </si>
  <si>
    <t>May not need telemetry, 4x21 A?</t>
  </si>
  <si>
    <t>7V+-5%</t>
  </si>
  <si>
    <t>https://hobbyking.com/en_us/brushless-motor-d1306-4000kv-ccw.html?queryID=ed0b355771423e7a5d3ba36d134f5cfb&amp;objectID=59938&amp;indexName=hbk_live_magento_en_us_products</t>
  </si>
  <si>
    <t>Depends on how much time drone is rising,
assuming 1/4 of the time,
P = k * m^(3/2) / r
k = 22.35 r = .1143m m = .125kg</t>
  </si>
  <si>
    <t>Turnigy 9X 9Ch Mode 2 Transmitter w/ Module &amp; iA8 Receiver and remote controller</t>
  </si>
  <si>
    <t>https://hobbyking.com/en_us/turnigy-9x-9ch-mode-2-transmitter-w-module-ia8-receiver-afhds-2a-system.html?queryID=440392327ad776765bdf5c34ebe79432&amp;objectID=67149&amp;indexName=hbk_live_magento_en_us_products</t>
  </si>
  <si>
    <t>4.6kg / 0.14sec</t>
  </si>
  <si>
    <t>2.3-5.5V</t>
  </si>
  <si>
    <t>https://www.digikey.com/en/products/detail/linx-technologies-inc/ANT-LTE-RPC-UFL/11314387</t>
  </si>
  <si>
    <t xml:space="preserve"> </t>
  </si>
  <si>
    <t>CSTCE16M0V53-R0</t>
  </si>
  <si>
    <t>Resonator</t>
  </si>
  <si>
    <t>DX07S016JA1R1500</t>
  </si>
  <si>
    <t>USB-C header</t>
  </si>
  <si>
    <t>10033854-052FSLF</t>
  </si>
  <si>
    <t>DDR2 SODIM slot (Raspberry Pi Compute Moule)</t>
  </si>
  <si>
    <t>5V to 1.8V Voltage Regulator</t>
  </si>
  <si>
    <t>5V to 2.8V Voltage Regulator</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</si>
</sst>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
    <numFmt numFmtId="165" formatCode="0.00000"/>
    <numFmt numFmtId="166" formatCode="0.0"/>
    <numFmt numFmtId="167" formatCode="0.000"/>
  </numFmts>
  <fonts count="79">
    <font>
      <sz val="10.0"/>
      <color rgb="FF000000"/>
      <name val="Arial"/>
      <scheme val="minor"/>
    </font>
    <font>
      <b/>
      <color theme="1"/>
      <name val="Arial"/>
      <scheme val="minor"/>
    </font>
    <font>
      <color theme="1"/>
      <name val="Arial"/>
      <scheme val="minor"/>
    </font>
    <font/>
    <font>
      <color theme="1"/>
      <name val="Arial"/>
    </font>
    <font>
      <color rgb="FF000000"/>
      <name val="Arial"/>
      <scheme val="minor"/>
    </font>
    <font>
      <u/>
      <color theme="1"/>
      <name val="Arial"/>
    </font>
    <font>
      <u/>
      <color rgb="FF222222"/>
      <name val="Arial"/>
    </font>
    <font>
      <u/>
      <color theme="1"/>
      <name val="Arial"/>
    </font>
    <font>
      <u/>
      <color rgb="FF1155CC"/>
      <name val="Arial"/>
    </font>
    <font>
      <sz val="11.0"/>
      <color theme="1"/>
      <name val="Inconsolata"/>
    </font>
    <font>
      <u/>
      <color theme="1"/>
      <name val="Arial"/>
    </font>
    <font>
      <u/>
      <color rgb="FF1155CC"/>
      <name val="Arial"/>
    </font>
    <font>
      <sz val="10.0"/>
      <color rgb="FF000000"/>
      <name val="Arial"/>
    </font>
    <font>
      <u/>
      <color theme="1"/>
      <name val="Arial"/>
    </font>
    <font>
      <u/>
      <color rgb="FF1155CC"/>
      <name val="Arial"/>
    </font>
    <font>
      <color rgb="FF000000"/>
      <name val="Arial"/>
    </font>
    <font>
      <b/>
      <u/>
      <color rgb="FF1155CC"/>
      <name val="Arial"/>
    </font>
    <font>
      <u/>
      <color rgb="FF0000FF"/>
    </font>
    <font>
      <u/>
      <color theme="1"/>
      <name val="Arial"/>
    </font>
    <font>
      <u/>
      <color rgb="FF0000FF"/>
    </font>
    <font>
      <u/>
      <color theme="1"/>
      <name val="Arial"/>
    </font>
    <font>
      <u/>
      <color rgb="FF1155CC"/>
      <name val="Arial"/>
    </font>
    <font>
      <u/>
      <color rgb="FF1155CC"/>
      <name val="Arial"/>
    </font>
    <font>
      <sz val="10.0"/>
      <color rgb="FF222222"/>
      <name val="Arial"/>
    </font>
    <font>
      <u/>
      <color theme="1"/>
      <name val="Arial"/>
    </font>
    <font>
      <u/>
      <color rgb="FF1155CC"/>
      <name val="Arial"/>
    </font>
    <font>
      <u/>
      <color theme="1"/>
      <name val="Arial"/>
    </font>
    <font>
      <u/>
      <color rgb="FF1155CC"/>
    </font>
    <font>
      <u/>
      <color theme="1"/>
      <name val="Arial"/>
    </font>
    <font>
      <u/>
      <color rgb="FF1155CC"/>
      <name val="Arial"/>
    </font>
    <font>
      <u/>
      <color rgb="FF1155CC"/>
      <name val="Arial"/>
    </font>
    <font>
      <u/>
      <color rgb="FF1155CC"/>
      <name val="Arial"/>
    </font>
    <font>
      <color rgb="FF222222"/>
      <name val="Arial"/>
    </font>
    <font>
      <u/>
      <color rgb="FF0000FF"/>
      <name val="Arial"/>
    </font>
    <font>
      <u/>
      <color rgb="FF0000FF"/>
    </font>
    <font>
      <u/>
      <color rgb="FF222222"/>
      <name val="Arial"/>
    </font>
    <font>
      <u/>
      <color rgb="FF1155CC"/>
      <name val="Arial"/>
    </font>
    <font>
      <sz val="10.0"/>
      <color theme="1"/>
      <name val="Arial"/>
      <scheme val="minor"/>
    </font>
    <font>
      <u/>
      <color rgb="FF1155CC"/>
      <name val="Arial"/>
    </font>
    <font>
      <u/>
      <color theme="1"/>
      <name val="Arial"/>
    </font>
    <font>
      <u/>
      <color rgb="FF1155CC"/>
      <name val="Arial"/>
    </font>
    <font>
      <b/>
      <u/>
      <color rgb="FF1155CC"/>
      <name val="Arial"/>
    </font>
    <font>
      <u/>
      <color rgb="FF0000FF"/>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theme="1"/>
      <name val="Arial"/>
    </font>
    <font>
      <u/>
      <color rgb="FF1155CC"/>
      <name val="Arial"/>
    </font>
    <font>
      <u/>
      <color theme="1"/>
      <name val="Arial"/>
    </font>
    <font>
      <u/>
      <color rgb="FF1155CC"/>
      <name val="Arial"/>
    </font>
    <font>
      <u/>
      <color rgb="FF1155CC"/>
    </font>
    <font>
      <u/>
      <color theme="1"/>
      <name val="Arial"/>
    </font>
    <font>
      <u/>
      <color rgb="FF1155CC"/>
      <name val="Arial"/>
    </font>
    <font>
      <u/>
      <color rgb="FF1155CC"/>
      <name val="Arial"/>
    </font>
    <font>
      <u/>
      <color rgb="FF0000FF"/>
    </font>
    <font>
      <u/>
      <color rgb="FF1155CC"/>
      <name val="Arial"/>
    </font>
    <font>
      <u/>
      <color theme="1"/>
      <name val="Arial"/>
    </font>
    <font>
      <u/>
      <color rgb="FF1155CC"/>
      <name val="Arial"/>
    </font>
    <font>
      <u/>
      <color theme="1"/>
      <name val="Arial"/>
    </font>
    <font>
      <u/>
      <color rgb="FF1155CC"/>
      <name val="Arial"/>
    </font>
    <font>
      <u/>
      <color theme="1"/>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0000FF"/>
    </font>
    <font>
      <u/>
      <color rgb="FF1155CC"/>
      <name val="Arial"/>
    </font>
    <font>
      <u/>
      <color rgb="FF1155CC"/>
      <name val="Arial"/>
    </font>
    <font>
      <u/>
      <color rgb="FF1155CC"/>
      <name val="Arial"/>
    </font>
  </fonts>
  <fills count="18">
    <fill>
      <patternFill patternType="none"/>
    </fill>
    <fill>
      <patternFill patternType="lightGray"/>
    </fill>
    <fill>
      <patternFill patternType="solid">
        <fgColor rgb="FFFFF2CC"/>
        <bgColor rgb="FFFFF2CC"/>
      </patternFill>
    </fill>
    <fill>
      <patternFill patternType="solid">
        <fgColor rgb="FF000000"/>
        <bgColor rgb="FF000000"/>
      </patternFill>
    </fill>
    <fill>
      <patternFill patternType="solid">
        <fgColor rgb="FFF4CCCC"/>
        <bgColor rgb="FFF4CCCC"/>
      </patternFill>
    </fill>
    <fill>
      <patternFill patternType="solid">
        <fgColor rgb="FF8E7CC3"/>
        <bgColor rgb="FF8E7CC3"/>
      </patternFill>
    </fill>
    <fill>
      <patternFill patternType="solid">
        <fgColor rgb="FF93C47D"/>
        <bgColor rgb="FF93C47D"/>
      </patternFill>
    </fill>
    <fill>
      <patternFill patternType="solid">
        <fgColor rgb="FFFF0000"/>
        <bgColor rgb="FFFF0000"/>
      </patternFill>
    </fill>
    <fill>
      <patternFill patternType="solid">
        <fgColor rgb="FFFFFFFF"/>
        <bgColor rgb="FFFFFFFF"/>
      </patternFill>
    </fill>
    <fill>
      <patternFill patternType="solid">
        <fgColor rgb="FFF6B26B"/>
        <bgColor rgb="FFF6B26B"/>
      </patternFill>
    </fill>
    <fill>
      <patternFill patternType="solid">
        <fgColor rgb="FF4A86E8"/>
        <bgColor rgb="FF4A86E8"/>
      </patternFill>
    </fill>
    <fill>
      <patternFill patternType="solid">
        <fgColor rgb="FFB6D7A8"/>
        <bgColor rgb="FFB6D7A8"/>
      </patternFill>
    </fill>
    <fill>
      <patternFill patternType="solid">
        <fgColor rgb="FFFFFF00"/>
        <bgColor rgb="FFFFFF00"/>
      </patternFill>
    </fill>
    <fill>
      <patternFill patternType="solid">
        <fgColor rgb="FFD0E0E3"/>
        <bgColor rgb="FFD0E0E3"/>
      </patternFill>
    </fill>
    <fill>
      <patternFill patternType="solid">
        <fgColor rgb="FF980000"/>
        <bgColor rgb="FF980000"/>
      </patternFill>
    </fill>
    <fill>
      <patternFill patternType="solid">
        <fgColor rgb="FFCFE2F3"/>
        <bgColor rgb="FFCFE2F3"/>
      </patternFill>
    </fill>
    <fill>
      <patternFill patternType="solid">
        <fgColor rgb="FFC9DAF8"/>
        <bgColor rgb="FFC9DAF8"/>
      </patternFill>
    </fill>
    <fill>
      <patternFill patternType="solid">
        <fgColor rgb="FFEA9999"/>
        <bgColor rgb="FFEA9999"/>
      </patternFill>
    </fill>
  </fills>
  <borders count="16">
    <border/>
    <border>
      <left style="thin">
        <color rgb="FF000000"/>
      </left>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left style="thin">
        <color rgb="FF000000"/>
      </left>
      <right style="thin">
        <color rgb="FF000000"/>
      </right>
    </border>
    <border>
      <right style="thin">
        <color rgb="FF000000"/>
      </right>
    </border>
    <border>
      <top style="thin">
        <color rgb="FF000000"/>
      </top>
    </border>
    <border>
      <left style="thin">
        <color rgb="FF000000"/>
      </left>
      <right style="thin">
        <color rgb="FF000000"/>
      </right>
      <top style="thin">
        <color rgb="FF000000"/>
      </top>
    </border>
    <border>
      <right style="thin">
        <color rgb="FF000000"/>
      </right>
      <bottom style="thin">
        <color rgb="FF000000"/>
      </bottom>
    </border>
  </borders>
  <cellStyleXfs count="1">
    <xf borderId="0" fillId="0" fontId="0" numFmtId="0" applyAlignment="1" applyFont="1"/>
  </cellStyleXfs>
  <cellXfs count="42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Border="1" applyFont="1"/>
    <xf borderId="2" fillId="0" fontId="2" numFmtId="0" xfId="0" applyBorder="1" applyFont="1"/>
    <xf borderId="3" fillId="0" fontId="2" numFmtId="0" xfId="0" applyAlignment="1" applyBorder="1" applyFont="1">
      <alignment readingOrder="0"/>
    </xf>
    <xf borderId="4" fillId="0" fontId="2" numFmtId="0" xfId="0" applyAlignment="1" applyBorder="1" applyFont="1">
      <alignment readingOrder="0"/>
    </xf>
    <xf borderId="5" fillId="0" fontId="3" numFmtId="0" xfId="0" applyBorder="1" applyFont="1"/>
    <xf borderId="6" fillId="0" fontId="4" numFmtId="0" xfId="0" applyAlignment="1" applyBorder="1" applyFont="1">
      <alignment vertical="bottom"/>
    </xf>
    <xf borderId="7" fillId="0" fontId="4" numFmtId="0" xfId="0" applyAlignment="1" applyBorder="1" applyFont="1">
      <alignment horizontal="center" vertical="bottom"/>
    </xf>
    <xf borderId="6" fillId="0" fontId="2" numFmtId="0" xfId="0" applyAlignment="1" applyBorder="1" applyFont="1">
      <alignment readingOrder="0"/>
    </xf>
    <xf borderId="6" fillId="0" fontId="4" numFmtId="0" xfId="0" applyAlignment="1" applyBorder="1" applyFont="1">
      <alignment horizontal="center" readingOrder="0" vertical="bottom"/>
    </xf>
    <xf borderId="4" fillId="0" fontId="3" numFmtId="0" xfId="0" applyBorder="1" applyFont="1"/>
    <xf borderId="8" fillId="0" fontId="2" numFmtId="0" xfId="0" applyAlignment="1" applyBorder="1" applyFont="1">
      <alignment readingOrder="0"/>
    </xf>
    <xf borderId="9" fillId="0" fontId="3" numFmtId="0" xfId="0" applyBorder="1" applyFont="1"/>
    <xf borderId="0" fillId="2" fontId="2" numFmtId="0" xfId="0" applyAlignment="1" applyFill="1" applyFont="1">
      <alignment readingOrder="0"/>
    </xf>
    <xf borderId="10" fillId="2" fontId="4" numFmtId="0" xfId="0" applyAlignment="1" applyBorder="1" applyFont="1">
      <alignment readingOrder="0" shrinkToFit="0" wrapText="1"/>
    </xf>
    <xf borderId="11" fillId="2" fontId="4" numFmtId="0" xfId="0" applyAlignment="1" applyBorder="1" applyFont="1">
      <alignment readingOrder="0" shrinkToFit="0" wrapText="1"/>
    </xf>
    <xf borderId="12" fillId="2" fontId="4" numFmtId="0" xfId="0" applyAlignment="1" applyBorder="1" applyFont="1">
      <alignment horizontal="center" readingOrder="0"/>
    </xf>
    <xf borderId="12" fillId="2" fontId="2" numFmtId="0" xfId="0" applyAlignment="1" applyBorder="1" applyFont="1">
      <alignment horizontal="center" readingOrder="0"/>
    </xf>
    <xf borderId="0" fillId="2" fontId="2" numFmtId="0" xfId="0" applyAlignment="1" applyFont="1">
      <alignment horizontal="center" readingOrder="0"/>
    </xf>
    <xf borderId="12" fillId="0" fontId="3" numFmtId="0" xfId="0" applyBorder="1" applyFont="1"/>
    <xf borderId="0" fillId="3" fontId="2" numFmtId="0" xfId="0" applyAlignment="1" applyFill="1" applyFont="1">
      <alignment horizontal="center" readingOrder="0"/>
    </xf>
    <xf borderId="12" fillId="2" fontId="5" numFmtId="0" xfId="0" applyAlignment="1" applyBorder="1" applyFont="1">
      <alignment horizontal="center" readingOrder="0"/>
    </xf>
    <xf borderId="12" fillId="3" fontId="5" numFmtId="0" xfId="0" applyAlignment="1" applyBorder="1" applyFont="1">
      <alignment horizontal="center" readingOrder="0"/>
    </xf>
    <xf borderId="0" fillId="3" fontId="6" numFmtId="10" xfId="0" applyFont="1" applyNumberFormat="1"/>
    <xf borderId="12" fillId="2" fontId="7" numFmtId="0" xfId="0" applyAlignment="1" applyBorder="1" applyFont="1">
      <alignment readingOrder="0" vertical="bottom"/>
    </xf>
    <xf borderId="13" fillId="2" fontId="2" numFmtId="0" xfId="0" applyAlignment="1" applyBorder="1" applyFont="1">
      <alignment readingOrder="0"/>
    </xf>
    <xf borderId="13" fillId="0" fontId="3" numFmtId="0" xfId="0" applyBorder="1" applyFont="1"/>
    <xf borderId="10" fillId="0" fontId="2" numFmtId="0" xfId="0" applyAlignment="1" applyBorder="1" applyFont="1">
      <alignment readingOrder="0"/>
    </xf>
    <xf borderId="0" fillId="4" fontId="2" numFmtId="0" xfId="0" applyAlignment="1" applyFill="1" applyFont="1">
      <alignment readingOrder="0"/>
    </xf>
    <xf borderId="12" fillId="3" fontId="2" numFmtId="0" xfId="0" applyAlignment="1" applyBorder="1" applyFont="1">
      <alignment horizontal="center" readingOrder="0"/>
    </xf>
    <xf borderId="0" fillId="2" fontId="8" numFmtId="10" xfId="0" applyFont="1" applyNumberFormat="1"/>
    <xf borderId="10" fillId="2" fontId="9" numFmtId="0" xfId="0" applyAlignment="1" applyBorder="1" applyFont="1">
      <alignment readingOrder="0"/>
    </xf>
    <xf borderId="10" fillId="2" fontId="2" numFmtId="0" xfId="0" applyAlignment="1" applyBorder="1" applyFont="1">
      <alignment readingOrder="0"/>
    </xf>
    <xf borderId="0" fillId="0" fontId="2" numFmtId="0" xfId="0" applyAlignment="1" applyFont="1">
      <alignment readingOrder="0"/>
    </xf>
    <xf borderId="0" fillId="5" fontId="2" numFmtId="0" xfId="0" applyAlignment="1" applyFill="1" applyFont="1">
      <alignment readingOrder="0"/>
    </xf>
    <xf borderId="14" fillId="4" fontId="2" numFmtId="0" xfId="0" applyAlignment="1" applyBorder="1" applyFont="1">
      <alignment horizontal="left" readingOrder="0" shrinkToFit="0" vertical="center" wrapText="1"/>
    </xf>
    <xf borderId="13" fillId="4" fontId="4" numFmtId="0" xfId="0" applyAlignment="1" applyBorder="1" applyFont="1">
      <alignment readingOrder="0" vertical="bottom"/>
    </xf>
    <xf borderId="14" fillId="4" fontId="4" numFmtId="0" xfId="0" applyAlignment="1" applyBorder="1" applyFont="1">
      <alignment horizontal="center" readingOrder="0" vertical="bottom"/>
    </xf>
    <xf borderId="13" fillId="4" fontId="4" numFmtId="0" xfId="0" applyAlignment="1" applyBorder="1" applyFont="1">
      <alignment horizontal="center" readingOrder="0" vertical="bottom"/>
    </xf>
    <xf borderId="8" fillId="4" fontId="4" numFmtId="0" xfId="0" applyAlignment="1" applyBorder="1" applyFont="1">
      <alignment horizontal="center" readingOrder="0" vertical="bottom"/>
    </xf>
    <xf borderId="14" fillId="4" fontId="10" numFmtId="0" xfId="0" applyAlignment="1" applyBorder="1" applyFont="1">
      <alignment horizontal="center"/>
    </xf>
    <xf borderId="0" fillId="4" fontId="2" numFmtId="0" xfId="0" applyAlignment="1" applyFont="1">
      <alignment horizontal="center" readingOrder="0"/>
    </xf>
    <xf borderId="13" fillId="4" fontId="2" numFmtId="0" xfId="0" applyAlignment="1" applyBorder="1" applyFont="1">
      <alignment horizontal="center" readingOrder="0"/>
    </xf>
    <xf borderId="9" fillId="4" fontId="11" numFmtId="10" xfId="0" applyBorder="1" applyFont="1" applyNumberFormat="1"/>
    <xf borderId="13" fillId="4" fontId="12" numFmtId="0" xfId="0" applyAlignment="1" applyBorder="1" applyFont="1">
      <alignment readingOrder="0" vertical="bottom"/>
    </xf>
    <xf borderId="8" fillId="4" fontId="13" numFmtId="0" xfId="0" applyAlignment="1" applyBorder="1" applyFont="1">
      <alignment readingOrder="0"/>
    </xf>
    <xf borderId="0" fillId="6" fontId="2" numFmtId="0" xfId="0" applyAlignment="1" applyFill="1" applyFont="1">
      <alignment readingOrder="0"/>
    </xf>
    <xf borderId="10" fillId="4" fontId="4" numFmtId="0" xfId="0" applyAlignment="1" applyBorder="1" applyFont="1">
      <alignment readingOrder="0" shrinkToFit="0" wrapText="1"/>
    </xf>
    <xf borderId="11" fillId="4" fontId="4" numFmtId="0" xfId="0" applyAlignment="1" applyBorder="1" applyFont="1">
      <alignment readingOrder="0" shrinkToFit="0" wrapText="1"/>
    </xf>
    <xf borderId="12" fillId="4" fontId="4" numFmtId="0" xfId="0" applyAlignment="1" applyBorder="1" applyFont="1">
      <alignment horizontal="center" readingOrder="0"/>
    </xf>
    <xf borderId="12" fillId="4" fontId="2" numFmtId="0" xfId="0" applyAlignment="1" applyBorder="1" applyFont="1">
      <alignment horizontal="center" readingOrder="0"/>
    </xf>
    <xf borderId="11" fillId="4" fontId="10" numFmtId="0" xfId="0" applyAlignment="1" applyBorder="1" applyFont="1">
      <alignment horizontal="center"/>
    </xf>
    <xf borderId="0" fillId="4" fontId="14" numFmtId="10" xfId="0" applyFont="1" applyNumberFormat="1"/>
    <xf borderId="10" fillId="4" fontId="15" numFmtId="0" xfId="0" applyAlignment="1" applyBorder="1" applyFont="1">
      <alignment readingOrder="0"/>
    </xf>
    <xf borderId="10" fillId="4" fontId="13" numFmtId="0" xfId="0" applyAlignment="1" applyBorder="1" applyFont="1">
      <alignment readingOrder="0"/>
    </xf>
    <xf borderId="10" fillId="4" fontId="16" numFmtId="0" xfId="0" applyAlignment="1" applyBorder="1" applyFont="1">
      <alignment vertical="bottom"/>
    </xf>
    <xf borderId="11" fillId="4" fontId="2" numFmtId="0" xfId="0" applyAlignment="1" applyBorder="1" applyFont="1">
      <alignment horizontal="center" readingOrder="0"/>
    </xf>
    <xf borderId="11" fillId="4" fontId="17" numFmtId="0" xfId="0" applyBorder="1" applyFont="1"/>
    <xf borderId="10" fillId="4" fontId="16" numFmtId="0" xfId="0" applyAlignment="1" applyBorder="1" applyFont="1">
      <alignment readingOrder="0" vertical="bottom"/>
    </xf>
    <xf borderId="11" fillId="4" fontId="18" numFmtId="0" xfId="0" applyAlignment="1" applyBorder="1" applyFont="1">
      <alignment readingOrder="0"/>
    </xf>
    <xf borderId="1" fillId="4" fontId="16" numFmtId="0" xfId="0" applyAlignment="1" applyBorder="1" applyFont="1">
      <alignment readingOrder="0" vertical="bottom"/>
    </xf>
    <xf borderId="7" fillId="4" fontId="4" numFmtId="0" xfId="0" applyAlignment="1" applyBorder="1" applyFont="1">
      <alignment readingOrder="0" shrinkToFit="0" wrapText="1"/>
    </xf>
    <xf borderId="15" fillId="4" fontId="4" numFmtId="0" xfId="0" applyAlignment="1" applyBorder="1" applyFont="1">
      <alignment horizontal="center" readingOrder="0"/>
    </xf>
    <xf borderId="15" fillId="4" fontId="2" numFmtId="0" xfId="0" applyAlignment="1" applyBorder="1" applyFont="1">
      <alignment horizontal="center" readingOrder="0"/>
    </xf>
    <xf borderId="2" fillId="4" fontId="2" numFmtId="0" xfId="0" applyAlignment="1" applyBorder="1" applyFont="1">
      <alignment horizontal="center" readingOrder="0"/>
    </xf>
    <xf borderId="15" fillId="0" fontId="3" numFmtId="0" xfId="0" applyBorder="1" applyFont="1"/>
    <xf borderId="15" fillId="7" fontId="2" numFmtId="0" xfId="0" applyAlignment="1" applyBorder="1" applyFill="1" applyFont="1">
      <alignment horizontal="center" readingOrder="0"/>
    </xf>
    <xf borderId="7" fillId="4" fontId="2" numFmtId="0" xfId="0" applyAlignment="1" applyBorder="1" applyFont="1">
      <alignment horizontal="center" readingOrder="0"/>
    </xf>
    <xf borderId="2" fillId="4" fontId="19" numFmtId="10" xfId="0" applyBorder="1" applyFont="1" applyNumberFormat="1"/>
    <xf borderId="7" fillId="4" fontId="20" numFmtId="0" xfId="0" applyAlignment="1" applyBorder="1" applyFont="1">
      <alignment readingOrder="0"/>
    </xf>
    <xf borderId="2" fillId="4" fontId="2" numFmtId="0" xfId="0" applyAlignment="1" applyBorder="1" applyFont="1">
      <alignment readingOrder="0"/>
    </xf>
    <xf borderId="2" fillId="0" fontId="3" numFmtId="0" xfId="0" applyBorder="1" applyFont="1"/>
    <xf borderId="10" fillId="5" fontId="4" numFmtId="0" xfId="0" applyAlignment="1" applyBorder="1" applyFont="1">
      <alignment shrinkToFit="0" wrapText="1"/>
    </xf>
    <xf borderId="11" fillId="5" fontId="4" numFmtId="0" xfId="0" applyAlignment="1" applyBorder="1" applyFont="1">
      <alignment readingOrder="0" shrinkToFit="0" wrapText="1"/>
    </xf>
    <xf borderId="12" fillId="5" fontId="4" numFmtId="0" xfId="0" applyAlignment="1" applyBorder="1" applyFont="1">
      <alignment horizontal="center"/>
    </xf>
    <xf borderId="12" fillId="5" fontId="2" numFmtId="0" xfId="0" applyAlignment="1" applyBorder="1" applyFont="1">
      <alignment horizontal="center" readingOrder="0" shrinkToFit="0" wrapText="1"/>
    </xf>
    <xf borderId="0" fillId="5" fontId="2" numFmtId="0" xfId="0" applyAlignment="1" applyFont="1">
      <alignment horizontal="center" readingOrder="0"/>
    </xf>
    <xf borderId="12" fillId="5" fontId="2" numFmtId="0" xfId="0" applyAlignment="1" applyBorder="1" applyFont="1">
      <alignment horizontal="center" readingOrder="0"/>
    </xf>
    <xf borderId="11" fillId="5" fontId="10" numFmtId="0" xfId="0" applyAlignment="1" applyBorder="1" applyFont="1">
      <alignment horizontal="center"/>
    </xf>
    <xf borderId="8" fillId="5" fontId="2" numFmtId="0" xfId="0" applyAlignment="1" applyBorder="1" applyFont="1">
      <alignment horizontal="center" readingOrder="0"/>
    </xf>
    <xf borderId="0" fillId="5" fontId="21" numFmtId="10" xfId="0" applyFont="1" applyNumberFormat="1"/>
    <xf borderId="10" fillId="5" fontId="22" numFmtId="0" xfId="0" applyAlignment="1" applyBorder="1" applyFont="1">
      <alignment readingOrder="0"/>
    </xf>
    <xf borderId="10" fillId="5" fontId="13" numFmtId="0" xfId="0" applyAlignment="1" applyBorder="1" applyFont="1">
      <alignment readingOrder="0"/>
    </xf>
    <xf borderId="11" fillId="5" fontId="4" numFmtId="0" xfId="0" applyAlignment="1" applyBorder="1" applyFont="1">
      <alignment shrinkToFit="0" wrapText="1"/>
    </xf>
    <xf borderId="12" fillId="5" fontId="4" numFmtId="0" xfId="0" applyAlignment="1" applyBorder="1" applyFont="1">
      <alignment horizontal="center" readingOrder="0"/>
    </xf>
    <xf borderId="10" fillId="5" fontId="2" numFmtId="0" xfId="0" applyAlignment="1" applyBorder="1" applyFont="1">
      <alignment horizontal="center" readingOrder="0"/>
    </xf>
    <xf borderId="10" fillId="5" fontId="2" numFmtId="0" xfId="0" applyAlignment="1" applyBorder="1" applyFont="1">
      <alignment horizontal="left" readingOrder="0" shrinkToFit="0" vertical="center" wrapText="1"/>
    </xf>
    <xf borderId="11" fillId="5" fontId="2" numFmtId="0" xfId="0" applyAlignment="1" applyBorder="1" applyFont="1">
      <alignment horizontal="left" readingOrder="0" shrinkToFit="0" vertical="center" wrapText="1"/>
    </xf>
    <xf borderId="11" fillId="5" fontId="2" numFmtId="0" xfId="0" applyAlignment="1" applyBorder="1" applyFont="1">
      <alignment horizontal="center" readingOrder="0"/>
    </xf>
    <xf borderId="11" fillId="5" fontId="4" numFmtId="0" xfId="0" applyAlignment="1" applyBorder="1" applyFont="1">
      <alignment vertical="bottom"/>
    </xf>
    <xf borderId="10" fillId="5" fontId="23" numFmtId="0" xfId="0" applyAlignment="1" applyBorder="1" applyFont="1">
      <alignment readingOrder="0" vertical="bottom"/>
    </xf>
    <xf borderId="1" fillId="5" fontId="24" numFmtId="0" xfId="0" applyAlignment="1" applyBorder="1" applyFont="1">
      <alignment horizontal="left" readingOrder="0"/>
    </xf>
    <xf borderId="7" fillId="5" fontId="4" numFmtId="0" xfId="0" applyAlignment="1" applyBorder="1" applyFont="1">
      <alignment horizontal="left" readingOrder="0" vertical="bottom"/>
    </xf>
    <xf borderId="15" fillId="5" fontId="4" numFmtId="0" xfId="0" applyAlignment="1" applyBorder="1" applyFont="1">
      <alignment horizontal="center" readingOrder="0"/>
    </xf>
    <xf borderId="15" fillId="5" fontId="2" numFmtId="0" xfId="0" applyAlignment="1" applyBorder="1" applyFont="1">
      <alignment horizontal="center" readingOrder="0"/>
    </xf>
    <xf borderId="2" fillId="5" fontId="2" numFmtId="0" xfId="0" applyAlignment="1" applyBorder="1" applyFont="1">
      <alignment horizontal="center" readingOrder="0"/>
    </xf>
    <xf borderId="7" fillId="5" fontId="10" numFmtId="0" xfId="0" applyAlignment="1" applyBorder="1" applyFont="1">
      <alignment horizontal="center"/>
    </xf>
    <xf borderId="1" fillId="5" fontId="2" numFmtId="0" xfId="0" applyAlignment="1" applyBorder="1" applyFont="1">
      <alignment horizontal="center" readingOrder="0"/>
    </xf>
    <xf borderId="2" fillId="5" fontId="25" numFmtId="10" xfId="0" applyBorder="1" applyFont="1" applyNumberFormat="1"/>
    <xf borderId="1" fillId="5" fontId="26" numFmtId="0" xfId="0" applyAlignment="1" applyBorder="1" applyFont="1">
      <alignment readingOrder="0" vertical="bottom"/>
    </xf>
    <xf borderId="1" fillId="5" fontId="13" numFmtId="0" xfId="0" applyAlignment="1" applyBorder="1" applyFont="1">
      <alignment readingOrder="0"/>
    </xf>
    <xf borderId="11" fillId="6" fontId="2" numFmtId="0" xfId="0" applyAlignment="1" applyBorder="1" applyFont="1">
      <alignment horizontal="left" readingOrder="0" shrinkToFit="0" vertical="center" wrapText="1"/>
    </xf>
    <xf borderId="12" fillId="6" fontId="4" numFmtId="0" xfId="0" applyAlignment="1" applyBorder="1" applyFont="1">
      <alignment shrinkToFit="0" wrapText="1"/>
    </xf>
    <xf borderId="12" fillId="6" fontId="4" numFmtId="0" xfId="0" applyAlignment="1" applyBorder="1" applyFont="1">
      <alignment horizontal="center" readingOrder="0"/>
    </xf>
    <xf borderId="12" fillId="6" fontId="2" numFmtId="0" xfId="0" applyAlignment="1" applyBorder="1" applyFont="1">
      <alignment horizontal="center" readingOrder="0"/>
    </xf>
    <xf borderId="0" fillId="6" fontId="2" numFmtId="0" xfId="0" applyAlignment="1" applyFont="1">
      <alignment horizontal="center" readingOrder="0"/>
    </xf>
    <xf borderId="11" fillId="6" fontId="2" numFmtId="0" xfId="0" applyAlignment="1" applyBorder="1" applyFont="1">
      <alignment horizontal="center" readingOrder="0"/>
    </xf>
    <xf borderId="0" fillId="6" fontId="27" numFmtId="10" xfId="0" applyFont="1" applyNumberFormat="1"/>
    <xf borderId="11" fillId="6" fontId="28" numFmtId="0" xfId="0" applyAlignment="1" applyBorder="1" applyFont="1">
      <alignment horizontal="center" readingOrder="0" shrinkToFit="0" vertical="center" wrapText="0"/>
    </xf>
    <xf borderId="7" fillId="6" fontId="13" numFmtId="0" xfId="0" applyAlignment="1" applyBorder="1" applyFont="1">
      <alignment horizontal="left" readingOrder="0" shrinkToFit="0" vertical="center" wrapText="1"/>
    </xf>
    <xf borderId="7" fillId="6" fontId="4" numFmtId="0" xfId="0" applyAlignment="1" applyBorder="1" applyFont="1">
      <alignment readingOrder="0" shrinkToFit="0" wrapText="1"/>
    </xf>
    <xf borderId="15" fillId="6" fontId="4" numFmtId="0" xfId="0" applyAlignment="1" applyBorder="1" applyFont="1">
      <alignment horizontal="center" readingOrder="0"/>
    </xf>
    <xf borderId="2" fillId="6" fontId="2" numFmtId="0" xfId="0" applyAlignment="1" applyBorder="1" applyFont="1">
      <alignment horizontal="center" readingOrder="0"/>
    </xf>
    <xf borderId="15" fillId="6" fontId="2" numFmtId="0" xfId="0" applyAlignment="1" applyBorder="1" applyFont="1">
      <alignment horizontal="center" readingOrder="0"/>
    </xf>
    <xf borderId="7" fillId="6" fontId="2" numFmtId="0" xfId="0" applyAlignment="1" applyBorder="1" applyFont="1">
      <alignment horizontal="center" readingOrder="0"/>
    </xf>
    <xf borderId="2" fillId="6" fontId="29" numFmtId="10" xfId="0" applyBorder="1" applyFont="1" applyNumberFormat="1"/>
    <xf borderId="7" fillId="6" fontId="30" numFmtId="0" xfId="0" applyAlignment="1" applyBorder="1" applyFont="1">
      <alignment readingOrder="0"/>
    </xf>
    <xf borderId="2" fillId="6" fontId="2" numFmtId="0" xfId="0" applyAlignment="1" applyBorder="1" applyFont="1">
      <alignment readingOrder="0"/>
    </xf>
    <xf borderId="0" fillId="8" fontId="16" numFmtId="0" xfId="0" applyAlignment="1" applyFill="1" applyFont="1">
      <alignment readingOrder="0"/>
    </xf>
    <xf borderId="0" fillId="0" fontId="4" numFmtId="0" xfId="0" applyAlignment="1" applyFont="1">
      <alignment readingOrder="0" vertical="bottom"/>
    </xf>
    <xf borderId="0" fillId="0" fontId="31" numFmtId="0" xfId="0" applyAlignment="1" applyFont="1">
      <alignment shrinkToFit="0" wrapText="0"/>
    </xf>
    <xf borderId="11" fillId="0" fontId="2" numFmtId="0" xfId="0" applyAlignment="1" applyBorder="1" applyFont="1">
      <alignment horizontal="center" readingOrder="0"/>
    </xf>
    <xf borderId="0" fillId="0" fontId="2" numFmtId="0" xfId="0" applyFont="1"/>
    <xf borderId="3" fillId="0" fontId="2" numFmtId="0" xfId="0" applyAlignment="1" applyBorder="1" applyFont="1">
      <alignment horizontal="center" readingOrder="0"/>
    </xf>
    <xf borderId="0" fillId="0" fontId="32" numFmtId="0" xfId="0" applyAlignment="1" applyFont="1">
      <alignment readingOrder="0" shrinkToFit="0" wrapText="0"/>
    </xf>
    <xf borderId="7" fillId="0" fontId="2" numFmtId="0" xfId="0" applyAlignment="1" applyBorder="1" applyFont="1">
      <alignment readingOrder="0"/>
    </xf>
    <xf borderId="1" fillId="0" fontId="2" numFmtId="0" xfId="0" applyAlignment="1" applyBorder="1" applyFont="1">
      <alignment horizontal="center" readingOrder="0"/>
    </xf>
    <xf borderId="0" fillId="8" fontId="33" numFmtId="0" xfId="0" applyAlignment="1" applyFont="1">
      <alignment readingOrder="0" vertical="bottom"/>
    </xf>
    <xf borderId="6" fillId="9" fontId="33" numFmtId="0" xfId="0" applyAlignment="1" applyBorder="1" applyFill="1" applyFont="1">
      <alignment horizontal="center" readingOrder="0" vertical="top"/>
    </xf>
    <xf borderId="6" fillId="9" fontId="4" numFmtId="0" xfId="0" applyAlignment="1" applyBorder="1" applyFont="1">
      <alignment horizontal="center" readingOrder="0" shrinkToFit="0" wrapText="0"/>
    </xf>
    <xf borderId="6" fillId="9" fontId="2" numFmtId="0" xfId="0" applyAlignment="1" applyBorder="1" applyFont="1">
      <alignment horizontal="center" readingOrder="0"/>
    </xf>
    <xf borderId="3" fillId="9" fontId="2" numFmtId="0" xfId="0" applyAlignment="1" applyBorder="1" applyFont="1">
      <alignment horizontal="center" readingOrder="0"/>
    </xf>
    <xf borderId="10" fillId="0" fontId="2" numFmtId="0" xfId="0" applyAlignment="1" applyBorder="1" applyFont="1">
      <alignment horizontal="center" readingOrder="0"/>
    </xf>
    <xf borderId="14" fillId="0" fontId="2" numFmtId="0" xfId="0" applyAlignment="1" applyBorder="1" applyFont="1">
      <alignment readingOrder="0"/>
    </xf>
    <xf borderId="3" fillId="10" fontId="2" numFmtId="0" xfId="0" applyAlignment="1" applyBorder="1" applyFill="1" applyFont="1">
      <alignment readingOrder="0"/>
    </xf>
    <xf borderId="4" fillId="10" fontId="2" numFmtId="0" xfId="0" applyBorder="1" applyFont="1"/>
    <xf borderId="4" fillId="10" fontId="2" numFmtId="0" xfId="0" applyAlignment="1" applyBorder="1" applyFont="1">
      <alignment readingOrder="0"/>
    </xf>
    <xf borderId="10" fillId="9" fontId="2" numFmtId="0" xfId="0" applyAlignment="1" applyBorder="1" applyFont="1">
      <alignment horizontal="center" readingOrder="0"/>
    </xf>
    <xf borderId="11" fillId="9" fontId="2" numFmtId="0" xfId="0" applyAlignment="1" applyBorder="1" applyFont="1">
      <alignment horizontal="center" readingOrder="0"/>
    </xf>
    <xf borderId="0" fillId="9" fontId="2" numFmtId="0" xfId="0" applyAlignment="1" applyFont="1">
      <alignment horizontal="center" readingOrder="0"/>
    </xf>
    <xf borderId="12" fillId="9" fontId="2" numFmtId="1" xfId="0" applyAlignment="1" applyBorder="1" applyFont="1" applyNumberFormat="1">
      <alignment horizontal="center" readingOrder="0"/>
    </xf>
    <xf borderId="12" fillId="9" fontId="2" numFmtId="0" xfId="0" applyAlignment="1" applyBorder="1" applyFont="1">
      <alignment horizontal="center" readingOrder="0"/>
    </xf>
    <xf borderId="0" fillId="9" fontId="2" numFmtId="0" xfId="0" applyAlignment="1" applyFont="1">
      <alignment readingOrder="0"/>
    </xf>
    <xf borderId="10" fillId="10" fontId="2" numFmtId="0" xfId="0" applyAlignment="1" applyBorder="1" applyFont="1">
      <alignment readingOrder="0"/>
    </xf>
    <xf borderId="0" fillId="10" fontId="2" numFmtId="0" xfId="0" applyFont="1"/>
    <xf borderId="0" fillId="10" fontId="2" numFmtId="4" xfId="0" applyAlignment="1" applyFont="1" applyNumberFormat="1">
      <alignment horizontal="center"/>
    </xf>
    <xf borderId="0" fillId="0" fontId="2" numFmtId="4" xfId="0" applyAlignment="1" applyFont="1" applyNumberFormat="1">
      <alignment horizontal="center" readingOrder="0"/>
    </xf>
    <xf borderId="11" fillId="9" fontId="2" numFmtId="1" xfId="0" applyAlignment="1" applyBorder="1" applyFont="1" applyNumberFormat="1">
      <alignment horizontal="center" readingOrder="0"/>
    </xf>
    <xf borderId="10" fillId="9" fontId="2" numFmtId="0" xfId="0" applyAlignment="1" applyBorder="1" applyFont="1">
      <alignment readingOrder="0"/>
    </xf>
    <xf borderId="11" fillId="0" fontId="2" numFmtId="0" xfId="0" applyAlignment="1" applyBorder="1" applyFont="1">
      <alignment readingOrder="0"/>
    </xf>
    <xf borderId="0" fillId="10" fontId="2" numFmtId="0" xfId="0" applyAlignment="1" applyFont="1">
      <alignment horizontal="center" readingOrder="0"/>
    </xf>
    <xf borderId="0" fillId="0" fontId="2" numFmtId="0" xfId="0" applyAlignment="1" applyFont="1">
      <alignment horizontal="center" readingOrder="0"/>
    </xf>
    <xf borderId="0" fillId="10" fontId="2" numFmtId="0" xfId="0" applyAlignment="1" applyFont="1">
      <alignment horizontal="center"/>
    </xf>
    <xf borderId="15" fillId="9" fontId="2" numFmtId="0" xfId="0" applyAlignment="1" applyBorder="1" applyFont="1">
      <alignment horizontal="center" readingOrder="0"/>
    </xf>
    <xf borderId="2" fillId="9" fontId="2" numFmtId="0" xfId="0" applyAlignment="1" applyBorder="1" applyFont="1">
      <alignment horizontal="center" readingOrder="0"/>
    </xf>
    <xf borderId="7" fillId="9" fontId="2" numFmtId="0" xfId="0" applyAlignment="1" applyBorder="1" applyFont="1">
      <alignment horizontal="center" readingOrder="0"/>
    </xf>
    <xf borderId="7" fillId="9" fontId="2" numFmtId="1" xfId="0" applyAlignment="1" applyBorder="1" applyFont="1" applyNumberFormat="1">
      <alignment horizontal="center" readingOrder="0"/>
    </xf>
    <xf borderId="1" fillId="9" fontId="2" numFmtId="0" xfId="0" applyAlignment="1" applyBorder="1" applyFont="1">
      <alignment readingOrder="0"/>
    </xf>
    <xf borderId="0" fillId="10" fontId="2" numFmtId="3" xfId="0" applyAlignment="1" applyFont="1" applyNumberFormat="1">
      <alignment horizontal="center"/>
    </xf>
    <xf borderId="0" fillId="10" fontId="2" numFmtId="10" xfId="0" applyAlignment="1" applyFont="1" applyNumberFormat="1">
      <alignment horizontal="center"/>
    </xf>
    <xf borderId="13" fillId="0" fontId="2" numFmtId="0" xfId="0" applyAlignment="1" applyBorder="1" applyFont="1">
      <alignment horizontal="center" readingOrder="0"/>
    </xf>
    <xf borderId="11" fillId="9" fontId="2" numFmtId="0" xfId="0" applyAlignment="1" applyBorder="1" applyFont="1">
      <alignment readingOrder="0"/>
    </xf>
    <xf borderId="13" fillId="0" fontId="2" numFmtId="0" xfId="0" applyAlignment="1" applyBorder="1" applyFont="1">
      <alignment readingOrder="0"/>
    </xf>
    <xf borderId="0" fillId="10" fontId="2" numFmtId="1" xfId="0" applyAlignment="1" applyFont="1" applyNumberFormat="1">
      <alignment horizontal="center"/>
    </xf>
    <xf borderId="2" fillId="11" fontId="2" numFmtId="0" xfId="0" applyAlignment="1" applyBorder="1" applyFill="1" applyFont="1">
      <alignment horizontal="left" readingOrder="0"/>
    </xf>
    <xf borderId="2" fillId="11" fontId="2" numFmtId="0" xfId="0" applyAlignment="1" applyBorder="1" applyFont="1">
      <alignment horizontal="center"/>
    </xf>
    <xf borderId="15" fillId="11" fontId="2" numFmtId="0" xfId="0" applyAlignment="1" applyBorder="1" applyFont="1">
      <alignment horizontal="center" readingOrder="0"/>
    </xf>
    <xf borderId="0" fillId="0" fontId="2" numFmtId="9" xfId="0" applyAlignment="1" applyFont="1" applyNumberFormat="1">
      <alignment horizontal="center" readingOrder="0"/>
    </xf>
    <xf borderId="14" fillId="11" fontId="2" numFmtId="0" xfId="0" applyAlignment="1" applyBorder="1" applyFont="1">
      <alignment horizontal="center" readingOrder="0"/>
    </xf>
    <xf borderId="11" fillId="11" fontId="2" numFmtId="0" xfId="0" applyAlignment="1" applyBorder="1" applyFont="1">
      <alignment horizontal="center" readingOrder="0"/>
    </xf>
    <xf borderId="12" fillId="11" fontId="2" numFmtId="0" xfId="0" applyAlignment="1" applyBorder="1" applyFont="1">
      <alignment horizontal="center" readingOrder="0"/>
    </xf>
    <xf borderId="7" fillId="11" fontId="2" numFmtId="0" xfId="0" applyAlignment="1" applyBorder="1" applyFont="1">
      <alignment horizontal="center" readingOrder="0"/>
    </xf>
    <xf borderId="7" fillId="11" fontId="2" numFmtId="1" xfId="0" applyAlignment="1" applyBorder="1" applyFont="1" applyNumberFormat="1">
      <alignment horizontal="center" readingOrder="0"/>
    </xf>
    <xf borderId="15" fillId="11" fontId="2" numFmtId="164" xfId="0" applyAlignment="1" applyBorder="1" applyFont="1" applyNumberFormat="1">
      <alignment horizontal="center" readingOrder="0"/>
    </xf>
    <xf borderId="7" fillId="11" fontId="2" numFmtId="0" xfId="0" applyAlignment="1" applyBorder="1" applyFont="1">
      <alignment horizontal="center"/>
    </xf>
    <xf borderId="15" fillId="11" fontId="2" numFmtId="165" xfId="0" applyAlignment="1" applyBorder="1" applyFont="1" applyNumberFormat="1">
      <alignment horizontal="center"/>
    </xf>
    <xf borderId="0" fillId="11" fontId="2" numFmtId="0" xfId="0" applyAlignment="1" applyFont="1">
      <alignment horizontal="center"/>
    </xf>
    <xf borderId="15" fillId="11" fontId="2" numFmtId="1" xfId="0" applyAlignment="1" applyBorder="1" applyFont="1" applyNumberFormat="1">
      <alignment horizontal="center"/>
    </xf>
    <xf borderId="15" fillId="11" fontId="2" numFmtId="166" xfId="0" applyAlignment="1" applyBorder="1" applyFont="1" applyNumberFormat="1">
      <alignment horizontal="center"/>
    </xf>
    <xf borderId="15" fillId="11" fontId="2" numFmtId="167" xfId="0" applyAlignment="1" applyBorder="1" applyFont="1" applyNumberFormat="1">
      <alignment horizontal="center"/>
    </xf>
    <xf borderId="0" fillId="0" fontId="2" numFmtId="0" xfId="0" applyAlignment="1" applyFont="1">
      <alignment horizontal="center"/>
    </xf>
    <xf borderId="0" fillId="11" fontId="2" numFmtId="0" xfId="0" applyFont="1"/>
    <xf borderId="15" fillId="11" fontId="2" numFmtId="0" xfId="0" applyAlignment="1" applyBorder="1" applyFont="1">
      <alignment horizontal="center"/>
    </xf>
    <xf borderId="0" fillId="12" fontId="2" numFmtId="0" xfId="0" applyAlignment="1" applyFill="1" applyFont="1">
      <alignment readingOrder="0"/>
    </xf>
    <xf borderId="0" fillId="12" fontId="2" numFmtId="0" xfId="0" applyFont="1"/>
    <xf borderId="0" fillId="12" fontId="2" numFmtId="9" xfId="0" applyAlignment="1" applyFont="1" applyNumberFormat="1">
      <alignment readingOrder="0"/>
    </xf>
    <xf borderId="0" fillId="0" fontId="2" numFmtId="9" xfId="0" applyAlignment="1" applyFont="1" applyNumberFormat="1">
      <alignment readingOrder="0"/>
    </xf>
    <xf borderId="12" fillId="7" fontId="2" numFmtId="0" xfId="0" applyAlignment="1" applyBorder="1" applyFont="1">
      <alignment horizontal="center" readingOrder="0"/>
    </xf>
    <xf borderId="3" fillId="12" fontId="2" numFmtId="0" xfId="0" applyAlignment="1" applyBorder="1" applyFont="1">
      <alignment readingOrder="0"/>
    </xf>
    <xf borderId="4" fillId="12" fontId="2" numFmtId="0" xfId="0" applyAlignment="1" applyBorder="1" applyFont="1">
      <alignment readingOrder="0"/>
    </xf>
    <xf borderId="5" fillId="12" fontId="2" numFmtId="0" xfId="0" applyAlignment="1" applyBorder="1" applyFont="1">
      <alignment readingOrder="0"/>
    </xf>
    <xf borderId="10" fillId="12" fontId="2" numFmtId="9" xfId="0" applyAlignment="1" applyBorder="1" applyFont="1" applyNumberFormat="1">
      <alignment readingOrder="0"/>
    </xf>
    <xf borderId="12" fillId="12" fontId="2" numFmtId="0" xfId="0" applyBorder="1" applyFont="1"/>
    <xf borderId="1" fillId="12" fontId="2" numFmtId="9" xfId="0" applyAlignment="1" applyBorder="1" applyFont="1" applyNumberFormat="1">
      <alignment readingOrder="0"/>
    </xf>
    <xf borderId="2" fillId="12" fontId="2" numFmtId="0" xfId="0" applyAlignment="1" applyBorder="1" applyFont="1">
      <alignment readingOrder="0"/>
    </xf>
    <xf borderId="15" fillId="12" fontId="2" numFmtId="0" xfId="0" applyBorder="1" applyFont="1"/>
    <xf borderId="10" fillId="5" fontId="16" numFmtId="0" xfId="0" applyBorder="1" applyFont="1"/>
    <xf borderId="11" fillId="5" fontId="16" numFmtId="0" xfId="0" applyBorder="1" applyFont="1"/>
    <xf borderId="10" fillId="5" fontId="34" numFmtId="0" xfId="0" applyAlignment="1" applyBorder="1" applyFont="1">
      <alignment readingOrder="0"/>
    </xf>
    <xf borderId="0" fillId="0" fontId="35" numFmtId="0" xfId="0" applyAlignment="1" applyFont="1">
      <alignment readingOrder="0"/>
    </xf>
    <xf borderId="0" fillId="8" fontId="36" numFmtId="0" xfId="0" applyAlignment="1" applyFont="1">
      <alignment readingOrder="0" vertical="bottom"/>
    </xf>
    <xf borderId="3" fillId="13" fontId="2" numFmtId="0" xfId="0" applyAlignment="1" applyBorder="1" applyFill="1" applyFont="1">
      <alignment readingOrder="0"/>
    </xf>
    <xf borderId="4" fillId="13" fontId="2" numFmtId="0" xfId="0" applyAlignment="1" applyBorder="1" applyFont="1">
      <alignment readingOrder="0"/>
    </xf>
    <xf borderId="5" fillId="13" fontId="2" numFmtId="0" xfId="0" applyAlignment="1" applyBorder="1" applyFont="1">
      <alignment readingOrder="0"/>
    </xf>
    <xf borderId="8" fillId="13" fontId="2" numFmtId="9" xfId="0" applyAlignment="1" applyBorder="1" applyFont="1" applyNumberFormat="1">
      <alignment horizontal="center" readingOrder="0"/>
    </xf>
    <xf borderId="13" fillId="13" fontId="2" numFmtId="0" xfId="0" applyAlignment="1" applyBorder="1" applyFont="1">
      <alignment horizontal="center" readingOrder="0"/>
    </xf>
    <xf borderId="9" fillId="13" fontId="2" numFmtId="0" xfId="0" applyAlignment="1" applyBorder="1" applyFont="1">
      <alignment horizontal="center" readingOrder="0"/>
    </xf>
    <xf borderId="10" fillId="13" fontId="2" numFmtId="9" xfId="0" applyAlignment="1" applyBorder="1" applyFont="1" applyNumberFormat="1">
      <alignment horizontal="center" readingOrder="0"/>
    </xf>
    <xf borderId="0" fillId="13" fontId="2" numFmtId="0" xfId="0" applyAlignment="1" applyFont="1">
      <alignment horizontal="center" readingOrder="0"/>
    </xf>
    <xf borderId="12" fillId="13" fontId="2" numFmtId="0" xfId="0" applyAlignment="1" applyBorder="1" applyFont="1">
      <alignment horizontal="center" readingOrder="0"/>
    </xf>
    <xf borderId="1" fillId="13" fontId="2" numFmtId="9" xfId="0" applyAlignment="1" applyBorder="1" applyFont="1" applyNumberFormat="1">
      <alignment horizontal="center" readingOrder="0"/>
    </xf>
    <xf borderId="2" fillId="13" fontId="2" numFmtId="0" xfId="0" applyAlignment="1" applyBorder="1" applyFont="1">
      <alignment horizontal="center" readingOrder="0"/>
    </xf>
    <xf borderId="15" fillId="13" fontId="2" numFmtId="0" xfId="0" applyAlignment="1" applyBorder="1" applyFont="1">
      <alignment horizontal="center" readingOrder="0"/>
    </xf>
    <xf borderId="10" fillId="0" fontId="2" numFmtId="9" xfId="0" applyAlignment="1" applyBorder="1" applyFont="1" applyNumberFormat="1">
      <alignment readingOrder="0"/>
    </xf>
    <xf borderId="1" fillId="0" fontId="2" numFmtId="9" xfId="0" applyAlignment="1" applyBorder="1" applyFont="1" applyNumberFormat="1">
      <alignment readingOrder="0"/>
    </xf>
    <xf borderId="10" fillId="4" fontId="33" numFmtId="0" xfId="0" applyAlignment="1" applyBorder="1" applyFont="1">
      <alignment readingOrder="0" shrinkToFit="0" vertical="bottom" wrapText="0"/>
    </xf>
    <xf borderId="11" fillId="4" fontId="4" numFmtId="0" xfId="0" applyAlignment="1" applyBorder="1" applyFont="1">
      <alignment readingOrder="0" vertical="bottom"/>
    </xf>
    <xf borderId="10" fillId="4" fontId="37" numFmtId="0" xfId="0" applyAlignment="1" applyBorder="1" applyFont="1">
      <alignment readingOrder="0" shrinkToFit="0" vertical="bottom" wrapText="0"/>
    </xf>
    <xf borderId="10" fillId="4" fontId="38" numFmtId="0" xfId="0" applyAlignment="1" applyBorder="1" applyFont="1">
      <alignment readingOrder="0"/>
    </xf>
    <xf borderId="10" fillId="4" fontId="33" numFmtId="0" xfId="0" applyAlignment="1" applyBorder="1" applyFont="1">
      <alignment readingOrder="0" vertical="top"/>
    </xf>
    <xf borderId="11" fillId="4" fontId="4" numFmtId="0" xfId="0" applyAlignment="1" applyBorder="1" applyFont="1">
      <alignment vertical="bottom"/>
    </xf>
    <xf borderId="10" fillId="5" fontId="24" numFmtId="0" xfId="0" applyAlignment="1" applyBorder="1" applyFont="1">
      <alignment horizontal="left" readingOrder="0"/>
    </xf>
    <xf borderId="11" fillId="5" fontId="4" numFmtId="0" xfId="0" applyAlignment="1" applyBorder="1" applyFont="1">
      <alignment horizontal="left" readingOrder="0" vertical="bottom"/>
    </xf>
    <xf borderId="10" fillId="5" fontId="0" numFmtId="0" xfId="0" applyAlignment="1" applyBorder="1" applyFont="1">
      <alignment readingOrder="0"/>
    </xf>
    <xf borderId="11" fillId="6" fontId="13" numFmtId="0" xfId="0" applyAlignment="1" applyBorder="1" applyFont="1">
      <alignment horizontal="left" readingOrder="0"/>
    </xf>
    <xf borderId="12" fillId="6" fontId="4" numFmtId="0" xfId="0" applyAlignment="1" applyBorder="1" applyFont="1">
      <alignment readingOrder="0" shrinkToFit="0" wrapText="1"/>
    </xf>
    <xf borderId="11" fillId="6" fontId="39" numFmtId="0" xfId="0" applyAlignment="1" applyBorder="1" applyFont="1">
      <alignment readingOrder="0"/>
    </xf>
    <xf borderId="0" fillId="6" fontId="0" numFmtId="0" xfId="0" applyAlignment="1" applyFont="1">
      <alignment readingOrder="0"/>
    </xf>
    <xf borderId="5" fillId="11" fontId="2" numFmtId="0" xfId="0" applyAlignment="1" applyBorder="1" applyFont="1">
      <alignment horizontal="center" readingOrder="0"/>
    </xf>
    <xf borderId="11" fillId="4" fontId="2" numFmtId="0" xfId="0" applyAlignment="1" applyBorder="1" applyFont="1">
      <alignment horizontal="left" readingOrder="0" shrinkToFit="0" vertical="center" wrapText="1"/>
    </xf>
    <xf borderId="0" fillId="4" fontId="4" numFmtId="0" xfId="0" applyAlignment="1" applyFont="1">
      <alignment readingOrder="0" vertical="bottom"/>
    </xf>
    <xf borderId="11" fillId="4" fontId="4" numFmtId="0" xfId="0" applyAlignment="1" applyBorder="1" applyFont="1">
      <alignment horizontal="center" readingOrder="0" vertical="bottom"/>
    </xf>
    <xf borderId="0" fillId="4" fontId="4" numFmtId="0" xfId="0" applyAlignment="1" applyFont="1">
      <alignment horizontal="center" readingOrder="0" vertical="bottom"/>
    </xf>
    <xf borderId="10" fillId="4" fontId="4" numFmtId="0" xfId="0" applyAlignment="1" applyBorder="1" applyFont="1">
      <alignment horizontal="center" readingOrder="0" vertical="bottom"/>
    </xf>
    <xf borderId="12" fillId="4" fontId="40" numFmtId="10" xfId="0" applyBorder="1" applyFont="1" applyNumberFormat="1"/>
    <xf borderId="0" fillId="4" fontId="41" numFmtId="0" xfId="0" applyAlignment="1" applyFont="1">
      <alignment readingOrder="0" vertical="bottom"/>
    </xf>
    <xf borderId="0" fillId="4" fontId="4" numFmtId="0" xfId="0" applyAlignment="1" applyFont="1">
      <alignment vertical="bottom"/>
    </xf>
    <xf borderId="0" fillId="4" fontId="33" numFmtId="0" xfId="0" applyAlignment="1" applyFont="1">
      <alignment readingOrder="0" shrinkToFit="0" vertical="bottom" wrapText="0"/>
    </xf>
    <xf borderId="0" fillId="4" fontId="33" numFmtId="0" xfId="0" applyAlignment="1" applyFont="1">
      <alignment readingOrder="0" vertical="top"/>
    </xf>
    <xf borderId="0" fillId="5" fontId="24" numFmtId="0" xfId="0" applyAlignment="1" applyFont="1">
      <alignment horizontal="left" readingOrder="0"/>
    </xf>
    <xf borderId="0" fillId="6" fontId="16" numFmtId="0" xfId="0" applyAlignment="1" applyFont="1">
      <alignment vertical="bottom"/>
    </xf>
    <xf borderId="11" fillId="6" fontId="4" numFmtId="0" xfId="0" applyAlignment="1" applyBorder="1" applyFont="1">
      <alignment readingOrder="0" shrinkToFit="0" wrapText="1"/>
    </xf>
    <xf borderId="11" fillId="6" fontId="42" numFmtId="0" xfId="0" applyBorder="1" applyFont="1"/>
    <xf borderId="0" fillId="6" fontId="16" numFmtId="0" xfId="0" applyAlignment="1" applyFont="1">
      <alignment readingOrder="0" vertical="bottom"/>
    </xf>
    <xf borderId="11" fillId="6" fontId="43" numFmtId="0" xfId="0" applyAlignment="1" applyBorder="1" applyFont="1">
      <alignment readingOrder="0"/>
    </xf>
    <xf borderId="12" fillId="6" fontId="2" numFmtId="0" xfId="0" applyAlignment="1" applyBorder="1" applyFont="1">
      <alignment horizontal="left" readingOrder="0" shrinkToFit="0" vertical="center" wrapText="1"/>
    </xf>
    <xf borderId="7" fillId="9" fontId="2" numFmtId="0" xfId="0" applyAlignment="1" applyBorder="1" applyFont="1">
      <alignment readingOrder="0"/>
    </xf>
    <xf borderId="11" fillId="5" fontId="10" numFmtId="0" xfId="0" applyAlignment="1" applyBorder="1" applyFont="1">
      <alignment horizontal="center" readingOrder="0"/>
    </xf>
    <xf borderId="7" fillId="6" fontId="44" numFmtId="0" xfId="0" applyBorder="1" applyFont="1"/>
    <xf borderId="2" fillId="0" fontId="2" numFmtId="0" xfId="0" applyAlignment="1" applyBorder="1" applyFont="1">
      <alignment horizontal="center" readingOrder="0"/>
    </xf>
    <xf borderId="1" fillId="10" fontId="2" numFmtId="0" xfId="0" applyAlignment="1" applyBorder="1" applyFont="1">
      <alignment readingOrder="0"/>
    </xf>
    <xf borderId="2" fillId="10" fontId="2" numFmtId="0" xfId="0" applyAlignment="1" applyBorder="1" applyFont="1">
      <alignment horizontal="center"/>
    </xf>
    <xf borderId="11" fillId="2" fontId="45" numFmtId="0" xfId="0" applyAlignment="1" applyBorder="1" applyFont="1">
      <alignment readingOrder="0"/>
    </xf>
    <xf borderId="10" fillId="12" fontId="2" numFmtId="0" xfId="0" applyAlignment="1" applyBorder="1" applyFont="1">
      <alignment readingOrder="0"/>
    </xf>
    <xf borderId="0" fillId="0" fontId="4" numFmtId="0" xfId="0" applyAlignment="1" applyFont="1">
      <alignment vertical="bottom"/>
    </xf>
    <xf borderId="11" fillId="4" fontId="46" numFmtId="0" xfId="0" applyAlignment="1" applyBorder="1" applyFont="1">
      <alignment readingOrder="0"/>
    </xf>
    <xf borderId="12" fillId="0" fontId="2" numFmtId="0" xfId="0" applyBorder="1" applyFont="1"/>
    <xf borderId="10" fillId="0" fontId="3" numFmtId="0" xfId="0" applyBorder="1" applyFont="1"/>
    <xf borderId="6" fillId="4" fontId="47" numFmtId="0" xfId="0" applyAlignment="1" applyBorder="1" applyFont="1">
      <alignment readingOrder="0" shrinkToFit="0" vertical="bottom" wrapText="0"/>
    </xf>
    <xf borderId="11" fillId="5" fontId="48" numFmtId="0" xfId="0" applyAlignment="1" applyBorder="1" applyFont="1">
      <alignment readingOrder="0"/>
    </xf>
    <xf borderId="13" fillId="5" fontId="2" numFmtId="0" xfId="0" applyAlignment="1" applyBorder="1" applyFont="1">
      <alignment readingOrder="0"/>
    </xf>
    <xf borderId="10" fillId="5" fontId="4" numFmtId="0" xfId="0" applyAlignment="1" applyBorder="1" applyFont="1">
      <alignment readingOrder="0" shrinkToFit="0" wrapText="1"/>
    </xf>
    <xf borderId="0" fillId="5" fontId="5" numFmtId="0" xfId="0" applyAlignment="1" applyFont="1">
      <alignment horizontal="center" readingOrder="0"/>
    </xf>
    <xf borderId="11" fillId="5" fontId="49" numFmtId="0" xfId="0" applyAlignment="1" applyBorder="1" applyFont="1">
      <alignment readingOrder="0" vertical="bottom"/>
    </xf>
    <xf borderId="11" fillId="5" fontId="4" numFmtId="0" xfId="0" applyAlignment="1" applyBorder="1" applyFont="1">
      <alignment readingOrder="0" vertical="bottom"/>
    </xf>
    <xf borderId="1" fillId="9" fontId="2" numFmtId="0" xfId="0" applyAlignment="1" applyBorder="1" applyFont="1">
      <alignment horizontal="center" readingOrder="0"/>
    </xf>
    <xf borderId="2" fillId="9" fontId="2" numFmtId="0" xfId="0" applyAlignment="1" applyBorder="1" applyFont="1">
      <alignment readingOrder="0"/>
    </xf>
    <xf borderId="14" fillId="0" fontId="2" numFmtId="0" xfId="0" applyAlignment="1" applyBorder="1" applyFont="1">
      <alignment horizontal="center" readingOrder="0"/>
    </xf>
    <xf borderId="8" fillId="2" fontId="2" numFmtId="0" xfId="0" applyAlignment="1" applyBorder="1" applyFont="1">
      <alignment horizontal="center" readingOrder="0"/>
    </xf>
    <xf borderId="0" fillId="2" fontId="4" numFmtId="0" xfId="0" applyAlignment="1" applyFont="1">
      <alignment readingOrder="0" vertical="bottom"/>
    </xf>
    <xf borderId="11" fillId="2" fontId="50" numFmtId="0" xfId="0" applyAlignment="1" applyBorder="1" applyFont="1">
      <alignment readingOrder="0"/>
    </xf>
    <xf borderId="10" fillId="2" fontId="2" numFmtId="0" xfId="0" applyAlignment="1" applyBorder="1" applyFont="1">
      <alignment horizontal="center" readingOrder="0"/>
    </xf>
    <xf borderId="6" fillId="4" fontId="2" numFmtId="0" xfId="0" applyAlignment="1" applyBorder="1" applyFont="1">
      <alignment horizontal="left" readingOrder="0" shrinkToFit="0" vertical="center" wrapText="1"/>
    </xf>
    <xf borderId="10" fillId="4" fontId="4" numFmtId="0" xfId="0" applyAlignment="1" applyBorder="1" applyFont="1">
      <alignment readingOrder="0" vertical="bottom"/>
    </xf>
    <xf borderId="12" fillId="4" fontId="4" numFmtId="0" xfId="0" applyAlignment="1" applyBorder="1" applyFont="1">
      <alignment horizontal="center" readingOrder="0" vertical="bottom"/>
    </xf>
    <xf borderId="10" fillId="4" fontId="2" numFmtId="0" xfId="0" applyAlignment="1" applyBorder="1" applyFont="1">
      <alignment horizontal="center" readingOrder="0"/>
    </xf>
    <xf borderId="10" fillId="0" fontId="2" numFmtId="0" xfId="0" applyBorder="1" applyFont="1"/>
    <xf borderId="0" fillId="6" fontId="13" numFmtId="0" xfId="0" applyAlignment="1" applyFont="1">
      <alignment horizontal="left" readingOrder="0"/>
    </xf>
    <xf borderId="11" fillId="6" fontId="16" numFmtId="0" xfId="0" applyAlignment="1" applyBorder="1" applyFont="1">
      <alignment readingOrder="0" vertical="bottom"/>
    </xf>
    <xf borderId="12" fillId="6" fontId="4" numFmtId="0" xfId="0" applyAlignment="1" applyBorder="1" applyFont="1">
      <alignment shrinkToFit="0" wrapText="1"/>
    </xf>
    <xf borderId="6" fillId="6" fontId="13" numFmtId="0" xfId="0" applyAlignment="1" applyBorder="1" applyFont="1">
      <alignment horizontal="left" readingOrder="0" shrinkToFit="0" vertical="center" wrapText="1"/>
    </xf>
    <xf borderId="6" fillId="0" fontId="2" numFmtId="0" xfId="0" applyAlignment="1" applyBorder="1" applyFont="1">
      <alignment horizontal="center" readingOrder="0"/>
    </xf>
    <xf borderId="10" fillId="4" fontId="2" numFmtId="0" xfId="0" applyAlignment="1" applyBorder="1" applyFont="1">
      <alignment readingOrder="0"/>
    </xf>
    <xf borderId="12" fillId="14" fontId="2" numFmtId="0" xfId="0" applyAlignment="1" applyBorder="1" applyFill="1" applyFont="1">
      <alignment horizontal="center" readingOrder="0"/>
    </xf>
    <xf borderId="12" fillId="6" fontId="5" numFmtId="0" xfId="0" applyAlignment="1" applyBorder="1" applyFont="1">
      <alignment readingOrder="0" shrinkToFit="0" wrapText="1"/>
    </xf>
    <xf borderId="15" fillId="14" fontId="2" numFmtId="0" xfId="0" applyAlignment="1" applyBorder="1" applyFont="1">
      <alignment horizontal="center" readingOrder="0"/>
    </xf>
    <xf borderId="0" fillId="4" fontId="4" numFmtId="0" xfId="0" applyAlignment="1" applyFont="1">
      <alignment readingOrder="0" shrinkToFit="0" wrapText="1"/>
    </xf>
    <xf borderId="11" fillId="4" fontId="4" numFmtId="0" xfId="0" applyAlignment="1" applyBorder="1" applyFont="1">
      <alignment shrinkToFit="0" wrapText="1"/>
    </xf>
    <xf borderId="0" fillId="4" fontId="4" numFmtId="0" xfId="0" applyAlignment="1" applyFont="1">
      <alignment shrinkToFit="0" vertical="bottom" wrapText="1"/>
    </xf>
    <xf borderId="10" fillId="4" fontId="4" numFmtId="0" xfId="0" applyAlignment="1" applyBorder="1" applyFont="1">
      <alignment vertical="bottom"/>
    </xf>
    <xf borderId="11" fillId="4" fontId="4" numFmtId="0" xfId="0" applyAlignment="1" applyBorder="1" applyFont="1">
      <alignment horizontal="center" vertical="bottom"/>
    </xf>
    <xf borderId="0" fillId="4" fontId="4" numFmtId="0" xfId="0" applyAlignment="1" applyFont="1">
      <alignment horizontal="center" vertical="bottom"/>
    </xf>
    <xf borderId="11" fillId="4" fontId="51" numFmtId="10" xfId="0" applyBorder="1" applyFont="1" applyNumberFormat="1"/>
    <xf borderId="0" fillId="4" fontId="52" numFmtId="0" xfId="0" applyAlignment="1" applyFont="1">
      <alignment vertical="bottom"/>
    </xf>
    <xf borderId="0" fillId="15" fontId="13" numFmtId="0" xfId="0" applyAlignment="1" applyFill="1" applyFont="1">
      <alignment horizontal="left" readingOrder="0"/>
    </xf>
    <xf borderId="11" fillId="15" fontId="4" numFmtId="0" xfId="0" applyAlignment="1" applyBorder="1" applyFont="1">
      <alignment readingOrder="0" shrinkToFit="0" wrapText="1"/>
    </xf>
    <xf borderId="12" fillId="15" fontId="4" numFmtId="0" xfId="0" applyAlignment="1" applyBorder="1" applyFont="1">
      <alignment horizontal="center" readingOrder="0"/>
    </xf>
    <xf borderId="12" fillId="15" fontId="2" numFmtId="0" xfId="0" applyAlignment="1" applyBorder="1" applyFont="1">
      <alignment horizontal="center" readingOrder="0"/>
    </xf>
    <xf borderId="0" fillId="15" fontId="2" numFmtId="0" xfId="0" applyAlignment="1" applyFont="1">
      <alignment horizontal="center" readingOrder="0"/>
    </xf>
    <xf borderId="0" fillId="15" fontId="53" numFmtId="10" xfId="0" applyFont="1" applyNumberFormat="1"/>
    <xf borderId="11" fillId="15" fontId="54" numFmtId="0" xfId="0" applyAlignment="1" applyBorder="1" applyFont="1">
      <alignment readingOrder="0"/>
    </xf>
    <xf borderId="0" fillId="15" fontId="2" numFmtId="0" xfId="0" applyAlignment="1" applyFont="1">
      <alignment readingOrder="0"/>
    </xf>
    <xf borderId="11" fillId="15" fontId="2" numFmtId="0" xfId="0" applyAlignment="1" applyBorder="1" applyFont="1">
      <alignment horizontal="center" readingOrder="0"/>
    </xf>
    <xf borderId="12" fillId="15" fontId="2" numFmtId="0" xfId="0" applyAlignment="1" applyBorder="1" applyFont="1">
      <alignment horizontal="left" readingOrder="0" shrinkToFit="0" vertical="center" wrapText="1"/>
    </xf>
    <xf borderId="12" fillId="15" fontId="4" numFmtId="0" xfId="0" applyAlignment="1" applyBorder="1" applyFont="1">
      <alignment shrinkToFit="0" wrapText="1"/>
    </xf>
    <xf borderId="11" fillId="15" fontId="55" numFmtId="0" xfId="0" applyAlignment="1" applyBorder="1" applyFont="1">
      <alignment horizontal="center" readingOrder="0" shrinkToFit="0" vertical="center" wrapText="0"/>
    </xf>
    <xf borderId="0" fillId="14" fontId="2" numFmtId="0" xfId="0" applyAlignment="1" applyFont="1">
      <alignment readingOrder="0"/>
    </xf>
    <xf borderId="11" fillId="15" fontId="16" numFmtId="0" xfId="0" applyAlignment="1" applyBorder="1" applyFont="1">
      <alignment readingOrder="0" vertical="bottom"/>
    </xf>
    <xf borderId="12" fillId="16" fontId="4" numFmtId="0" xfId="0" applyAlignment="1" applyBorder="1" applyFill="1" applyFont="1">
      <alignment shrinkToFit="0" wrapText="1"/>
    </xf>
    <xf borderId="12" fillId="15" fontId="5" numFmtId="0" xfId="0" applyAlignment="1" applyBorder="1" applyFont="1">
      <alignment readingOrder="0" shrinkToFit="0" wrapText="1"/>
    </xf>
    <xf borderId="6" fillId="16" fontId="13" numFmtId="0" xfId="0" applyAlignment="1" applyBorder="1" applyFont="1">
      <alignment horizontal="left" readingOrder="0" shrinkToFit="0" vertical="center" wrapText="1"/>
    </xf>
    <xf borderId="7" fillId="15" fontId="4" numFmtId="0" xfId="0" applyAlignment="1" applyBorder="1" applyFont="1">
      <alignment readingOrder="0" shrinkToFit="0" wrapText="1"/>
    </xf>
    <xf borderId="15" fillId="15" fontId="4" numFmtId="0" xfId="0" applyAlignment="1" applyBorder="1" applyFont="1">
      <alignment horizontal="center" readingOrder="0"/>
    </xf>
    <xf borderId="15" fillId="15" fontId="2" numFmtId="0" xfId="0" applyAlignment="1" applyBorder="1" applyFont="1">
      <alignment horizontal="center" readingOrder="0"/>
    </xf>
    <xf borderId="2" fillId="15" fontId="2" numFmtId="0" xfId="0" applyAlignment="1" applyBorder="1" applyFont="1">
      <alignment horizontal="center" readingOrder="0"/>
    </xf>
    <xf borderId="2" fillId="15" fontId="56" numFmtId="10" xfId="0" applyBorder="1" applyFont="1" applyNumberFormat="1"/>
    <xf borderId="7" fillId="15" fontId="57" numFmtId="0" xfId="0" applyBorder="1" applyFont="1"/>
    <xf borderId="2" fillId="15" fontId="2" numFmtId="0" xfId="0" applyAlignment="1" applyBorder="1" applyFont="1">
      <alignment readingOrder="0"/>
    </xf>
    <xf borderId="7" fillId="15" fontId="2" numFmtId="0" xfId="0" applyAlignment="1" applyBorder="1" applyFont="1">
      <alignment horizontal="center" readingOrder="0"/>
    </xf>
    <xf borderId="0" fillId="14" fontId="2" numFmtId="0" xfId="0" applyAlignment="1" applyFont="1">
      <alignment horizontal="center" readingOrder="0"/>
    </xf>
    <xf borderId="0" fillId="9" fontId="2" numFmtId="0" xfId="0" applyFont="1"/>
    <xf borderId="10" fillId="14" fontId="2" numFmtId="0" xfId="0" applyAlignment="1" applyBorder="1" applyFont="1">
      <alignment horizontal="center" readingOrder="0"/>
    </xf>
    <xf borderId="11" fillId="14" fontId="2" numFmtId="0" xfId="0" applyAlignment="1" applyBorder="1" applyFont="1">
      <alignment horizontal="center" readingOrder="0"/>
    </xf>
    <xf borderId="7" fillId="14" fontId="2" numFmtId="0" xfId="0" applyAlignment="1" applyBorder="1" applyFont="1">
      <alignment horizontal="center" readingOrder="0"/>
    </xf>
    <xf borderId="2" fillId="14" fontId="2" numFmtId="0" xfId="0" applyAlignment="1" applyBorder="1" applyFont="1">
      <alignment horizontal="center" readingOrder="0"/>
    </xf>
    <xf borderId="14" fillId="2" fontId="58" numFmtId="0" xfId="0" applyAlignment="1" applyBorder="1" applyFont="1">
      <alignment readingOrder="0"/>
    </xf>
    <xf borderId="14" fillId="2" fontId="2" numFmtId="0" xfId="0" applyAlignment="1" applyBorder="1" applyFont="1">
      <alignment horizontal="center" readingOrder="0"/>
    </xf>
    <xf borderId="0" fillId="4" fontId="4" numFmtId="0" xfId="0" applyAlignment="1" applyFont="1">
      <alignment shrinkToFit="0" wrapText="1"/>
    </xf>
    <xf borderId="1" fillId="0" fontId="2" numFmtId="0" xfId="0" applyAlignment="1" applyBorder="1" applyFont="1">
      <alignment readingOrder="0"/>
    </xf>
    <xf borderId="1" fillId="5" fontId="16" numFmtId="0" xfId="0" applyAlignment="1" applyBorder="1" applyFont="1">
      <alignment shrinkToFit="0" wrapText="1"/>
    </xf>
    <xf borderId="7" fillId="5" fontId="5" numFmtId="0" xfId="0" applyAlignment="1" applyBorder="1" applyFont="1">
      <alignment shrinkToFit="0" wrapText="1"/>
    </xf>
    <xf borderId="15" fillId="5" fontId="4" numFmtId="0" xfId="0" applyAlignment="1" applyBorder="1" applyFont="1">
      <alignment horizontal="center"/>
    </xf>
    <xf borderId="7" fillId="5" fontId="59" numFmtId="0" xfId="0" applyAlignment="1" applyBorder="1" applyFont="1">
      <alignment horizontal="left" readingOrder="0" shrinkToFit="0" vertical="center" wrapText="0"/>
    </xf>
    <xf borderId="2" fillId="5" fontId="2" numFmtId="0" xfId="0" applyAlignment="1" applyBorder="1" applyFont="1">
      <alignment readingOrder="0"/>
    </xf>
    <xf borderId="7" fillId="5" fontId="2" numFmtId="0" xfId="0" applyAlignment="1" applyBorder="1" applyFont="1">
      <alignment horizontal="center" readingOrder="0"/>
    </xf>
    <xf borderId="10" fillId="15" fontId="16" numFmtId="0" xfId="0" applyAlignment="1" applyBorder="1" applyFont="1">
      <alignment shrinkToFit="0" vertical="bottom" wrapText="1"/>
    </xf>
    <xf borderId="11" fillId="15" fontId="60" numFmtId="0" xfId="0" applyBorder="1" applyFont="1"/>
    <xf borderId="10" fillId="15" fontId="4" numFmtId="0" xfId="0" applyAlignment="1" applyBorder="1" applyFont="1">
      <alignment shrinkToFit="0" wrapText="1"/>
    </xf>
    <xf borderId="11" fillId="15" fontId="4" numFmtId="0" xfId="0" applyAlignment="1" applyBorder="1" applyFont="1">
      <alignment shrinkToFit="0" wrapText="1"/>
    </xf>
    <xf borderId="10" fillId="15" fontId="16" numFmtId="0" xfId="0" applyAlignment="1" applyBorder="1" applyFont="1">
      <alignment shrinkToFit="0" wrapText="1"/>
    </xf>
    <xf borderId="11" fillId="15" fontId="5" numFmtId="0" xfId="0" applyAlignment="1" applyBorder="1" applyFont="1">
      <alignment readingOrder="0" shrinkToFit="0" wrapText="1"/>
    </xf>
    <xf borderId="12" fillId="15" fontId="4" numFmtId="0" xfId="0" applyAlignment="1" applyBorder="1" applyFont="1">
      <alignment horizontal="center"/>
    </xf>
    <xf borderId="1" fillId="15" fontId="16" numFmtId="0" xfId="0" applyAlignment="1" applyBorder="1" applyFont="1">
      <alignment shrinkToFit="0" wrapText="1"/>
    </xf>
    <xf borderId="0" fillId="17" fontId="33" numFmtId="0" xfId="0" applyAlignment="1" applyFill="1" applyFont="1">
      <alignment shrinkToFit="0" vertical="bottom" wrapText="1"/>
    </xf>
    <xf borderId="11" fillId="17" fontId="4" numFmtId="0" xfId="0" applyAlignment="1" applyBorder="1" applyFont="1">
      <alignment readingOrder="0" vertical="bottom"/>
    </xf>
    <xf borderId="12" fillId="17" fontId="4" numFmtId="0" xfId="0" applyAlignment="1" applyBorder="1" applyFont="1">
      <alignment horizontal="center" readingOrder="0"/>
    </xf>
    <xf borderId="12" fillId="17" fontId="2" numFmtId="0" xfId="0" applyAlignment="1" applyBorder="1" applyFont="1">
      <alignment horizontal="center" readingOrder="0"/>
    </xf>
    <xf borderId="0" fillId="17" fontId="2" numFmtId="0" xfId="0" applyAlignment="1" applyFont="1">
      <alignment horizontal="center" readingOrder="0"/>
    </xf>
    <xf borderId="0" fillId="17" fontId="61" numFmtId="10" xfId="0" applyFont="1" applyNumberFormat="1"/>
    <xf borderId="11" fillId="17" fontId="62" numFmtId="0" xfId="0" applyAlignment="1" applyBorder="1" applyFont="1">
      <alignment readingOrder="0" shrinkToFit="0" wrapText="0"/>
    </xf>
    <xf borderId="13" fillId="17" fontId="2" numFmtId="0" xfId="0" applyAlignment="1" applyBorder="1" applyFont="1">
      <alignment readingOrder="0"/>
    </xf>
    <xf borderId="11" fillId="17" fontId="2" numFmtId="0" xfId="0" applyAlignment="1" applyBorder="1" applyFont="1">
      <alignment horizontal="center" readingOrder="0"/>
    </xf>
    <xf borderId="10" fillId="17" fontId="4" numFmtId="0" xfId="0" applyAlignment="1" applyBorder="1" applyFont="1">
      <alignment shrinkToFit="0" vertical="bottom" wrapText="1"/>
    </xf>
    <xf borderId="0" fillId="17" fontId="2" numFmtId="0" xfId="0" applyAlignment="1" applyFont="1">
      <alignment readingOrder="0"/>
    </xf>
    <xf borderId="10" fillId="17" fontId="16" numFmtId="0" xfId="0" applyAlignment="1" applyBorder="1" applyFont="1">
      <alignment shrinkToFit="0" wrapText="1"/>
    </xf>
    <xf borderId="11" fillId="17" fontId="4" numFmtId="0" xfId="0" applyAlignment="1" applyBorder="1" applyFont="1">
      <alignment readingOrder="0"/>
    </xf>
    <xf borderId="10" fillId="17" fontId="33" numFmtId="0" xfId="0" applyAlignment="1" applyBorder="1" applyFont="1">
      <alignment shrinkToFit="0" vertical="bottom" wrapText="1"/>
    </xf>
    <xf borderId="1" fillId="17" fontId="4" numFmtId="0" xfId="0" applyAlignment="1" applyBorder="1" applyFont="1">
      <alignment shrinkToFit="0" vertical="bottom" wrapText="1"/>
    </xf>
    <xf borderId="7" fillId="17" fontId="4" numFmtId="0" xfId="0" applyBorder="1" applyFont="1"/>
    <xf borderId="7" fillId="17" fontId="4" numFmtId="0" xfId="0" applyAlignment="1" applyBorder="1" applyFont="1">
      <alignment horizontal="center" readingOrder="0"/>
    </xf>
    <xf borderId="15" fillId="17" fontId="2" numFmtId="0" xfId="0" applyAlignment="1" applyBorder="1" applyFont="1">
      <alignment horizontal="center" readingOrder="0"/>
    </xf>
    <xf borderId="2" fillId="17" fontId="2" numFmtId="0" xfId="0" applyAlignment="1" applyBorder="1" applyFont="1">
      <alignment horizontal="center" readingOrder="0"/>
    </xf>
    <xf borderId="2" fillId="17" fontId="63" numFmtId="10" xfId="0" applyBorder="1" applyFont="1" applyNumberFormat="1"/>
    <xf borderId="7" fillId="17" fontId="64" numFmtId="0" xfId="0" applyAlignment="1" applyBorder="1" applyFont="1">
      <alignment readingOrder="0" shrinkToFit="0" wrapText="0"/>
    </xf>
    <xf borderId="2" fillId="17" fontId="2" numFmtId="0" xfId="0" applyAlignment="1" applyBorder="1" applyFont="1">
      <alignment readingOrder="0"/>
    </xf>
    <xf borderId="7" fillId="17" fontId="2" numFmtId="0" xfId="0" applyAlignment="1" applyBorder="1" applyFont="1">
      <alignment horizontal="center" readingOrder="0"/>
    </xf>
    <xf borderId="0" fillId="8" fontId="16" numFmtId="0" xfId="0" applyFont="1"/>
    <xf borderId="0" fillId="0" fontId="4" numFmtId="0" xfId="0" applyFont="1"/>
    <xf borderId="0" fillId="8" fontId="33" numFmtId="0" xfId="0" applyAlignment="1" applyFont="1">
      <alignment vertical="bottom"/>
    </xf>
    <xf borderId="8" fillId="4" fontId="4" numFmtId="0" xfId="0" applyAlignment="1" applyBorder="1" applyFont="1">
      <alignment shrinkToFit="0" wrapText="1"/>
    </xf>
    <xf borderId="14" fillId="4" fontId="4" numFmtId="0" xfId="0" applyAlignment="1" applyBorder="1" applyFont="1">
      <alignment shrinkToFit="0" wrapText="1"/>
    </xf>
    <xf borderId="9" fillId="4" fontId="4" numFmtId="0" xfId="0" applyAlignment="1" applyBorder="1" applyFont="1">
      <alignment horizontal="center"/>
    </xf>
    <xf borderId="9" fillId="4" fontId="2" numFmtId="0" xfId="0" applyAlignment="1" applyBorder="1" applyFont="1">
      <alignment horizontal="center" readingOrder="0"/>
    </xf>
    <xf borderId="13" fillId="4" fontId="65" numFmtId="10" xfId="0" applyBorder="1" applyFont="1" applyNumberFormat="1"/>
    <xf borderId="14" fillId="4" fontId="66" numFmtId="0" xfId="0" applyAlignment="1" applyBorder="1" applyFont="1">
      <alignment readingOrder="0"/>
    </xf>
    <xf borderId="13" fillId="4" fontId="2" numFmtId="0" xfId="0" applyAlignment="1" applyBorder="1" applyFont="1">
      <alignment readingOrder="0"/>
    </xf>
    <xf borderId="14" fillId="4" fontId="2" numFmtId="0" xfId="0" applyAlignment="1" applyBorder="1" applyFont="1">
      <alignment horizontal="center" readingOrder="0" shrinkToFit="0" vertical="center" wrapText="0"/>
    </xf>
    <xf borderId="8" fillId="4" fontId="4" numFmtId="0" xfId="0" applyAlignment="1" applyBorder="1" applyFont="1">
      <alignment readingOrder="0" shrinkToFit="0" wrapText="1"/>
    </xf>
    <xf borderId="14" fillId="4" fontId="4" numFmtId="0" xfId="0" applyAlignment="1" applyBorder="1" applyFont="1">
      <alignment readingOrder="0" shrinkToFit="0" wrapText="1"/>
    </xf>
    <xf borderId="10" fillId="4" fontId="4" numFmtId="0" xfId="0" applyAlignment="1" applyBorder="1" applyFont="1">
      <alignment shrinkToFit="0" wrapText="1"/>
    </xf>
    <xf borderId="12" fillId="4" fontId="4" numFmtId="0" xfId="0" applyAlignment="1" applyBorder="1" applyFont="1">
      <alignment horizontal="center"/>
    </xf>
    <xf borderId="11" fillId="4" fontId="67" numFmtId="0" xfId="0" applyBorder="1" applyFont="1"/>
    <xf borderId="10" fillId="15" fontId="16" numFmtId="0" xfId="0" applyAlignment="1" applyBorder="1" applyFont="1">
      <alignment vertical="bottom"/>
    </xf>
    <xf borderId="0" fillId="17" fontId="33" numFmtId="0" xfId="0" applyAlignment="1" applyFont="1">
      <alignment vertical="bottom"/>
    </xf>
    <xf borderId="10" fillId="17" fontId="4" numFmtId="0" xfId="0" applyAlignment="1" applyBorder="1" applyFont="1">
      <alignment vertical="bottom"/>
    </xf>
    <xf borderId="10" fillId="17" fontId="16" numFmtId="0" xfId="0" applyBorder="1" applyFont="1"/>
    <xf borderId="10" fillId="17" fontId="33" numFmtId="0" xfId="0" applyAlignment="1" applyBorder="1" applyFont="1">
      <alignment vertical="bottom"/>
    </xf>
    <xf borderId="11" fillId="17" fontId="4" numFmtId="0" xfId="0" applyBorder="1" applyFont="1"/>
    <xf borderId="11" fillId="17" fontId="4" numFmtId="0" xfId="0" applyAlignment="1" applyBorder="1" applyFont="1">
      <alignment horizontal="center" readingOrder="0"/>
    </xf>
    <xf borderId="0" fillId="0" fontId="33" numFmtId="0" xfId="0" applyAlignment="1" applyFont="1">
      <alignment readingOrder="0" vertical="top"/>
    </xf>
    <xf borderId="0" fillId="0" fontId="4" numFmtId="0" xfId="0" applyAlignment="1" applyFont="1">
      <alignment readingOrder="0" shrinkToFit="0" wrapText="0"/>
    </xf>
    <xf borderId="14" fillId="4" fontId="68" numFmtId="0" xfId="0" applyBorder="1" applyFont="1"/>
    <xf borderId="12" fillId="15" fontId="2" numFmtId="0" xfId="0" applyAlignment="1" applyBorder="1" applyFont="1">
      <alignment horizontal="center"/>
    </xf>
    <xf borderId="0" fillId="8" fontId="33" numFmtId="0" xfId="0" applyAlignment="1" applyFont="1">
      <alignment vertical="top"/>
    </xf>
    <xf borderId="0" fillId="0" fontId="4" numFmtId="0" xfId="0" applyAlignment="1" applyFont="1">
      <alignment shrinkToFit="0" wrapText="0"/>
    </xf>
    <xf borderId="12" fillId="0" fontId="2" numFmtId="0" xfId="0" applyAlignment="1" applyBorder="1" applyFont="1">
      <alignment readingOrder="0"/>
    </xf>
    <xf borderId="14" fillId="0" fontId="4" numFmtId="0" xfId="0" applyAlignment="1" applyBorder="1" applyFont="1">
      <alignment vertical="bottom"/>
    </xf>
    <xf borderId="14" fillId="0" fontId="4" numFmtId="0" xfId="0" applyAlignment="1" applyBorder="1" applyFont="1">
      <alignment horizontal="center" vertical="bottom"/>
    </xf>
    <xf borderId="6" fillId="0" fontId="2" numFmtId="0" xfId="0" applyBorder="1" applyFont="1"/>
    <xf borderId="6" fillId="0" fontId="4" numFmtId="0" xfId="0" applyAlignment="1" applyBorder="1" applyFont="1">
      <alignment horizontal="center" vertical="bottom"/>
    </xf>
    <xf borderId="0" fillId="2" fontId="69" numFmtId="0" xfId="0" applyAlignment="1" applyFont="1">
      <alignment readingOrder="0"/>
    </xf>
    <xf borderId="8" fillId="2" fontId="2" numFmtId="0" xfId="0" applyAlignment="1" applyBorder="1" applyFont="1">
      <alignment readingOrder="0"/>
    </xf>
    <xf borderId="6" fillId="4" fontId="70" numFmtId="0" xfId="0" applyBorder="1" applyFont="1"/>
    <xf borderId="6" fillId="4" fontId="71" numFmtId="0" xfId="0" applyAlignment="1" applyBorder="1" applyFont="1">
      <alignment readingOrder="0"/>
    </xf>
    <xf borderId="6" fillId="5" fontId="72" numFmtId="0" xfId="0" applyBorder="1" applyFont="1"/>
    <xf borderId="10" fillId="5" fontId="2" numFmtId="0" xfId="0" applyAlignment="1" applyBorder="1" applyFont="1">
      <alignment readingOrder="0"/>
    </xf>
    <xf borderId="6" fillId="5" fontId="73" numFmtId="0" xfId="0" applyAlignment="1" applyBorder="1" applyFont="1">
      <alignment readingOrder="0"/>
    </xf>
    <xf borderId="6" fillId="5" fontId="74" numFmtId="0" xfId="0" applyAlignment="1" applyBorder="1" applyFont="1">
      <alignment vertical="bottom"/>
    </xf>
    <xf borderId="10" fillId="5" fontId="16" numFmtId="0" xfId="0" applyAlignment="1" applyBorder="1" applyFont="1">
      <alignment shrinkToFit="0" wrapText="1"/>
    </xf>
    <xf borderId="11" fillId="5" fontId="5" numFmtId="0" xfId="0" applyAlignment="1" applyBorder="1" applyFont="1">
      <alignment shrinkToFit="0" wrapText="1"/>
    </xf>
    <xf borderId="6" fillId="5" fontId="75" numFmtId="0" xfId="0" applyAlignment="1" applyBorder="1" applyFont="1">
      <alignment horizontal="left" readingOrder="0" shrinkToFit="0" vertical="center" wrapText="0"/>
    </xf>
    <xf borderId="0" fillId="15" fontId="76" numFmtId="0" xfId="0" applyFont="1"/>
    <xf borderId="10" fillId="15" fontId="2" numFmtId="0" xfId="0" applyAlignment="1" applyBorder="1" applyFont="1">
      <alignment readingOrder="0"/>
    </xf>
    <xf borderId="6" fillId="15" fontId="77" numFmtId="0" xfId="0" applyBorder="1" applyFont="1"/>
    <xf borderId="11" fillId="15" fontId="5" numFmtId="0" xfId="0" applyAlignment="1" applyBorder="1" applyFont="1">
      <alignment shrinkToFit="0" wrapText="1"/>
    </xf>
    <xf borderId="10" fillId="15" fontId="2" numFmtId="0" xfId="0" applyBorder="1" applyFont="1"/>
    <xf borderId="10" fillId="17" fontId="16" numFmtId="0" xfId="0" applyBorder="1" applyFont="1"/>
    <xf borderId="11" fillId="17" fontId="16" numFmtId="0" xfId="0" applyBorder="1" applyFont="1"/>
    <xf borderId="12" fillId="17" fontId="4" numFmtId="0" xfId="0" applyAlignment="1" applyBorder="1" applyFont="1">
      <alignment horizontal="center"/>
    </xf>
    <xf borderId="6" fillId="17" fontId="78" numFmtId="0" xfId="0" applyAlignment="1" applyBorder="1" applyFont="1">
      <alignment shrinkToFit="0" wrapText="0"/>
    </xf>
    <xf borderId="1" fillId="17" fontId="2" numFmtId="0" xfId="0" applyAlignment="1" applyBorder="1" applyFont="1">
      <alignment readingOrder="0"/>
    </xf>
    <xf borderId="6" fillId="0" fontId="4" numFmtId="0" xfId="0" applyAlignment="1" applyBorder="1" applyFont="1">
      <alignment vertical="bottom"/>
    </xf>
    <xf borderId="6" fillId="0" fontId="4" numFmtId="0" xfId="0" applyBorder="1" applyFont="1"/>
    <xf borderId="8" fillId="0" fontId="4" numFmtId="0" xfId="0" applyAlignment="1" applyBorder="1" applyFont="1">
      <alignment horizontal="center" vertical="bottom"/>
    </xf>
    <xf borderId="13" fillId="0" fontId="4" numFmtId="0" xfId="0" applyAlignment="1" applyBorder="1" applyFont="1">
      <alignment horizontal="center" vertical="bottom"/>
    </xf>
    <xf borderId="6" fillId="0" fontId="4" numFmtId="0" xfId="0" applyAlignment="1" applyBorder="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Motor Power vs. Throttle</a:t>
            </a:r>
          </a:p>
        </c:rich>
      </c:tx>
      <c:overlay val="0"/>
    </c:title>
    <c:plotArea>
      <c:layout/>
      <c:lineChart>
        <c:ser>
          <c:idx val="0"/>
          <c:order val="0"/>
          <c:tx>
            <c:v>Power(W) at 0mph wind</c:v>
          </c:tx>
          <c:spPr>
            <a:ln cmpd="sng">
              <a:solidFill>
                <a:srgbClr val="4285F4"/>
              </a:solidFill>
            </a:ln>
          </c:spPr>
          <c:marker>
            <c:symbol val="none"/>
          </c:marker>
          <c:cat>
            <c:strRef>
              <c:f>V5.3!$D$30:$D$42</c:f>
            </c:strRef>
          </c:cat>
          <c:val>
            <c:numRef>
              <c:f>V5.3!$F$30:$F$42</c:f>
              <c:numCache/>
            </c:numRef>
          </c:val>
          <c:smooth val="0"/>
        </c:ser>
        <c:ser>
          <c:idx val="1"/>
          <c:order val="1"/>
          <c:tx>
            <c:v>Power(W) at 20mph wind</c:v>
          </c:tx>
          <c:spPr>
            <a:ln cmpd="sng">
              <a:solidFill>
                <a:srgbClr val="EA4335"/>
              </a:solidFill>
            </a:ln>
          </c:spPr>
          <c:marker>
            <c:symbol val="none"/>
          </c:marker>
          <c:cat>
            <c:strRef>
              <c:f>V5.3!$D$30:$D$42</c:f>
            </c:strRef>
          </c:cat>
          <c:val>
            <c:numRef>
              <c:f>V5.3!$E$30:$E$42</c:f>
              <c:numCache/>
            </c:numRef>
          </c:val>
          <c:smooth val="0"/>
        </c:ser>
        <c:axId val="574931465"/>
        <c:axId val="638617535"/>
      </c:lineChart>
      <c:catAx>
        <c:axId val="574931465"/>
        <c:scaling>
          <c:orientation val="minMax"/>
          <c:max val="1.0"/>
        </c:scaling>
        <c:delete val="0"/>
        <c:axPos val="b"/>
        <c:title>
          <c:tx>
            <c:rich>
              <a:bodyPr/>
              <a:lstStyle/>
              <a:p>
                <a:pPr lvl="0">
                  <a:defRPr b="0">
                    <a:solidFill>
                      <a:srgbClr val="000000"/>
                    </a:solidFill>
                    <a:latin typeface="+mn-lt"/>
                  </a:defRPr>
                </a:pPr>
                <a:r>
                  <a:rPr b="0">
                    <a:solidFill>
                      <a:srgbClr val="000000"/>
                    </a:solidFill>
                    <a:latin typeface="+mn-lt"/>
                  </a:rPr>
                  <a:t>Throttle(%)</a:t>
                </a:r>
              </a:p>
            </c:rich>
          </c:tx>
          <c:overlay val="0"/>
        </c:title>
        <c:numFmt formatCode="General" sourceLinked="1"/>
        <c:majorTickMark val="none"/>
        <c:minorTickMark val="none"/>
        <c:spPr/>
        <c:txPr>
          <a:bodyPr/>
          <a:lstStyle/>
          <a:p>
            <a:pPr lvl="0">
              <a:defRPr b="0">
                <a:solidFill>
                  <a:srgbClr val="000000"/>
                </a:solidFill>
                <a:latin typeface="+mn-lt"/>
              </a:defRPr>
            </a:pPr>
          </a:p>
        </c:txPr>
        <c:crossAx val="638617535"/>
      </c:catAx>
      <c:valAx>
        <c:axId val="6386175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Power(W)
(0mph wind)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4931465"/>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Real Thrust vs. Throttle</a:t>
            </a:r>
          </a:p>
        </c:rich>
      </c:tx>
      <c:overlay val="0"/>
    </c:title>
    <c:plotArea>
      <c:layout/>
      <c:scatterChart>
        <c:scatterStyle val="lineMarker"/>
        <c:varyColors val="0"/>
        <c:ser>
          <c:idx val="0"/>
          <c:order val="0"/>
          <c:tx>
            <c:strRef>
              <c:f>V5.2!$C$45:$C$46</c:f>
            </c:strRef>
          </c:tx>
          <c:spPr>
            <a:ln>
              <a:noFill/>
            </a:ln>
          </c:spPr>
          <c:marker>
            <c:symbol val="circle"/>
            <c:size val="7"/>
            <c:spPr>
              <a:solidFill>
                <a:schemeClr val="accent1"/>
              </a:solidFill>
              <a:ln cmpd="sng">
                <a:solidFill>
                  <a:schemeClr val="accent1"/>
                </a:solidFill>
              </a:ln>
            </c:spPr>
          </c:marker>
          <c:xVal>
            <c:numRef>
              <c:f>V5.2!$A$47:$A$69</c:f>
            </c:numRef>
          </c:xVal>
          <c:yVal>
            <c:numRef>
              <c:f>V5.2!$C$47:$C$69</c:f>
              <c:numCache/>
            </c:numRef>
          </c:yVal>
        </c:ser>
        <c:dLbls>
          <c:showLegendKey val="0"/>
          <c:showVal val="0"/>
          <c:showCatName val="0"/>
          <c:showSerName val="0"/>
          <c:showPercent val="0"/>
          <c:showBubbleSize val="0"/>
        </c:dLbls>
        <c:axId val="1653895021"/>
        <c:axId val="37422985"/>
      </c:scatterChart>
      <c:valAx>
        <c:axId val="165389502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Motor Throttle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7422985"/>
      </c:valAx>
      <c:valAx>
        <c:axId val="374229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Motor Thrust(N)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53895021"/>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Motor Power vs. Throttle</a:t>
            </a:r>
          </a:p>
        </c:rich>
      </c:tx>
      <c:overlay val="0"/>
    </c:title>
    <c:plotArea>
      <c:layout/>
      <c:lineChart>
        <c:ser>
          <c:idx val="0"/>
          <c:order val="0"/>
          <c:tx>
            <c:v>Power(W) at 0mph wind</c:v>
          </c:tx>
          <c:spPr>
            <a:ln cmpd="sng">
              <a:solidFill>
                <a:srgbClr val="4285F4"/>
              </a:solidFill>
            </a:ln>
          </c:spPr>
          <c:marker>
            <c:symbol val="none"/>
          </c:marker>
          <c:cat>
            <c:strRef>
              <c:f>Version5.1!$D$31:$D$43</c:f>
            </c:strRef>
          </c:cat>
          <c:val>
            <c:numRef>
              <c:f>Version5.1!$F$31:$F$43</c:f>
              <c:numCache/>
            </c:numRef>
          </c:val>
          <c:smooth val="0"/>
        </c:ser>
        <c:ser>
          <c:idx val="1"/>
          <c:order val="1"/>
          <c:tx>
            <c:v>Power(W) at 20mph wind</c:v>
          </c:tx>
          <c:spPr>
            <a:ln cmpd="sng">
              <a:solidFill>
                <a:srgbClr val="EA4335"/>
              </a:solidFill>
            </a:ln>
          </c:spPr>
          <c:marker>
            <c:symbol val="none"/>
          </c:marker>
          <c:cat>
            <c:strRef>
              <c:f>Version5.1!$D$31:$D$43</c:f>
            </c:strRef>
          </c:cat>
          <c:val>
            <c:numRef>
              <c:f>Version5.1!$E$31:$E$43</c:f>
              <c:numCache/>
            </c:numRef>
          </c:val>
          <c:smooth val="0"/>
        </c:ser>
        <c:axId val="1135235270"/>
        <c:axId val="443792926"/>
      </c:lineChart>
      <c:catAx>
        <c:axId val="1135235270"/>
        <c:scaling>
          <c:orientation val="minMax"/>
          <c:max val="1.0"/>
        </c:scaling>
        <c:delete val="0"/>
        <c:axPos val="b"/>
        <c:title>
          <c:tx>
            <c:rich>
              <a:bodyPr/>
              <a:lstStyle/>
              <a:p>
                <a:pPr lvl="0">
                  <a:defRPr b="0">
                    <a:solidFill>
                      <a:srgbClr val="000000"/>
                    </a:solidFill>
                    <a:latin typeface="+mn-lt"/>
                  </a:defRPr>
                </a:pPr>
                <a:r>
                  <a:rPr b="0">
                    <a:solidFill>
                      <a:srgbClr val="000000"/>
                    </a:solidFill>
                    <a:latin typeface="+mn-lt"/>
                  </a:rPr>
                  <a:t>Throttle(%)</a:t>
                </a:r>
              </a:p>
            </c:rich>
          </c:tx>
          <c:overlay val="0"/>
        </c:title>
        <c:numFmt formatCode="General" sourceLinked="1"/>
        <c:majorTickMark val="none"/>
        <c:minorTickMark val="none"/>
        <c:spPr/>
        <c:txPr>
          <a:bodyPr/>
          <a:lstStyle/>
          <a:p>
            <a:pPr lvl="0">
              <a:defRPr b="0">
                <a:solidFill>
                  <a:srgbClr val="000000"/>
                </a:solidFill>
                <a:latin typeface="+mn-lt"/>
              </a:defRPr>
            </a:pPr>
          </a:p>
        </c:txPr>
        <c:crossAx val="443792926"/>
      </c:catAx>
      <c:valAx>
        <c:axId val="4437929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Power(W)
(0mph wind)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35235270"/>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Real Power vs. Thrust</a:t>
            </a:r>
          </a:p>
        </c:rich>
      </c:tx>
      <c:layout>
        <c:manualLayout>
          <c:xMode val="edge"/>
          <c:yMode val="edge"/>
          <c:x val="0.03091666666666667"/>
          <c:y val="0.055390835579514824"/>
        </c:manualLayout>
      </c:layout>
      <c:overlay val="0"/>
    </c:title>
    <c:plotArea>
      <c:layout/>
      <c:scatterChart>
        <c:scatterStyle val="lineMarker"/>
        <c:varyColors val="0"/>
        <c:ser>
          <c:idx val="0"/>
          <c:order val="0"/>
          <c:tx>
            <c:strRef>
              <c:f>Version5.1!$E$46:$E$47</c:f>
            </c:strRef>
          </c:tx>
          <c:spPr>
            <a:ln>
              <a:noFill/>
            </a:ln>
          </c:spPr>
          <c:marker>
            <c:symbol val="circle"/>
            <c:size val="7"/>
            <c:spPr>
              <a:solidFill>
                <a:schemeClr val="accent1"/>
              </a:solidFill>
              <a:ln cmpd="sng">
                <a:solidFill>
                  <a:schemeClr val="accent1"/>
                </a:solidFill>
              </a:ln>
            </c:spPr>
          </c:marker>
          <c:xVal>
            <c:numRef>
              <c:f>Version5.1!$C$48:$C$70</c:f>
            </c:numRef>
          </c:xVal>
          <c:yVal>
            <c:numRef>
              <c:f>Version5.1!$E$48:$E$70</c:f>
              <c:numCache/>
            </c:numRef>
          </c:yVal>
        </c:ser>
        <c:dLbls>
          <c:showLegendKey val="0"/>
          <c:showVal val="0"/>
          <c:showCatName val="0"/>
          <c:showSerName val="0"/>
          <c:showPercent val="0"/>
          <c:showBubbleSize val="0"/>
        </c:dLbls>
        <c:axId val="1591968600"/>
        <c:axId val="1337087455"/>
      </c:scatterChart>
      <c:valAx>
        <c:axId val="159196860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Thrust(N)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7087455"/>
      </c:valAx>
      <c:valAx>
        <c:axId val="13370874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Power(W)</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1968600"/>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Real Power vs. Throttle</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Version5.1!$A$48:$A$70</c:f>
            </c:numRef>
          </c:xVal>
          <c:yVal>
            <c:numRef>
              <c:f>Version5.1!$E$48:$E$70</c:f>
              <c:numCache/>
            </c:numRef>
          </c:yVal>
        </c:ser>
        <c:dLbls>
          <c:showLegendKey val="0"/>
          <c:showVal val="0"/>
          <c:showCatName val="0"/>
          <c:showSerName val="0"/>
          <c:showPercent val="0"/>
          <c:showBubbleSize val="0"/>
        </c:dLbls>
        <c:axId val="1077530107"/>
        <c:axId val="1607967704"/>
      </c:scatterChart>
      <c:valAx>
        <c:axId val="107753010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Throttle(%)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07967704"/>
      </c:valAx>
      <c:valAx>
        <c:axId val="16079677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Power(W)</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7530107"/>
      </c:valAx>
    </c:plotArea>
    <c:legend>
      <c:legendPos val="r"/>
      <c:legendEntry>
        <c:idx val="0"/>
        <c:txPr>
          <a:bodyPr/>
          <a:lstStyle/>
          <a:p>
            <a:pPr lvl="0">
              <a:defRPr>
                <a:latin typeface="+mn-lt"/>
              </a:defRPr>
            </a:pPr>
          </a:p>
        </c:txPr>
      </c:legendEntry>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Real Thrust vs. Throttle</a:t>
            </a:r>
          </a:p>
        </c:rich>
      </c:tx>
      <c:overlay val="0"/>
    </c:title>
    <c:plotArea>
      <c:layout/>
      <c:scatterChart>
        <c:scatterStyle val="lineMarker"/>
        <c:varyColors val="0"/>
        <c:ser>
          <c:idx val="0"/>
          <c:order val="0"/>
          <c:tx>
            <c:strRef>
              <c:f>Version5.1!$C$46:$C$47</c:f>
            </c:strRef>
          </c:tx>
          <c:spPr>
            <a:ln>
              <a:noFill/>
            </a:ln>
          </c:spPr>
          <c:marker>
            <c:symbol val="circle"/>
            <c:size val="7"/>
            <c:spPr>
              <a:solidFill>
                <a:schemeClr val="accent1"/>
              </a:solidFill>
              <a:ln cmpd="sng">
                <a:solidFill>
                  <a:schemeClr val="accent1"/>
                </a:solidFill>
              </a:ln>
            </c:spPr>
          </c:marker>
          <c:xVal>
            <c:numRef>
              <c:f>Version5.1!$A$48:$A$70</c:f>
            </c:numRef>
          </c:xVal>
          <c:yVal>
            <c:numRef>
              <c:f>Version5.1!$C$48:$C$70</c:f>
              <c:numCache/>
            </c:numRef>
          </c:yVal>
        </c:ser>
        <c:dLbls>
          <c:showLegendKey val="0"/>
          <c:showVal val="0"/>
          <c:showCatName val="0"/>
          <c:showSerName val="0"/>
          <c:showPercent val="0"/>
          <c:showBubbleSize val="0"/>
        </c:dLbls>
        <c:axId val="1572863548"/>
        <c:axId val="813659707"/>
      </c:scatterChart>
      <c:valAx>
        <c:axId val="157286354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Motor Throttle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3659707"/>
      </c:valAx>
      <c:valAx>
        <c:axId val="8136597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Motor Thrust(N)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72863548"/>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Motor Power(W) per Throttle</a:t>
            </a:r>
          </a:p>
        </c:rich>
      </c:tx>
      <c:overlay val="0"/>
    </c:title>
    <c:plotArea>
      <c:layout/>
      <c:lineChart>
        <c:ser>
          <c:idx val="0"/>
          <c:order val="0"/>
          <c:tx>
            <c:v>Power(W) at 0mph wind</c:v>
          </c:tx>
          <c:spPr>
            <a:ln cmpd="sng">
              <a:solidFill>
                <a:srgbClr val="4285F4"/>
              </a:solidFill>
            </a:ln>
          </c:spPr>
          <c:marker>
            <c:symbol val="none"/>
          </c:marker>
          <c:cat>
            <c:strRef>
              <c:f>Version5.0!$D$40:$D$52</c:f>
            </c:strRef>
          </c:cat>
          <c:val>
            <c:numRef>
              <c:f>Version5.0!$F$40:$F$52</c:f>
              <c:numCache/>
            </c:numRef>
          </c:val>
          <c:smooth val="0"/>
        </c:ser>
        <c:ser>
          <c:idx val="1"/>
          <c:order val="1"/>
          <c:tx>
            <c:v>Power(W) at 20mph wind</c:v>
          </c:tx>
          <c:spPr>
            <a:ln cmpd="sng">
              <a:solidFill>
                <a:srgbClr val="EA4335"/>
              </a:solidFill>
            </a:ln>
          </c:spPr>
          <c:marker>
            <c:symbol val="none"/>
          </c:marker>
          <c:cat>
            <c:strRef>
              <c:f>Version5.0!$D$40:$D$52</c:f>
            </c:strRef>
          </c:cat>
          <c:val>
            <c:numRef>
              <c:f>Version5.0!$E$40:$E$52</c:f>
              <c:numCache/>
            </c:numRef>
          </c:val>
          <c:smooth val="0"/>
        </c:ser>
        <c:axId val="1448879576"/>
        <c:axId val="1071850391"/>
      </c:lineChart>
      <c:catAx>
        <c:axId val="14488795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Throttle(%)</a:t>
                </a:r>
              </a:p>
            </c:rich>
          </c:tx>
          <c:overlay val="0"/>
        </c:title>
        <c:numFmt formatCode="General" sourceLinked="1"/>
        <c:majorTickMark val="none"/>
        <c:minorTickMark val="none"/>
        <c:spPr/>
        <c:txPr>
          <a:bodyPr/>
          <a:lstStyle/>
          <a:p>
            <a:pPr lvl="0">
              <a:defRPr b="0">
                <a:solidFill>
                  <a:srgbClr val="000000"/>
                </a:solidFill>
                <a:latin typeface="+mn-lt"/>
              </a:defRPr>
            </a:pPr>
          </a:p>
        </c:txPr>
        <c:crossAx val="1071850391"/>
      </c:catAx>
      <c:valAx>
        <c:axId val="10718503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Power(W)
(0mph wind)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48879576"/>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Real Power vs. Throttle</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Version5.0!$A$57:$A$73</c:f>
            </c:numRef>
          </c:xVal>
          <c:yVal>
            <c:numRef>
              <c:f>Version5.0!$D$57:$D$73</c:f>
              <c:numCache/>
            </c:numRef>
          </c:yVal>
        </c:ser>
        <c:dLbls>
          <c:showLegendKey val="0"/>
          <c:showVal val="0"/>
          <c:showCatName val="0"/>
          <c:showSerName val="0"/>
          <c:showPercent val="0"/>
          <c:showBubbleSize val="0"/>
        </c:dLbls>
        <c:axId val="1708107842"/>
        <c:axId val="1673608450"/>
      </c:scatterChart>
      <c:valAx>
        <c:axId val="170810784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Throttle(%)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73608450"/>
      </c:valAx>
      <c:valAx>
        <c:axId val="16736084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Power(W)</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08107842"/>
      </c:valAx>
    </c:plotArea>
    <c:legend>
      <c:legendPos val="r"/>
      <c:legendEntry>
        <c:idx val="0"/>
        <c:txPr>
          <a:bodyPr/>
          <a:lstStyle/>
          <a:p>
            <a:pPr lvl="0">
              <a:defRPr>
                <a:latin typeface="+mn-lt"/>
              </a:defRPr>
            </a:pPr>
          </a:p>
        </c:txPr>
      </c:legendEntry>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Real Thrust vs. Throttle</a:t>
            </a:r>
          </a:p>
        </c:rich>
      </c:tx>
      <c:overlay val="0"/>
    </c:title>
    <c:plotArea>
      <c:layout/>
      <c:scatterChart>
        <c:scatterStyle val="lineMarker"/>
        <c:varyColors val="0"/>
        <c:ser>
          <c:idx val="0"/>
          <c:order val="0"/>
          <c:tx>
            <c:strRef>
              <c:f>Version5.0!$B$55:$B$56</c:f>
            </c:strRef>
          </c:tx>
          <c:spPr>
            <a:ln>
              <a:noFill/>
            </a:ln>
          </c:spPr>
          <c:marker>
            <c:symbol val="circle"/>
            <c:size val="7"/>
            <c:spPr>
              <a:solidFill>
                <a:schemeClr val="accent1"/>
              </a:solidFill>
              <a:ln cmpd="sng">
                <a:solidFill>
                  <a:schemeClr val="accent1"/>
                </a:solidFill>
              </a:ln>
            </c:spPr>
          </c:marker>
          <c:xVal>
            <c:numRef>
              <c:f>Version5.0!$A$57:$A$73</c:f>
            </c:numRef>
          </c:xVal>
          <c:yVal>
            <c:numRef>
              <c:f>Version5.0!$B$57:$B$73</c:f>
              <c:numCache/>
            </c:numRef>
          </c:yVal>
        </c:ser>
        <c:dLbls>
          <c:showLegendKey val="0"/>
          <c:showVal val="0"/>
          <c:showCatName val="0"/>
          <c:showSerName val="0"/>
          <c:showPercent val="0"/>
          <c:showBubbleSize val="0"/>
        </c:dLbls>
        <c:axId val="934940048"/>
        <c:axId val="206651705"/>
      </c:scatterChart>
      <c:valAx>
        <c:axId val="93494004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Motor Throttle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6651705"/>
      </c:valAx>
      <c:valAx>
        <c:axId val="2066517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Motor Thrust(N)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34940048"/>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Motor Power vs. Throttle</a:t>
            </a:r>
          </a:p>
        </c:rich>
      </c:tx>
      <c:overlay val="0"/>
    </c:title>
    <c:plotArea>
      <c:layout/>
      <c:lineChart>
        <c:varyColors val="0"/>
        <c:ser>
          <c:idx val="0"/>
          <c:order val="0"/>
          <c:tx>
            <c:strRef>
              <c:f>Version4.2!$E$40</c:f>
            </c:strRef>
          </c:tx>
          <c:spPr>
            <a:ln cmpd="sng">
              <a:solidFill>
                <a:srgbClr val="4285F4"/>
              </a:solidFill>
            </a:ln>
          </c:spPr>
          <c:marker>
            <c:symbol val="none"/>
          </c:marker>
          <c:cat>
            <c:strRef>
              <c:f>Version4.2!$D$41:$D$50</c:f>
            </c:strRef>
          </c:cat>
          <c:val>
            <c:numRef>
              <c:f>Version4.2!$E$41:$E$50</c:f>
              <c:numCache/>
            </c:numRef>
          </c:val>
          <c:smooth val="0"/>
        </c:ser>
        <c:axId val="1064676986"/>
        <c:axId val="1326955762"/>
      </c:lineChart>
      <c:catAx>
        <c:axId val="10646769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Throttle(%)</a:t>
                </a:r>
              </a:p>
            </c:rich>
          </c:tx>
          <c:overlay val="0"/>
        </c:title>
        <c:numFmt formatCode="General" sourceLinked="1"/>
        <c:majorTickMark val="none"/>
        <c:minorTickMark val="none"/>
        <c:spPr/>
        <c:txPr>
          <a:bodyPr/>
          <a:lstStyle/>
          <a:p>
            <a:pPr lvl="0">
              <a:defRPr b="0">
                <a:solidFill>
                  <a:srgbClr val="000000"/>
                </a:solidFill>
                <a:latin typeface="+mn-lt"/>
              </a:defRPr>
            </a:pPr>
          </a:p>
        </c:txPr>
        <c:crossAx val="1326955762"/>
      </c:catAx>
      <c:valAx>
        <c:axId val="13269557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Power(W)</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64676986"/>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Motor Power vs. Throttle</a:t>
            </a:r>
          </a:p>
        </c:rich>
      </c:tx>
      <c:overlay val="0"/>
    </c:title>
    <c:plotArea>
      <c:layout/>
      <c:lineChart>
        <c:varyColors val="0"/>
        <c:ser>
          <c:idx val="0"/>
          <c:order val="0"/>
          <c:tx>
            <c:strRef>
              <c:f>Version4.1!$E$42</c:f>
            </c:strRef>
          </c:tx>
          <c:spPr>
            <a:ln cmpd="sng">
              <a:solidFill>
                <a:srgbClr val="4285F4"/>
              </a:solidFill>
            </a:ln>
          </c:spPr>
          <c:marker>
            <c:symbol val="none"/>
          </c:marker>
          <c:cat>
            <c:strRef>
              <c:f>Version4.1!$D$43:$D$52</c:f>
            </c:strRef>
          </c:cat>
          <c:val>
            <c:numRef>
              <c:f>Version4.1!$E$43:$E$52</c:f>
              <c:numCache/>
            </c:numRef>
          </c:val>
          <c:smooth val="0"/>
        </c:ser>
        <c:axId val="787837516"/>
        <c:axId val="479858120"/>
      </c:lineChart>
      <c:catAx>
        <c:axId val="7878375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Throttle(%)</a:t>
                </a:r>
              </a:p>
            </c:rich>
          </c:tx>
          <c:overlay val="0"/>
        </c:title>
        <c:numFmt formatCode="General" sourceLinked="1"/>
        <c:majorTickMark val="none"/>
        <c:minorTickMark val="none"/>
        <c:spPr/>
        <c:txPr>
          <a:bodyPr/>
          <a:lstStyle/>
          <a:p>
            <a:pPr lvl="0">
              <a:defRPr b="0">
                <a:solidFill>
                  <a:srgbClr val="000000"/>
                </a:solidFill>
                <a:latin typeface="+mn-lt"/>
              </a:defRPr>
            </a:pPr>
          </a:p>
        </c:txPr>
        <c:crossAx val="479858120"/>
      </c:catAx>
      <c:valAx>
        <c:axId val="4798581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Power(W)</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87837516"/>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Real Power vs. Thrust</a:t>
            </a:r>
          </a:p>
        </c:rich>
      </c:tx>
      <c:layout>
        <c:manualLayout>
          <c:xMode val="edge"/>
          <c:yMode val="edge"/>
          <c:x val="0.03091666666666667"/>
          <c:y val="0.055390835579514824"/>
        </c:manualLayout>
      </c:layout>
      <c:overlay val="0"/>
    </c:title>
    <c:plotArea>
      <c:layout/>
      <c:scatterChart>
        <c:scatterStyle val="lineMarker"/>
        <c:varyColors val="0"/>
        <c:ser>
          <c:idx val="0"/>
          <c:order val="0"/>
          <c:tx>
            <c:strRef>
              <c:f>V5.3!$E$45:$E$46</c:f>
            </c:strRef>
          </c:tx>
          <c:spPr>
            <a:ln>
              <a:noFill/>
            </a:ln>
          </c:spPr>
          <c:marker>
            <c:symbol val="circle"/>
            <c:size val="7"/>
            <c:spPr>
              <a:solidFill>
                <a:schemeClr val="accent1"/>
              </a:solidFill>
              <a:ln cmpd="sng">
                <a:solidFill>
                  <a:schemeClr val="accent1"/>
                </a:solidFill>
              </a:ln>
            </c:spPr>
          </c:marker>
          <c:xVal>
            <c:numRef>
              <c:f>V5.3!$C$47:$C$79</c:f>
            </c:numRef>
          </c:xVal>
          <c:yVal>
            <c:numRef>
              <c:f>V5.3!$E$47:$E$79</c:f>
              <c:numCache/>
            </c:numRef>
          </c:yVal>
        </c:ser>
        <c:dLbls>
          <c:showLegendKey val="0"/>
          <c:showVal val="0"/>
          <c:showCatName val="0"/>
          <c:showSerName val="0"/>
          <c:showPercent val="0"/>
          <c:showBubbleSize val="0"/>
        </c:dLbls>
        <c:axId val="1814459362"/>
        <c:axId val="716600954"/>
      </c:scatterChart>
      <c:valAx>
        <c:axId val="181445936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Thrust(N)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16600954"/>
      </c:valAx>
      <c:valAx>
        <c:axId val="7166009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Power(W)</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14459362"/>
      </c:valAx>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Power Required Per Motor over Grams of Thrust Needed</a:t>
            </a:r>
          </a:p>
        </c:rich>
      </c:tx>
      <c:overlay val="0"/>
    </c:title>
    <c:plotArea>
      <c:layout/>
      <c:lineChart>
        <c:varyColors val="0"/>
        <c:ser>
          <c:idx val="0"/>
          <c:order val="0"/>
          <c:spPr>
            <a:ln cmpd="sng">
              <a:solidFill>
                <a:srgbClr val="4285F4"/>
              </a:solidFill>
            </a:ln>
          </c:spPr>
          <c:marker>
            <c:symbol val="none"/>
          </c:marker>
          <c:cat>
            <c:strRef>
              <c:f>Version4.0!$M$34:$M$284</c:f>
            </c:strRef>
          </c:cat>
          <c:val>
            <c:numRef>
              <c:f>Version4.0!$N$34:$N$284</c:f>
              <c:numCache/>
            </c:numRef>
          </c:val>
          <c:smooth val="0"/>
        </c:ser>
        <c:axId val="1315238539"/>
        <c:axId val="1020619068"/>
      </c:lineChart>
      <c:catAx>
        <c:axId val="1315238539"/>
        <c:scaling>
          <c:orientation val="minMax"/>
          <c:max val="250.0"/>
        </c:scaling>
        <c:delete val="0"/>
        <c:axPos val="b"/>
        <c:title>
          <c:tx>
            <c:rich>
              <a:bodyPr/>
              <a:lstStyle/>
              <a:p>
                <a:pPr lvl="0">
                  <a:defRPr b="0">
                    <a:solidFill>
                      <a:srgbClr val="000000"/>
                    </a:solidFill>
                    <a:latin typeface="+mn-lt"/>
                  </a:defRPr>
                </a:pPr>
                <a:r>
                  <a:rPr b="0">
                    <a:solidFill>
                      <a:srgbClr val="000000"/>
                    </a:solidFill>
                    <a:latin typeface="+mn-lt"/>
                  </a:rPr>
                  <a:t>Thrust(g)</a:t>
                </a:r>
              </a:p>
            </c:rich>
          </c:tx>
          <c:overlay val="0"/>
        </c:title>
        <c:numFmt formatCode="General" sourceLinked="1"/>
        <c:majorTickMark val="none"/>
        <c:minorTickMark val="none"/>
        <c:spPr/>
        <c:txPr>
          <a:bodyPr/>
          <a:lstStyle/>
          <a:p>
            <a:pPr lvl="0">
              <a:defRPr b="0">
                <a:solidFill>
                  <a:srgbClr val="000000"/>
                </a:solidFill>
                <a:latin typeface="+mn-lt"/>
              </a:defRPr>
            </a:pPr>
          </a:p>
        </c:txPr>
        <c:crossAx val="1020619068"/>
      </c:catAx>
      <c:valAx>
        <c:axId val="102061906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Power Required(W)</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1523853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Real Power vs. Throttle</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V5.3!$A$47:$A$69</c:f>
            </c:numRef>
          </c:xVal>
          <c:yVal>
            <c:numRef>
              <c:f>V5.3!$E$47:$E$69</c:f>
              <c:numCache/>
            </c:numRef>
          </c:yVal>
        </c:ser>
        <c:dLbls>
          <c:showLegendKey val="0"/>
          <c:showVal val="0"/>
          <c:showCatName val="0"/>
          <c:showSerName val="0"/>
          <c:showPercent val="0"/>
          <c:showBubbleSize val="0"/>
        </c:dLbls>
        <c:axId val="249465174"/>
        <c:axId val="876321342"/>
      </c:scatterChart>
      <c:valAx>
        <c:axId val="24946517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Throttle(%)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76321342"/>
      </c:valAx>
      <c:valAx>
        <c:axId val="876321342"/>
        <c:scaling>
          <c:orientation val="minMax"/>
          <c:max val="1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Power(W)</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9465174"/>
      </c:valAx>
    </c:plotArea>
    <c:legend>
      <c:legendPos val="r"/>
      <c:legendEntry>
        <c:idx val="0"/>
        <c:txPr>
          <a:bodyPr/>
          <a:lstStyle/>
          <a:p>
            <a:pPr lvl="0">
              <a:defRPr>
                <a:latin typeface="+mn-lt"/>
              </a:defRPr>
            </a:pPr>
          </a:p>
        </c:txPr>
      </c:legendEntry>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Real Thrust vs. Throttle</a:t>
            </a:r>
          </a:p>
        </c:rich>
      </c:tx>
      <c:overlay val="0"/>
    </c:title>
    <c:plotArea>
      <c:layout/>
      <c:scatterChart>
        <c:scatterStyle val="lineMarker"/>
        <c:varyColors val="0"/>
        <c:ser>
          <c:idx val="0"/>
          <c:order val="0"/>
          <c:tx>
            <c:strRef>
              <c:f>V5.3!$C$45:$C$46</c:f>
            </c:strRef>
          </c:tx>
          <c:spPr>
            <a:ln>
              <a:noFill/>
            </a:ln>
          </c:spPr>
          <c:marker>
            <c:symbol val="circle"/>
            <c:size val="7"/>
            <c:spPr>
              <a:solidFill>
                <a:schemeClr val="accent1"/>
              </a:solidFill>
              <a:ln cmpd="sng">
                <a:solidFill>
                  <a:schemeClr val="accent1"/>
                </a:solidFill>
              </a:ln>
            </c:spPr>
          </c:marker>
          <c:xVal>
            <c:numRef>
              <c:f>V5.3!$A$47:$A$69</c:f>
            </c:numRef>
          </c:xVal>
          <c:yVal>
            <c:numRef>
              <c:f>V5.3!$C$47:$C$69</c:f>
              <c:numCache/>
            </c:numRef>
          </c:yVal>
        </c:ser>
        <c:dLbls>
          <c:showLegendKey val="0"/>
          <c:showVal val="0"/>
          <c:showCatName val="0"/>
          <c:showSerName val="0"/>
          <c:showPercent val="0"/>
          <c:showBubbleSize val="0"/>
        </c:dLbls>
        <c:axId val="1661611501"/>
        <c:axId val="1551391679"/>
      </c:scatterChart>
      <c:valAx>
        <c:axId val="166161150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Motor Throttle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51391679"/>
      </c:valAx>
      <c:valAx>
        <c:axId val="15513916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Motor Thrust(N)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1611501"/>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Flight Time as Effective Weight Increases</a:t>
            </a:r>
          </a:p>
        </c:rich>
      </c:tx>
      <c:overlay val="0"/>
    </c:title>
    <c:plotArea>
      <c:layout/>
      <c:lineChart>
        <c:ser>
          <c:idx val="0"/>
          <c:order val="0"/>
          <c:tx>
            <c:v>Max Power Flight Time</c:v>
          </c:tx>
          <c:spPr>
            <a:ln cmpd="sng">
              <a:solidFill>
                <a:srgbClr val="4285F4"/>
              </a:solidFill>
            </a:ln>
          </c:spPr>
          <c:marker>
            <c:symbol val="none"/>
          </c:marker>
          <c:cat>
            <c:strRef>
              <c:f>V5.3!$A$71:$A$79</c:f>
            </c:strRef>
          </c:cat>
          <c:val>
            <c:numRef>
              <c:f>V5.3!$B$71:$B$79</c:f>
              <c:numCache/>
            </c:numRef>
          </c:val>
          <c:smooth val="0"/>
        </c:ser>
        <c:ser>
          <c:idx val="1"/>
          <c:order val="1"/>
          <c:tx>
            <c:v>Hover Flight Time</c:v>
          </c:tx>
          <c:spPr>
            <a:ln cmpd="sng">
              <a:solidFill>
                <a:srgbClr val="EA4335"/>
              </a:solidFill>
            </a:ln>
          </c:spPr>
          <c:marker>
            <c:symbol val="none"/>
          </c:marker>
          <c:cat>
            <c:strRef>
              <c:f>V5.3!$A$71:$A$79</c:f>
            </c:strRef>
          </c:cat>
          <c:val>
            <c:numRef>
              <c:f>V5.3!$C$71:$C$79</c:f>
              <c:numCache/>
            </c:numRef>
          </c:val>
          <c:smooth val="0"/>
        </c:ser>
        <c:axId val="1170854311"/>
        <c:axId val="189914225"/>
      </c:lineChart>
      <c:catAx>
        <c:axId val="1170854311"/>
        <c:scaling>
          <c:orientation val="minMax"/>
          <c:max val="15.0"/>
        </c:scaling>
        <c:delete val="0"/>
        <c:axPos val="b"/>
        <c:title>
          <c:tx>
            <c:rich>
              <a:bodyPr/>
              <a:lstStyle/>
              <a:p>
                <a:pPr lvl="0">
                  <a:defRPr b="0">
                    <a:solidFill>
                      <a:srgbClr val="000000"/>
                    </a:solidFill>
                    <a:latin typeface="+mn-lt"/>
                  </a:defRPr>
                </a:pPr>
                <a:r>
                  <a:rPr b="0">
                    <a:solidFill>
                      <a:srgbClr val="000000"/>
                    </a:solidFill>
                    <a:latin typeface="+mn-lt"/>
                  </a:rPr>
                  <a:t>Effective Weight(N)</a:t>
                </a:r>
              </a:p>
            </c:rich>
          </c:tx>
          <c:overlay val="0"/>
        </c:title>
        <c:numFmt formatCode="General" sourceLinked="1"/>
        <c:majorTickMark val="none"/>
        <c:minorTickMark val="none"/>
        <c:spPr/>
        <c:txPr>
          <a:bodyPr/>
          <a:lstStyle/>
          <a:p>
            <a:pPr lvl="0">
              <a:defRPr b="0">
                <a:solidFill>
                  <a:srgbClr val="000000"/>
                </a:solidFill>
                <a:latin typeface="+mn-lt"/>
              </a:defRPr>
            </a:pPr>
          </a:p>
        </c:txPr>
        <c:crossAx val="189914225"/>
      </c:catAx>
      <c:valAx>
        <c:axId val="1899142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Flight Time(Minutes)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70854311"/>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400">
                <a:solidFill>
                  <a:srgbClr val="000000"/>
                </a:solidFill>
                <a:latin typeface="+mn-lt"/>
              </a:defRPr>
            </a:pPr>
            <a:r>
              <a:rPr b="1" sz="2400">
                <a:solidFill>
                  <a:srgbClr val="000000"/>
                </a:solidFill>
                <a:latin typeface="+mn-lt"/>
              </a:rPr>
              <a:t>Power Needed Per Motor as Weight Increases</a:t>
            </a:r>
          </a:p>
        </c:rich>
      </c:tx>
      <c:overlay val="0"/>
    </c:title>
    <c:plotArea>
      <c:layout/>
      <c:lineChart>
        <c:ser>
          <c:idx val="0"/>
          <c:order val="0"/>
          <c:tx>
            <c:v>Power per Motor to Hover (W)</c:v>
          </c:tx>
          <c:spPr>
            <a:ln cmpd="sng">
              <a:solidFill>
                <a:srgbClr val="4285F4"/>
              </a:solidFill>
            </a:ln>
          </c:spPr>
          <c:marker>
            <c:symbol val="none"/>
          </c:marker>
          <c:cat>
            <c:strRef>
              <c:f>V5.3!$A$87:$A$98</c:f>
            </c:strRef>
          </c:cat>
          <c:val>
            <c:numRef>
              <c:f>V5.3!$B$87:$B$98</c:f>
              <c:numCache/>
            </c:numRef>
          </c:val>
          <c:smooth val="0"/>
        </c:ser>
        <c:ser>
          <c:idx val="1"/>
          <c:order val="1"/>
          <c:tx>
            <c:v>Power per Motor against 8N Drag (W)</c:v>
          </c:tx>
          <c:spPr>
            <a:ln cmpd="sng">
              <a:solidFill>
                <a:srgbClr val="EA4335"/>
              </a:solidFill>
            </a:ln>
          </c:spPr>
          <c:marker>
            <c:symbol val="none"/>
          </c:marker>
          <c:cat>
            <c:strRef>
              <c:f>V5.3!$A$87:$A$98</c:f>
            </c:strRef>
          </c:cat>
          <c:val>
            <c:numRef>
              <c:f>V5.3!$C$87:$C$98</c:f>
              <c:numCache/>
            </c:numRef>
          </c:val>
          <c:smooth val="0"/>
        </c:ser>
        <c:axId val="1289051886"/>
        <c:axId val="1645712568"/>
      </c:lineChart>
      <c:catAx>
        <c:axId val="1289051886"/>
        <c:scaling>
          <c:orientation val="minMax"/>
        </c:scaling>
        <c:delete val="0"/>
        <c:axPos val="b"/>
        <c:title>
          <c:tx>
            <c:rich>
              <a:bodyPr/>
              <a:lstStyle/>
              <a:p>
                <a:pPr lvl="0">
                  <a:defRPr b="1" sz="2000">
                    <a:solidFill>
                      <a:srgbClr val="000000"/>
                    </a:solidFill>
                    <a:latin typeface="+mn-lt"/>
                  </a:defRPr>
                </a:pPr>
                <a:r>
                  <a:rPr b="1" sz="2000">
                    <a:solidFill>
                      <a:srgbClr val="000000"/>
                    </a:solidFill>
                    <a:latin typeface="+mn-lt"/>
                  </a:rPr>
                  <a:t>Effective Weight (N)</a:t>
                </a:r>
              </a:p>
            </c:rich>
          </c:tx>
          <c:overlay val="0"/>
        </c:title>
        <c:numFmt formatCode="General" sourceLinked="1"/>
        <c:majorTickMark val="none"/>
        <c:minorTickMark val="none"/>
        <c:spPr/>
        <c:txPr>
          <a:bodyPr/>
          <a:lstStyle/>
          <a:p>
            <a:pPr lvl="0">
              <a:defRPr b="0">
                <a:solidFill>
                  <a:srgbClr val="000000"/>
                </a:solidFill>
                <a:latin typeface="+mn-lt"/>
              </a:defRPr>
            </a:pPr>
          </a:p>
        </c:txPr>
        <c:crossAx val="1645712568"/>
      </c:catAx>
      <c:valAx>
        <c:axId val="16457125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2000">
                    <a:solidFill>
                      <a:srgbClr val="000000"/>
                    </a:solidFill>
                    <a:latin typeface="+mn-lt"/>
                  </a:defRPr>
                </a:pPr>
                <a:r>
                  <a:rPr b="1" sz="2000">
                    <a:solidFill>
                      <a:srgbClr val="000000"/>
                    </a:solidFill>
                    <a:latin typeface="+mn-lt"/>
                  </a:rPr>
                  <a:t>Power (W)</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89051886"/>
      </c:valAx>
    </c:plotArea>
    <c:legend>
      <c:legendPos val="r"/>
      <c:legendEntry>
        <c:idx val="0"/>
        <c:txPr>
          <a:bodyPr/>
          <a:lstStyle/>
          <a:p>
            <a:pPr lvl="0">
              <a:defRPr b="1" sz="1400"/>
            </a:pPr>
          </a:p>
        </c:txPr>
      </c:legendEntry>
      <c:legendEntry>
        <c:idx val="1"/>
        <c:txPr>
          <a:bodyPr/>
          <a:lstStyle/>
          <a:p>
            <a:pPr lvl="0">
              <a:defRPr b="1" sz="1400"/>
            </a:pPr>
          </a:p>
        </c:txPr>
      </c:legendEntry>
      <c:layout>
        <c:manualLayout>
          <c:xMode val="edge"/>
          <c:yMode val="edge"/>
          <c:x val="0.09750000000000007"/>
          <c:y val="0.15071877807726866"/>
        </c:manualLayout>
      </c:layout>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Motor Power vs. Throttle</a:t>
            </a:r>
          </a:p>
        </c:rich>
      </c:tx>
      <c:overlay val="0"/>
    </c:title>
    <c:plotArea>
      <c:layout/>
      <c:lineChart>
        <c:ser>
          <c:idx val="0"/>
          <c:order val="0"/>
          <c:tx>
            <c:v>Power(W) at 0mph wind</c:v>
          </c:tx>
          <c:spPr>
            <a:ln cmpd="sng">
              <a:solidFill>
                <a:srgbClr val="4285F4"/>
              </a:solidFill>
            </a:ln>
          </c:spPr>
          <c:marker>
            <c:symbol val="none"/>
          </c:marker>
          <c:cat>
            <c:strRef>
              <c:f>V5.2!$D$30:$D$42</c:f>
            </c:strRef>
          </c:cat>
          <c:val>
            <c:numRef>
              <c:f>V5.2!$F$30:$F$42</c:f>
              <c:numCache/>
            </c:numRef>
          </c:val>
          <c:smooth val="0"/>
        </c:ser>
        <c:ser>
          <c:idx val="1"/>
          <c:order val="1"/>
          <c:tx>
            <c:v>Power(W) at 20mph wind</c:v>
          </c:tx>
          <c:spPr>
            <a:ln cmpd="sng">
              <a:solidFill>
                <a:srgbClr val="EA4335"/>
              </a:solidFill>
            </a:ln>
          </c:spPr>
          <c:marker>
            <c:symbol val="none"/>
          </c:marker>
          <c:cat>
            <c:strRef>
              <c:f>V5.2!$D$30:$D$42</c:f>
            </c:strRef>
          </c:cat>
          <c:val>
            <c:numRef>
              <c:f>V5.2!$E$30:$E$42</c:f>
              <c:numCache/>
            </c:numRef>
          </c:val>
          <c:smooth val="0"/>
        </c:ser>
        <c:axId val="800152351"/>
        <c:axId val="364540788"/>
      </c:lineChart>
      <c:catAx>
        <c:axId val="800152351"/>
        <c:scaling>
          <c:orientation val="minMax"/>
          <c:max val="1.0"/>
        </c:scaling>
        <c:delete val="0"/>
        <c:axPos val="b"/>
        <c:title>
          <c:tx>
            <c:rich>
              <a:bodyPr/>
              <a:lstStyle/>
              <a:p>
                <a:pPr lvl="0">
                  <a:defRPr b="0">
                    <a:solidFill>
                      <a:srgbClr val="000000"/>
                    </a:solidFill>
                    <a:latin typeface="+mn-lt"/>
                  </a:defRPr>
                </a:pPr>
                <a:r>
                  <a:rPr b="0">
                    <a:solidFill>
                      <a:srgbClr val="000000"/>
                    </a:solidFill>
                    <a:latin typeface="+mn-lt"/>
                  </a:rPr>
                  <a:t>Throttle(%)</a:t>
                </a:r>
              </a:p>
            </c:rich>
          </c:tx>
          <c:overlay val="0"/>
        </c:title>
        <c:numFmt formatCode="General" sourceLinked="1"/>
        <c:majorTickMark val="none"/>
        <c:minorTickMark val="none"/>
        <c:spPr/>
        <c:txPr>
          <a:bodyPr/>
          <a:lstStyle/>
          <a:p>
            <a:pPr lvl="0">
              <a:defRPr b="0">
                <a:solidFill>
                  <a:srgbClr val="000000"/>
                </a:solidFill>
                <a:latin typeface="+mn-lt"/>
              </a:defRPr>
            </a:pPr>
          </a:p>
        </c:txPr>
        <c:crossAx val="364540788"/>
      </c:catAx>
      <c:valAx>
        <c:axId val="3645407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Power(W)
(0mph wind)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00152351"/>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Real Power vs. Thrust</a:t>
            </a:r>
          </a:p>
        </c:rich>
      </c:tx>
      <c:layout>
        <c:manualLayout>
          <c:xMode val="edge"/>
          <c:yMode val="edge"/>
          <c:x val="0.03091666666666667"/>
          <c:y val="0.055390835579514824"/>
        </c:manualLayout>
      </c:layout>
      <c:overlay val="0"/>
    </c:title>
    <c:plotArea>
      <c:layout/>
      <c:scatterChart>
        <c:scatterStyle val="lineMarker"/>
        <c:varyColors val="0"/>
        <c:ser>
          <c:idx val="0"/>
          <c:order val="0"/>
          <c:tx>
            <c:strRef>
              <c:f>V5.2!$E$45:$E$46</c:f>
            </c:strRef>
          </c:tx>
          <c:spPr>
            <a:ln>
              <a:noFill/>
            </a:ln>
          </c:spPr>
          <c:marker>
            <c:symbol val="circle"/>
            <c:size val="7"/>
            <c:spPr>
              <a:solidFill>
                <a:schemeClr val="accent1"/>
              </a:solidFill>
              <a:ln cmpd="sng">
                <a:solidFill>
                  <a:schemeClr val="accent1"/>
                </a:solidFill>
              </a:ln>
            </c:spPr>
          </c:marker>
          <c:xVal>
            <c:numRef>
              <c:f>V5.2!$C$47:$C$69</c:f>
            </c:numRef>
          </c:xVal>
          <c:yVal>
            <c:numRef>
              <c:f>V5.2!$E$47:$E$69</c:f>
              <c:numCache/>
            </c:numRef>
          </c:yVal>
        </c:ser>
        <c:dLbls>
          <c:showLegendKey val="0"/>
          <c:showVal val="0"/>
          <c:showCatName val="0"/>
          <c:showSerName val="0"/>
          <c:showPercent val="0"/>
          <c:showBubbleSize val="0"/>
        </c:dLbls>
        <c:axId val="449848976"/>
        <c:axId val="687374687"/>
      </c:scatterChart>
      <c:valAx>
        <c:axId val="44984897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Thrust(N)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87374687"/>
      </c:valAx>
      <c:valAx>
        <c:axId val="6873746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Power(W)</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49848976"/>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Real Power vs. Throttle</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V5.2!$A$47:$A$69</c:f>
            </c:numRef>
          </c:xVal>
          <c:yVal>
            <c:numRef>
              <c:f>V5.2!$E$47:$E$69</c:f>
              <c:numCache/>
            </c:numRef>
          </c:yVal>
        </c:ser>
        <c:dLbls>
          <c:showLegendKey val="0"/>
          <c:showVal val="0"/>
          <c:showCatName val="0"/>
          <c:showSerName val="0"/>
          <c:showPercent val="0"/>
          <c:showBubbleSize val="0"/>
        </c:dLbls>
        <c:axId val="576062937"/>
        <c:axId val="1600321371"/>
      </c:scatterChart>
      <c:valAx>
        <c:axId val="57606293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Throttle(%)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00321371"/>
      </c:valAx>
      <c:valAx>
        <c:axId val="1600321371"/>
        <c:scaling>
          <c:orientation val="minMax"/>
          <c:max val="1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Power(W)</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6062937"/>
      </c:valAx>
    </c:plotArea>
    <c:legend>
      <c:legendPos val="r"/>
      <c:legendEntry>
        <c:idx val="0"/>
        <c:txPr>
          <a:bodyPr/>
          <a:lstStyle/>
          <a:p>
            <a:pPr lvl="0">
              <a:defRPr>
                <a:latin typeface="+mn-lt"/>
              </a:defRPr>
            </a:pPr>
          </a:p>
        </c:txPr>
      </c:legendEntry>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 Id="rId4" Type="http://schemas.openxmlformats.org/officeDocument/2006/relationships/chart" Target="../charts/chart10.xml"/><Relationship Id="rId5"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 Id="rId3" Type="http://schemas.openxmlformats.org/officeDocument/2006/relationships/chart" Target="../charts/chart13.xml"/><Relationship Id="rId4" Type="http://schemas.openxmlformats.org/officeDocument/2006/relationships/chart" Target="../charts/chart14.xml"/><Relationship Id="rId5"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5.xml"/><Relationship Id="rId2" Type="http://schemas.openxmlformats.org/officeDocument/2006/relationships/chart" Target="../charts/chart16.xml"/><Relationship Id="rId3" Type="http://schemas.openxmlformats.org/officeDocument/2006/relationships/chart" Target="../charts/chart17.xml"/><Relationship Id="rId4"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8.xml"/><Relationship Id="rId2"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9.xml"/><Relationship Id="rId2"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57150</xdr:colOff>
      <xdr:row>29</xdr:row>
      <xdr:rowOff>171450</xdr:rowOff>
    </xdr:from>
    <xdr:ext cx="4057650" cy="25050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723900</xdr:colOff>
      <xdr:row>54</xdr:row>
      <xdr:rowOff>104775</xdr:rowOff>
    </xdr:from>
    <xdr:ext cx="4067175" cy="25050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19050</xdr:colOff>
      <xdr:row>42</xdr:row>
      <xdr:rowOff>28575</xdr:rowOff>
    </xdr:from>
    <xdr:ext cx="4019550" cy="25050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19050</xdr:colOff>
      <xdr:row>54</xdr:row>
      <xdr:rowOff>104775</xdr:rowOff>
    </xdr:from>
    <xdr:ext cx="4057650" cy="25050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xdr:col>
      <xdr:colOff>504825</xdr:colOff>
      <xdr:row>66</xdr:row>
      <xdr:rowOff>142875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4</xdr:col>
      <xdr:colOff>57150</xdr:colOff>
      <xdr:row>85</xdr:row>
      <xdr:rowOff>28575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12</xdr:col>
      <xdr:colOff>495300</xdr:colOff>
      <xdr:row>49</xdr:row>
      <xdr:rowOff>142875</xdr:rowOff>
    </xdr:from>
    <xdr:ext cx="2895600" cy="1847850"/>
    <xdr:grpSp>
      <xdr:nvGrpSpPr>
        <xdr:cNvPr id="2" name="Shape 2" title="Drawing"/>
        <xdr:cNvGrpSpPr/>
      </xdr:nvGrpSpPr>
      <xdr:grpSpPr>
        <a:xfrm>
          <a:off x="803725" y="256850"/>
          <a:ext cx="2862400" cy="1819400"/>
          <a:chOff x="803725" y="256850"/>
          <a:chExt cx="2862400" cy="1819400"/>
        </a:xfrm>
      </xdr:grpSpPr>
      <xdr:cxnSp>
        <xdr:nvCxnSpPr>
          <xdr:cNvPr id="3" name="Shape 3"/>
          <xdr:cNvCxnSpPr/>
        </xdr:nvCxnSpPr>
        <xdr:spPr>
          <a:xfrm>
            <a:off x="1666475" y="872450"/>
            <a:ext cx="0" cy="872400"/>
          </a:xfrm>
          <a:prstGeom prst="straightConnector1">
            <a:avLst/>
          </a:prstGeom>
          <a:noFill/>
          <a:ln cap="flat" cmpd="sng" w="9525">
            <a:solidFill>
              <a:srgbClr val="000000"/>
            </a:solidFill>
            <a:prstDash val="solid"/>
            <a:round/>
            <a:headEnd len="med" w="med" type="none"/>
            <a:tailEnd len="med" w="med" type="triangle"/>
          </a:ln>
        </xdr:spPr>
      </xdr:cxnSp>
      <xdr:cxnSp>
        <xdr:nvCxnSpPr>
          <xdr:cNvPr id="4" name="Shape 4"/>
          <xdr:cNvCxnSpPr/>
        </xdr:nvCxnSpPr>
        <xdr:spPr>
          <a:xfrm rot="10800000">
            <a:off x="1695775" y="843025"/>
            <a:ext cx="1431300" cy="0"/>
          </a:xfrm>
          <a:prstGeom prst="straightConnector1">
            <a:avLst/>
          </a:prstGeom>
          <a:noFill/>
          <a:ln cap="flat" cmpd="sng" w="9525">
            <a:solidFill>
              <a:srgbClr val="000000"/>
            </a:solidFill>
            <a:prstDash val="solid"/>
            <a:round/>
            <a:headEnd len="med" w="med" type="none"/>
            <a:tailEnd len="med" w="med" type="triangle"/>
          </a:ln>
        </xdr:spPr>
      </xdr:cxnSp>
      <xdr:cxnSp>
        <xdr:nvCxnSpPr>
          <xdr:cNvPr id="5" name="Shape 5"/>
          <xdr:cNvCxnSpPr/>
        </xdr:nvCxnSpPr>
        <xdr:spPr>
          <a:xfrm flipH="1" rot="10800000">
            <a:off x="1725275" y="891975"/>
            <a:ext cx="1392000" cy="823500"/>
          </a:xfrm>
          <a:prstGeom prst="straightConnector1">
            <a:avLst/>
          </a:prstGeom>
          <a:noFill/>
          <a:ln cap="flat" cmpd="sng" w="9525">
            <a:solidFill>
              <a:srgbClr val="000000"/>
            </a:solidFill>
            <a:prstDash val="solid"/>
            <a:round/>
            <a:headEnd len="med" w="med" type="none"/>
            <a:tailEnd len="med" w="med" type="triangle"/>
          </a:ln>
        </xdr:spPr>
      </xdr:cxnSp>
      <xdr:sp>
        <xdr:nvSpPr>
          <xdr:cNvPr id="6" name="Shape 6"/>
          <xdr:cNvSpPr txBox="1"/>
        </xdr:nvSpPr>
        <xdr:spPr>
          <a:xfrm>
            <a:off x="803725" y="995925"/>
            <a:ext cx="1127400" cy="6156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5N from gravity</a:t>
            </a:r>
            <a:endParaRPr sz="1400"/>
          </a:p>
        </xdr:txBody>
      </xdr:sp>
      <xdr:sp>
        <xdr:nvSpPr>
          <xdr:cNvPr id="7" name="Shape 7"/>
          <xdr:cNvSpPr txBox="1"/>
        </xdr:nvSpPr>
        <xdr:spPr>
          <a:xfrm>
            <a:off x="1592975" y="256850"/>
            <a:ext cx="1656600" cy="6156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8N drag at </a:t>
            </a:r>
            <a:r>
              <a:rPr lang="en-US" sz="1400"/>
              <a:t>20 mph</a:t>
            </a:r>
            <a:r>
              <a:rPr lang="en-US" sz="1400"/>
              <a:t> headwinds</a:t>
            </a:r>
            <a:endParaRPr sz="1400"/>
          </a:p>
        </xdr:txBody>
      </xdr:sp>
      <xdr:sp>
        <xdr:nvSpPr>
          <xdr:cNvPr id="8" name="Shape 8"/>
          <xdr:cNvSpPr txBox="1"/>
        </xdr:nvSpPr>
        <xdr:spPr>
          <a:xfrm>
            <a:off x="2431025" y="1244950"/>
            <a:ext cx="1235100" cy="8313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Max thrust of 9.43N to counter both </a:t>
            </a:r>
            <a:endParaRPr sz="1400"/>
          </a:p>
        </xdr:txBody>
      </xdr:sp>
    </xdr:grpSp>
    <xdr:clientData fLocksWithSheet="0"/>
  </xdr:oneCellAnchor>
  <xdr:oneCellAnchor>
    <xdr:from>
      <xdr:col>13</xdr:col>
      <xdr:colOff>161925</xdr:colOff>
      <xdr:row>28</xdr:row>
      <xdr:rowOff>190500</xdr:rowOff>
    </xdr:from>
    <xdr:ext cx="5067300" cy="4581525"/>
    <xdr:pic>
      <xdr:nvPicPr>
        <xdr:cNvPr id="0" name="image1.png" title="Image"/>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19</xdr:col>
      <xdr:colOff>942975</xdr:colOff>
      <xdr:row>17</xdr:row>
      <xdr:rowOff>485775</xdr:rowOff>
    </xdr:from>
    <xdr:ext cx="1781175" cy="5524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19</xdr:col>
      <xdr:colOff>962025</xdr:colOff>
      <xdr:row>20</xdr:row>
      <xdr:rowOff>314325</xdr:rowOff>
    </xdr:from>
    <xdr:ext cx="1781175" cy="5524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19</xdr:col>
      <xdr:colOff>962025</xdr:colOff>
      <xdr:row>19</xdr:row>
      <xdr:rowOff>314325</xdr:rowOff>
    </xdr:from>
    <xdr:ext cx="1781175" cy="5524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57150</xdr:colOff>
      <xdr:row>29</xdr:row>
      <xdr:rowOff>171450</xdr:rowOff>
    </xdr:from>
    <xdr:ext cx="4057650" cy="250507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9525</xdr:colOff>
      <xdr:row>67</xdr:row>
      <xdr:rowOff>133350</xdr:rowOff>
    </xdr:from>
    <xdr:ext cx="4067175" cy="2505075"/>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19050</xdr:colOff>
      <xdr:row>42</xdr:row>
      <xdr:rowOff>28575</xdr:rowOff>
    </xdr:from>
    <xdr:ext cx="4019550" cy="2505075"/>
    <xdr:graphicFrame>
      <xdr:nvGraphicFramePr>
        <xdr:cNvPr id="9" name="Chart 9"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19050</xdr:colOff>
      <xdr:row>54</xdr:row>
      <xdr:rowOff>104775</xdr:rowOff>
    </xdr:from>
    <xdr:ext cx="4057650" cy="2505075"/>
    <xdr:graphicFrame>
      <xdr:nvGraphicFramePr>
        <xdr:cNvPr id="10" name="Chart 10"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xdr:col>
      <xdr:colOff>495300</xdr:colOff>
      <xdr:row>49</xdr:row>
      <xdr:rowOff>142875</xdr:rowOff>
    </xdr:from>
    <xdr:ext cx="2895600" cy="1847850"/>
    <xdr:grpSp>
      <xdr:nvGrpSpPr>
        <xdr:cNvPr id="2" name="Shape 2" title="Drawing"/>
        <xdr:cNvGrpSpPr/>
      </xdr:nvGrpSpPr>
      <xdr:grpSpPr>
        <a:xfrm>
          <a:off x="803725" y="256850"/>
          <a:ext cx="2862400" cy="1819400"/>
          <a:chOff x="803725" y="256850"/>
          <a:chExt cx="2862400" cy="1819400"/>
        </a:xfrm>
      </xdr:grpSpPr>
      <xdr:cxnSp>
        <xdr:nvCxnSpPr>
          <xdr:cNvPr id="3" name="Shape 3"/>
          <xdr:cNvCxnSpPr/>
        </xdr:nvCxnSpPr>
        <xdr:spPr>
          <a:xfrm>
            <a:off x="1666475" y="872450"/>
            <a:ext cx="0" cy="872400"/>
          </a:xfrm>
          <a:prstGeom prst="straightConnector1">
            <a:avLst/>
          </a:prstGeom>
          <a:noFill/>
          <a:ln cap="flat" cmpd="sng" w="9525">
            <a:solidFill>
              <a:srgbClr val="000000"/>
            </a:solidFill>
            <a:prstDash val="solid"/>
            <a:round/>
            <a:headEnd len="med" w="med" type="none"/>
            <a:tailEnd len="med" w="med" type="triangle"/>
          </a:ln>
        </xdr:spPr>
      </xdr:cxnSp>
      <xdr:cxnSp>
        <xdr:nvCxnSpPr>
          <xdr:cNvPr id="4" name="Shape 4"/>
          <xdr:cNvCxnSpPr/>
        </xdr:nvCxnSpPr>
        <xdr:spPr>
          <a:xfrm rot="10800000">
            <a:off x="1695775" y="843025"/>
            <a:ext cx="1431300" cy="0"/>
          </a:xfrm>
          <a:prstGeom prst="straightConnector1">
            <a:avLst/>
          </a:prstGeom>
          <a:noFill/>
          <a:ln cap="flat" cmpd="sng" w="9525">
            <a:solidFill>
              <a:srgbClr val="000000"/>
            </a:solidFill>
            <a:prstDash val="solid"/>
            <a:round/>
            <a:headEnd len="med" w="med" type="none"/>
            <a:tailEnd len="med" w="med" type="triangle"/>
          </a:ln>
        </xdr:spPr>
      </xdr:cxnSp>
      <xdr:cxnSp>
        <xdr:nvCxnSpPr>
          <xdr:cNvPr id="5" name="Shape 5"/>
          <xdr:cNvCxnSpPr/>
        </xdr:nvCxnSpPr>
        <xdr:spPr>
          <a:xfrm flipH="1" rot="10800000">
            <a:off x="1725275" y="891975"/>
            <a:ext cx="1392000" cy="823500"/>
          </a:xfrm>
          <a:prstGeom prst="straightConnector1">
            <a:avLst/>
          </a:prstGeom>
          <a:noFill/>
          <a:ln cap="flat" cmpd="sng" w="9525">
            <a:solidFill>
              <a:srgbClr val="000000"/>
            </a:solidFill>
            <a:prstDash val="solid"/>
            <a:round/>
            <a:headEnd len="med" w="med" type="none"/>
            <a:tailEnd len="med" w="med" type="triangle"/>
          </a:ln>
        </xdr:spPr>
      </xdr:cxnSp>
      <xdr:sp>
        <xdr:nvSpPr>
          <xdr:cNvPr id="6" name="Shape 6"/>
          <xdr:cNvSpPr txBox="1"/>
        </xdr:nvSpPr>
        <xdr:spPr>
          <a:xfrm>
            <a:off x="803725" y="995925"/>
            <a:ext cx="1127400" cy="6156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5N from gravity</a:t>
            </a:r>
            <a:endParaRPr sz="1400"/>
          </a:p>
        </xdr:txBody>
      </xdr:sp>
      <xdr:sp>
        <xdr:nvSpPr>
          <xdr:cNvPr id="7" name="Shape 7"/>
          <xdr:cNvSpPr txBox="1"/>
        </xdr:nvSpPr>
        <xdr:spPr>
          <a:xfrm>
            <a:off x="1592975" y="256850"/>
            <a:ext cx="1656600" cy="6156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8N drag at </a:t>
            </a:r>
            <a:r>
              <a:rPr lang="en-US" sz="1400"/>
              <a:t>20 mph</a:t>
            </a:r>
            <a:r>
              <a:rPr lang="en-US" sz="1400"/>
              <a:t> headwinds</a:t>
            </a:r>
            <a:endParaRPr sz="1400"/>
          </a:p>
        </xdr:txBody>
      </xdr:sp>
      <xdr:sp>
        <xdr:nvSpPr>
          <xdr:cNvPr id="8" name="Shape 8"/>
          <xdr:cNvSpPr txBox="1"/>
        </xdr:nvSpPr>
        <xdr:spPr>
          <a:xfrm>
            <a:off x="2431025" y="1244950"/>
            <a:ext cx="1235100" cy="8313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Max thrust of 9.43N to counter both </a:t>
            </a:r>
            <a:endParaRPr sz="1400"/>
          </a:p>
        </xdr:txBody>
      </xdr:sp>
    </xdr:grpSp>
    <xdr:clientData fLocksWithSheet="0"/>
  </xdr:oneCellAnchor>
  <xdr:oneCellAnchor>
    <xdr:from>
      <xdr:col>13</xdr:col>
      <xdr:colOff>161925</xdr:colOff>
      <xdr:row>28</xdr:row>
      <xdr:rowOff>190500</xdr:rowOff>
    </xdr:from>
    <xdr:ext cx="5067300" cy="4581525"/>
    <xdr:pic>
      <xdr:nvPicPr>
        <xdr:cNvPr id="0" name="image1.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1162050</xdr:colOff>
      <xdr:row>29</xdr:row>
      <xdr:rowOff>228600</xdr:rowOff>
    </xdr:from>
    <xdr:ext cx="4057650" cy="2505075"/>
    <xdr:graphicFrame>
      <xdr:nvGraphicFramePr>
        <xdr:cNvPr id="11" name="Chart 1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9525</xdr:colOff>
      <xdr:row>68</xdr:row>
      <xdr:rowOff>133350</xdr:rowOff>
    </xdr:from>
    <xdr:ext cx="4067175" cy="2505075"/>
    <xdr:graphicFrame>
      <xdr:nvGraphicFramePr>
        <xdr:cNvPr id="12" name="Chart 1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19050</xdr:colOff>
      <xdr:row>43</xdr:row>
      <xdr:rowOff>28575</xdr:rowOff>
    </xdr:from>
    <xdr:ext cx="4019550" cy="2505075"/>
    <xdr:graphicFrame>
      <xdr:nvGraphicFramePr>
        <xdr:cNvPr id="13" name="Chart 1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19050</xdr:colOff>
      <xdr:row>55</xdr:row>
      <xdr:rowOff>104775</xdr:rowOff>
    </xdr:from>
    <xdr:ext cx="4057650" cy="2505075"/>
    <xdr:graphicFrame>
      <xdr:nvGraphicFramePr>
        <xdr:cNvPr id="14" name="Chart 1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10</xdr:col>
      <xdr:colOff>495300</xdr:colOff>
      <xdr:row>50</xdr:row>
      <xdr:rowOff>142875</xdr:rowOff>
    </xdr:from>
    <xdr:ext cx="2895600" cy="1847850"/>
    <xdr:grpSp>
      <xdr:nvGrpSpPr>
        <xdr:cNvPr id="2" name="Shape 2" title="Drawing"/>
        <xdr:cNvGrpSpPr/>
      </xdr:nvGrpSpPr>
      <xdr:grpSpPr>
        <a:xfrm>
          <a:off x="803725" y="256850"/>
          <a:ext cx="2862400" cy="1819400"/>
          <a:chOff x="803725" y="256850"/>
          <a:chExt cx="2862400" cy="1819400"/>
        </a:xfrm>
      </xdr:grpSpPr>
      <xdr:cxnSp>
        <xdr:nvCxnSpPr>
          <xdr:cNvPr id="3" name="Shape 3"/>
          <xdr:cNvCxnSpPr/>
        </xdr:nvCxnSpPr>
        <xdr:spPr>
          <a:xfrm>
            <a:off x="1666475" y="872450"/>
            <a:ext cx="0" cy="872400"/>
          </a:xfrm>
          <a:prstGeom prst="straightConnector1">
            <a:avLst/>
          </a:prstGeom>
          <a:noFill/>
          <a:ln cap="flat" cmpd="sng" w="9525">
            <a:solidFill>
              <a:srgbClr val="000000"/>
            </a:solidFill>
            <a:prstDash val="solid"/>
            <a:round/>
            <a:headEnd len="med" w="med" type="none"/>
            <a:tailEnd len="med" w="med" type="triangle"/>
          </a:ln>
        </xdr:spPr>
      </xdr:cxnSp>
      <xdr:cxnSp>
        <xdr:nvCxnSpPr>
          <xdr:cNvPr id="4" name="Shape 4"/>
          <xdr:cNvCxnSpPr/>
        </xdr:nvCxnSpPr>
        <xdr:spPr>
          <a:xfrm rot="10800000">
            <a:off x="1695775" y="843025"/>
            <a:ext cx="1431300" cy="0"/>
          </a:xfrm>
          <a:prstGeom prst="straightConnector1">
            <a:avLst/>
          </a:prstGeom>
          <a:noFill/>
          <a:ln cap="flat" cmpd="sng" w="9525">
            <a:solidFill>
              <a:srgbClr val="000000"/>
            </a:solidFill>
            <a:prstDash val="solid"/>
            <a:round/>
            <a:headEnd len="med" w="med" type="none"/>
            <a:tailEnd len="med" w="med" type="triangle"/>
          </a:ln>
        </xdr:spPr>
      </xdr:cxnSp>
      <xdr:cxnSp>
        <xdr:nvCxnSpPr>
          <xdr:cNvPr id="5" name="Shape 5"/>
          <xdr:cNvCxnSpPr/>
        </xdr:nvCxnSpPr>
        <xdr:spPr>
          <a:xfrm flipH="1" rot="10800000">
            <a:off x="1725275" y="891975"/>
            <a:ext cx="1392000" cy="823500"/>
          </a:xfrm>
          <a:prstGeom prst="straightConnector1">
            <a:avLst/>
          </a:prstGeom>
          <a:noFill/>
          <a:ln cap="flat" cmpd="sng" w="9525">
            <a:solidFill>
              <a:srgbClr val="000000"/>
            </a:solidFill>
            <a:prstDash val="solid"/>
            <a:round/>
            <a:headEnd len="med" w="med" type="none"/>
            <a:tailEnd len="med" w="med" type="triangle"/>
          </a:ln>
        </xdr:spPr>
      </xdr:cxnSp>
      <xdr:sp>
        <xdr:nvSpPr>
          <xdr:cNvPr id="6" name="Shape 6"/>
          <xdr:cNvSpPr txBox="1"/>
        </xdr:nvSpPr>
        <xdr:spPr>
          <a:xfrm>
            <a:off x="803725" y="995925"/>
            <a:ext cx="1127400" cy="6156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5N from gravity</a:t>
            </a:r>
            <a:endParaRPr sz="1400"/>
          </a:p>
        </xdr:txBody>
      </xdr:sp>
      <xdr:sp>
        <xdr:nvSpPr>
          <xdr:cNvPr id="7" name="Shape 7"/>
          <xdr:cNvSpPr txBox="1"/>
        </xdr:nvSpPr>
        <xdr:spPr>
          <a:xfrm>
            <a:off x="1592975" y="256850"/>
            <a:ext cx="1656600" cy="6156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8N drag at </a:t>
            </a:r>
            <a:r>
              <a:rPr lang="en-US" sz="1400"/>
              <a:t>20 mph</a:t>
            </a:r>
            <a:r>
              <a:rPr lang="en-US" sz="1400"/>
              <a:t> headwinds</a:t>
            </a:r>
            <a:endParaRPr sz="1400"/>
          </a:p>
        </xdr:txBody>
      </xdr:sp>
      <xdr:sp>
        <xdr:nvSpPr>
          <xdr:cNvPr id="8" name="Shape 8"/>
          <xdr:cNvSpPr txBox="1"/>
        </xdr:nvSpPr>
        <xdr:spPr>
          <a:xfrm>
            <a:off x="2431025" y="1244950"/>
            <a:ext cx="1235100" cy="8313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Max thrust of 9.43N to counter both </a:t>
            </a:r>
            <a:endParaRPr sz="1400"/>
          </a:p>
        </xdr:txBody>
      </xdr:sp>
    </xdr:grpSp>
    <xdr:clientData fLocksWithSheet="0"/>
  </xdr:oneCellAnchor>
  <xdr:oneCellAnchor>
    <xdr:from>
      <xdr:col>11</xdr:col>
      <xdr:colOff>161925</xdr:colOff>
      <xdr:row>29</xdr:row>
      <xdr:rowOff>190500</xdr:rowOff>
    </xdr:from>
    <xdr:ext cx="5067300" cy="4581525"/>
    <xdr:pic>
      <xdr:nvPicPr>
        <xdr:cNvPr id="0" name="image1.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142875</xdr:colOff>
      <xdr:row>38</xdr:row>
      <xdr:rowOff>190500</xdr:rowOff>
    </xdr:from>
    <xdr:ext cx="4057650" cy="2505075"/>
    <xdr:graphicFrame>
      <xdr:nvGraphicFramePr>
        <xdr:cNvPr id="15" name="Chart 1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542925</xdr:colOff>
      <xdr:row>51</xdr:row>
      <xdr:rowOff>190500</xdr:rowOff>
    </xdr:from>
    <xdr:ext cx="4019550" cy="2505075"/>
    <xdr:graphicFrame>
      <xdr:nvGraphicFramePr>
        <xdr:cNvPr id="16" name="Chart 1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533400</xdr:colOff>
      <xdr:row>64</xdr:row>
      <xdr:rowOff>85725</xdr:rowOff>
    </xdr:from>
    <xdr:ext cx="4057650" cy="2505075"/>
    <xdr:graphicFrame>
      <xdr:nvGraphicFramePr>
        <xdr:cNvPr id="17" name="Chart 1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xdr:col>
      <xdr:colOff>495300</xdr:colOff>
      <xdr:row>59</xdr:row>
      <xdr:rowOff>142875</xdr:rowOff>
    </xdr:from>
    <xdr:ext cx="2895600" cy="1847850"/>
    <xdr:grpSp>
      <xdr:nvGrpSpPr>
        <xdr:cNvPr id="2" name="Shape 2" title="Drawing"/>
        <xdr:cNvGrpSpPr/>
      </xdr:nvGrpSpPr>
      <xdr:grpSpPr>
        <a:xfrm>
          <a:off x="803725" y="256850"/>
          <a:ext cx="2862400" cy="1819400"/>
          <a:chOff x="803725" y="256850"/>
          <a:chExt cx="2862400" cy="1819400"/>
        </a:xfrm>
      </xdr:grpSpPr>
      <xdr:cxnSp>
        <xdr:nvCxnSpPr>
          <xdr:cNvPr id="3" name="Shape 3"/>
          <xdr:cNvCxnSpPr/>
        </xdr:nvCxnSpPr>
        <xdr:spPr>
          <a:xfrm>
            <a:off x="1666475" y="872450"/>
            <a:ext cx="0" cy="872400"/>
          </a:xfrm>
          <a:prstGeom prst="straightConnector1">
            <a:avLst/>
          </a:prstGeom>
          <a:noFill/>
          <a:ln cap="flat" cmpd="sng" w="9525">
            <a:solidFill>
              <a:srgbClr val="000000"/>
            </a:solidFill>
            <a:prstDash val="solid"/>
            <a:round/>
            <a:headEnd len="med" w="med" type="none"/>
            <a:tailEnd len="med" w="med" type="triangle"/>
          </a:ln>
        </xdr:spPr>
      </xdr:cxnSp>
      <xdr:cxnSp>
        <xdr:nvCxnSpPr>
          <xdr:cNvPr id="4" name="Shape 4"/>
          <xdr:cNvCxnSpPr/>
        </xdr:nvCxnSpPr>
        <xdr:spPr>
          <a:xfrm rot="10800000">
            <a:off x="1695775" y="843025"/>
            <a:ext cx="1431300" cy="0"/>
          </a:xfrm>
          <a:prstGeom prst="straightConnector1">
            <a:avLst/>
          </a:prstGeom>
          <a:noFill/>
          <a:ln cap="flat" cmpd="sng" w="9525">
            <a:solidFill>
              <a:srgbClr val="000000"/>
            </a:solidFill>
            <a:prstDash val="solid"/>
            <a:round/>
            <a:headEnd len="med" w="med" type="none"/>
            <a:tailEnd len="med" w="med" type="triangle"/>
          </a:ln>
        </xdr:spPr>
      </xdr:cxnSp>
      <xdr:cxnSp>
        <xdr:nvCxnSpPr>
          <xdr:cNvPr id="5" name="Shape 5"/>
          <xdr:cNvCxnSpPr/>
        </xdr:nvCxnSpPr>
        <xdr:spPr>
          <a:xfrm flipH="1" rot="10800000">
            <a:off x="1725275" y="891975"/>
            <a:ext cx="1392000" cy="823500"/>
          </a:xfrm>
          <a:prstGeom prst="straightConnector1">
            <a:avLst/>
          </a:prstGeom>
          <a:noFill/>
          <a:ln cap="flat" cmpd="sng" w="9525">
            <a:solidFill>
              <a:srgbClr val="000000"/>
            </a:solidFill>
            <a:prstDash val="solid"/>
            <a:round/>
            <a:headEnd len="med" w="med" type="none"/>
            <a:tailEnd len="med" w="med" type="triangle"/>
          </a:ln>
        </xdr:spPr>
      </xdr:cxnSp>
      <xdr:sp>
        <xdr:nvSpPr>
          <xdr:cNvPr id="6" name="Shape 6"/>
          <xdr:cNvSpPr txBox="1"/>
        </xdr:nvSpPr>
        <xdr:spPr>
          <a:xfrm>
            <a:off x="803725" y="995925"/>
            <a:ext cx="1127400" cy="6156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5N from gravity</a:t>
            </a:r>
            <a:endParaRPr sz="1400"/>
          </a:p>
        </xdr:txBody>
      </xdr:sp>
      <xdr:sp>
        <xdr:nvSpPr>
          <xdr:cNvPr id="7" name="Shape 7"/>
          <xdr:cNvSpPr txBox="1"/>
        </xdr:nvSpPr>
        <xdr:spPr>
          <a:xfrm>
            <a:off x="1592975" y="256850"/>
            <a:ext cx="1656600" cy="6156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8N drag at </a:t>
            </a:r>
            <a:r>
              <a:rPr lang="en-US" sz="1400"/>
              <a:t>20 mph</a:t>
            </a:r>
            <a:r>
              <a:rPr lang="en-US" sz="1400"/>
              <a:t> headwinds</a:t>
            </a:r>
            <a:endParaRPr sz="1400"/>
          </a:p>
        </xdr:txBody>
      </xdr:sp>
      <xdr:sp>
        <xdr:nvSpPr>
          <xdr:cNvPr id="8" name="Shape 8"/>
          <xdr:cNvSpPr txBox="1"/>
        </xdr:nvSpPr>
        <xdr:spPr>
          <a:xfrm>
            <a:off x="2431025" y="1244950"/>
            <a:ext cx="1235100" cy="8313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Max thrust of 9.43N to counter both </a:t>
            </a:r>
            <a:endParaRPr sz="1400"/>
          </a:p>
        </xdr:txBody>
      </xdr:sp>
    </xdr:grpSp>
    <xdr:clientData fLocksWithSheet="0"/>
  </xdr:oneCellAnchor>
  <xdr:oneCellAnchor>
    <xdr:from>
      <xdr:col>11</xdr:col>
      <xdr:colOff>161925</xdr:colOff>
      <xdr:row>38</xdr:row>
      <xdr:rowOff>190500</xdr:rowOff>
    </xdr:from>
    <xdr:ext cx="5067300" cy="4581525"/>
    <xdr:pic>
      <xdr:nvPicPr>
        <xdr:cNvPr id="0" name="image1.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314325</xdr:colOff>
      <xdr:row>38</xdr:row>
      <xdr:rowOff>152400</xdr:rowOff>
    </xdr:from>
    <xdr:ext cx="5715000" cy="3533775"/>
    <xdr:graphicFrame>
      <xdr:nvGraphicFramePr>
        <xdr:cNvPr id="18" name="Chart 18"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95250</xdr:colOff>
      <xdr:row>54</xdr:row>
      <xdr:rowOff>209550</xdr:rowOff>
    </xdr:from>
    <xdr:ext cx="5362575" cy="48387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314325</xdr:colOff>
      <xdr:row>40</xdr:row>
      <xdr:rowOff>152400</xdr:rowOff>
    </xdr:from>
    <xdr:ext cx="5715000" cy="3533775"/>
    <xdr:graphicFrame>
      <xdr:nvGraphicFramePr>
        <xdr:cNvPr id="19" name="Chart 1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95250</xdr:colOff>
      <xdr:row>56</xdr:row>
      <xdr:rowOff>209550</xdr:rowOff>
    </xdr:from>
    <xdr:ext cx="5362575" cy="48387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295275</xdr:colOff>
      <xdr:row>36</xdr:row>
      <xdr:rowOff>142875</xdr:rowOff>
    </xdr:from>
    <xdr:ext cx="5715000" cy="3533775"/>
    <xdr:graphicFrame>
      <xdr:nvGraphicFramePr>
        <xdr:cNvPr id="20" name="Chart 20"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rive.google.com/file/d/1zcN4oXY7YiwJI4uVzpOdaHv_k6EPhOHg/view?usp=sharing" TargetMode="External"/><Relationship Id="rId10" Type="http://schemas.openxmlformats.org/officeDocument/2006/relationships/hyperlink" Target="https://drive.google.com/file/d/1mWoPrDEnQztybVbRIB_2A5kyKjJ62z7w/view?usp=sharing" TargetMode="External"/><Relationship Id="rId13" Type="http://schemas.openxmlformats.org/officeDocument/2006/relationships/hyperlink" Target="https://hobbyking.com/en_us/turnigy-aerodrive-sk3-2822-1275kv-brushless-outrunner-motor.html?queryID=&amp;objectID=47269&amp;indexName=hbk_live_magento_en_us_products" TargetMode="External"/><Relationship Id="rId12" Type="http://schemas.openxmlformats.org/officeDocument/2006/relationships/hyperlink" Target="https://sensing.honeywell.com/honeywell-sensing-micropressure-board-mount-pressure-mpr-series-datasheet-32332628-en.pdf" TargetMode="External"/><Relationship Id="rId1" Type="http://schemas.openxmlformats.org/officeDocument/2006/relationships/hyperlink" Target="https://www.maxamps.com/lipo-battery-charger-hitec-x2-ac-plus-black-edition-ac-dc-charger-power-supply" TargetMode="External"/><Relationship Id="rId2" Type="http://schemas.openxmlformats.org/officeDocument/2006/relationships/hyperlink" Target="https://www.maxamps.com/lipo-11000-3s-11-1v-battery-pack" TargetMode="External"/><Relationship Id="rId3" Type="http://schemas.openxmlformats.org/officeDocument/2006/relationships/hyperlink" Target="https://drive.google.com/file/d/1BTWidagNcykIAG8uyaztTt_ULJJs9Ibr/view?usp=sharing" TargetMode="External"/><Relationship Id="rId4" Type="http://schemas.openxmlformats.org/officeDocument/2006/relationships/hyperlink" Target="https://drive.google.com/file/d/1S5aWydUc6pw0TgixZKUfUGhhEkZoeMQR/view?usp=sharing" TargetMode="External"/><Relationship Id="rId9" Type="http://schemas.openxmlformats.org/officeDocument/2006/relationships/hyperlink" Target="https://drive.google.com/file/d/1TtpSB2pmre7adCPPsE4JPd05eTOPkMdb/view?usp=sharing" TargetMode="External"/><Relationship Id="rId15" Type="http://schemas.openxmlformats.org/officeDocument/2006/relationships/drawing" Target="../drawings/drawing1.xml"/><Relationship Id="rId14" Type="http://schemas.openxmlformats.org/officeDocument/2006/relationships/hyperlink" Target="https://www.ebay.com/itm/254648162225?chn=ps&amp;mkevt=1&amp;mkcid=28" TargetMode="External"/><Relationship Id="rId5" Type="http://schemas.openxmlformats.org/officeDocument/2006/relationships/hyperlink" Target="https://www.amazon.com/AKK-Degree-800TVL-Switchable-Transmitter/dp/B01N48QUIP/ref=sr_1_3?dchild=1&amp;keywords=fpv+camera+and+transmitter&amp;qid=1616895803&amp;sr=8-3" TargetMode="External"/><Relationship Id="rId6" Type="http://schemas.openxmlformats.org/officeDocument/2006/relationships/hyperlink" Target="https://www.amazon.com/gp/product/B0744DPPL8/ref=as_li_tl?ie=UTF8&amp;tag=rc-transmitter-20&amp;camp=1789&amp;creative=9325&amp;linkCode=as2&amp;creativeASIN=B0744DPPL8&amp;linkId=e75bb88993f8c17e22040ee7751ea7c0" TargetMode="External"/><Relationship Id="rId7" Type="http://schemas.openxmlformats.org/officeDocument/2006/relationships/hyperlink" Target="https://www.sparkfun.com/products/15007" TargetMode="External"/><Relationship Id="rId8" Type="http://schemas.openxmlformats.org/officeDocument/2006/relationships/hyperlink" Target="https://drive.google.com/file/d/1yr01Xi78aFAP9uDOiIQcZWPEP93LwSbV/view?usp=sharing" TargetMode="External"/></Relationships>
</file>

<file path=xl/worksheets/_rels/sheet10.xml.rels><?xml version="1.0" encoding="UTF-8" standalone="yes"?><Relationships xmlns="http://schemas.openxmlformats.org/package/2006/relationships"><Relationship Id="rId20" Type="http://schemas.openxmlformats.org/officeDocument/2006/relationships/hyperlink" Target="https://www.racedayquads.com/products/iflight-succex-micro-2-4s-12a-16x16-4in1-esc-for-cinebee-75hd?currency=USD&amp;variant=21519988097137&amp;gclid=Cj0KCQiA4feBBhC9ARIsABp_nbVZsG9jvSDoVZxiYzhzdObvOU_eZrsw8bplCz3ho7U08lDa3X1X3rYaAh1IEALw_wcB" TargetMode="External"/><Relationship Id="rId22" Type="http://schemas.openxmlformats.org/officeDocument/2006/relationships/hyperlink" Target="https://justdrones.com.au/how-much-power-is-needed-to-hover/" TargetMode="External"/><Relationship Id="rId21" Type="http://schemas.openxmlformats.org/officeDocument/2006/relationships/hyperlink" Target="https://hobbyking.com/en_us/turnigy-aerodrive-sk3-2822-1275kv-brushless-outrunner-motor.html?queryID=&amp;objectID=47269&amp;indexName=hbk_live_magento_en_us_products" TargetMode="External"/><Relationship Id="rId24" Type="http://schemas.openxmlformats.org/officeDocument/2006/relationships/hyperlink" Target="https://hobbyking.com/en_us/skyzone-p-p-25mw-set-w-ts5825-tx-rc832-rx-and-sony-480tvl-ccd-camera-and-c-p-antennas.html?queryID=aa6e639063a6285a400e4f9304b4c0b3&amp;objectID=52240&amp;indexName=hbk_live_magento_en_us_products" TargetMode="External"/><Relationship Id="rId23" Type="http://schemas.openxmlformats.org/officeDocument/2006/relationships/hyperlink" Target="https://hobbyking.com/en_us/skyzone-p-p-25mw-set-w-ts5825-tx-rc832-rx-and-sony-480tvl-ccd-camera-and-c-p-antennas.html?queryID=aa6e639063a6285a400e4f9304b4c0b3&amp;objectID=52240&amp;indexName=hbk_live_magento_en_us_products" TargetMode="External"/><Relationship Id="rId1" Type="http://schemas.openxmlformats.org/officeDocument/2006/relationships/hyperlink" Target="https://www.maxamps.com/lipo-battery-charger-hitec-x4-micro-ac-dc-1-cell-charger" TargetMode="External"/><Relationship Id="rId2" Type="http://schemas.openxmlformats.org/officeDocument/2006/relationships/hyperlink" Target="https://www.aliexpress.com/item/32608380312.html" TargetMode="External"/><Relationship Id="rId3" Type="http://schemas.openxmlformats.org/officeDocument/2006/relationships/hyperlink" Target="https://www.maxamps.com/lipo-9000xl-3s-11-1v-battery-pack" TargetMode="External"/><Relationship Id="rId4" Type="http://schemas.openxmlformats.org/officeDocument/2006/relationships/hyperlink" Target="https://drive.google.com/file/d/1BTWidagNcykIAG8uyaztTt_ULJJs9Ibr/view?usp=sharing" TargetMode="External"/><Relationship Id="rId9" Type="http://schemas.openxmlformats.org/officeDocument/2006/relationships/hyperlink" Target="https://drive.google.com/file/d/1S5aWydUc6pw0TgixZKUfUGhhEkZoeMQR/view?usp=sharing" TargetMode="External"/><Relationship Id="rId26" Type="http://schemas.openxmlformats.org/officeDocument/2006/relationships/hyperlink" Target="https://www.st.com/content/ccc/resource/technical/document/datasheet/99/3b/7d/91/91/51/4b/be/CD00000544.pdf/files/CD00000544.pdf/jcr:content/translations/en.CD00000544.pdf" TargetMode="External"/><Relationship Id="rId25" Type="http://schemas.openxmlformats.org/officeDocument/2006/relationships/hyperlink" Target="https://hobbyking.com/en_us/corona-cs238mg-metal-gear-servo-4-6kg-0-14sec-22g.html?queryID=6f05347fba3881876e63e3f3d3558ea7&amp;objectID=35613&amp;indexName=hbk_live_magento_en_us_products" TargetMode="External"/><Relationship Id="rId27" Type="http://schemas.openxmlformats.org/officeDocument/2006/relationships/drawing" Target="../drawings/drawing10.xml"/><Relationship Id="rId5" Type="http://schemas.openxmlformats.org/officeDocument/2006/relationships/hyperlink" Target="https://drive.google.com/file/d/1S5aWydUc6pw0TgixZKUfUGhhEkZoeMQR/view?usp=sharing" TargetMode="External"/><Relationship Id="rId6" Type="http://schemas.openxmlformats.org/officeDocument/2006/relationships/hyperlink" Target="https://drive.google.com/file/d/1S5aWydUc6pw0TgixZKUfUGhhEkZoeMQR/view?usp=sharing" TargetMode="External"/><Relationship Id="rId7" Type="http://schemas.openxmlformats.org/officeDocument/2006/relationships/hyperlink" Target="https://drive.google.com/file/d/1S5aWydUc6pw0TgixZKUfUGhhEkZoeMQR/view?usp=sharing" TargetMode="External"/><Relationship Id="rId8" Type="http://schemas.openxmlformats.org/officeDocument/2006/relationships/hyperlink" Target="https://drive.google.com/file/d/1S5aWydUc6pw0TgixZKUfUGhhEkZoeMQR/view?usp=sharing" TargetMode="External"/><Relationship Id="rId11" Type="http://schemas.openxmlformats.org/officeDocument/2006/relationships/hyperlink" Target="https://drive.google.com/file/d/1S5aWydUc6pw0TgixZKUfUGhhEkZoeMQR/view?usp=sharing" TargetMode="External"/><Relationship Id="rId10" Type="http://schemas.openxmlformats.org/officeDocument/2006/relationships/hyperlink" Target="https://drive.google.com/file/d/1S5aWydUc6pw0TgixZKUfUGhhEkZoeMQR/view?usp=sharing" TargetMode="External"/><Relationship Id="rId13" Type="http://schemas.openxmlformats.org/officeDocument/2006/relationships/hyperlink" Target="https://drive.google.com/file/d/1yr01Xi78aFAP9uDOiIQcZWPEP93LwSbV/view?usp=sharing" TargetMode="External"/><Relationship Id="rId12" Type="http://schemas.openxmlformats.org/officeDocument/2006/relationships/hyperlink" Target="https://drive.google.com/file/d/1yr01Xi78aFAP9uDOiIQcZWPEP93LwSbV/view?usp=sharing" TargetMode="External"/><Relationship Id="rId15" Type="http://schemas.openxmlformats.org/officeDocument/2006/relationships/hyperlink" Target="https://drive.google.com/file/d/1mWoPrDEnQztybVbRIB_2A5kyKjJ62z7w/view?usp=sharing" TargetMode="External"/><Relationship Id="rId14" Type="http://schemas.openxmlformats.org/officeDocument/2006/relationships/hyperlink" Target="https://drive.google.com/file/d/1TtpSB2pmre7adCPPsE4JPd05eTOPkMdb/view?usp=sharing" TargetMode="External"/><Relationship Id="rId17" Type="http://schemas.openxmlformats.org/officeDocument/2006/relationships/hyperlink" Target="https://drive.google.com/file/d/1mWoPrDEnQztybVbRIB_2A5kyKjJ62z7w/view?usp=sharing" TargetMode="External"/><Relationship Id="rId16" Type="http://schemas.openxmlformats.org/officeDocument/2006/relationships/hyperlink" Target="https://drive.google.com/file/d/1mWoPrDEnQztybVbRIB_2A5kyKjJ62z7w/view?usp=sharing" TargetMode="External"/><Relationship Id="rId19" Type="http://schemas.openxmlformats.org/officeDocument/2006/relationships/hyperlink" Target="https://drive.google.com/file/d/1zcN4oXY7YiwJI4uVzpOdaHv_k6EPhOHg/view?usp=sharing" TargetMode="External"/><Relationship Id="rId18" Type="http://schemas.openxmlformats.org/officeDocument/2006/relationships/hyperlink" Target="https://drive.google.com/file/d/1zcN4oXY7YiwJI4uVzpOdaHv_k6EPhOHg/view?usp=sharing" TargetMode="External"/></Relationships>
</file>

<file path=xl/worksheets/_rels/sheet11.xml.rels><?xml version="1.0" encoding="UTF-8" standalone="yes"?><Relationships xmlns="http://schemas.openxmlformats.org/package/2006/relationships"><Relationship Id="rId20" Type="http://schemas.openxmlformats.org/officeDocument/2006/relationships/hyperlink" Target="https://drive.google.com/file/d/1mWoPrDEnQztybVbRIB_2A5kyKjJ62z7w/view?usp=sharing" TargetMode="External"/><Relationship Id="rId22" Type="http://schemas.openxmlformats.org/officeDocument/2006/relationships/hyperlink" Target="https://drive.google.com/file/d/1zcN4oXY7YiwJI4uVzpOdaHv_k6EPhOHg/view?usp=sharing" TargetMode="External"/><Relationship Id="rId21" Type="http://schemas.openxmlformats.org/officeDocument/2006/relationships/hyperlink" Target="https://drive.google.com/file/d/1zcN4oXY7YiwJI4uVzpOdaHv_k6EPhOHg/view?usp=sharing" TargetMode="External"/><Relationship Id="rId24" Type="http://schemas.openxmlformats.org/officeDocument/2006/relationships/hyperlink" Target="https://hobbyking.com/en_us/turnigy-aerodrive-sk3-2822-1275kv-brushless-outrunner-motor.html?queryID=&amp;objectID=47269&amp;indexName=hbk_live_magento_en_us_products" TargetMode="External"/><Relationship Id="rId23" Type="http://schemas.openxmlformats.org/officeDocument/2006/relationships/hyperlink" Target="https://www.racedayquads.com/products/iflight-succex-micro-2-4s-12a-16x16-4in1-esc-for-cinebee-75hd?currency=USD&amp;variant=21519988097137&amp;gclid=Cj0KCQiA4feBBhC9ARIsABp_nbVZsG9jvSDoVZxiYzhzdObvOU_eZrsw8bplCz3ho7U08lDa3X1X3rYaAh1IEALw_wcB" TargetMode="External"/><Relationship Id="rId1" Type="http://schemas.openxmlformats.org/officeDocument/2006/relationships/hyperlink" Target="https://www.maxamps.com/lipo-battery-charger-hitec-x4-micro-ac-dc-1-cell-charger" TargetMode="External"/><Relationship Id="rId2" Type="http://schemas.openxmlformats.org/officeDocument/2006/relationships/hyperlink" Target="https://www.aliexpress.com/item/32608380312.html" TargetMode="External"/><Relationship Id="rId3" Type="http://schemas.openxmlformats.org/officeDocument/2006/relationships/hyperlink" Target="https://www.maxamps.com/lipo-9000xl-3s-11-1v-battery-pack" TargetMode="External"/><Relationship Id="rId4" Type="http://schemas.openxmlformats.org/officeDocument/2006/relationships/hyperlink" Target="https://drive.google.com/file/d/1JIyTC4ekPDMyvyiWhSbZe47sSC0U8MXd/view?usp=sharing" TargetMode="External"/><Relationship Id="rId9" Type="http://schemas.openxmlformats.org/officeDocument/2006/relationships/hyperlink" Target="https://drive.google.com/file/d/1S5aWydUc6pw0TgixZKUfUGhhEkZoeMQR/view?usp=sharing" TargetMode="External"/><Relationship Id="rId26" Type="http://schemas.openxmlformats.org/officeDocument/2006/relationships/hyperlink" Target="https://hobbyking.com/en_us/skyzone-p-p-25mw-set-w-ts5825-tx-rc832-rx-and-sony-480tvl-ccd-camera-and-c-p-antennas.html?queryID=aa6e639063a6285a400e4f9304b4c0b3&amp;objectID=52240&amp;indexName=hbk_live_magento_en_us_products" TargetMode="External"/><Relationship Id="rId25" Type="http://schemas.openxmlformats.org/officeDocument/2006/relationships/hyperlink" Target="https://hobbyking.com/en_us/skyzone-p-p-25mw-set-w-ts5825-tx-rc832-rx-and-sony-480tvl-ccd-camera-and-c-p-antennas.html?queryID=aa6e639063a6285a400e4f9304b4c0b3&amp;objectID=52240&amp;indexName=hbk_live_magento_en_us_products" TargetMode="External"/><Relationship Id="rId28" Type="http://schemas.openxmlformats.org/officeDocument/2006/relationships/drawing" Target="../drawings/drawing11.xml"/><Relationship Id="rId27" Type="http://schemas.openxmlformats.org/officeDocument/2006/relationships/hyperlink" Target="https://hobbyking.com/en_us/corona-cs238mg-metal-gear-servo-4-6kg-0-14sec-22g.html?queryID=6f05347fba3881876e63e3f3d3558ea7&amp;objectID=35613&amp;indexName=hbk_live_magento_en_us_products" TargetMode="External"/><Relationship Id="rId5" Type="http://schemas.openxmlformats.org/officeDocument/2006/relationships/hyperlink" Target="https://drive.google.com/file/d/1fHHdqKPaRFD-DnXmgxf2bzb2MyaAhMV8/view?usp=sharing" TargetMode="External"/><Relationship Id="rId6" Type="http://schemas.openxmlformats.org/officeDocument/2006/relationships/hyperlink" Target="https://drive.google.com/file/d/1S5aWydUc6pw0TgixZKUfUGhhEkZoeMQR/view?usp=sharing" TargetMode="External"/><Relationship Id="rId7" Type="http://schemas.openxmlformats.org/officeDocument/2006/relationships/hyperlink" Target="https://drive.google.com/file/d/1S5aWydUc6pw0TgixZKUfUGhhEkZoeMQR/view?usp=sharing" TargetMode="External"/><Relationship Id="rId8" Type="http://schemas.openxmlformats.org/officeDocument/2006/relationships/hyperlink" Target="https://drive.google.com/file/d/1S5aWydUc6pw0TgixZKUfUGhhEkZoeMQR/view?usp=sharing" TargetMode="External"/><Relationship Id="rId11" Type="http://schemas.openxmlformats.org/officeDocument/2006/relationships/hyperlink" Target="https://drive.google.com/file/d/1S5aWydUc6pw0TgixZKUfUGhhEkZoeMQR/view?usp=sharing" TargetMode="External"/><Relationship Id="rId10" Type="http://schemas.openxmlformats.org/officeDocument/2006/relationships/hyperlink" Target="https://drive.google.com/file/d/1S5aWydUc6pw0TgixZKUfUGhhEkZoeMQR/view?usp=sharing" TargetMode="External"/><Relationship Id="rId13" Type="http://schemas.openxmlformats.org/officeDocument/2006/relationships/hyperlink" Target="https://justdrones.com.au/how-much-power-is-needed-to-hover/" TargetMode="External"/><Relationship Id="rId12" Type="http://schemas.openxmlformats.org/officeDocument/2006/relationships/hyperlink" Target="https://drive.google.com/file/d/1S5aWydUc6pw0TgixZKUfUGhhEkZoeMQR/view?usp=sharing" TargetMode="External"/><Relationship Id="rId15" Type="http://schemas.openxmlformats.org/officeDocument/2006/relationships/hyperlink" Target="https://www.hindawi.com/journals/jat/2020/9689604/" TargetMode="External"/><Relationship Id="rId14" Type="http://schemas.openxmlformats.org/officeDocument/2006/relationships/hyperlink" Target="https://drive.google.com/file/d/1yr01Xi78aFAP9uDOiIQcZWPEP93LwSbV/view?usp=sharing" TargetMode="External"/><Relationship Id="rId17" Type="http://schemas.openxmlformats.org/officeDocument/2006/relationships/hyperlink" Target="https://drive.google.com/file/d/1TtpSB2pmre7adCPPsE4JPd05eTOPkMdb/view?usp=sharing" TargetMode="External"/><Relationship Id="rId16" Type="http://schemas.openxmlformats.org/officeDocument/2006/relationships/hyperlink" Target="https://drive.google.com/file/d/1yr01Xi78aFAP9uDOiIQcZWPEP93LwSbV/view?usp=sharing" TargetMode="External"/><Relationship Id="rId19" Type="http://schemas.openxmlformats.org/officeDocument/2006/relationships/hyperlink" Target="https://drive.google.com/file/d/1mWoPrDEnQztybVbRIB_2A5kyKjJ62z7w/view?usp=sharing" TargetMode="External"/><Relationship Id="rId18" Type="http://schemas.openxmlformats.org/officeDocument/2006/relationships/hyperlink" Target="https://drive.google.com/file/d/1mWoPrDEnQztybVbRIB_2A5kyKjJ62z7w/view?usp=sharing" TargetMode="External"/></Relationships>
</file>

<file path=xl/worksheets/_rels/sheet12.xml.rels><?xml version="1.0" encoding="UTF-8" standalone="yes"?><Relationships xmlns="http://schemas.openxmlformats.org/package/2006/relationships"><Relationship Id="rId20" Type="http://schemas.openxmlformats.org/officeDocument/2006/relationships/hyperlink" Target="https://drive.google.com/file/d/1faSSMPl11bIKwqmh37atNIKp6XqIosHe/view?usp=sharing" TargetMode="External"/><Relationship Id="rId22" Type="http://schemas.openxmlformats.org/officeDocument/2006/relationships/hyperlink" Target="https://drive.google.com/file/d/1faSSMPl11bIKwqmh37atNIKp6XqIosHe/view?usp=sharing" TargetMode="External"/><Relationship Id="rId21" Type="http://schemas.openxmlformats.org/officeDocument/2006/relationships/hyperlink" Target="https://drive.google.com/file/d/1faSSMPl11bIKwqmh37atNIKp6XqIosHe/view?usp=sharing" TargetMode="External"/><Relationship Id="rId24" Type="http://schemas.openxmlformats.org/officeDocument/2006/relationships/hyperlink" Target="https://drive.google.com/file/d/1aMF35tCYDVIaZ0ryEDQiB-dyMWEsim-W/view?usp=sharing" TargetMode="External"/><Relationship Id="rId23" Type="http://schemas.openxmlformats.org/officeDocument/2006/relationships/hyperlink" Target="https://drive.google.com/file/d/1faSSMPl11bIKwqmh37atNIKp6XqIosHe/view?usp=sharing" TargetMode="External"/><Relationship Id="rId1" Type="http://schemas.openxmlformats.org/officeDocument/2006/relationships/hyperlink" Target="https://www.maxamps.com/lipo-11000-2s-7-4v-battery-pack" TargetMode="External"/><Relationship Id="rId2" Type="http://schemas.openxmlformats.org/officeDocument/2006/relationships/hyperlink" Target="https://drive.google.com/file/d/1atykOEdNdoKVKPgCqxFU7pUO-mo_7094/view?usp=sharing" TargetMode="External"/><Relationship Id="rId3" Type="http://schemas.openxmlformats.org/officeDocument/2006/relationships/hyperlink" Target="https://drive.google.com/file/d/1S5aWydUc6pw0TgixZKUfUGhhEkZoeMQR/view?usp=sharing" TargetMode="External"/><Relationship Id="rId4" Type="http://schemas.openxmlformats.org/officeDocument/2006/relationships/hyperlink" Target="https://drive.google.com/file/d/1S5aWydUc6pw0TgixZKUfUGhhEkZoeMQR/view?usp=sharing" TargetMode="External"/><Relationship Id="rId9" Type="http://schemas.openxmlformats.org/officeDocument/2006/relationships/hyperlink" Target="https://drive.google.com/file/d/1yr01Xi78aFAP9uDOiIQcZWPEP93LwSbV/view?usp=sharing" TargetMode="External"/><Relationship Id="rId25" Type="http://schemas.openxmlformats.org/officeDocument/2006/relationships/drawing" Target="../drawings/drawing12.xml"/><Relationship Id="rId5" Type="http://schemas.openxmlformats.org/officeDocument/2006/relationships/hyperlink" Target="https://drive.google.com/file/d/1S5aWydUc6pw0TgixZKUfUGhhEkZoeMQR/view?usp=sharing" TargetMode="External"/><Relationship Id="rId6" Type="http://schemas.openxmlformats.org/officeDocument/2006/relationships/hyperlink" Target="https://drive.google.com/file/d/1S5aWydUc6pw0TgixZKUfUGhhEkZoeMQR/view?usp=sharing" TargetMode="External"/><Relationship Id="rId7" Type="http://schemas.openxmlformats.org/officeDocument/2006/relationships/hyperlink" Target="https://drive.google.com/file/d/1S5aWydUc6pw0TgixZKUfUGhhEkZoeMQR/view?usp=sharing" TargetMode="External"/><Relationship Id="rId8" Type="http://schemas.openxmlformats.org/officeDocument/2006/relationships/hyperlink" Target="https://drive.google.com/file/d/1S5aWydUc6pw0TgixZKUfUGhhEkZoeMQR/view?usp=sharing" TargetMode="External"/><Relationship Id="rId11" Type="http://schemas.openxmlformats.org/officeDocument/2006/relationships/hyperlink" Target="https://drive.google.com/file/d/1TtpSB2pmre7adCPPsE4JPd05eTOPkMdb/view?usp=sharing" TargetMode="External"/><Relationship Id="rId10" Type="http://schemas.openxmlformats.org/officeDocument/2006/relationships/hyperlink" Target="https://drive.google.com/file/d/1q5j4Re87awqTUBITzL8OHKex5bS2XR0f/view?usp=sharing" TargetMode="External"/><Relationship Id="rId13" Type="http://schemas.openxmlformats.org/officeDocument/2006/relationships/hyperlink" Target="https://drive.google.com/file/d/1mWoPrDEnQztybVbRIB_2A5kyKjJ62z7w/view?usp=sharing" TargetMode="External"/><Relationship Id="rId12" Type="http://schemas.openxmlformats.org/officeDocument/2006/relationships/hyperlink" Target="https://drive.google.com/file/d/1mWoPrDEnQztybVbRIB_2A5kyKjJ62z7w/view?usp=sharing" TargetMode="External"/><Relationship Id="rId15" Type="http://schemas.openxmlformats.org/officeDocument/2006/relationships/hyperlink" Target="https://www.amazon.com/Raspberry-Pi-Camera-Module-Megapixel/dp/B01ER2SKFS" TargetMode="External"/><Relationship Id="rId14" Type="http://schemas.openxmlformats.org/officeDocument/2006/relationships/hyperlink" Target="https://drive.google.com/file/d/1zcN4oXY7YiwJI4uVzpOdaHv_k6EPhOHg/view?usp=sharing" TargetMode="External"/><Relationship Id="rId17" Type="http://schemas.openxmlformats.org/officeDocument/2006/relationships/hyperlink" Target="https://drive.google.com/file/d/1p8-GT8CeA-p_ALbzQjDSlDcmsCHJGdQS/view?usp=sharing" TargetMode="External"/><Relationship Id="rId16" Type="http://schemas.openxmlformats.org/officeDocument/2006/relationships/hyperlink" Target="https://hobbyking.com/en_us/turnigy-multistar-blheli-32-4-in-1-32bit-21a-11g-race-spec-esc-2-4s-opto.html?queryID=cf8ea55a82438e275cbeebe5c6d34b18&amp;objectID=72087&amp;indexName=hbk_live_magento_en_us_products" TargetMode="External"/><Relationship Id="rId19" Type="http://schemas.openxmlformats.org/officeDocument/2006/relationships/hyperlink" Target="https://hobbyking.com/en_us/corona-cs238mg-metal-gear-servo-4-6kg-0-14sec-22g.html?queryID=6f05347fba3881876e63e3f3d3558ea7&amp;objectID=35613&amp;indexName=hbk_live_magento_en_us_products" TargetMode="External"/><Relationship Id="rId18" Type="http://schemas.openxmlformats.org/officeDocument/2006/relationships/hyperlink" Target="https://drive.google.com/file/d/1kN2bOoA_29U6SO1wM0piBJzzlqtop_N5/view?usp=sharing" TargetMode="External"/></Relationships>
</file>

<file path=xl/worksheets/_rels/sheet13.xml.rels><?xml version="1.0" encoding="UTF-8" standalone="yes"?><Relationships xmlns="http://schemas.openxmlformats.org/package/2006/relationships"><Relationship Id="rId20" Type="http://schemas.openxmlformats.org/officeDocument/2006/relationships/hyperlink" Target="https://drive.google.com/file/d/1p8-GT8CeA-p_ALbzQjDSlDcmsCHJGdQS/view?usp=sharing" TargetMode="External"/><Relationship Id="rId22" Type="http://schemas.openxmlformats.org/officeDocument/2006/relationships/hyperlink" Target="https://hobbyking.com/en_us/corona-cs238mg-metal-gear-servo-4-6kg-0-14sec-22g.html?queryID=6f05347fba3881876e63e3f3d3558ea7&amp;objectID=35613&amp;indexName=hbk_live_magento_en_us_products" TargetMode="External"/><Relationship Id="rId21" Type="http://schemas.openxmlformats.org/officeDocument/2006/relationships/hyperlink" Target="https://drive.google.com/file/d/1kN2bOoA_29U6SO1wM0piBJzzlqtop_N5/view?usp=sharing" TargetMode="External"/><Relationship Id="rId24" Type="http://schemas.openxmlformats.org/officeDocument/2006/relationships/hyperlink" Target="https://drive.google.com/file/d/1faSSMPl11bIKwqmh37atNIKp6XqIosHe/view?usp=sharing" TargetMode="External"/><Relationship Id="rId23" Type="http://schemas.openxmlformats.org/officeDocument/2006/relationships/hyperlink" Target="https://drive.google.com/file/d/1faSSMPl11bIKwqmh37atNIKp6XqIosHe/view?usp=sharing" TargetMode="External"/><Relationship Id="rId1" Type="http://schemas.openxmlformats.org/officeDocument/2006/relationships/hyperlink" Target="https://www.maxamps.com/lipo-11000-2s-7-4v-battery-pack" TargetMode="External"/><Relationship Id="rId2" Type="http://schemas.openxmlformats.org/officeDocument/2006/relationships/hyperlink" Target="https://store.arduino.cc/usa/arduino-nano" TargetMode="External"/><Relationship Id="rId3" Type="http://schemas.openxmlformats.org/officeDocument/2006/relationships/hyperlink" Target="https://store.arduino.cc/usa/arduino-nano" TargetMode="External"/><Relationship Id="rId4" Type="http://schemas.openxmlformats.org/officeDocument/2006/relationships/hyperlink" Target="https://drive.google.com/file/d/1atykOEdNdoKVKPgCqxFU7pUO-mo_7094/view?usp=sharing" TargetMode="External"/><Relationship Id="rId9" Type="http://schemas.openxmlformats.org/officeDocument/2006/relationships/hyperlink" Target="https://drive.google.com/file/d/1S5aWydUc6pw0TgixZKUfUGhhEkZoeMQR/view?usp=sharing" TargetMode="External"/><Relationship Id="rId26" Type="http://schemas.openxmlformats.org/officeDocument/2006/relationships/hyperlink" Target="https://drive.google.com/file/d/1faSSMPl11bIKwqmh37atNIKp6XqIosHe/view?usp=sharing" TargetMode="External"/><Relationship Id="rId25" Type="http://schemas.openxmlformats.org/officeDocument/2006/relationships/hyperlink" Target="https://drive.google.com/file/d/1faSSMPl11bIKwqmh37atNIKp6XqIosHe/view?usp=sharing" TargetMode="External"/><Relationship Id="rId28" Type="http://schemas.openxmlformats.org/officeDocument/2006/relationships/drawing" Target="../drawings/drawing13.xml"/><Relationship Id="rId27" Type="http://schemas.openxmlformats.org/officeDocument/2006/relationships/hyperlink" Target="https://drive.google.com/file/d/1aMF35tCYDVIaZ0ryEDQiB-dyMWEsim-W/view?usp=sharing" TargetMode="External"/><Relationship Id="rId5" Type="http://schemas.openxmlformats.org/officeDocument/2006/relationships/hyperlink" Target="https://www.raspberrypi.org/products/raspberry-pi-zero/?resellerType=home" TargetMode="External"/><Relationship Id="rId6" Type="http://schemas.openxmlformats.org/officeDocument/2006/relationships/hyperlink" Target="https://drive.google.com/file/d/1S5aWydUc6pw0TgixZKUfUGhhEkZoeMQR/view?usp=sharing" TargetMode="External"/><Relationship Id="rId7" Type="http://schemas.openxmlformats.org/officeDocument/2006/relationships/hyperlink" Target="https://drive.google.com/file/d/1S5aWydUc6pw0TgixZKUfUGhhEkZoeMQR/view?usp=sharing" TargetMode="External"/><Relationship Id="rId8" Type="http://schemas.openxmlformats.org/officeDocument/2006/relationships/hyperlink" Target="https://drive.google.com/file/d/1S5aWydUc6pw0TgixZKUfUGhhEkZoeMQR/view?usp=sharing" TargetMode="External"/><Relationship Id="rId11" Type="http://schemas.openxmlformats.org/officeDocument/2006/relationships/hyperlink" Target="https://drive.google.com/file/d/1S5aWydUc6pw0TgixZKUfUGhhEkZoeMQR/view?usp=sharing" TargetMode="External"/><Relationship Id="rId10" Type="http://schemas.openxmlformats.org/officeDocument/2006/relationships/hyperlink" Target="https://drive.google.com/file/d/1S5aWydUc6pw0TgixZKUfUGhhEkZoeMQR/view?usp=sharing" TargetMode="External"/><Relationship Id="rId13" Type="http://schemas.openxmlformats.org/officeDocument/2006/relationships/hyperlink" Target="https://drive.google.com/file/d/1q5j4Re87awqTUBITzL8OHKex5bS2XR0f/view?usp=sharing" TargetMode="External"/><Relationship Id="rId12" Type="http://schemas.openxmlformats.org/officeDocument/2006/relationships/hyperlink" Target="https://drive.google.com/file/d/1yr01Xi78aFAP9uDOiIQcZWPEP93LwSbV/view?usp=sharing" TargetMode="External"/><Relationship Id="rId15" Type="http://schemas.openxmlformats.org/officeDocument/2006/relationships/hyperlink" Target="https://drive.google.com/file/d/1mWoPrDEnQztybVbRIB_2A5kyKjJ62z7w/view?usp=sharing" TargetMode="External"/><Relationship Id="rId14" Type="http://schemas.openxmlformats.org/officeDocument/2006/relationships/hyperlink" Target="https://drive.google.com/file/d/1TtpSB2pmre7adCPPsE4JPd05eTOPkMdb/view?usp=sharing" TargetMode="External"/><Relationship Id="rId17" Type="http://schemas.openxmlformats.org/officeDocument/2006/relationships/hyperlink" Target="https://drive.google.com/file/d/1zcN4oXY7YiwJI4uVzpOdaHv_k6EPhOHg/view?usp=sharing" TargetMode="External"/><Relationship Id="rId16" Type="http://schemas.openxmlformats.org/officeDocument/2006/relationships/hyperlink" Target="https://drive.google.com/file/d/1mWoPrDEnQztybVbRIB_2A5kyKjJ62z7w/view?usp=sharing" TargetMode="External"/><Relationship Id="rId19" Type="http://schemas.openxmlformats.org/officeDocument/2006/relationships/hyperlink" Target="https://hobbyking.com/en_us/turnigy-multistar-blheli-32-4-in-1-32bit-21a-11g-race-spec-esc-2-4s-opto.html?queryID=cf8ea55a82438e275cbeebe5c6d34b18&amp;objectID=72087&amp;indexName=hbk_live_magento_en_us_products" TargetMode="External"/><Relationship Id="rId18" Type="http://schemas.openxmlformats.org/officeDocument/2006/relationships/hyperlink" Target="https://www.amazon.com/Raspberry-Pi-Camera-Module-Megapixel/dp/B01ER2SKFS" TargetMode="External"/></Relationships>
</file>

<file path=xl/worksheets/_rels/sheet14.xml.rels><?xml version="1.0" encoding="UTF-8" standalone="yes"?><Relationships xmlns="http://schemas.openxmlformats.org/package/2006/relationships"><Relationship Id="rId20" Type="http://schemas.openxmlformats.org/officeDocument/2006/relationships/hyperlink" Target="https://drive.google.com/file/d/1kN2bOoA_29U6SO1wM0piBJzzlqtop_N5/view?usp=sharing" TargetMode="External"/><Relationship Id="rId22" Type="http://schemas.openxmlformats.org/officeDocument/2006/relationships/hyperlink" Target="https://drive.google.com/file/d/1faSSMPl11bIKwqmh37atNIKp6XqIosHe/view?usp=sharing" TargetMode="External"/><Relationship Id="rId21" Type="http://schemas.openxmlformats.org/officeDocument/2006/relationships/hyperlink" Target="https://hobbyking.com/en_us/corona-cs238mg-metal-gear-servo-4-6kg-0-14sec-22g.html?queryID=6f05347fba3881876e63e3f3d3558ea7&amp;objectID=35613&amp;indexName=hbk_live_magento_en_us_products" TargetMode="External"/><Relationship Id="rId24" Type="http://schemas.openxmlformats.org/officeDocument/2006/relationships/hyperlink" Target="https://drive.google.com/file/d/1faSSMPl11bIKwqmh37atNIKp6XqIosHe/view?usp=sharing" TargetMode="External"/><Relationship Id="rId23" Type="http://schemas.openxmlformats.org/officeDocument/2006/relationships/hyperlink" Target="https://drive.google.com/file/d/1faSSMPl11bIKwqmh37atNIKp6XqIosHe/view?usp=sharing" TargetMode="External"/><Relationship Id="rId1" Type="http://schemas.openxmlformats.org/officeDocument/2006/relationships/hyperlink" Target="https://www.maxamps.com/lipo-8000-2s-7-4v-dual-core-battery-pack" TargetMode="External"/><Relationship Id="rId2" Type="http://schemas.openxmlformats.org/officeDocument/2006/relationships/hyperlink" Target="https://store.arduino.cc/usa/arduino-nano" TargetMode="External"/><Relationship Id="rId3" Type="http://schemas.openxmlformats.org/officeDocument/2006/relationships/hyperlink" Target="https://drive.google.com/file/d/1atykOEdNdoKVKPgCqxFU7pUO-mo_7094/view?usp=sharing" TargetMode="External"/><Relationship Id="rId4" Type="http://schemas.openxmlformats.org/officeDocument/2006/relationships/hyperlink" Target="https://www.raspberrypi.org/products/raspberry-pi-zero/?resellerType=home" TargetMode="External"/><Relationship Id="rId9" Type="http://schemas.openxmlformats.org/officeDocument/2006/relationships/hyperlink" Target="https://drive.google.com/file/d/1S5aWydUc6pw0TgixZKUfUGhhEkZoeMQR/view?usp=sharing" TargetMode="External"/><Relationship Id="rId26" Type="http://schemas.openxmlformats.org/officeDocument/2006/relationships/hyperlink" Target="https://drive.google.com/file/d/1aMF35tCYDVIaZ0ryEDQiB-dyMWEsim-W/view?usp=sharing" TargetMode="External"/><Relationship Id="rId25" Type="http://schemas.openxmlformats.org/officeDocument/2006/relationships/hyperlink" Target="https://drive.google.com/file/d/1faSSMPl11bIKwqmh37atNIKp6XqIosHe/view?usp=sharing" TargetMode="External"/><Relationship Id="rId27" Type="http://schemas.openxmlformats.org/officeDocument/2006/relationships/drawing" Target="../drawings/drawing14.xml"/><Relationship Id="rId5" Type="http://schemas.openxmlformats.org/officeDocument/2006/relationships/hyperlink" Target="https://drive.google.com/file/d/1S5aWydUc6pw0TgixZKUfUGhhEkZoeMQR/view?usp=sharing" TargetMode="External"/><Relationship Id="rId6" Type="http://schemas.openxmlformats.org/officeDocument/2006/relationships/hyperlink" Target="https://drive.google.com/file/d/1S5aWydUc6pw0TgixZKUfUGhhEkZoeMQR/view?usp=sharing" TargetMode="External"/><Relationship Id="rId7" Type="http://schemas.openxmlformats.org/officeDocument/2006/relationships/hyperlink" Target="https://drive.google.com/file/d/1S5aWydUc6pw0TgixZKUfUGhhEkZoeMQR/view?usp=sharing" TargetMode="External"/><Relationship Id="rId8" Type="http://schemas.openxmlformats.org/officeDocument/2006/relationships/hyperlink" Target="https://drive.google.com/file/d/1S5aWydUc6pw0TgixZKUfUGhhEkZoeMQR/view?usp=sharing" TargetMode="External"/><Relationship Id="rId11" Type="http://schemas.openxmlformats.org/officeDocument/2006/relationships/hyperlink" Target="https://drive.google.com/file/d/1yr01Xi78aFAP9uDOiIQcZWPEP93LwSbV/view?usp=sharing" TargetMode="External"/><Relationship Id="rId10" Type="http://schemas.openxmlformats.org/officeDocument/2006/relationships/hyperlink" Target="https://drive.google.com/file/d/1S5aWydUc6pw0TgixZKUfUGhhEkZoeMQR/view?usp=sharing" TargetMode="External"/><Relationship Id="rId13" Type="http://schemas.openxmlformats.org/officeDocument/2006/relationships/hyperlink" Target="https://drive.google.com/file/d/1TtpSB2pmre7adCPPsE4JPd05eTOPkMdb/view?usp=sharing" TargetMode="External"/><Relationship Id="rId12" Type="http://schemas.openxmlformats.org/officeDocument/2006/relationships/hyperlink" Target="https://drive.google.com/file/d/1q5j4Re87awqTUBITzL8OHKex5bS2XR0f/view?usp=sharing" TargetMode="External"/><Relationship Id="rId15" Type="http://schemas.openxmlformats.org/officeDocument/2006/relationships/hyperlink" Target="https://drive.google.com/file/d/1mWoPrDEnQztybVbRIB_2A5kyKjJ62z7w/view?usp=sharing" TargetMode="External"/><Relationship Id="rId14" Type="http://schemas.openxmlformats.org/officeDocument/2006/relationships/hyperlink" Target="https://drive.google.com/file/d/1mWoPrDEnQztybVbRIB_2A5kyKjJ62z7w/view?usp=sharing" TargetMode="External"/><Relationship Id="rId17" Type="http://schemas.openxmlformats.org/officeDocument/2006/relationships/hyperlink" Target="https://www.amazon.com/Raspberry-Pi-Camera-Module-Megapixel/dp/B01ER2SKFS" TargetMode="External"/><Relationship Id="rId16" Type="http://schemas.openxmlformats.org/officeDocument/2006/relationships/hyperlink" Target="https://drive.google.com/file/d/1zcN4oXY7YiwJI4uVzpOdaHv_k6EPhOHg/view?usp=sharing" TargetMode="External"/><Relationship Id="rId19" Type="http://schemas.openxmlformats.org/officeDocument/2006/relationships/hyperlink" Target="https://drive.google.com/file/d/1p8-GT8CeA-p_ALbzQjDSlDcmsCHJGdQS/view?usp=sharing" TargetMode="External"/><Relationship Id="rId18" Type="http://schemas.openxmlformats.org/officeDocument/2006/relationships/hyperlink" Target="https://hobbyking.com/en_us/turnigy-multistar-blheli-32-4-in-1-32bit-21a-11g-race-spec-esc-2-4s-opto.html?queryID=cf8ea55a82438e275cbeebe5c6d34b18&amp;objectID=72087&amp;indexName=hbk_live_magento_en_us_products"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maxamps.com/lipo-8000-2s-7-4v-dual-core-battery-pack" TargetMode="External"/><Relationship Id="rId2" Type="http://schemas.openxmlformats.org/officeDocument/2006/relationships/hyperlink" Target="https://store.arduino.cc/usa/arduino-nano" TargetMode="External"/><Relationship Id="rId3" Type="http://schemas.openxmlformats.org/officeDocument/2006/relationships/hyperlink" Target="https://ww1.microchip.com/downloads/en/DeviceDoc/ATmega48A-PA-88A-PA-168A-PA-328-P-DS-DS40002061B.pdf" TargetMode="External"/><Relationship Id="rId4" Type="http://schemas.openxmlformats.org/officeDocument/2006/relationships/hyperlink" Target="https://www.raspberrypi.org/products/raspberry-pi-zero/?resellerType=home" TargetMode="External"/><Relationship Id="rId9" Type="http://schemas.openxmlformats.org/officeDocument/2006/relationships/hyperlink" Target="https://www.amazon.com/Raspberry-Pi-Camera-Module-Megapixel/dp/B01ER2SKFS" TargetMode="External"/><Relationship Id="rId5" Type="http://schemas.openxmlformats.org/officeDocument/2006/relationships/hyperlink" Target="https://www.adafruit.com/product/1893" TargetMode="External"/><Relationship Id="rId6" Type="http://schemas.openxmlformats.org/officeDocument/2006/relationships/hyperlink" Target="https://www.sparkfun.com/products/15569" TargetMode="External"/><Relationship Id="rId7" Type="http://schemas.openxmlformats.org/officeDocument/2006/relationships/hyperlink" Target="https://www.adafruit.com/product/790" TargetMode="External"/><Relationship Id="rId8" Type="http://schemas.openxmlformats.org/officeDocument/2006/relationships/hyperlink" Target="https://www.digikey.com/en/products/detail/tdk-invensense/ICM-20948/6623535" TargetMode="External"/><Relationship Id="rId11" Type="http://schemas.openxmlformats.org/officeDocument/2006/relationships/hyperlink" Target="https://hobbyking.com/en_us/brushless-motor-d1306-4000kv-ccw.html?queryID=ed0b355771423e7a5d3ba36d134f5cfb&amp;objectID=59938&amp;indexName=hbk_live_magento_en_us_products" TargetMode="External"/><Relationship Id="rId10" Type="http://schemas.openxmlformats.org/officeDocument/2006/relationships/hyperlink" Target="https://hobbyking.com/en_us/turnigy-multistar-blheli-32-4-in-1-32bit-21a-11g-race-spec-esc-2-4s-opto.html?queryID=cf8ea55a82438e275cbeebe5c6d34b18&amp;objectID=72087&amp;indexName=hbk_live_magento_en_us_products" TargetMode="External"/><Relationship Id="rId13" Type="http://schemas.openxmlformats.org/officeDocument/2006/relationships/hyperlink" Target="https://hobbyking.com/en_us/corona-cs238mg-metal-gear-servo-4-6kg-0-14sec-22g.html?queryID=6f05347fba3881876e63e3f3d3558ea7&amp;objectID=35613&amp;indexName=hbk_live_magento_en_us_products" TargetMode="External"/><Relationship Id="rId12" Type="http://schemas.openxmlformats.org/officeDocument/2006/relationships/hyperlink" Target="https://hobbyking.com/en_us/turnigy-9x-9ch-mode-2-transmitter-w-module-ia8-receiver-afhds-2a-system.html?queryID=440392327ad776765bdf5c34ebe79432&amp;objectID=67149&amp;indexName=hbk_live_magento_en_us_products" TargetMode="External"/><Relationship Id="rId15" Type="http://schemas.openxmlformats.org/officeDocument/2006/relationships/drawing" Target="../drawings/drawing15.xml"/><Relationship Id="rId14" Type="http://schemas.openxmlformats.org/officeDocument/2006/relationships/hyperlink" Target="https://www.adafruit.com/product/960"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drive.google.com/file/d/1mWoPrDEnQztybVbRIB_2A5kyKjJ62z7w/view?usp=sharing" TargetMode="External"/><Relationship Id="rId10" Type="http://schemas.openxmlformats.org/officeDocument/2006/relationships/hyperlink" Target="https://drive.google.com/file/d/1TtpSB2pmre7adCPPsE4JPd05eTOPkMdb/view?usp=sharing" TargetMode="External"/><Relationship Id="rId13" Type="http://schemas.openxmlformats.org/officeDocument/2006/relationships/hyperlink" Target="https://sensing.honeywell.com/honeywell-sensing-micropressure-board-mount-pressure-mpr-series-datasheet-32332628-en.pdf" TargetMode="External"/><Relationship Id="rId12" Type="http://schemas.openxmlformats.org/officeDocument/2006/relationships/hyperlink" Target="https://drive.google.com/file/d/1zcN4oXY7YiwJI4uVzpOdaHv_k6EPhOHg/view?usp=sharing" TargetMode="External"/><Relationship Id="rId1" Type="http://schemas.openxmlformats.org/officeDocument/2006/relationships/comments" Target="../comments1.xml"/><Relationship Id="rId2" Type="http://schemas.openxmlformats.org/officeDocument/2006/relationships/hyperlink" Target="https://www.maxamps.com/lipo-battery-charger-hitec-x2-ac-plus-black-edition-ac-dc-charger-power-supply" TargetMode="External"/><Relationship Id="rId3" Type="http://schemas.openxmlformats.org/officeDocument/2006/relationships/hyperlink" Target="https://www.maxamps.com/lipo-11000-3s-11-1v-battery-pack" TargetMode="External"/><Relationship Id="rId4" Type="http://schemas.openxmlformats.org/officeDocument/2006/relationships/hyperlink" Target="https://drive.google.com/file/d/1BTWidagNcykIAG8uyaztTt_ULJJs9Ibr/view?usp=sharing" TargetMode="External"/><Relationship Id="rId9" Type="http://schemas.openxmlformats.org/officeDocument/2006/relationships/hyperlink" Target="https://drive.google.com/file/d/1yr01Xi78aFAP9uDOiIQcZWPEP93LwSbV/view?usp=sharing" TargetMode="External"/><Relationship Id="rId15" Type="http://schemas.openxmlformats.org/officeDocument/2006/relationships/hyperlink" Target="https://www.ebay.com/itm/254648162225?chn=ps&amp;mkevt=1&amp;mkcid=28" TargetMode="External"/><Relationship Id="rId14" Type="http://schemas.openxmlformats.org/officeDocument/2006/relationships/hyperlink" Target="https://www.amazon.com/dp/B08KRRWM7F?ref=ppx_pop_mob_ap_share" TargetMode="External"/><Relationship Id="rId17" Type="http://schemas.openxmlformats.org/officeDocument/2006/relationships/vmlDrawing" Target="../drawings/vmlDrawing1.vml"/><Relationship Id="rId16" Type="http://schemas.openxmlformats.org/officeDocument/2006/relationships/drawing" Target="../drawings/drawing2.xml"/><Relationship Id="rId5" Type="http://schemas.openxmlformats.org/officeDocument/2006/relationships/hyperlink" Target="https://www.raspberrypi.org/documentation/hardware/raspberrypi/power/README.md" TargetMode="External"/><Relationship Id="rId6" Type="http://schemas.openxmlformats.org/officeDocument/2006/relationships/hyperlink" Target="https://www.amazon.com/AKK-Degree-800TVL-Switchable-Transmitter/dp/B01N48QUIP/ref=sr_1_3?dchild=1&amp;keywords=fpv+camera+and+transmitter&amp;qid=1616895803&amp;sr=8-3" TargetMode="External"/><Relationship Id="rId7" Type="http://schemas.openxmlformats.org/officeDocument/2006/relationships/hyperlink" Target="https://www.amazon.com/gp/product/B0744DPPL8/ref=as_li_tl?ie=UTF8&amp;tag=rc-transmitter-20&amp;camp=1789&amp;creative=9325&amp;linkCode=as2&amp;creativeASIN=B0744DPPL8&amp;linkId=e75bb88993f8c17e22040ee7751ea7c0" TargetMode="External"/><Relationship Id="rId8" Type="http://schemas.openxmlformats.org/officeDocument/2006/relationships/hyperlink" Target="https://www.sparkfun.com/products/15007" TargetMode="External"/></Relationships>
</file>

<file path=xl/worksheets/_rels/sheet3.xml.rels><?xml version="1.0" encoding="UTF-8" standalone="yes"?><Relationships xmlns="http://schemas.openxmlformats.org/package/2006/relationships"><Relationship Id="rId20" Type="http://schemas.openxmlformats.org/officeDocument/2006/relationships/drawing" Target="../drawings/drawing3.xml"/><Relationship Id="rId11" Type="http://schemas.openxmlformats.org/officeDocument/2006/relationships/hyperlink" Target="https://drive.google.com/file/d/1mWoPrDEnQztybVbRIB_2A5kyKjJ62z7w/view?usp=sharing" TargetMode="External"/><Relationship Id="rId10" Type="http://schemas.openxmlformats.org/officeDocument/2006/relationships/hyperlink" Target="https://drive.google.com/file/d/1TtpSB2pmre7adCPPsE4JPd05eTOPkMdb/view?usp=sharing" TargetMode="External"/><Relationship Id="rId21" Type="http://schemas.openxmlformats.org/officeDocument/2006/relationships/vmlDrawing" Target="../drawings/vmlDrawing2.vml"/><Relationship Id="rId13" Type="http://schemas.openxmlformats.org/officeDocument/2006/relationships/hyperlink" Target="https://drive.google.com/file/d/1zcN4oXY7YiwJI4uVzpOdaHv_k6EPhOHg/view?usp=sharing" TargetMode="External"/><Relationship Id="rId12" Type="http://schemas.openxmlformats.org/officeDocument/2006/relationships/hyperlink" Target="https://cdn-shop.adafruit.com/datasheets/GPS-01.pdf" TargetMode="External"/><Relationship Id="rId1" Type="http://schemas.openxmlformats.org/officeDocument/2006/relationships/comments" Target="../comments2.xml"/><Relationship Id="rId2" Type="http://schemas.openxmlformats.org/officeDocument/2006/relationships/hyperlink" Target="https://www.maxamps.com/lipo-battery-charger-hitec-x2-ac-plus-black-edition-ac-dc-charger-power-supply" TargetMode="External"/><Relationship Id="rId3" Type="http://schemas.openxmlformats.org/officeDocument/2006/relationships/hyperlink" Target="https://www.maxamps.com/lipo-11000-3s-11-1v-battery-pack" TargetMode="External"/><Relationship Id="rId4" Type="http://schemas.openxmlformats.org/officeDocument/2006/relationships/hyperlink" Target="https://drive.google.com/file/d/1BTWidagNcykIAG8uyaztTt_ULJJs9Ibr/view?usp=sharing" TargetMode="External"/><Relationship Id="rId9" Type="http://schemas.openxmlformats.org/officeDocument/2006/relationships/hyperlink" Target="https://drive.google.com/file/d/1yr01Xi78aFAP9uDOiIQcZWPEP93LwSbV/view?usp=sharing" TargetMode="External"/><Relationship Id="rId15" Type="http://schemas.openxmlformats.org/officeDocument/2006/relationships/hyperlink" Target="https://hobbyking.com/en_us/turnigy-aerodrive-sk3-2822-1275kv-brushless-outrunner-motor.html?queryID=&amp;objectID=47269&amp;indexName=hbk_live_magento_en_us_products" TargetMode="External"/><Relationship Id="rId14" Type="http://schemas.openxmlformats.org/officeDocument/2006/relationships/hyperlink" Target="https://sensing.honeywell.com/honeywell-sensing-micropressure-board-mount-pressure-mpr-series-datasheet-32332628-en.pdf" TargetMode="External"/><Relationship Id="rId17" Type="http://schemas.openxmlformats.org/officeDocument/2006/relationships/hyperlink" Target="https://www.ncbi.nlm.nih.gov/pmc/articles/PMC4506813/" TargetMode="External"/><Relationship Id="rId16" Type="http://schemas.openxmlformats.org/officeDocument/2006/relationships/hyperlink" Target="https://www.ebay.com/itm/254648162225?chn=ps&amp;mkevt=1&amp;mkcid=28" TargetMode="External"/><Relationship Id="rId5" Type="http://schemas.openxmlformats.org/officeDocument/2006/relationships/hyperlink" Target="https://drive.google.com/file/d/1S5aWydUc6pw0TgixZKUfUGhhEkZoeMQR/view?usp=sharing" TargetMode="External"/><Relationship Id="rId19" Type="http://schemas.openxmlformats.org/officeDocument/2006/relationships/hyperlink" Target="https://www.pololu.com/product/2840" TargetMode="External"/><Relationship Id="rId6" Type="http://schemas.openxmlformats.org/officeDocument/2006/relationships/hyperlink" Target="https://www.amazon.com/AKK-Degree-800TVL-Switchable-Transmitter/dp/B01N48QUIP/ref=sr_1_3?dchild=1&amp;keywords=fpv+camera+and+transmitter&amp;qid=1616895803&amp;sr=8-3" TargetMode="External"/><Relationship Id="rId18" Type="http://schemas.openxmlformats.org/officeDocument/2006/relationships/hyperlink" Target="https://www.pololu.com/product/2830" TargetMode="External"/><Relationship Id="rId7" Type="http://schemas.openxmlformats.org/officeDocument/2006/relationships/hyperlink" Target="https://www.amazon.com/gp/product/B0744DPPL8/ref=as_li_tl?ie=UTF8&amp;tag=rc-transmitter-20&amp;camp=1789&amp;creative=9325&amp;linkCode=as2&amp;creativeASIN=B0744DPPL8&amp;linkId=e75bb88993f8c17e22040ee7751ea7c0" TargetMode="External"/><Relationship Id="rId8" Type="http://schemas.openxmlformats.org/officeDocument/2006/relationships/hyperlink" Target="https://www.sparkfun.com/products/15007"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drive.google.com/file/d/1zcN4oXY7YiwJI4uVzpOdaHv_k6EPhOHg/view?usp=sharing" TargetMode="External"/><Relationship Id="rId22" Type="http://schemas.openxmlformats.org/officeDocument/2006/relationships/hyperlink" Target="https://sensing.honeywell.com/honeywell-sensing-micropressure-board-mount-pressure-mpr-series-datasheet-32332628-en.pdf" TargetMode="External"/><Relationship Id="rId21" Type="http://schemas.openxmlformats.org/officeDocument/2006/relationships/hyperlink" Target="https://www.onsemi.com/pdf/datasheet/bss138-d.pdf" TargetMode="External"/><Relationship Id="rId24" Type="http://schemas.openxmlformats.org/officeDocument/2006/relationships/hyperlink" Target="https://www.ebay.com/itm/254648162225?chn=ps&amp;mkevt=1&amp;mkcid=28" TargetMode="External"/><Relationship Id="rId23" Type="http://schemas.openxmlformats.org/officeDocument/2006/relationships/hyperlink" Target="https://hobbyking.com/en_us/turnigy-aerodrive-sk3-2822-1275kv-brushless-outrunner-motor.html?queryID=&amp;objectID=47269&amp;indexName=hbk_live_magento_en_us_products" TargetMode="External"/><Relationship Id="rId1" Type="http://schemas.openxmlformats.org/officeDocument/2006/relationships/hyperlink" Target="https://www.maxamps.com/lipo-battery-charger-hitec-x2-ac-plus-black-edition-ac-dc-charger-power-supply" TargetMode="External"/><Relationship Id="rId2" Type="http://schemas.openxmlformats.org/officeDocument/2006/relationships/hyperlink" Target="https://www.maxamps.com/lipo-11000-3s-11-1v-battery-pack" TargetMode="External"/><Relationship Id="rId3" Type="http://schemas.openxmlformats.org/officeDocument/2006/relationships/hyperlink" Target="https://drive.google.com/file/d/1BTWidagNcykIAG8uyaztTt_ULJJs9Ibr/view?usp=sharing" TargetMode="External"/><Relationship Id="rId4" Type="http://schemas.openxmlformats.org/officeDocument/2006/relationships/hyperlink" Target="https://drive.google.com/file/d/1S5aWydUc6pw0TgixZKUfUGhhEkZoeMQR/view?usp=sharing" TargetMode="External"/><Relationship Id="rId9" Type="http://schemas.openxmlformats.org/officeDocument/2006/relationships/hyperlink" Target="https://drive.google.com/file/d/1S5aWydUc6pw0TgixZKUfUGhhEkZoeMQR/view?usp=sharing" TargetMode="External"/><Relationship Id="rId26" Type="http://schemas.openxmlformats.org/officeDocument/2006/relationships/hyperlink" Target="https://www.pololu.com/product/2830" TargetMode="External"/><Relationship Id="rId25" Type="http://schemas.openxmlformats.org/officeDocument/2006/relationships/hyperlink" Target="https://www.ncbi.nlm.nih.gov/pmc/articles/PMC4506813/" TargetMode="External"/><Relationship Id="rId28" Type="http://schemas.openxmlformats.org/officeDocument/2006/relationships/drawing" Target="../drawings/drawing4.xml"/><Relationship Id="rId27" Type="http://schemas.openxmlformats.org/officeDocument/2006/relationships/hyperlink" Target="https://www.pololu.com/product/2840" TargetMode="External"/><Relationship Id="rId5" Type="http://schemas.openxmlformats.org/officeDocument/2006/relationships/hyperlink" Target="https://drive.google.com/file/d/1S5aWydUc6pw0TgixZKUfUGhhEkZoeMQR/view?usp=sharing" TargetMode="External"/><Relationship Id="rId6" Type="http://schemas.openxmlformats.org/officeDocument/2006/relationships/hyperlink" Target="https://drive.google.com/file/d/1S5aWydUc6pw0TgixZKUfUGhhEkZoeMQR/view?usp=sharing" TargetMode="External"/><Relationship Id="rId7" Type="http://schemas.openxmlformats.org/officeDocument/2006/relationships/hyperlink" Target="https://drive.google.com/file/d/1S5aWydUc6pw0TgixZKUfUGhhEkZoeMQR/view?usp=sharing" TargetMode="External"/><Relationship Id="rId8" Type="http://schemas.openxmlformats.org/officeDocument/2006/relationships/hyperlink" Target="https://drive.google.com/file/d/1S5aWydUc6pw0TgixZKUfUGhhEkZoeMQR/view?usp=sharing" TargetMode="External"/><Relationship Id="rId11" Type="http://schemas.openxmlformats.org/officeDocument/2006/relationships/hyperlink" Target="https://abracon.com/Oscillators/ASEK.pdf" TargetMode="External"/><Relationship Id="rId10" Type="http://schemas.openxmlformats.org/officeDocument/2006/relationships/hyperlink" Target="https://www.ctscorp.com/wp-content/uploads/2015/11/008-0256-0.pdf" TargetMode="External"/><Relationship Id="rId13" Type="http://schemas.openxmlformats.org/officeDocument/2006/relationships/hyperlink" Target="https://www.amazon.com/AKK-Degree-800TVL-Switchable-Transmitter/dp/B01N48QUIP/ref=sr_1_3?dchild=1&amp;keywords=fpv+camera+and+transmitter&amp;qid=1616895803&amp;sr=8-3" TargetMode="External"/><Relationship Id="rId12" Type="http://schemas.openxmlformats.org/officeDocument/2006/relationships/hyperlink" Target="https://www.amazon.com/AKK-Degree-800TVL-Switchable-Transmitter/dp/B01N48QUIP/ref=sr_1_3?dchild=1&amp;keywords=fpv+camera+and+transmitter&amp;qid=1616895803&amp;sr=8-3" TargetMode="External"/><Relationship Id="rId15" Type="http://schemas.openxmlformats.org/officeDocument/2006/relationships/hyperlink" Target="https://www.sparkfun.com/products/15007" TargetMode="External"/><Relationship Id="rId14" Type="http://schemas.openxmlformats.org/officeDocument/2006/relationships/hyperlink" Target="https://www.amazon.com/gp/product/B0744DPPL8/ref=as_li_tl?ie=UTF8&amp;tag=rc-transmitter-20&amp;camp=1789&amp;creative=9325&amp;linkCode=as2&amp;creativeASIN=B0744DPPL8&amp;linkId=e75bb88993f8c17e22040ee7751ea7c0" TargetMode="External"/><Relationship Id="rId17" Type="http://schemas.openxmlformats.org/officeDocument/2006/relationships/hyperlink" Target="https://drive.google.com/file/d/1TtpSB2pmre7adCPPsE4JPd05eTOPkMdb/view?usp=sharing" TargetMode="External"/><Relationship Id="rId16" Type="http://schemas.openxmlformats.org/officeDocument/2006/relationships/hyperlink" Target="https://drive.google.com/file/d/1yr01Xi78aFAP9uDOiIQcZWPEP93LwSbV/view?usp=sharing" TargetMode="External"/><Relationship Id="rId19" Type="http://schemas.openxmlformats.org/officeDocument/2006/relationships/hyperlink" Target="https://cdn-shop.adafruit.com/datasheets/GPS-01.pdf" TargetMode="External"/><Relationship Id="rId18" Type="http://schemas.openxmlformats.org/officeDocument/2006/relationships/hyperlink" Target="https://drive.google.com/file/d/1mWoPrDEnQztybVbRIB_2A5kyKjJ62z7w/view?usp=sharing"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drive.google.com/file/d/1zcN4oXY7YiwJI4uVzpOdaHv_k6EPhOHg/view?usp=sharing" TargetMode="External"/><Relationship Id="rId22" Type="http://schemas.openxmlformats.org/officeDocument/2006/relationships/hyperlink" Target="https://sensing.honeywell.com/honeywell-sensing-micropressure-board-mount-pressure-mpr-series-datasheet-32332628-en.pdf" TargetMode="External"/><Relationship Id="rId21" Type="http://schemas.openxmlformats.org/officeDocument/2006/relationships/hyperlink" Target="https://www.onsemi.com/pdf/datasheet/bss138-d.pdf" TargetMode="External"/><Relationship Id="rId24" Type="http://schemas.openxmlformats.org/officeDocument/2006/relationships/hyperlink" Target="https://digitalcommons.calpoly.edu/cgi/viewcontent.cgi?article=2617&amp;context=theses" TargetMode="External"/><Relationship Id="rId23" Type="http://schemas.openxmlformats.org/officeDocument/2006/relationships/hyperlink" Target="https://www.google.com/url?q=https://www.getfpv.com/racerstar-rs20a-blheli-s-4-in-1-esc.html&amp;sa=D&amp;source=editors&amp;ust=1620609461036000&amp;usg=AFQjCNGk7lLpngCDDl8FqtqQ8N8f2CbUaA" TargetMode="External"/><Relationship Id="rId1" Type="http://schemas.openxmlformats.org/officeDocument/2006/relationships/hyperlink" Target="https://www.maxamps.com/lipo-battery-charger-hitec-x2-ac-plus-black-edition-ac-dc-charger-power-supply" TargetMode="External"/><Relationship Id="rId2" Type="http://schemas.openxmlformats.org/officeDocument/2006/relationships/hyperlink" Target="https://www.maxamps.com/lipo-11000-3s-11-1v-battery-pack" TargetMode="External"/><Relationship Id="rId3" Type="http://schemas.openxmlformats.org/officeDocument/2006/relationships/hyperlink" Target="https://drive.google.com/file/d/1BTWidagNcykIAG8uyaztTt_ULJJs9Ibr/view?usp=sharing" TargetMode="External"/><Relationship Id="rId4" Type="http://schemas.openxmlformats.org/officeDocument/2006/relationships/hyperlink" Target="https://drive.google.com/file/d/1S5aWydUc6pw0TgixZKUfUGhhEkZoeMQR/view?usp=sharing" TargetMode="External"/><Relationship Id="rId9" Type="http://schemas.openxmlformats.org/officeDocument/2006/relationships/hyperlink" Target="https://drive.google.com/file/d/1S5aWydUc6pw0TgixZKUfUGhhEkZoeMQR/view?usp=sharing" TargetMode="External"/><Relationship Id="rId26" Type="http://schemas.openxmlformats.org/officeDocument/2006/relationships/hyperlink" Target="https://www.ebay.com/itm/254648162225?chn=ps&amp;mkevt=1&amp;mkcid=28" TargetMode="External"/><Relationship Id="rId25" Type="http://schemas.openxmlformats.org/officeDocument/2006/relationships/hyperlink" Target="https://hobbyking.com/en_us/turnigy-aerodrive-sk3-2822-1275kv-brushless-outrunner-motor.html?queryID=&amp;objectID=47269&amp;indexName=hbk_live_magento_en_us_products" TargetMode="External"/><Relationship Id="rId28" Type="http://schemas.openxmlformats.org/officeDocument/2006/relationships/hyperlink" Target="https://www.pololu.com/product/2830" TargetMode="External"/><Relationship Id="rId27" Type="http://schemas.openxmlformats.org/officeDocument/2006/relationships/hyperlink" Target="https://www.ncbi.nlm.nih.gov/pmc/articles/PMC4506813/" TargetMode="External"/><Relationship Id="rId5" Type="http://schemas.openxmlformats.org/officeDocument/2006/relationships/hyperlink" Target="https://drive.google.com/file/d/1S5aWydUc6pw0TgixZKUfUGhhEkZoeMQR/view?usp=sharing" TargetMode="External"/><Relationship Id="rId6" Type="http://schemas.openxmlformats.org/officeDocument/2006/relationships/hyperlink" Target="https://drive.google.com/file/d/1S5aWydUc6pw0TgixZKUfUGhhEkZoeMQR/view?usp=sharing" TargetMode="External"/><Relationship Id="rId29" Type="http://schemas.openxmlformats.org/officeDocument/2006/relationships/hyperlink" Target="https://www.pololu.com/product/2840" TargetMode="External"/><Relationship Id="rId7" Type="http://schemas.openxmlformats.org/officeDocument/2006/relationships/hyperlink" Target="https://drive.google.com/file/d/1S5aWydUc6pw0TgixZKUfUGhhEkZoeMQR/view?usp=sharing" TargetMode="External"/><Relationship Id="rId8" Type="http://schemas.openxmlformats.org/officeDocument/2006/relationships/hyperlink" Target="https://drive.google.com/file/d/1S5aWydUc6pw0TgixZKUfUGhhEkZoeMQR/view?usp=sharing" TargetMode="External"/><Relationship Id="rId30" Type="http://schemas.openxmlformats.org/officeDocument/2006/relationships/drawing" Target="../drawings/drawing5.xml"/><Relationship Id="rId11" Type="http://schemas.openxmlformats.org/officeDocument/2006/relationships/hyperlink" Target="https://abracon.com/Oscillators/ASEK.pdf" TargetMode="External"/><Relationship Id="rId10" Type="http://schemas.openxmlformats.org/officeDocument/2006/relationships/hyperlink" Target="https://www.ctscorp.com/wp-content/uploads/2015/11/008-0256-0.pdf" TargetMode="External"/><Relationship Id="rId13" Type="http://schemas.openxmlformats.org/officeDocument/2006/relationships/hyperlink" Target="https://www.amazon.com/AKK-Degree-800TVL-Switchable-Transmitter/dp/B01N48QUIP/ref=sr_1_3?dchild=1&amp;keywords=fpv+camera+and+transmitter&amp;qid=1616895803&amp;sr=8-3" TargetMode="External"/><Relationship Id="rId12" Type="http://schemas.openxmlformats.org/officeDocument/2006/relationships/hyperlink" Target="https://www.amazon.com/AKK-Degree-800TVL-Switchable-Transmitter/dp/B01N48QUIP/ref=sr_1_3?dchild=1&amp;keywords=fpv+camera+and+transmitter&amp;qid=1616895803&amp;sr=8-3" TargetMode="External"/><Relationship Id="rId15" Type="http://schemas.openxmlformats.org/officeDocument/2006/relationships/hyperlink" Target="https://www.sparkfun.com/products/15007" TargetMode="External"/><Relationship Id="rId14" Type="http://schemas.openxmlformats.org/officeDocument/2006/relationships/hyperlink" Target="https://www.amazon.com/gp/product/B0744DPPL8/ref=as_li_tl?ie=UTF8&amp;tag=rc-transmitter-20&amp;camp=1789&amp;creative=9325&amp;linkCode=as2&amp;creativeASIN=B0744DPPL8&amp;linkId=e75bb88993f8c17e22040ee7751ea7c0" TargetMode="External"/><Relationship Id="rId17" Type="http://schemas.openxmlformats.org/officeDocument/2006/relationships/hyperlink" Target="https://drive.google.com/file/d/1TtpSB2pmre7adCPPsE4JPd05eTOPkMdb/view?usp=sharing" TargetMode="External"/><Relationship Id="rId16" Type="http://schemas.openxmlformats.org/officeDocument/2006/relationships/hyperlink" Target="https://drive.google.com/file/d/1yr01Xi78aFAP9uDOiIQcZWPEP93LwSbV/view?usp=sharing" TargetMode="External"/><Relationship Id="rId19" Type="http://schemas.openxmlformats.org/officeDocument/2006/relationships/hyperlink" Target="https://cdn-shop.adafruit.com/datasheets/GPS-01.pdf" TargetMode="External"/><Relationship Id="rId18" Type="http://schemas.openxmlformats.org/officeDocument/2006/relationships/hyperlink" Target="https://drive.google.com/file/d/1mWoPrDEnQztybVbRIB_2A5kyKjJ62z7w/view?usp=sharing"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s://www.onsemi.com/pdf/datasheet/bss138-d.pdf" TargetMode="External"/><Relationship Id="rId22" Type="http://schemas.openxmlformats.org/officeDocument/2006/relationships/hyperlink" Target="https://www.amazon.com/AKK-Degree-800TVL-Switchable-Transmitter/dp/B01N48QUIP/ref=sr_1_3?dchild=1&amp;keywords=fpv+camera+and+transmitter&amp;qid=1616895803&amp;sr=8-3" TargetMode="External"/><Relationship Id="rId21" Type="http://schemas.openxmlformats.org/officeDocument/2006/relationships/hyperlink" Target="https://sensing.honeywell.com/honeywell-sensing-micropressure-board-mount-pressure-mpr-series-datasheet-32332628-en.pdf" TargetMode="External"/><Relationship Id="rId24" Type="http://schemas.openxmlformats.org/officeDocument/2006/relationships/hyperlink" Target="https://www.amazon.com/gp/product/B0744DPPL8/ref=as_li_tl?ie=UTF8&amp;tag=rc-transmitter-20&amp;camp=1789&amp;creative=9325&amp;linkCode=as2&amp;creativeASIN=B0744DPPL8&amp;linkId=e75bb88993f8c17e22040ee7751ea7c0" TargetMode="External"/><Relationship Id="rId23" Type="http://schemas.openxmlformats.org/officeDocument/2006/relationships/hyperlink" Target="https://www.amazon.com/AKK-Degree-800TVL-Switchable-Transmitter/dp/B01N48QUIP/ref=sr_1_3?dchild=1&amp;keywords=fpv+camera+and+transmitter&amp;qid=1616895803&amp;sr=8-3" TargetMode="External"/><Relationship Id="rId1" Type="http://schemas.openxmlformats.org/officeDocument/2006/relationships/comments" Target="../comments3.xml"/><Relationship Id="rId2" Type="http://schemas.openxmlformats.org/officeDocument/2006/relationships/hyperlink" Target="https://www.maxamps.com/lipo-battery-charger-hitec-x2-ac-plus-black-edition-ac-dc-charger-power-supply" TargetMode="External"/><Relationship Id="rId3" Type="http://schemas.openxmlformats.org/officeDocument/2006/relationships/hyperlink" Target="https://www.maxamps.com/lipo-11000-3s-11-1v-battery-pack" TargetMode="External"/><Relationship Id="rId4" Type="http://schemas.openxmlformats.org/officeDocument/2006/relationships/hyperlink" Target="https://drive.google.com/file/d/1BTWidagNcykIAG8uyaztTt_ULJJs9Ibr/view?usp=sharing" TargetMode="External"/><Relationship Id="rId9" Type="http://schemas.openxmlformats.org/officeDocument/2006/relationships/hyperlink" Target="https://drive.google.com/file/d/1S5aWydUc6pw0TgixZKUfUGhhEkZoeMQR/view?usp=sharing" TargetMode="External"/><Relationship Id="rId26" Type="http://schemas.openxmlformats.org/officeDocument/2006/relationships/hyperlink" Target="https://www.digikey.com/en/products/detail/FT232RQ-REEL/768-1008-1-ND/1836403?itemSeq=359604914" TargetMode="External"/><Relationship Id="rId25" Type="http://schemas.openxmlformats.org/officeDocument/2006/relationships/hyperlink" Target="https://www.sparkfun.com/products/15007" TargetMode="External"/><Relationship Id="rId28" Type="http://schemas.openxmlformats.org/officeDocument/2006/relationships/hyperlink" Target="https://hobbyking.com/en_us/turnigy-aerodrive-sk3-2822-1275kv-brushless-outrunner-motor.html?queryID=&amp;objectID=47269&amp;indexName=hbk_live_magento_en_us_products" TargetMode="External"/><Relationship Id="rId27" Type="http://schemas.openxmlformats.org/officeDocument/2006/relationships/hyperlink" Target="https://digitalcommons.calpoly.edu/cgi/viewcontent.cgi?article=2617&amp;context=theses" TargetMode="External"/><Relationship Id="rId5" Type="http://schemas.openxmlformats.org/officeDocument/2006/relationships/hyperlink" Target="https://www.digikey.com/en/products/detail/FT232RQ-REEL/768-1008-1-ND/1836403?itemSeq=359604914" TargetMode="External"/><Relationship Id="rId6" Type="http://schemas.openxmlformats.org/officeDocument/2006/relationships/hyperlink" Target="https://drive.google.com/file/d/1S5aWydUc6pw0TgixZKUfUGhhEkZoeMQR/view?usp=sharing" TargetMode="External"/><Relationship Id="rId29" Type="http://schemas.openxmlformats.org/officeDocument/2006/relationships/hyperlink" Target="https://www.ebay.com/itm/254648162225?chn=ps&amp;mkevt=1&amp;mkcid=28" TargetMode="External"/><Relationship Id="rId7" Type="http://schemas.openxmlformats.org/officeDocument/2006/relationships/hyperlink" Target="https://drive.google.com/file/d/1S5aWydUc6pw0TgixZKUfUGhhEkZoeMQR/view?usp=sharing" TargetMode="External"/><Relationship Id="rId8" Type="http://schemas.openxmlformats.org/officeDocument/2006/relationships/hyperlink" Target="https://drive.google.com/file/d/1S5aWydUc6pw0TgixZKUfUGhhEkZoeMQR/view?usp=sharing" TargetMode="External"/><Relationship Id="rId31" Type="http://schemas.openxmlformats.org/officeDocument/2006/relationships/drawing" Target="../drawings/drawing6.xml"/><Relationship Id="rId30" Type="http://schemas.openxmlformats.org/officeDocument/2006/relationships/hyperlink" Target="https://www.ncbi.nlm.nih.gov/pmc/articles/PMC4506813/" TargetMode="External"/><Relationship Id="rId11" Type="http://schemas.openxmlformats.org/officeDocument/2006/relationships/hyperlink" Target="https://drive.google.com/file/d/1S5aWydUc6pw0TgixZKUfUGhhEkZoeMQR/view?usp=sharing" TargetMode="External"/><Relationship Id="rId10" Type="http://schemas.openxmlformats.org/officeDocument/2006/relationships/hyperlink" Target="https://drive.google.com/file/d/1S5aWydUc6pw0TgixZKUfUGhhEkZoeMQR/view?usp=sharing" TargetMode="External"/><Relationship Id="rId32" Type="http://schemas.openxmlformats.org/officeDocument/2006/relationships/vmlDrawing" Target="../drawings/vmlDrawing3.vml"/><Relationship Id="rId13" Type="http://schemas.openxmlformats.org/officeDocument/2006/relationships/hyperlink" Target="https://www.ctscorp.com/wp-content/uploads/2015/11/008-0256-0.pdf" TargetMode="External"/><Relationship Id="rId12" Type="http://schemas.openxmlformats.org/officeDocument/2006/relationships/hyperlink" Target="https://drive.google.com/file/d/1S5aWydUc6pw0TgixZKUfUGhhEkZoeMQR/view?usp=sharing" TargetMode="External"/><Relationship Id="rId15" Type="http://schemas.openxmlformats.org/officeDocument/2006/relationships/hyperlink" Target="https://drive.google.com/file/d/1yr01Xi78aFAP9uDOiIQcZWPEP93LwSbV/view?usp=sharing" TargetMode="External"/><Relationship Id="rId14" Type="http://schemas.openxmlformats.org/officeDocument/2006/relationships/hyperlink" Target="https://abracon.com/Oscillators/ASEK.pdf" TargetMode="External"/><Relationship Id="rId17" Type="http://schemas.openxmlformats.org/officeDocument/2006/relationships/hyperlink" Target="https://drive.google.com/file/d/1mWoPrDEnQztybVbRIB_2A5kyKjJ62z7w/view?usp=sharing" TargetMode="External"/><Relationship Id="rId16" Type="http://schemas.openxmlformats.org/officeDocument/2006/relationships/hyperlink" Target="https://drive.google.com/file/d/1TtpSB2pmre7adCPPsE4JPd05eTOPkMdb/view?usp=sharing" TargetMode="External"/><Relationship Id="rId19" Type="http://schemas.openxmlformats.org/officeDocument/2006/relationships/hyperlink" Target="https://drive.google.com/file/d/1zcN4oXY7YiwJI4uVzpOdaHv_k6EPhOHg/view?usp=sharing" TargetMode="External"/><Relationship Id="rId18" Type="http://schemas.openxmlformats.org/officeDocument/2006/relationships/hyperlink" Target="https://cdn-shop.adafruit.com/datasheets/GPS-01.pdf"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sensing.honeywell.com/honeywell-sensing-micropressure-board-mount-pressure-mpr-series-datasheet-32332628-en.pdf" TargetMode="External"/><Relationship Id="rId22" Type="http://schemas.openxmlformats.org/officeDocument/2006/relationships/hyperlink" Target="https://digitalcommons.calpoly.edu/cgi/viewcontent.cgi?article=2617&amp;context=theses" TargetMode="External"/><Relationship Id="rId21" Type="http://schemas.openxmlformats.org/officeDocument/2006/relationships/hyperlink" Target="https://www.getfpv.com/racerstar-rs20a-blheli-s-4-in-1-esc.html" TargetMode="External"/><Relationship Id="rId24" Type="http://schemas.openxmlformats.org/officeDocument/2006/relationships/hyperlink" Target="https://justdrones.com.au/how-much-power-is-needed-to-hover/" TargetMode="External"/><Relationship Id="rId23" Type="http://schemas.openxmlformats.org/officeDocument/2006/relationships/hyperlink" Target="https://hobbyking.com/en_us/turnigy-aerodrive-sk3-2822-1275kv-brushless-outrunner-motor.html?queryID=&amp;objectID=47269&amp;indexName=hbk_live_magento_en_us_products" TargetMode="External"/><Relationship Id="rId1" Type="http://schemas.openxmlformats.org/officeDocument/2006/relationships/comments" Target="../comments4.xml"/><Relationship Id="rId2" Type="http://schemas.openxmlformats.org/officeDocument/2006/relationships/hyperlink" Target="https://www.maxamps.com/lipo-battery-charger-hitec-x2-ac-plus-black-edition-ac-dc-charger-power-supply" TargetMode="External"/><Relationship Id="rId3" Type="http://schemas.openxmlformats.org/officeDocument/2006/relationships/hyperlink" Target="https://www.maxamps.com/lipo-11000-3s-11-1v-battery-pack" TargetMode="External"/><Relationship Id="rId4" Type="http://schemas.openxmlformats.org/officeDocument/2006/relationships/hyperlink" Target="https://drive.google.com/file/d/1BTWidagNcykIAG8uyaztTt_ULJJs9Ibr/view?usp=sharing" TargetMode="External"/><Relationship Id="rId9" Type="http://schemas.openxmlformats.org/officeDocument/2006/relationships/hyperlink" Target="https://drive.google.com/file/d/1S5aWydUc6pw0TgixZKUfUGhhEkZoeMQR/view?usp=sharing" TargetMode="External"/><Relationship Id="rId26" Type="http://schemas.openxmlformats.org/officeDocument/2006/relationships/drawing" Target="../drawings/drawing7.xml"/><Relationship Id="rId25" Type="http://schemas.openxmlformats.org/officeDocument/2006/relationships/hyperlink" Target="https://hobbyking.com/en_us/corona-cs238mg-metal-gear-servo-4-6kg-0-14sec-22g.html?queryID=6f05347fba3881876e63e3f3d3558ea7&amp;objectID=35613&amp;indexName=hbk_live_magento_en_us_products" TargetMode="External"/><Relationship Id="rId27" Type="http://schemas.openxmlformats.org/officeDocument/2006/relationships/vmlDrawing" Target="../drawings/vmlDrawing4.vml"/><Relationship Id="rId5" Type="http://schemas.openxmlformats.org/officeDocument/2006/relationships/hyperlink" Target="https://drive.google.com/file/d/1S5aWydUc6pw0TgixZKUfUGhhEkZoeMQR/view?usp=sharing" TargetMode="External"/><Relationship Id="rId6" Type="http://schemas.openxmlformats.org/officeDocument/2006/relationships/hyperlink" Target="https://drive.google.com/file/d/1S5aWydUc6pw0TgixZKUfUGhhEkZoeMQR/view?usp=sharing" TargetMode="External"/><Relationship Id="rId7" Type="http://schemas.openxmlformats.org/officeDocument/2006/relationships/hyperlink" Target="https://drive.google.com/file/d/1S5aWydUc6pw0TgixZKUfUGhhEkZoeMQR/view?usp=sharing" TargetMode="External"/><Relationship Id="rId8" Type="http://schemas.openxmlformats.org/officeDocument/2006/relationships/hyperlink" Target="https://drive.google.com/file/d/1S5aWydUc6pw0TgixZKUfUGhhEkZoeMQR/view?usp=sharing" TargetMode="External"/><Relationship Id="rId11" Type="http://schemas.openxmlformats.org/officeDocument/2006/relationships/hyperlink" Target="https://drive.google.com/file/d/1S5aWydUc6pw0TgixZKUfUGhhEkZoeMQR/view?usp=sharing" TargetMode="External"/><Relationship Id="rId10" Type="http://schemas.openxmlformats.org/officeDocument/2006/relationships/hyperlink" Target="https://drive.google.com/file/d/1S5aWydUc6pw0TgixZKUfUGhhEkZoeMQR/view?usp=sharing" TargetMode="External"/><Relationship Id="rId13" Type="http://schemas.openxmlformats.org/officeDocument/2006/relationships/hyperlink" Target="https://abracon.com/Oscillators/ASEK.pdf" TargetMode="External"/><Relationship Id="rId12" Type="http://schemas.openxmlformats.org/officeDocument/2006/relationships/hyperlink" Target="https://www.ctscorp.com/wp-content/uploads/2015/11/008-0256-0.pdf" TargetMode="External"/><Relationship Id="rId15" Type="http://schemas.openxmlformats.org/officeDocument/2006/relationships/hyperlink" Target="https://drive.google.com/file/d/1TtpSB2pmre7adCPPsE4JPd05eTOPkMdb/view?usp=sharing" TargetMode="External"/><Relationship Id="rId14" Type="http://schemas.openxmlformats.org/officeDocument/2006/relationships/hyperlink" Target="https://drive.google.com/file/d/1yr01Xi78aFAP9uDOiIQcZWPEP93LwSbV/view?usp=sharing" TargetMode="External"/><Relationship Id="rId17" Type="http://schemas.openxmlformats.org/officeDocument/2006/relationships/hyperlink" Target="https://cdn-shop.adafruit.com/datasheets/GPS-01.pdf" TargetMode="External"/><Relationship Id="rId16" Type="http://schemas.openxmlformats.org/officeDocument/2006/relationships/hyperlink" Target="https://drive.google.com/file/d/1mWoPrDEnQztybVbRIB_2A5kyKjJ62z7w/view?usp=sharing" TargetMode="External"/><Relationship Id="rId19" Type="http://schemas.openxmlformats.org/officeDocument/2006/relationships/hyperlink" Target="https://www.onsemi.com/pdf/datasheet/bss138-d.pdf" TargetMode="External"/><Relationship Id="rId18" Type="http://schemas.openxmlformats.org/officeDocument/2006/relationships/hyperlink" Target="https://drive.google.com/file/d/1zcN4oXY7YiwJI4uVzpOdaHv_k6EPhOHg/view?usp=sharing"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drive.google.com/file/d/1zcN4oXY7YiwJI4uVzpOdaHv_k6EPhOHg/view?usp=sharing" TargetMode="External"/><Relationship Id="rId22" Type="http://schemas.openxmlformats.org/officeDocument/2006/relationships/hyperlink" Target="https://sensing.honeywell.com/honeywell-sensing-micropressure-board-mount-pressure-mpr-series-datasheet-32332628-en.pdf" TargetMode="External"/><Relationship Id="rId21" Type="http://schemas.openxmlformats.org/officeDocument/2006/relationships/hyperlink" Target="https://drive.google.com/file/d/1zcN4oXY7YiwJI4uVzpOdaHv_k6EPhOHg/view?usp=sharing" TargetMode="External"/><Relationship Id="rId24" Type="http://schemas.openxmlformats.org/officeDocument/2006/relationships/hyperlink" Target="https://hobbyking.com/en_us/turnigy-aerodrive-sk3-2822-1275kv-brushless-outrunner-motor.html?queryID=&amp;objectID=47269&amp;indexName=hbk_live_magento_en_us_products" TargetMode="External"/><Relationship Id="rId23" Type="http://schemas.openxmlformats.org/officeDocument/2006/relationships/hyperlink" Target="https://www.getfpv.com/racerstar-rs20a-blheli-s-4-in-1-esc.html" TargetMode="External"/><Relationship Id="rId1" Type="http://schemas.openxmlformats.org/officeDocument/2006/relationships/comments" Target="../comments5.xml"/><Relationship Id="rId2" Type="http://schemas.openxmlformats.org/officeDocument/2006/relationships/hyperlink" Target="https://www.maxamps.com/lipo-battery-charger-hitec-x4-micro-ac-dc-1-cell-charger" TargetMode="External"/><Relationship Id="rId3" Type="http://schemas.openxmlformats.org/officeDocument/2006/relationships/hyperlink" Target="https://www.maxamps.com/lipo-9700-3s-11-1v-battery-pack" TargetMode="External"/><Relationship Id="rId4" Type="http://schemas.openxmlformats.org/officeDocument/2006/relationships/hyperlink" Target="https://drive.google.com/file/d/1BTWidagNcykIAG8uyaztTt_ULJJs9Ibr/view?usp=sharing" TargetMode="External"/><Relationship Id="rId9" Type="http://schemas.openxmlformats.org/officeDocument/2006/relationships/hyperlink" Target="https://drive.google.com/file/d/1S5aWydUc6pw0TgixZKUfUGhhEkZoeMQR/view?usp=sharing" TargetMode="External"/><Relationship Id="rId26" Type="http://schemas.openxmlformats.org/officeDocument/2006/relationships/hyperlink" Target="https://hobbyking.com/en_us/corona-cs238mg-metal-gear-servo-4-6kg-0-14sec-22g.html?queryID=6f05347fba3881876e63e3f3d3558ea7&amp;objectID=35613&amp;indexName=hbk_live_magento_en_us_products" TargetMode="External"/><Relationship Id="rId25" Type="http://schemas.openxmlformats.org/officeDocument/2006/relationships/hyperlink" Target="https://justdrones.com.au/how-much-power-is-needed-to-hover/" TargetMode="External"/><Relationship Id="rId28" Type="http://schemas.openxmlformats.org/officeDocument/2006/relationships/vmlDrawing" Target="../drawings/vmlDrawing5.vml"/><Relationship Id="rId27" Type="http://schemas.openxmlformats.org/officeDocument/2006/relationships/drawing" Target="../drawings/drawing8.xml"/><Relationship Id="rId5" Type="http://schemas.openxmlformats.org/officeDocument/2006/relationships/hyperlink" Target="https://drive.google.com/file/d/1S5aWydUc6pw0TgixZKUfUGhhEkZoeMQR/view?usp=sharing" TargetMode="External"/><Relationship Id="rId6" Type="http://schemas.openxmlformats.org/officeDocument/2006/relationships/hyperlink" Target="https://drive.google.com/file/d/1S5aWydUc6pw0TgixZKUfUGhhEkZoeMQR/view?usp=sharing" TargetMode="External"/><Relationship Id="rId7" Type="http://schemas.openxmlformats.org/officeDocument/2006/relationships/hyperlink" Target="https://drive.google.com/file/d/1S5aWydUc6pw0TgixZKUfUGhhEkZoeMQR/view?usp=sharing" TargetMode="External"/><Relationship Id="rId8" Type="http://schemas.openxmlformats.org/officeDocument/2006/relationships/hyperlink" Target="https://drive.google.com/file/d/1S5aWydUc6pw0TgixZKUfUGhhEkZoeMQR/view?usp=sharing" TargetMode="External"/><Relationship Id="rId11" Type="http://schemas.openxmlformats.org/officeDocument/2006/relationships/hyperlink" Target="https://drive.google.com/file/d/1S5aWydUc6pw0TgixZKUfUGhhEkZoeMQR/view?usp=sharing" TargetMode="External"/><Relationship Id="rId10" Type="http://schemas.openxmlformats.org/officeDocument/2006/relationships/hyperlink" Target="https://drive.google.com/file/d/1S5aWydUc6pw0TgixZKUfUGhhEkZoeMQR/view?usp=sharing" TargetMode="External"/><Relationship Id="rId13" Type="http://schemas.openxmlformats.org/officeDocument/2006/relationships/hyperlink" Target="https://abracon.com/Oscillators/ASEK.pdf" TargetMode="External"/><Relationship Id="rId12" Type="http://schemas.openxmlformats.org/officeDocument/2006/relationships/hyperlink" Target="https://www.ctscorp.com/wp-content/uploads/2015/11/008-0256-0.pdf" TargetMode="External"/><Relationship Id="rId15" Type="http://schemas.openxmlformats.org/officeDocument/2006/relationships/hyperlink" Target="https://drive.google.com/file/d/1yr01Xi78aFAP9uDOiIQcZWPEP93LwSbV/view?usp=sharing" TargetMode="External"/><Relationship Id="rId14" Type="http://schemas.openxmlformats.org/officeDocument/2006/relationships/hyperlink" Target="https://drive.google.com/file/d/1yr01Xi78aFAP9uDOiIQcZWPEP93LwSbV/view?usp=sharing" TargetMode="External"/><Relationship Id="rId17" Type="http://schemas.openxmlformats.org/officeDocument/2006/relationships/hyperlink" Target="https://drive.google.com/file/d/1mWoPrDEnQztybVbRIB_2A5kyKjJ62z7w/view?usp=sharing" TargetMode="External"/><Relationship Id="rId16" Type="http://schemas.openxmlformats.org/officeDocument/2006/relationships/hyperlink" Target="https://drive.google.com/file/d/1TtpSB2pmre7adCPPsE4JPd05eTOPkMdb/view?usp=sharing" TargetMode="External"/><Relationship Id="rId19" Type="http://schemas.openxmlformats.org/officeDocument/2006/relationships/hyperlink" Target="https://drive.google.com/file/d/1mWoPrDEnQztybVbRIB_2A5kyKjJ62z7w/view?usp=sharing" TargetMode="External"/><Relationship Id="rId18" Type="http://schemas.openxmlformats.org/officeDocument/2006/relationships/hyperlink" Target="https://drive.google.com/file/d/1mWoPrDEnQztybVbRIB_2A5kyKjJ62z7w/view?usp=sharing" TargetMode="External"/></Relationships>
</file>

<file path=xl/worksheets/_rels/sheet9.xml.rels><?xml version="1.0" encoding="UTF-8" standalone="yes"?><Relationships xmlns="http://schemas.openxmlformats.org/package/2006/relationships"><Relationship Id="rId20" Type="http://schemas.openxmlformats.org/officeDocument/2006/relationships/hyperlink" Target="https://www.racedayquads.com/products/iflight-succex-micro-2-4s-12a-16x16-4in1-esc-for-cinebee-75hd?currency=USD&amp;variant=21519988097137&amp;gclid=Cj0KCQiA4feBBhC9ARIsABp_nbVZsG9jvSDoVZxiYzhzdObvOU_eZrsw8bplCz3ho7U08lDa3X1X3rYaAh1IEALw_wcB" TargetMode="External"/><Relationship Id="rId22" Type="http://schemas.openxmlformats.org/officeDocument/2006/relationships/hyperlink" Target="https://justdrones.com.au/how-much-power-is-needed-to-hover/" TargetMode="External"/><Relationship Id="rId21" Type="http://schemas.openxmlformats.org/officeDocument/2006/relationships/hyperlink" Target="https://hobbyking.com/en_us/turnigy-aerodrive-sk3-2822-1275kv-brushless-outrunner-motor.html?queryID=&amp;objectID=47269&amp;indexName=hbk_live_magento_en_us_products" TargetMode="External"/><Relationship Id="rId24" Type="http://schemas.openxmlformats.org/officeDocument/2006/relationships/hyperlink" Target="https://hobbyking.com/en_us/corona-cs238mg-metal-gear-servo-4-6kg-0-14sec-22g.html?queryID=6f05347fba3881876e63e3f3d3558ea7&amp;objectID=35613&amp;indexName=hbk_live_magento_en_us_products" TargetMode="External"/><Relationship Id="rId23" Type="http://schemas.openxmlformats.org/officeDocument/2006/relationships/hyperlink" Target="https://hobbyking.com/en_us/skyzone-p-p-25mw-set-w-ts5825-tx-rc832-rx-and-sony-480tvl-ccd-camera-and-c-p-antennas.html?queryID=aa6e639063a6285a400e4f9304b4c0b3&amp;objectID=52240&amp;indexName=hbk_live_magento_en_us_products" TargetMode="External"/><Relationship Id="rId1" Type="http://schemas.openxmlformats.org/officeDocument/2006/relationships/hyperlink" Target="https://www.maxamps.com/lipo-battery-charger-hitec-x4-micro-ac-dc-1-cell-charger" TargetMode="External"/><Relationship Id="rId2" Type="http://schemas.openxmlformats.org/officeDocument/2006/relationships/hyperlink" Target="https://www.aliexpress.com/item/32608380312.html" TargetMode="External"/><Relationship Id="rId3" Type="http://schemas.openxmlformats.org/officeDocument/2006/relationships/hyperlink" Target="https://www.maxamps.com/lipo-9000xl-3s-11-1v-battery-pack" TargetMode="External"/><Relationship Id="rId4" Type="http://schemas.openxmlformats.org/officeDocument/2006/relationships/hyperlink" Target="https://drive.google.com/file/d/1BTWidagNcykIAG8uyaztTt_ULJJs9Ibr/view?usp=sharing" TargetMode="External"/><Relationship Id="rId9" Type="http://schemas.openxmlformats.org/officeDocument/2006/relationships/hyperlink" Target="https://drive.google.com/file/d/1S5aWydUc6pw0TgixZKUfUGhhEkZoeMQR/view?usp=sharing" TargetMode="External"/><Relationship Id="rId25" Type="http://schemas.openxmlformats.org/officeDocument/2006/relationships/drawing" Target="../drawings/drawing9.xml"/><Relationship Id="rId5" Type="http://schemas.openxmlformats.org/officeDocument/2006/relationships/hyperlink" Target="https://drive.google.com/file/d/1S5aWydUc6pw0TgixZKUfUGhhEkZoeMQR/view?usp=sharing" TargetMode="External"/><Relationship Id="rId6" Type="http://schemas.openxmlformats.org/officeDocument/2006/relationships/hyperlink" Target="https://drive.google.com/file/d/1S5aWydUc6pw0TgixZKUfUGhhEkZoeMQR/view?usp=sharing" TargetMode="External"/><Relationship Id="rId7" Type="http://schemas.openxmlformats.org/officeDocument/2006/relationships/hyperlink" Target="https://drive.google.com/file/d/1S5aWydUc6pw0TgixZKUfUGhhEkZoeMQR/view?usp=sharing" TargetMode="External"/><Relationship Id="rId8" Type="http://schemas.openxmlformats.org/officeDocument/2006/relationships/hyperlink" Target="https://drive.google.com/file/d/1S5aWydUc6pw0TgixZKUfUGhhEkZoeMQR/view?usp=sharing" TargetMode="External"/><Relationship Id="rId11" Type="http://schemas.openxmlformats.org/officeDocument/2006/relationships/hyperlink" Target="https://drive.google.com/file/d/1S5aWydUc6pw0TgixZKUfUGhhEkZoeMQR/view?usp=sharing" TargetMode="External"/><Relationship Id="rId10" Type="http://schemas.openxmlformats.org/officeDocument/2006/relationships/hyperlink" Target="https://drive.google.com/file/d/1S5aWydUc6pw0TgixZKUfUGhhEkZoeMQR/view?usp=sharing" TargetMode="External"/><Relationship Id="rId13" Type="http://schemas.openxmlformats.org/officeDocument/2006/relationships/hyperlink" Target="https://drive.google.com/file/d/1yr01Xi78aFAP9uDOiIQcZWPEP93LwSbV/view?usp=sharing" TargetMode="External"/><Relationship Id="rId12" Type="http://schemas.openxmlformats.org/officeDocument/2006/relationships/hyperlink" Target="https://drive.google.com/file/d/1yr01Xi78aFAP9uDOiIQcZWPEP93LwSbV/view?usp=sharing" TargetMode="External"/><Relationship Id="rId15" Type="http://schemas.openxmlformats.org/officeDocument/2006/relationships/hyperlink" Target="https://drive.google.com/file/d/1mWoPrDEnQztybVbRIB_2A5kyKjJ62z7w/view?usp=sharing" TargetMode="External"/><Relationship Id="rId14" Type="http://schemas.openxmlformats.org/officeDocument/2006/relationships/hyperlink" Target="https://drive.google.com/file/d/1TtpSB2pmre7adCPPsE4JPd05eTOPkMdb/view?usp=sharing" TargetMode="External"/><Relationship Id="rId17" Type="http://schemas.openxmlformats.org/officeDocument/2006/relationships/hyperlink" Target="https://drive.google.com/file/d/1mWoPrDEnQztybVbRIB_2A5kyKjJ62z7w/view?usp=sharing" TargetMode="External"/><Relationship Id="rId16" Type="http://schemas.openxmlformats.org/officeDocument/2006/relationships/hyperlink" Target="https://drive.google.com/file/d/1mWoPrDEnQztybVbRIB_2A5kyKjJ62z7w/view?usp=sharing" TargetMode="External"/><Relationship Id="rId19" Type="http://schemas.openxmlformats.org/officeDocument/2006/relationships/hyperlink" Target="https://drive.google.com/file/d/1zcN4oXY7YiwJI4uVzpOdaHv_k6EPhOHg/view?usp=sharing" TargetMode="External"/><Relationship Id="rId18" Type="http://schemas.openxmlformats.org/officeDocument/2006/relationships/hyperlink" Target="https://drive.google.com/file/d/1zcN4oXY7YiwJI4uVzpOdaHv_k6EPhOHg/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3.75"/>
    <col customWidth="1" min="2" max="2" width="17.25"/>
    <col customWidth="1" min="4" max="4" width="14.63"/>
    <col customWidth="1" min="7" max="7" width="15.38"/>
    <col customWidth="1" min="8" max="8" width="17.13"/>
    <col customWidth="1" min="16" max="16" width="13.63"/>
    <col customWidth="1" min="23" max="23" width="17.63"/>
    <col customWidth="1" min="25" max="25" width="13.38"/>
  </cols>
  <sheetData>
    <row r="1">
      <c r="A1" s="1" t="s">
        <v>0</v>
      </c>
      <c r="B1" s="2"/>
      <c r="C1" s="3"/>
      <c r="I1" s="4" t="s">
        <v>1</v>
      </c>
      <c r="J1" s="5"/>
      <c r="K1" s="5"/>
      <c r="L1" s="5"/>
      <c r="M1" s="4" t="s">
        <v>2</v>
      </c>
      <c r="N1" s="6"/>
    </row>
    <row r="2">
      <c r="A2" s="7" t="s">
        <v>3</v>
      </c>
      <c r="B2" s="8" t="s">
        <v>4</v>
      </c>
      <c r="C2" s="8" t="s">
        <v>5</v>
      </c>
      <c r="D2" s="9" t="s">
        <v>6</v>
      </c>
      <c r="E2" s="4" t="s">
        <v>7</v>
      </c>
      <c r="F2" s="6"/>
      <c r="G2" s="4" t="s">
        <v>8</v>
      </c>
      <c r="H2" s="6"/>
      <c r="I2" s="9" t="s">
        <v>9</v>
      </c>
      <c r="J2" s="9" t="s">
        <v>10</v>
      </c>
      <c r="K2" s="9" t="s">
        <v>11</v>
      </c>
      <c r="L2" s="9" t="s">
        <v>12</v>
      </c>
      <c r="M2" s="9" t="s">
        <v>13</v>
      </c>
      <c r="N2" s="9" t="s">
        <v>14</v>
      </c>
      <c r="O2" s="4" t="s">
        <v>15</v>
      </c>
      <c r="P2" s="6"/>
      <c r="Q2" s="4" t="s">
        <v>16</v>
      </c>
      <c r="R2" s="6"/>
      <c r="S2" s="9" t="s">
        <v>17</v>
      </c>
      <c r="T2" s="10" t="s">
        <v>18</v>
      </c>
      <c r="U2" s="4" t="s">
        <v>19</v>
      </c>
      <c r="V2" s="11"/>
      <c r="W2" s="6"/>
      <c r="X2" s="12" t="s">
        <v>20</v>
      </c>
      <c r="Y2" s="13"/>
      <c r="Z2" s="14" t="s">
        <v>21</v>
      </c>
    </row>
    <row r="3">
      <c r="A3" s="15" t="s">
        <v>22</v>
      </c>
      <c r="B3" s="16" t="s">
        <v>23</v>
      </c>
      <c r="C3" s="17">
        <v>1.0</v>
      </c>
      <c r="D3" s="18">
        <v>11.1</v>
      </c>
      <c r="E3" s="19" t="s">
        <v>24</v>
      </c>
      <c r="F3" s="20"/>
      <c r="G3" s="21" t="s">
        <v>25</v>
      </c>
      <c r="H3" s="20"/>
      <c r="I3" s="22" t="s">
        <v>26</v>
      </c>
      <c r="J3" s="22"/>
      <c r="K3" s="23"/>
      <c r="L3" s="23"/>
      <c r="M3" s="23"/>
      <c r="N3" s="23"/>
      <c r="O3" s="21"/>
      <c r="P3" s="20"/>
      <c r="Q3" s="19" t="s">
        <v>27</v>
      </c>
      <c r="R3" s="20"/>
      <c r="S3" s="24"/>
      <c r="T3" s="25" t="s">
        <v>28</v>
      </c>
      <c r="U3" s="26" t="s">
        <v>29</v>
      </c>
      <c r="V3" s="27"/>
      <c r="W3" s="13"/>
      <c r="X3" s="28" t="s">
        <v>30</v>
      </c>
      <c r="Y3" s="20"/>
      <c r="Z3" s="29" t="s">
        <v>31</v>
      </c>
    </row>
    <row r="4">
      <c r="A4" s="15" t="s">
        <v>32</v>
      </c>
      <c r="B4" s="16" t="s">
        <v>33</v>
      </c>
      <c r="C4" s="17">
        <v>1.0</v>
      </c>
      <c r="D4" s="18">
        <v>11.1</v>
      </c>
      <c r="E4" s="30"/>
      <c r="F4" s="30"/>
      <c r="G4" s="19" t="s">
        <v>34</v>
      </c>
      <c r="H4" s="20"/>
      <c r="I4" s="23"/>
      <c r="J4" s="23"/>
      <c r="K4" s="23"/>
      <c r="L4" s="23"/>
      <c r="M4" s="23"/>
      <c r="N4" s="23"/>
      <c r="O4" s="19">
        <v>-9166.66</v>
      </c>
      <c r="P4" s="20"/>
      <c r="Q4" s="19">
        <v>-101750.0</v>
      </c>
      <c r="R4" s="20"/>
      <c r="S4" s="31">
        <f>Q4/Q17</f>
        <v>-0.2810085073</v>
      </c>
      <c r="T4" s="32" t="s">
        <v>35</v>
      </c>
      <c r="U4" s="33" t="s">
        <v>36</v>
      </c>
      <c r="W4" s="20"/>
      <c r="X4" s="34"/>
      <c r="Y4" s="20"/>
      <c r="Z4" s="35" t="s">
        <v>37</v>
      </c>
    </row>
    <row r="5">
      <c r="A5" s="36" t="s">
        <v>38</v>
      </c>
      <c r="B5" s="37" t="s">
        <v>39</v>
      </c>
      <c r="C5" s="38">
        <v>1.0</v>
      </c>
      <c r="D5" s="39">
        <v>5.0</v>
      </c>
      <c r="E5" s="40" t="s">
        <v>40</v>
      </c>
      <c r="F5" s="13"/>
      <c r="G5" s="39" t="s">
        <v>41</v>
      </c>
      <c r="H5" s="27"/>
      <c r="I5" s="40">
        <v>75.0</v>
      </c>
      <c r="J5" s="40">
        <v>60.0</v>
      </c>
      <c r="K5" s="38">
        <v>0.0</v>
      </c>
      <c r="L5" s="38">
        <v>0.0</v>
      </c>
      <c r="M5" s="41">
        <f>P21</f>
        <v>1</v>
      </c>
      <c r="N5" s="38">
        <v>0.0</v>
      </c>
      <c r="O5" s="42">
        <f t="shared" ref="O5:O16" si="1">(J5*M5+L5*N5)*C5</f>
        <v>60</v>
      </c>
      <c r="P5" s="20"/>
      <c r="Q5" s="43">
        <f t="shared" ref="Q5:Q10" si="2">(O5*D5)</f>
        <v>300</v>
      </c>
      <c r="R5" s="13"/>
      <c r="S5" s="44">
        <f>Q5/Q17</f>
        <v>0.0008285263114</v>
      </c>
      <c r="T5" s="45" t="s">
        <v>42</v>
      </c>
      <c r="U5" s="46" t="s">
        <v>43</v>
      </c>
      <c r="V5" s="27"/>
      <c r="W5" s="13"/>
      <c r="X5" s="34"/>
      <c r="Y5" s="20"/>
      <c r="Z5" s="47" t="s">
        <v>44</v>
      </c>
    </row>
    <row r="6">
      <c r="A6" s="48" t="s">
        <v>45</v>
      </c>
      <c r="B6" s="49" t="s">
        <v>46</v>
      </c>
      <c r="C6" s="50">
        <v>1.0</v>
      </c>
      <c r="D6" s="51">
        <v>5.0</v>
      </c>
      <c r="E6" s="42" t="s">
        <v>47</v>
      </c>
      <c r="F6" s="20"/>
      <c r="G6" s="42" t="s">
        <v>25</v>
      </c>
      <c r="H6" s="20"/>
      <c r="I6" s="51">
        <v>1200.0</v>
      </c>
      <c r="J6" s="51">
        <v>500.0</v>
      </c>
      <c r="K6" s="51">
        <v>0.0</v>
      </c>
      <c r="L6" s="51">
        <v>0.0</v>
      </c>
      <c r="M6" s="52">
        <f>P21</f>
        <v>1</v>
      </c>
      <c r="N6" s="51">
        <v>0.0</v>
      </c>
      <c r="O6" s="42">
        <f t="shared" si="1"/>
        <v>500</v>
      </c>
      <c r="P6" s="20"/>
      <c r="Q6" s="42">
        <f t="shared" si="2"/>
        <v>2500</v>
      </c>
      <c r="R6" s="20"/>
      <c r="S6" s="53">
        <f>Q6/Q17</f>
        <v>0.006904385928</v>
      </c>
      <c r="T6" s="54" t="s">
        <v>48</v>
      </c>
      <c r="U6" s="55" t="s">
        <v>49</v>
      </c>
      <c r="W6" s="20"/>
      <c r="X6" s="34"/>
      <c r="Y6" s="20"/>
      <c r="Z6" s="34"/>
    </row>
    <row r="7">
      <c r="A7" s="56" t="s">
        <v>50</v>
      </c>
      <c r="B7" s="49" t="s">
        <v>51</v>
      </c>
      <c r="C7" s="50">
        <v>1.0</v>
      </c>
      <c r="D7" s="51">
        <v>11.1</v>
      </c>
      <c r="E7" s="42" t="s">
        <v>52</v>
      </c>
      <c r="F7" s="20"/>
      <c r="G7" s="42" t="s">
        <v>53</v>
      </c>
      <c r="H7" s="20"/>
      <c r="I7" s="51">
        <v>340.0</v>
      </c>
      <c r="J7" s="51">
        <v>305.0</v>
      </c>
      <c r="K7" s="51">
        <v>0.0</v>
      </c>
      <c r="L7" s="51">
        <v>0.0</v>
      </c>
      <c r="M7" s="57">
        <f>P21</f>
        <v>1</v>
      </c>
      <c r="N7" s="51">
        <v>0.0</v>
      </c>
      <c r="O7" s="42">
        <f t="shared" si="1"/>
        <v>305</v>
      </c>
      <c r="P7" s="20"/>
      <c r="Q7" s="42">
        <f t="shared" si="2"/>
        <v>3385.5</v>
      </c>
      <c r="R7" s="20"/>
      <c r="S7" s="53">
        <f>Q7/Q17</f>
        <v>0.009349919424</v>
      </c>
      <c r="T7" s="58" t="s">
        <v>54</v>
      </c>
      <c r="U7" s="29" t="s">
        <v>55</v>
      </c>
      <c r="W7" s="20"/>
    </row>
    <row r="8">
      <c r="A8" s="59" t="s">
        <v>56</v>
      </c>
      <c r="B8" s="49" t="s">
        <v>57</v>
      </c>
      <c r="C8" s="50">
        <v>1.0</v>
      </c>
      <c r="D8" s="51">
        <v>5.0</v>
      </c>
      <c r="E8" s="42" t="s">
        <v>58</v>
      </c>
      <c r="F8" s="20"/>
      <c r="G8" s="42" t="s">
        <v>25</v>
      </c>
      <c r="H8" s="20"/>
      <c r="I8" s="51">
        <v>20.0</v>
      </c>
      <c r="J8" s="51">
        <v>34.0</v>
      </c>
      <c r="K8" s="51">
        <v>0.0</v>
      </c>
      <c r="L8" s="51">
        <v>0.0</v>
      </c>
      <c r="M8" s="57">
        <f>P21</f>
        <v>1</v>
      </c>
      <c r="N8" s="51">
        <v>0.0</v>
      </c>
      <c r="O8" s="42">
        <f t="shared" si="1"/>
        <v>34</v>
      </c>
      <c r="P8" s="20"/>
      <c r="Q8" s="42">
        <f t="shared" si="2"/>
        <v>170</v>
      </c>
      <c r="R8" s="20"/>
      <c r="S8" s="53">
        <f>Q8/Q17</f>
        <v>0.0004694982431</v>
      </c>
      <c r="T8" s="60" t="s">
        <v>59</v>
      </c>
      <c r="U8" s="29" t="s">
        <v>60</v>
      </c>
      <c r="W8" s="20"/>
      <c r="X8" s="34"/>
    </row>
    <row r="9">
      <c r="A9" s="61" t="s">
        <v>61</v>
      </c>
      <c r="B9" s="62" t="s">
        <v>62</v>
      </c>
      <c r="C9" s="63">
        <v>1.0</v>
      </c>
      <c r="D9" s="64">
        <v>5.0</v>
      </c>
      <c r="E9" s="65" t="s">
        <v>63</v>
      </c>
      <c r="F9" s="66"/>
      <c r="G9" s="65" t="s">
        <v>25</v>
      </c>
      <c r="H9" s="66"/>
      <c r="I9" s="64">
        <v>100.0</v>
      </c>
      <c r="J9" s="67">
        <v>100.0</v>
      </c>
      <c r="K9" s="64">
        <v>0.0</v>
      </c>
      <c r="L9" s="64">
        <v>0.0</v>
      </c>
      <c r="M9" s="68">
        <f>P21</f>
        <v>1</v>
      </c>
      <c r="N9" s="64">
        <v>0.0</v>
      </c>
      <c r="O9" s="42">
        <f t="shared" si="1"/>
        <v>100</v>
      </c>
      <c r="P9" s="20"/>
      <c r="Q9" s="65">
        <f t="shared" si="2"/>
        <v>500</v>
      </c>
      <c r="R9" s="66"/>
      <c r="S9" s="69">
        <f>Q9/Q17</f>
        <v>0.001380877186</v>
      </c>
      <c r="T9" s="70" t="s">
        <v>64</v>
      </c>
      <c r="U9" s="71" t="s">
        <v>65</v>
      </c>
      <c r="V9" s="72"/>
      <c r="W9" s="66"/>
    </row>
    <row r="10">
      <c r="A10" s="73" t="s">
        <v>66</v>
      </c>
      <c r="B10" s="74" t="s">
        <v>67</v>
      </c>
      <c r="C10" s="75">
        <v>1.0</v>
      </c>
      <c r="D10" s="76">
        <v>3.3</v>
      </c>
      <c r="E10" s="77" t="s">
        <v>68</v>
      </c>
      <c r="F10" s="20"/>
      <c r="G10" s="77" t="s">
        <v>69</v>
      </c>
      <c r="H10" s="20"/>
      <c r="I10" s="78">
        <v>0.265</v>
      </c>
      <c r="J10" s="78">
        <v>0.16</v>
      </c>
      <c r="K10" s="78">
        <v>0.0</v>
      </c>
      <c r="L10" s="78">
        <v>0.0</v>
      </c>
      <c r="M10" s="79">
        <f>P21</f>
        <v>1</v>
      </c>
      <c r="N10" s="77">
        <v>0.0</v>
      </c>
      <c r="O10" s="80">
        <f t="shared" si="1"/>
        <v>0.16</v>
      </c>
      <c r="P10" s="13"/>
      <c r="Q10" s="77">
        <f t="shared" si="2"/>
        <v>0.528</v>
      </c>
      <c r="R10" s="20"/>
      <c r="S10" s="81">
        <f>Q10/Q17</f>
        <v>0.000001458206308</v>
      </c>
      <c r="T10" s="82" t="s">
        <v>70</v>
      </c>
      <c r="U10" s="83" t="s">
        <v>71</v>
      </c>
      <c r="W10" s="20"/>
    </row>
    <row r="11">
      <c r="A11" s="73" t="s">
        <v>72</v>
      </c>
      <c r="B11" s="84" t="s">
        <v>73</v>
      </c>
      <c r="C11" s="85">
        <v>4.0</v>
      </c>
      <c r="D11" s="78">
        <v>5.0</v>
      </c>
      <c r="E11" s="77" t="s">
        <v>74</v>
      </c>
      <c r="F11" s="20"/>
      <c r="G11" s="77" t="s">
        <v>75</v>
      </c>
      <c r="H11" s="20"/>
      <c r="I11" s="78">
        <v>15.0</v>
      </c>
      <c r="J11" s="78">
        <v>2.0</v>
      </c>
      <c r="K11" s="78">
        <v>0.0</v>
      </c>
      <c r="L11" s="78">
        <v>0.0</v>
      </c>
      <c r="M11" s="79">
        <f>P21</f>
        <v>1</v>
      </c>
      <c r="N11" s="77">
        <v>0.0</v>
      </c>
      <c r="O11" s="86">
        <f t="shared" si="1"/>
        <v>8</v>
      </c>
      <c r="P11" s="20"/>
      <c r="Q11" s="77">
        <f>(O11*D11) + 0.844 * M11</f>
        <v>40.844</v>
      </c>
      <c r="R11" s="20"/>
      <c r="S11" s="81">
        <f>Q11/Q17</f>
        <v>0.0001128010955</v>
      </c>
      <c r="T11" s="82" t="s">
        <v>76</v>
      </c>
      <c r="U11" s="83" t="s">
        <v>77</v>
      </c>
      <c r="W11" s="20"/>
    </row>
    <row r="12">
      <c r="A12" s="87" t="s">
        <v>78</v>
      </c>
      <c r="B12" s="88" t="s">
        <v>79</v>
      </c>
      <c r="C12" s="75">
        <v>1.0</v>
      </c>
      <c r="D12" s="78">
        <v>3.3</v>
      </c>
      <c r="E12" s="77" t="s">
        <v>80</v>
      </c>
      <c r="F12" s="20"/>
      <c r="G12" s="77" t="s">
        <v>81</v>
      </c>
      <c r="H12" s="20"/>
      <c r="I12" s="78">
        <v>25.0</v>
      </c>
      <c r="J12" s="78">
        <v>25.0</v>
      </c>
      <c r="K12" s="78">
        <v>20.0</v>
      </c>
      <c r="L12" s="78">
        <v>22.0</v>
      </c>
      <c r="M12" s="89">
        <v>0.01</v>
      </c>
      <c r="N12" s="77">
        <f>P21 - 0.01</f>
        <v>0.99</v>
      </c>
      <c r="O12" s="86">
        <f t="shared" si="1"/>
        <v>22.03</v>
      </c>
      <c r="P12" s="20"/>
      <c r="Q12" s="77">
        <f>(O12*D12)+ 1.09 * M12</f>
        <v>72.7099</v>
      </c>
      <c r="R12" s="20"/>
      <c r="S12" s="81">
        <f>Q12/Q17</f>
        <v>0.0002008068842</v>
      </c>
      <c r="T12" s="82" t="s">
        <v>82</v>
      </c>
      <c r="U12" s="83" t="s">
        <v>83</v>
      </c>
      <c r="W12" s="20"/>
    </row>
    <row r="13">
      <c r="A13" s="73" t="s">
        <v>84</v>
      </c>
      <c r="B13" s="90" t="s">
        <v>85</v>
      </c>
      <c r="C13" s="75">
        <v>1.0</v>
      </c>
      <c r="D13" s="78">
        <v>3.3</v>
      </c>
      <c r="E13" s="77" t="s">
        <v>86</v>
      </c>
      <c r="F13" s="20"/>
      <c r="G13" s="77" t="s">
        <v>87</v>
      </c>
      <c r="H13" s="20"/>
      <c r="I13" s="78">
        <v>3.0</v>
      </c>
      <c r="J13" s="78">
        <v>3.0</v>
      </c>
      <c r="K13" s="78">
        <v>0.0</v>
      </c>
      <c r="L13" s="78">
        <v>0.0</v>
      </c>
      <c r="M13" s="79">
        <f>P21</f>
        <v>1</v>
      </c>
      <c r="N13" s="77">
        <v>0.0</v>
      </c>
      <c r="O13" s="86">
        <f t="shared" si="1"/>
        <v>3</v>
      </c>
      <c r="P13" s="20"/>
      <c r="Q13" s="77">
        <f t="shared" ref="Q13:Q16" si="3">(O13*D13)</f>
        <v>9.9</v>
      </c>
      <c r="R13" s="20"/>
      <c r="S13" s="81">
        <f>Q13/Q17</f>
        <v>0.00002734136827</v>
      </c>
      <c r="T13" s="91" t="s">
        <v>88</v>
      </c>
      <c r="U13" s="83" t="s">
        <v>89</v>
      </c>
      <c r="W13" s="20"/>
    </row>
    <row r="14">
      <c r="A14" s="92" t="s">
        <v>90</v>
      </c>
      <c r="B14" s="93" t="s">
        <v>91</v>
      </c>
      <c r="C14" s="94">
        <v>1.0</v>
      </c>
      <c r="D14" s="95">
        <v>3.3</v>
      </c>
      <c r="E14" s="96" t="s">
        <v>92</v>
      </c>
      <c r="F14" s="66"/>
      <c r="G14" s="96" t="s">
        <v>93</v>
      </c>
      <c r="H14" s="66"/>
      <c r="I14" s="95">
        <v>4.0</v>
      </c>
      <c r="J14" s="67">
        <v>4.0</v>
      </c>
      <c r="K14" s="95">
        <v>0.0</v>
      </c>
      <c r="L14" s="95">
        <v>0.0</v>
      </c>
      <c r="M14" s="97">
        <f>P21</f>
        <v>1</v>
      </c>
      <c r="N14" s="96">
        <v>0.0</v>
      </c>
      <c r="O14" s="98">
        <f t="shared" si="1"/>
        <v>4</v>
      </c>
      <c r="P14" s="66"/>
      <c r="Q14" s="96">
        <f t="shared" si="3"/>
        <v>13.2</v>
      </c>
      <c r="R14" s="66"/>
      <c r="S14" s="99">
        <f>Q14/Q17</f>
        <v>0.0000364551577</v>
      </c>
      <c r="T14" s="100" t="s">
        <v>94</v>
      </c>
      <c r="U14" s="101" t="s">
        <v>95</v>
      </c>
      <c r="V14" s="72"/>
      <c r="W14" s="66"/>
    </row>
    <row r="15">
      <c r="A15" s="102" t="s">
        <v>96</v>
      </c>
      <c r="B15" s="103" t="s">
        <v>97</v>
      </c>
      <c r="C15" s="104">
        <v>4.0</v>
      </c>
      <c r="D15" s="105">
        <v>11.1</v>
      </c>
      <c r="E15" s="106" t="s">
        <v>98</v>
      </c>
      <c r="F15" s="20"/>
      <c r="G15" s="106" t="s">
        <v>25</v>
      </c>
      <c r="H15" s="20"/>
      <c r="I15" s="105">
        <v>3900.0</v>
      </c>
      <c r="J15" s="105">
        <v>7840.0</v>
      </c>
      <c r="K15" s="107">
        <v>1900.0</v>
      </c>
      <c r="L15" s="106">
        <v>6550.0</v>
      </c>
      <c r="M15" s="107">
        <f>P21 * P23</f>
        <v>1</v>
      </c>
      <c r="N15" s="105">
        <f>P21 * (1 - P23)</f>
        <v>0</v>
      </c>
      <c r="O15" s="106">
        <f t="shared" si="1"/>
        <v>31360</v>
      </c>
      <c r="P15" s="20"/>
      <c r="Q15" s="106">
        <f t="shared" si="3"/>
        <v>348096</v>
      </c>
      <c r="R15" s="20"/>
      <c r="S15" s="108">
        <f>Q15/Q17</f>
        <v>0.9613556496</v>
      </c>
      <c r="T15" s="109" t="s">
        <v>99</v>
      </c>
      <c r="U15" s="47" t="s">
        <v>100</v>
      </c>
      <c r="W15" s="20"/>
    </row>
    <row r="16">
      <c r="A16" s="110" t="s">
        <v>101</v>
      </c>
      <c r="B16" s="111" t="s">
        <v>102</v>
      </c>
      <c r="C16" s="112">
        <v>4.0</v>
      </c>
      <c r="D16" s="105">
        <v>5.0</v>
      </c>
      <c r="E16" s="113" t="s">
        <v>103</v>
      </c>
      <c r="F16" s="66"/>
      <c r="G16" s="113" t="s">
        <v>25</v>
      </c>
      <c r="H16" s="66"/>
      <c r="I16" s="114">
        <v>350.0</v>
      </c>
      <c r="J16" s="114">
        <v>350.0</v>
      </c>
      <c r="K16" s="114">
        <v>3.0</v>
      </c>
      <c r="L16" s="114">
        <v>1.0</v>
      </c>
      <c r="M16" s="115">
        <f>P21 * P25</f>
        <v>1</v>
      </c>
      <c r="N16" s="114">
        <f>P21*(1-P25)</f>
        <v>0</v>
      </c>
      <c r="O16" s="106">
        <f t="shared" si="1"/>
        <v>1400</v>
      </c>
      <c r="P16" s="20"/>
      <c r="Q16" s="113">
        <f t="shared" si="3"/>
        <v>7000</v>
      </c>
      <c r="R16" s="66"/>
      <c r="S16" s="116">
        <f>Q16/Q17</f>
        <v>0.0193322806</v>
      </c>
      <c r="T16" s="117" t="s">
        <v>104</v>
      </c>
      <c r="U16" s="118" t="s">
        <v>105</v>
      </c>
      <c r="V16" s="72"/>
      <c r="W16" s="66"/>
    </row>
    <row r="17">
      <c r="A17" s="119"/>
      <c r="B17" s="120"/>
      <c r="C17" s="121"/>
      <c r="D17" s="122">
        <v>11.1</v>
      </c>
      <c r="I17" s="34" t="s">
        <v>106</v>
      </c>
      <c r="J17" s="123">
        <f>SUM(I5:I16)-SUM(J5:J16)</f>
        <v>-3190.895</v>
      </c>
      <c r="O17" s="124">
        <f>sum(O5:P16)</f>
        <v>33796.19</v>
      </c>
      <c r="P17" s="6"/>
      <c r="Q17" s="124">
        <f>SUM(Q5:Q16)</f>
        <v>362088.6819</v>
      </c>
      <c r="R17" s="6"/>
    </row>
    <row r="18">
      <c r="A18" s="125"/>
      <c r="C18" s="121"/>
      <c r="D18" s="126" t="s">
        <v>107</v>
      </c>
      <c r="J18" s="34">
        <v>3044.0</v>
      </c>
      <c r="L18" s="34">
        <v>1144.0</v>
      </c>
      <c r="O18" s="127" t="s">
        <v>108</v>
      </c>
      <c r="P18" s="72"/>
      <c r="Q18" s="127" t="s">
        <v>109</v>
      </c>
      <c r="R18" s="66"/>
    </row>
    <row r="19">
      <c r="A19" s="128"/>
      <c r="B19" s="128"/>
      <c r="C19" s="125"/>
      <c r="D19" s="34"/>
    </row>
    <row r="20">
      <c r="A20" s="129" t="s">
        <v>110</v>
      </c>
      <c r="B20" s="130" t="s">
        <v>111</v>
      </c>
      <c r="C20" s="130" t="s">
        <v>112</v>
      </c>
      <c r="D20" s="131" t="s">
        <v>113</v>
      </c>
      <c r="E20" s="131" t="s">
        <v>114</v>
      </c>
      <c r="F20" s="132" t="s">
        <v>115</v>
      </c>
      <c r="G20" s="6"/>
      <c r="H20" s="131" t="s">
        <v>116</v>
      </c>
      <c r="I20" s="131" t="s">
        <v>117</v>
      </c>
      <c r="J20" s="132" t="s">
        <v>19</v>
      </c>
      <c r="K20" s="11"/>
      <c r="L20" s="6"/>
      <c r="M20" s="133"/>
      <c r="N20" s="34"/>
      <c r="P20" s="134" t="s">
        <v>118</v>
      </c>
      <c r="R20" s="135" t="s">
        <v>119</v>
      </c>
      <c r="S20" s="136"/>
      <c r="T20" s="137" t="s">
        <v>120</v>
      </c>
      <c r="U20" s="6"/>
      <c r="V20" s="34"/>
    </row>
    <row r="21">
      <c r="A21" s="138" t="s">
        <v>121</v>
      </c>
      <c r="B21" s="139">
        <v>3.0</v>
      </c>
      <c r="C21" s="140" t="s">
        <v>122</v>
      </c>
      <c r="D21" s="139">
        <v>0.0</v>
      </c>
      <c r="E21" s="139">
        <v>12906.0</v>
      </c>
      <c r="F21" s="140" t="s">
        <v>25</v>
      </c>
      <c r="G21" s="20"/>
      <c r="H21" s="141">
        <f>I21*P21*P23 + (1-P23)*I21*1787/4086</f>
        <v>471</v>
      </c>
      <c r="I21" s="142">
        <v>471.0</v>
      </c>
      <c r="J21" s="143" t="s">
        <v>123</v>
      </c>
      <c r="L21" s="20"/>
      <c r="M21" s="28"/>
      <c r="N21" s="34"/>
      <c r="P21" s="126">
        <v>1.0</v>
      </c>
      <c r="R21" s="144" t="s">
        <v>124</v>
      </c>
      <c r="S21" s="145"/>
      <c r="T21" s="146">
        <f>Q17 + H25</f>
        <v>364526.3819</v>
      </c>
      <c r="U21" s="20"/>
      <c r="V21" s="147"/>
    </row>
    <row r="22">
      <c r="A22" s="138" t="s">
        <v>125</v>
      </c>
      <c r="B22" s="139">
        <v>1.0</v>
      </c>
      <c r="C22" s="140">
        <v>5.0</v>
      </c>
      <c r="D22" s="139">
        <v>6.1</v>
      </c>
      <c r="E22" s="139">
        <v>1400.0</v>
      </c>
      <c r="F22" s="140">
        <v>5000.0</v>
      </c>
      <c r="G22" s="20"/>
      <c r="H22" s="148">
        <f>1235*P25*P21 + 3/350*1235*(1-P25)*P21</f>
        <v>1235</v>
      </c>
      <c r="I22" s="140">
        <v>1235.0</v>
      </c>
      <c r="J22" s="149" t="s">
        <v>126</v>
      </c>
      <c r="L22" s="20"/>
      <c r="M22" s="28"/>
      <c r="N22" s="34"/>
      <c r="P22" s="150" t="s">
        <v>127</v>
      </c>
      <c r="R22" s="144" t="s">
        <v>128</v>
      </c>
      <c r="S22" s="145"/>
      <c r="T22" s="151">
        <v>101750.0</v>
      </c>
      <c r="U22" s="20"/>
      <c r="V22" s="152"/>
    </row>
    <row r="23">
      <c r="A23" s="138" t="s">
        <v>129</v>
      </c>
      <c r="B23" s="139">
        <v>5.0</v>
      </c>
      <c r="C23" s="140">
        <v>3.3</v>
      </c>
      <c r="D23" s="139">
        <v>1.7</v>
      </c>
      <c r="E23" s="139">
        <v>41.0</v>
      </c>
      <c r="F23" s="140">
        <v>800.0</v>
      </c>
      <c r="G23" s="20"/>
      <c r="H23" s="141">
        <f>D23*E23*P21</f>
        <v>69.7</v>
      </c>
      <c r="I23" s="142">
        <v>70.0</v>
      </c>
      <c r="J23" s="149" t="s">
        <v>130</v>
      </c>
      <c r="L23" s="20"/>
      <c r="M23" s="28"/>
      <c r="N23" s="34"/>
      <c r="P23" s="126">
        <v>1.0</v>
      </c>
      <c r="R23" s="144" t="s">
        <v>131</v>
      </c>
      <c r="T23" s="153" t="str">
        <f>If(T21&gt;T22, "Out of Battery", "Not out of Battery")</f>
        <v>Out of Battery</v>
      </c>
      <c r="U23" s="20"/>
      <c r="V23" s="152"/>
    </row>
    <row r="24">
      <c r="A24" s="154" t="s">
        <v>132</v>
      </c>
      <c r="B24" s="155">
        <v>5.0</v>
      </c>
      <c r="C24" s="156">
        <v>5.0</v>
      </c>
      <c r="D24" s="155">
        <v>6.1</v>
      </c>
      <c r="E24" s="156">
        <v>750.0</v>
      </c>
      <c r="F24" s="155">
        <v>5000.0</v>
      </c>
      <c r="G24" s="72"/>
      <c r="H24" s="157">
        <f>I24*P21</f>
        <v>662</v>
      </c>
      <c r="I24" s="155">
        <v>662.0</v>
      </c>
      <c r="J24" s="158" t="s">
        <v>133</v>
      </c>
      <c r="K24" s="72"/>
      <c r="L24" s="66"/>
      <c r="M24" s="28"/>
      <c r="P24" s="150" t="s">
        <v>134</v>
      </c>
      <c r="R24" s="144" t="s">
        <v>135</v>
      </c>
      <c r="T24" s="159">
        <f t="shared" ref="T24:T25" si="4">Q15</f>
        <v>348096</v>
      </c>
      <c r="U24" s="20"/>
      <c r="V24" s="160">
        <f>T24/T21</f>
        <v>0.9549267688</v>
      </c>
      <c r="W24" s="20"/>
    </row>
    <row r="25">
      <c r="A25" s="161"/>
      <c r="H25" s="148">
        <f>SUM(H21:H24)</f>
        <v>2437.7</v>
      </c>
      <c r="I25" s="28"/>
      <c r="J25" s="34"/>
      <c r="P25" s="150">
        <v>1.0</v>
      </c>
      <c r="Q25" s="34"/>
      <c r="R25" s="144" t="s">
        <v>136</v>
      </c>
      <c r="T25" s="159">
        <f t="shared" si="4"/>
        <v>7000</v>
      </c>
      <c r="U25" s="20"/>
      <c r="V25" s="160">
        <f>T25/T21</f>
        <v>0.01920299969</v>
      </c>
      <c r="W25" s="20"/>
    </row>
    <row r="26">
      <c r="H26" s="162" t="s">
        <v>137</v>
      </c>
      <c r="P26" s="163"/>
      <c r="Q26" s="34"/>
      <c r="R26" s="144" t="s">
        <v>138</v>
      </c>
      <c r="T26" s="164">
        <f>SUM(Q5:Q14)</f>
        <v>6992.6819</v>
      </c>
      <c r="U26" s="20"/>
      <c r="V26" s="160">
        <f>T26/T21</f>
        <v>0.01918292405</v>
      </c>
      <c r="W26" s="20"/>
    </row>
    <row r="27">
      <c r="H27" s="163"/>
      <c r="R27" s="144" t="s">
        <v>139</v>
      </c>
      <c r="T27" s="159">
        <f>H25</f>
        <v>2437.7</v>
      </c>
      <c r="U27" s="20"/>
      <c r="V27" s="160">
        <f>T27/T21</f>
        <v>0.006687307479</v>
      </c>
      <c r="W27" s="20"/>
    </row>
    <row r="29">
      <c r="A29" s="165" t="s">
        <v>140</v>
      </c>
      <c r="B29" s="166"/>
      <c r="C29" s="166"/>
      <c r="D29" s="34" t="s">
        <v>141</v>
      </c>
      <c r="E29" s="34" t="s">
        <v>142</v>
      </c>
      <c r="F29" s="34" t="s">
        <v>143</v>
      </c>
      <c r="G29" s="34" t="s">
        <v>144</v>
      </c>
    </row>
    <row r="30">
      <c r="A30" s="167" t="s">
        <v>145</v>
      </c>
      <c r="B30" s="167" t="s">
        <v>146</v>
      </c>
      <c r="C30" s="167" t="s">
        <v>147</v>
      </c>
      <c r="D30" s="168">
        <v>0.0</v>
      </c>
      <c r="E30" s="152">
        <v>0.0</v>
      </c>
      <c r="F30" s="152">
        <v>0.0</v>
      </c>
      <c r="G30" s="152"/>
    </row>
    <row r="31">
      <c r="A31" s="169" t="s">
        <v>148</v>
      </c>
      <c r="B31" s="170" t="s">
        <v>149</v>
      </c>
      <c r="C31" s="171" t="s">
        <v>150</v>
      </c>
      <c r="D31" s="168">
        <v>0.1</v>
      </c>
      <c r="E31" s="152">
        <v>0.1</v>
      </c>
      <c r="F31" s="152">
        <v>0.1</v>
      </c>
      <c r="G31" s="152"/>
    </row>
    <row r="32">
      <c r="A32" s="172">
        <v>0.0</v>
      </c>
      <c r="B32" s="173">
        <v>12000.0</v>
      </c>
      <c r="C32" s="174">
        <f>2*3.14159*A32/(B32*A34)/B40</f>
        <v>0</v>
      </c>
      <c r="D32" s="168">
        <v>0.2</v>
      </c>
      <c r="E32" s="152">
        <v>0.7</v>
      </c>
      <c r="F32" s="152">
        <v>0.7</v>
      </c>
      <c r="G32" s="152"/>
    </row>
    <row r="33">
      <c r="A33" s="171" t="s">
        <v>151</v>
      </c>
      <c r="B33" s="170" t="s">
        <v>152</v>
      </c>
      <c r="C33" s="171" t="s">
        <v>153</v>
      </c>
      <c r="D33" s="168">
        <v>0.3</v>
      </c>
      <c r="E33" s="152">
        <v>2.5</v>
      </c>
      <c r="F33" s="152">
        <v>2.2</v>
      </c>
      <c r="G33" s="152"/>
    </row>
    <row r="34">
      <c r="A34" s="167">
        <v>1.0</v>
      </c>
      <c r="B34" s="175">
        <f>1.84*10^-3</f>
        <v>0.00184</v>
      </c>
      <c r="C34" s="176">
        <f>B34+B36*C32+B38*C32^2</f>
        <v>0.00184</v>
      </c>
      <c r="D34" s="168">
        <v>0.4</v>
      </c>
      <c r="E34" s="152">
        <v>5.7</v>
      </c>
      <c r="F34" s="152">
        <v>5.3</v>
      </c>
      <c r="G34" s="152"/>
    </row>
    <row r="35">
      <c r="A35" s="177"/>
      <c r="B35" s="170" t="s">
        <v>154</v>
      </c>
      <c r="C35" s="171" t="s">
        <v>155</v>
      </c>
      <c r="D35" s="168">
        <v>0.5</v>
      </c>
      <c r="E35" s="152">
        <v>11.1</v>
      </c>
      <c r="F35" s="152">
        <v>10.4</v>
      </c>
      <c r="G35" s="152"/>
    </row>
    <row r="36">
      <c r="A36" s="177"/>
      <c r="B36" s="175">
        <f>3.39*10^-3</f>
        <v>0.00339</v>
      </c>
      <c r="C36" s="178">
        <f>B32*A34/9.549</f>
        <v>1256.676092</v>
      </c>
      <c r="D36" s="168">
        <v>0.6</v>
      </c>
      <c r="E36" s="152">
        <v>19.0</v>
      </c>
      <c r="F36" s="152">
        <v>18.0</v>
      </c>
      <c r="G36" s="152" t="s">
        <v>156</v>
      </c>
    </row>
    <row r="37">
      <c r="A37" s="177"/>
      <c r="B37" s="170" t="s">
        <v>157</v>
      </c>
      <c r="C37" s="171" t="s">
        <v>158</v>
      </c>
      <c r="D37" s="168">
        <v>0.7</v>
      </c>
      <c r="E37" s="152">
        <v>29.9</v>
      </c>
      <c r="F37" s="152">
        <v>28.5</v>
      </c>
      <c r="G37" s="152"/>
    </row>
    <row r="38">
      <c r="A38" s="177"/>
      <c r="B38" s="175">
        <f>-1.31*10^-2</f>
        <v>-0.0131</v>
      </c>
      <c r="C38" s="179">
        <f>C36^3*C34*B40^5*B42/4/3.14159/3.14159/0.85</f>
        <v>83.21989651</v>
      </c>
      <c r="D38" s="168">
        <v>0.765</v>
      </c>
      <c r="E38" s="152">
        <v>38.9</v>
      </c>
      <c r="F38" s="152">
        <v>38.0</v>
      </c>
      <c r="G38" s="152" t="s">
        <v>159</v>
      </c>
    </row>
    <row r="39">
      <c r="A39" s="177"/>
      <c r="B39" s="170" t="s">
        <v>160</v>
      </c>
      <c r="C39" s="171" t="s">
        <v>161</v>
      </c>
      <c r="D39" s="168">
        <v>0.8</v>
      </c>
      <c r="E39" s="152">
        <v>44.4</v>
      </c>
      <c r="F39" s="152">
        <v>42.6</v>
      </c>
      <c r="G39" s="152"/>
    </row>
    <row r="40">
      <c r="A40" s="177"/>
      <c r="B40" s="172">
        <v>0.2286</v>
      </c>
      <c r="C40" s="180">
        <f>C38/11.1</f>
        <v>7.497287974</v>
      </c>
      <c r="D40" s="168">
        <v>0.9</v>
      </c>
      <c r="E40" s="152">
        <v>63.0</v>
      </c>
      <c r="F40" s="152">
        <v>60.7</v>
      </c>
      <c r="G40" s="181"/>
    </row>
    <row r="41">
      <c r="A41" s="182"/>
      <c r="B41" s="170" t="s">
        <v>162</v>
      </c>
      <c r="C41" s="171" t="s">
        <v>163</v>
      </c>
      <c r="D41" s="168">
        <v>1.0</v>
      </c>
      <c r="E41" s="152">
        <v>86.1</v>
      </c>
      <c r="F41" s="152">
        <v>83.2</v>
      </c>
      <c r="G41" s="152" t="s">
        <v>164</v>
      </c>
    </row>
    <row r="42">
      <c r="A42" s="182"/>
      <c r="B42" s="172">
        <v>1.225</v>
      </c>
      <c r="C42" s="183">
        <f>A34*B32</f>
        <v>12000</v>
      </c>
    </row>
    <row r="45">
      <c r="A45" s="184" t="s">
        <v>165</v>
      </c>
      <c r="B45" s="184" t="s">
        <v>166</v>
      </c>
      <c r="C45" s="185"/>
      <c r="D45" s="185"/>
      <c r="E45" s="185"/>
    </row>
    <row r="46">
      <c r="A46" s="184" t="s">
        <v>167</v>
      </c>
      <c r="B46" s="184" t="s">
        <v>168</v>
      </c>
      <c r="C46" s="184" t="s">
        <v>169</v>
      </c>
      <c r="D46" s="184" t="s">
        <v>170</v>
      </c>
      <c r="E46" s="184" t="s">
        <v>171</v>
      </c>
    </row>
    <row r="47">
      <c r="A47" s="186">
        <v>0.0</v>
      </c>
      <c r="B47" s="184">
        <v>0.0</v>
      </c>
      <c r="C47" s="184">
        <f t="shared" ref="C47:C57" si="5">B47*9.8/1000</f>
        <v>0</v>
      </c>
      <c r="D47" s="184">
        <v>0.046</v>
      </c>
      <c r="E47" s="185">
        <f t="shared" ref="E47:E57" si="6">11.34 * D47</f>
        <v>0.52164</v>
      </c>
    </row>
    <row r="48">
      <c r="A48" s="186">
        <v>0.05</v>
      </c>
      <c r="B48" s="184">
        <v>0.0</v>
      </c>
      <c r="C48" s="184">
        <f t="shared" si="5"/>
        <v>0</v>
      </c>
      <c r="D48" s="184">
        <v>0.046</v>
      </c>
      <c r="E48" s="185">
        <f t="shared" si="6"/>
        <v>0.52164</v>
      </c>
      <c r="M48" s="34"/>
      <c r="N48" s="34"/>
    </row>
    <row r="49">
      <c r="A49" s="186">
        <v>0.1</v>
      </c>
      <c r="B49" s="184">
        <v>74.0</v>
      </c>
      <c r="C49" s="184">
        <f t="shared" si="5"/>
        <v>0.7252</v>
      </c>
      <c r="D49" s="184">
        <v>0.986</v>
      </c>
      <c r="E49" s="185">
        <f t="shared" si="6"/>
        <v>11.18124</v>
      </c>
      <c r="M49" s="34"/>
      <c r="N49" s="34"/>
    </row>
    <row r="50">
      <c r="A50" s="186">
        <v>0.15</v>
      </c>
      <c r="B50" s="184">
        <v>114.0</v>
      </c>
      <c r="C50" s="184">
        <f t="shared" si="5"/>
        <v>1.1172</v>
      </c>
      <c r="D50" s="184">
        <v>1.61</v>
      </c>
      <c r="E50" s="185">
        <f t="shared" si="6"/>
        <v>18.2574</v>
      </c>
      <c r="M50" s="34"/>
    </row>
    <row r="51">
      <c r="A51" s="186">
        <v>0.16</v>
      </c>
      <c r="B51" s="184">
        <v>125.0</v>
      </c>
      <c r="C51" s="184">
        <f t="shared" si="5"/>
        <v>1.225</v>
      </c>
      <c r="D51" s="184">
        <v>1.75</v>
      </c>
      <c r="E51" s="185">
        <f t="shared" si="6"/>
        <v>19.845</v>
      </c>
      <c r="F51" s="34" t="s">
        <v>172</v>
      </c>
    </row>
    <row r="52">
      <c r="A52" s="186">
        <v>0.17</v>
      </c>
      <c r="B52" s="184">
        <v>131.0</v>
      </c>
      <c r="C52" s="184">
        <f t="shared" si="5"/>
        <v>1.2838</v>
      </c>
      <c r="D52" s="184">
        <v>1.9</v>
      </c>
      <c r="E52" s="185">
        <f t="shared" si="6"/>
        <v>21.546</v>
      </c>
    </row>
    <row r="53">
      <c r="A53" s="186">
        <v>0.2</v>
      </c>
      <c r="B53" s="184">
        <v>158.0</v>
      </c>
      <c r="C53" s="184">
        <f t="shared" si="5"/>
        <v>1.5484</v>
      </c>
      <c r="D53" s="184">
        <v>2.37</v>
      </c>
      <c r="E53" s="185">
        <f t="shared" si="6"/>
        <v>26.8758</v>
      </c>
    </row>
    <row r="54">
      <c r="A54" s="186">
        <v>0.25</v>
      </c>
      <c r="B54" s="184">
        <v>215.0</v>
      </c>
      <c r="C54" s="184">
        <f t="shared" si="5"/>
        <v>2.107</v>
      </c>
      <c r="D54" s="184">
        <v>3.23</v>
      </c>
      <c r="E54" s="185">
        <f t="shared" si="6"/>
        <v>36.6282</v>
      </c>
    </row>
    <row r="55">
      <c r="A55" s="186">
        <v>0.28</v>
      </c>
      <c r="B55" s="184">
        <v>250.0</v>
      </c>
      <c r="C55" s="184">
        <f t="shared" si="5"/>
        <v>2.45</v>
      </c>
      <c r="D55" s="184">
        <v>4.0</v>
      </c>
      <c r="E55" s="185">
        <f t="shared" si="6"/>
        <v>45.36</v>
      </c>
      <c r="F55" s="34"/>
    </row>
    <row r="56">
      <c r="A56" s="186">
        <v>0.29</v>
      </c>
      <c r="B56" s="184">
        <v>257.0</v>
      </c>
      <c r="C56" s="184">
        <f t="shared" si="5"/>
        <v>2.5186</v>
      </c>
      <c r="D56" s="184">
        <v>4.25</v>
      </c>
      <c r="E56" s="185">
        <f t="shared" si="6"/>
        <v>48.195</v>
      </c>
      <c r="F56" s="34" t="s">
        <v>173</v>
      </c>
    </row>
    <row r="57">
      <c r="A57" s="186">
        <v>0.3</v>
      </c>
      <c r="B57" s="184">
        <v>266.0</v>
      </c>
      <c r="C57" s="184">
        <f t="shared" si="5"/>
        <v>2.6068</v>
      </c>
      <c r="D57" s="184">
        <v>4.44</v>
      </c>
      <c r="E57" s="185">
        <f t="shared" si="6"/>
        <v>50.3496</v>
      </c>
    </row>
    <row r="58">
      <c r="A58" s="187"/>
      <c r="B58" s="34"/>
      <c r="C58" s="34"/>
      <c r="D58" s="34"/>
    </row>
    <row r="62">
      <c r="A62" s="187"/>
    </row>
    <row r="63">
      <c r="A63" s="187"/>
    </row>
    <row r="64">
      <c r="A64" s="187"/>
    </row>
    <row r="65">
      <c r="A65" s="187"/>
    </row>
    <row r="66">
      <c r="A66" s="187"/>
    </row>
    <row r="69">
      <c r="A69" s="187"/>
      <c r="B69" s="34"/>
      <c r="C69" s="34"/>
      <c r="D69" s="34"/>
    </row>
    <row r="70">
      <c r="A70" s="34" t="s">
        <v>174</v>
      </c>
      <c r="B70" s="34" t="s">
        <v>175</v>
      </c>
      <c r="C70" s="34" t="s">
        <v>176</v>
      </c>
    </row>
    <row r="71">
      <c r="A71" s="34">
        <v>15.0</v>
      </c>
      <c r="B71" s="34">
        <v>16.0</v>
      </c>
      <c r="C71" s="34">
        <v>20.0</v>
      </c>
      <c r="D71" s="34"/>
    </row>
    <row r="72">
      <c r="A72" s="34">
        <v>10.0</v>
      </c>
      <c r="B72" s="34">
        <v>27.0</v>
      </c>
      <c r="C72" s="34">
        <v>40.0</v>
      </c>
      <c r="D72" s="34"/>
    </row>
    <row r="73">
      <c r="A73" s="34">
        <v>8.0</v>
      </c>
      <c r="B73" s="34">
        <v>32.0</v>
      </c>
      <c r="C73" s="34">
        <v>57.0</v>
      </c>
      <c r="D73" s="34"/>
    </row>
    <row r="74">
      <c r="A74" s="34">
        <v>7.0</v>
      </c>
      <c r="B74" s="34">
        <v>36.0</v>
      </c>
      <c r="C74" s="34">
        <v>72.0</v>
      </c>
      <c r="D74" s="34"/>
    </row>
    <row r="75">
      <c r="A75" s="34">
        <v>6.0</v>
      </c>
      <c r="B75" s="34">
        <v>38.0</v>
      </c>
      <c r="C75" s="34">
        <v>90.0</v>
      </c>
      <c r="D75" s="34"/>
    </row>
    <row r="76">
      <c r="A76" s="34">
        <v>5.0</v>
      </c>
      <c r="B76" s="34">
        <v>40.0</v>
      </c>
      <c r="C76" s="34">
        <v>103.0</v>
      </c>
      <c r="D76" s="34"/>
    </row>
    <row r="77">
      <c r="A77" s="34">
        <v>4.0</v>
      </c>
      <c r="B77" s="34">
        <v>45.0</v>
      </c>
      <c r="C77" s="34">
        <v>147.0</v>
      </c>
      <c r="D77" s="34"/>
    </row>
    <row r="78">
      <c r="A78" s="34">
        <v>3.0</v>
      </c>
      <c r="B78" s="34">
        <v>52.0</v>
      </c>
      <c r="C78" s="34">
        <v>189.0</v>
      </c>
      <c r="D78" s="34"/>
    </row>
    <row r="79">
      <c r="A79" s="34">
        <v>2.0</v>
      </c>
      <c r="B79" s="34">
        <v>54.0</v>
      </c>
      <c r="C79" s="34">
        <v>234.0</v>
      </c>
      <c r="D79" s="34"/>
    </row>
    <row r="86">
      <c r="A86" s="34" t="s">
        <v>177</v>
      </c>
      <c r="B86" s="34" t="s">
        <v>178</v>
      </c>
      <c r="C86" s="34" t="s">
        <v>179</v>
      </c>
    </row>
    <row r="87">
      <c r="A87" s="34">
        <v>1.0</v>
      </c>
      <c r="B87" s="34">
        <v>2.0</v>
      </c>
      <c r="C87" s="34">
        <v>23.0</v>
      </c>
    </row>
    <row r="88">
      <c r="A88" s="34">
        <v>2.0</v>
      </c>
      <c r="B88" s="34">
        <v>4.5</v>
      </c>
      <c r="C88" s="34">
        <v>24.0</v>
      </c>
    </row>
    <row r="89">
      <c r="A89" s="34">
        <v>3.0</v>
      </c>
      <c r="B89" s="34">
        <v>6.5</v>
      </c>
      <c r="C89" s="34">
        <v>25.0</v>
      </c>
    </row>
    <row r="90">
      <c r="A90" s="34">
        <v>4.0</v>
      </c>
      <c r="B90" s="34">
        <v>9.0</v>
      </c>
      <c r="C90" s="34">
        <v>27.0</v>
      </c>
    </row>
    <row r="91">
      <c r="A91" s="34">
        <v>5.0</v>
      </c>
      <c r="B91" s="34">
        <v>12.7</v>
      </c>
      <c r="C91" s="34">
        <v>30.0</v>
      </c>
    </row>
    <row r="92">
      <c r="A92" s="34">
        <v>6.0</v>
      </c>
      <c r="B92" s="34">
        <v>16.0</v>
      </c>
      <c r="C92" s="34">
        <v>34.0</v>
      </c>
    </row>
    <row r="93">
      <c r="A93" s="34">
        <v>7.0</v>
      </c>
      <c r="B93" s="34">
        <v>20.0</v>
      </c>
      <c r="C93" s="34">
        <v>38.0</v>
      </c>
    </row>
    <row r="94">
      <c r="A94" s="34">
        <v>8.0</v>
      </c>
      <c r="B94" s="34">
        <v>24.5</v>
      </c>
      <c r="C94" s="34">
        <v>43.0</v>
      </c>
    </row>
    <row r="95">
      <c r="A95" s="34">
        <v>9.0</v>
      </c>
      <c r="B95" s="34">
        <v>29.0</v>
      </c>
      <c r="C95" s="34">
        <v>50.0</v>
      </c>
    </row>
    <row r="96">
      <c r="A96" s="34">
        <v>10.0</v>
      </c>
      <c r="B96" s="34">
        <v>35.0</v>
      </c>
      <c r="C96" s="34">
        <v>57.0</v>
      </c>
    </row>
    <row r="97">
      <c r="A97" s="34">
        <v>15.0</v>
      </c>
      <c r="B97" s="34">
        <v>74.0</v>
      </c>
      <c r="C97" s="34">
        <v>90.0</v>
      </c>
    </row>
    <row r="98">
      <c r="A98" s="34">
        <v>20.0</v>
      </c>
      <c r="B98" s="34">
        <v>110.0</v>
      </c>
      <c r="C98" s="34">
        <v>140.0</v>
      </c>
    </row>
  </sheetData>
  <mergeCells count="118">
    <mergeCell ref="O4:P4"/>
    <mergeCell ref="Q4:R4"/>
    <mergeCell ref="O5:P5"/>
    <mergeCell ref="Q5:R5"/>
    <mergeCell ref="O6:P6"/>
    <mergeCell ref="Q6:R6"/>
    <mergeCell ref="Q7:R7"/>
    <mergeCell ref="O7:P7"/>
    <mergeCell ref="O8:P8"/>
    <mergeCell ref="O9:P9"/>
    <mergeCell ref="O11:P11"/>
    <mergeCell ref="Q11:R11"/>
    <mergeCell ref="O12:P12"/>
    <mergeCell ref="Q12:R12"/>
    <mergeCell ref="O16:P16"/>
    <mergeCell ref="O17:P17"/>
    <mergeCell ref="O18:P18"/>
    <mergeCell ref="M50:P61"/>
    <mergeCell ref="O13:P13"/>
    <mergeCell ref="Q13:R13"/>
    <mergeCell ref="O14:P14"/>
    <mergeCell ref="Q14:R14"/>
    <mergeCell ref="O15:P15"/>
    <mergeCell ref="Q15:R15"/>
    <mergeCell ref="Q16:R16"/>
    <mergeCell ref="Q17:R17"/>
    <mergeCell ref="Q18:R18"/>
    <mergeCell ref="T20:U20"/>
    <mergeCell ref="V20:W20"/>
    <mergeCell ref="T21:U21"/>
    <mergeCell ref="V21:W21"/>
    <mergeCell ref="V22:W22"/>
    <mergeCell ref="T22:U22"/>
    <mergeCell ref="R23:S23"/>
    <mergeCell ref="T23:U23"/>
    <mergeCell ref="V23:W23"/>
    <mergeCell ref="R24:S24"/>
    <mergeCell ref="T24:U24"/>
    <mergeCell ref="V24:W24"/>
    <mergeCell ref="T27:U27"/>
    <mergeCell ref="V27:W27"/>
    <mergeCell ref="R25:S25"/>
    <mergeCell ref="T25:U25"/>
    <mergeCell ref="V25:W25"/>
    <mergeCell ref="R26:S26"/>
    <mergeCell ref="T26:U26"/>
    <mergeCell ref="V26:W26"/>
    <mergeCell ref="R27:S27"/>
    <mergeCell ref="E5:F5"/>
    <mergeCell ref="G5:H5"/>
    <mergeCell ref="E6:F6"/>
    <mergeCell ref="G6:H6"/>
    <mergeCell ref="E7:F7"/>
    <mergeCell ref="G7:H7"/>
    <mergeCell ref="G8:H8"/>
    <mergeCell ref="E8:F8"/>
    <mergeCell ref="E9:F9"/>
    <mergeCell ref="E10:F10"/>
    <mergeCell ref="E11:F11"/>
    <mergeCell ref="G11:H11"/>
    <mergeCell ref="E12:F12"/>
    <mergeCell ref="G12:H12"/>
    <mergeCell ref="E13:F13"/>
    <mergeCell ref="G13:H13"/>
    <mergeCell ref="E14:F14"/>
    <mergeCell ref="G14:H14"/>
    <mergeCell ref="E15:F15"/>
    <mergeCell ref="G15:H15"/>
    <mergeCell ref="E16:F16"/>
    <mergeCell ref="J22:L22"/>
    <mergeCell ref="J23:L23"/>
    <mergeCell ref="F24:G24"/>
    <mergeCell ref="J24:L24"/>
    <mergeCell ref="G16:H16"/>
    <mergeCell ref="F20:G20"/>
    <mergeCell ref="J20:L20"/>
    <mergeCell ref="F21:G21"/>
    <mergeCell ref="J21:L21"/>
    <mergeCell ref="F22:G22"/>
    <mergeCell ref="F23:G23"/>
    <mergeCell ref="U2:W2"/>
    <mergeCell ref="X2:Y2"/>
    <mergeCell ref="E1:F1"/>
    <mergeCell ref="G1:H1"/>
    <mergeCell ref="M1:N1"/>
    <mergeCell ref="E2:F2"/>
    <mergeCell ref="G2:H2"/>
    <mergeCell ref="O2:P2"/>
    <mergeCell ref="Q2:R2"/>
    <mergeCell ref="E3:F3"/>
    <mergeCell ref="G3:H3"/>
    <mergeCell ref="O3:P3"/>
    <mergeCell ref="Q3:R3"/>
    <mergeCell ref="U3:W3"/>
    <mergeCell ref="X3:Y3"/>
    <mergeCell ref="G4:H4"/>
    <mergeCell ref="Q8:R8"/>
    <mergeCell ref="Q9:R9"/>
    <mergeCell ref="O10:P10"/>
    <mergeCell ref="Q10:R10"/>
    <mergeCell ref="U4:W4"/>
    <mergeCell ref="X4:Y4"/>
    <mergeCell ref="U5:W5"/>
    <mergeCell ref="X5:Y5"/>
    <mergeCell ref="U6:W6"/>
    <mergeCell ref="X6:Y6"/>
    <mergeCell ref="U7:W7"/>
    <mergeCell ref="G9:H9"/>
    <mergeCell ref="G10:H10"/>
    <mergeCell ref="U15:W15"/>
    <mergeCell ref="U16:W16"/>
    <mergeCell ref="U8:W8"/>
    <mergeCell ref="U9:W9"/>
    <mergeCell ref="U10:W10"/>
    <mergeCell ref="U11:W11"/>
    <mergeCell ref="U12:W12"/>
    <mergeCell ref="U13:W13"/>
    <mergeCell ref="U14:W14"/>
  </mergeCells>
  <hyperlinks>
    <hyperlink r:id="rId1" ref="T3"/>
    <hyperlink r:id="rId2" ref="T4"/>
    <hyperlink r:id="rId3" ref="T5"/>
    <hyperlink r:id="rId4" ref="T6"/>
    <hyperlink r:id="rId5" ref="T7"/>
    <hyperlink r:id="rId6" ref="T8"/>
    <hyperlink r:id="rId7" ref="T9"/>
    <hyperlink r:id="rId8" ref="T10"/>
    <hyperlink r:id="rId9" ref="T11"/>
    <hyperlink r:id="rId10" ref="T12"/>
    <hyperlink r:id="rId11" ref="T13"/>
    <hyperlink r:id="rId12" ref="T14"/>
    <hyperlink r:id="rId13" ref="T15"/>
    <hyperlink r:id="rId14" location="rpdCntId" ref="T16"/>
  </hyperlinks>
  <printOptions gridLines="1" horizontalCentered="1"/>
  <pageMargins bottom="0.75" footer="0.0" header="0.0" left="0.7" right="0.7" top="0.75"/>
  <pageSetup fitToHeight="0" cellComments="atEnd" orientation="portrait" pageOrder="overThenDown"/>
  <drawing r:id="rId1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25"/>
    <col customWidth="1" min="4" max="4" width="14.63"/>
    <col customWidth="1" min="23" max="23" width="16.63"/>
  </cols>
  <sheetData>
    <row r="1">
      <c r="A1" s="34" t="s">
        <v>427</v>
      </c>
      <c r="B1" s="2"/>
      <c r="C1" s="3"/>
      <c r="J1" s="4" t="s">
        <v>1</v>
      </c>
      <c r="K1" s="5"/>
      <c r="L1" s="4" t="s">
        <v>2</v>
      </c>
      <c r="M1" s="6"/>
    </row>
    <row r="2">
      <c r="A2" s="7" t="s">
        <v>3</v>
      </c>
      <c r="B2" s="8" t="s">
        <v>4</v>
      </c>
      <c r="C2" s="8" t="s">
        <v>5</v>
      </c>
      <c r="D2" s="9" t="s">
        <v>6</v>
      </c>
      <c r="E2" s="4" t="s">
        <v>428</v>
      </c>
      <c r="F2" s="6"/>
      <c r="G2" s="4" t="s">
        <v>429</v>
      </c>
      <c r="H2" s="6"/>
      <c r="I2" s="9" t="s">
        <v>372</v>
      </c>
      <c r="J2" s="9" t="s">
        <v>13</v>
      </c>
      <c r="K2" s="9" t="s">
        <v>14</v>
      </c>
      <c r="L2" s="9" t="s">
        <v>13</v>
      </c>
      <c r="M2" s="9" t="s">
        <v>14</v>
      </c>
      <c r="N2" s="4" t="s">
        <v>15</v>
      </c>
      <c r="O2" s="6"/>
      <c r="P2" s="9" t="s">
        <v>373</v>
      </c>
      <c r="Q2" s="4" t="s">
        <v>16</v>
      </c>
      <c r="R2" s="6"/>
      <c r="S2" s="9" t="s">
        <v>17</v>
      </c>
      <c r="T2" s="10" t="s">
        <v>18</v>
      </c>
      <c r="U2" s="4" t="s">
        <v>19</v>
      </c>
      <c r="V2" s="11"/>
      <c r="W2" s="6"/>
      <c r="X2" s="9" t="s">
        <v>430</v>
      </c>
      <c r="Y2" s="12" t="s">
        <v>20</v>
      </c>
      <c r="Z2" s="13"/>
    </row>
    <row r="3">
      <c r="A3" s="15" t="s">
        <v>375</v>
      </c>
      <c r="B3" s="16" t="s">
        <v>23</v>
      </c>
      <c r="C3" s="17">
        <v>1.0</v>
      </c>
      <c r="D3" s="18" t="s">
        <v>25</v>
      </c>
      <c r="E3" s="19" t="s">
        <v>376</v>
      </c>
      <c r="F3" s="20"/>
      <c r="G3" s="21" t="s">
        <v>25</v>
      </c>
      <c r="H3" s="20"/>
      <c r="I3" s="23"/>
      <c r="J3" s="23"/>
      <c r="K3" s="23"/>
      <c r="L3" s="23"/>
      <c r="M3" s="23"/>
      <c r="N3" s="21"/>
      <c r="O3" s="20"/>
      <c r="P3" s="30"/>
      <c r="Q3" s="21"/>
      <c r="R3" s="20"/>
      <c r="S3" s="24"/>
      <c r="T3" s="25" t="s">
        <v>331</v>
      </c>
      <c r="U3" s="26"/>
      <c r="V3" s="27"/>
      <c r="W3" s="13"/>
      <c r="X3" s="269" t="s">
        <v>378</v>
      </c>
      <c r="Y3" s="28" t="s">
        <v>431</v>
      </c>
      <c r="Z3" s="20"/>
    </row>
    <row r="4">
      <c r="A4" s="270" t="s">
        <v>380</v>
      </c>
      <c r="B4" s="16" t="s">
        <v>33</v>
      </c>
      <c r="C4" s="17">
        <v>1.0</v>
      </c>
      <c r="D4" s="18">
        <v>5.0</v>
      </c>
      <c r="E4" s="30"/>
      <c r="F4" s="30"/>
      <c r="G4" s="19" t="s">
        <v>381</v>
      </c>
      <c r="H4" s="20"/>
      <c r="I4" s="23"/>
      <c r="J4" s="23"/>
      <c r="K4" s="23"/>
      <c r="L4" s="23"/>
      <c r="M4" s="23"/>
      <c r="N4" s="19">
        <v>-3000.0</v>
      </c>
      <c r="O4" s="20"/>
      <c r="P4" s="30"/>
      <c r="Q4" s="19">
        <v>-15000.0</v>
      </c>
      <c r="R4" s="20"/>
      <c r="S4" s="31">
        <f>Q4/Q27</f>
        <v>-0.1693803315</v>
      </c>
      <c r="T4" s="271" t="s">
        <v>382</v>
      </c>
      <c r="U4" s="14"/>
      <c r="W4" s="20"/>
      <c r="X4" s="18" t="s">
        <v>378</v>
      </c>
      <c r="Y4" s="28" t="s">
        <v>432</v>
      </c>
      <c r="Z4" s="20"/>
    </row>
    <row r="5">
      <c r="A5" s="15" t="s">
        <v>385</v>
      </c>
      <c r="B5" s="16" t="s">
        <v>33</v>
      </c>
      <c r="C5" s="17">
        <v>1.0</v>
      </c>
      <c r="D5" s="18">
        <v>11.1</v>
      </c>
      <c r="E5" s="30"/>
      <c r="F5" s="30"/>
      <c r="G5" s="19" t="s">
        <v>386</v>
      </c>
      <c r="H5" s="20"/>
      <c r="I5" s="23"/>
      <c r="J5" s="23"/>
      <c r="K5" s="23"/>
      <c r="L5" s="23"/>
      <c r="M5" s="23"/>
      <c r="N5" s="19">
        <v>-9000.0</v>
      </c>
      <c r="O5" s="20"/>
      <c r="P5" s="30"/>
      <c r="Q5" s="19">
        <v>-99900.0</v>
      </c>
      <c r="R5" s="20"/>
      <c r="S5" s="31">
        <f>Q5/Q27</f>
        <v>-1.128073008</v>
      </c>
      <c r="T5" s="253" t="s">
        <v>387</v>
      </c>
      <c r="U5" s="14" t="s">
        <v>433</v>
      </c>
      <c r="W5" s="20"/>
      <c r="X5" s="272" t="s">
        <v>378</v>
      </c>
      <c r="Y5" s="28"/>
      <c r="Z5" s="20"/>
    </row>
    <row r="6">
      <c r="A6" s="273" t="s">
        <v>219</v>
      </c>
      <c r="B6" s="274" t="s">
        <v>39</v>
      </c>
      <c r="C6" s="232">
        <v>1.0</v>
      </c>
      <c r="D6" s="233">
        <v>3.3</v>
      </c>
      <c r="E6" s="234" t="s">
        <v>390</v>
      </c>
      <c r="F6" s="20"/>
      <c r="G6" s="233" t="s">
        <v>391</v>
      </c>
      <c r="I6" s="232" t="s">
        <v>25</v>
      </c>
      <c r="J6" s="233">
        <v>75.0</v>
      </c>
      <c r="K6" s="232">
        <v>32.0</v>
      </c>
      <c r="L6" s="233">
        <v>1.0</v>
      </c>
      <c r="M6" s="232">
        <v>0.0</v>
      </c>
      <c r="N6" s="42">
        <f t="shared" ref="N6:N26" si="1">(J6*L6+K6*M6)*C6</f>
        <v>75</v>
      </c>
      <c r="O6" s="20"/>
      <c r="P6" s="51">
        <f t="shared" ref="P6:P26" si="2">(D6*J6)*C6</f>
        <v>247.5</v>
      </c>
      <c r="Q6" s="42">
        <f t="shared" ref="Q6:Q26" si="3">(N6*D6)</f>
        <v>247.5</v>
      </c>
      <c r="R6" s="20"/>
      <c r="S6" s="53">
        <f>Q6/Q27</f>
        <v>0.00279477547</v>
      </c>
      <c r="T6" s="236" t="s">
        <v>42</v>
      </c>
      <c r="U6" s="283"/>
      <c r="W6" s="20"/>
      <c r="X6" s="275" t="s">
        <v>378</v>
      </c>
      <c r="Y6" s="28"/>
      <c r="Z6" s="20"/>
      <c r="AA6" s="255"/>
    </row>
    <row r="7">
      <c r="A7" s="48" t="s">
        <v>221</v>
      </c>
      <c r="B7" s="49" t="s">
        <v>46</v>
      </c>
      <c r="C7" s="50">
        <v>1.0</v>
      </c>
      <c r="D7" s="51">
        <v>5.0</v>
      </c>
      <c r="E7" s="42" t="s">
        <v>47</v>
      </c>
      <c r="F7" s="20"/>
      <c r="G7" s="42" t="s">
        <v>25</v>
      </c>
      <c r="H7" s="20"/>
      <c r="I7" s="51" t="s">
        <v>25</v>
      </c>
      <c r="J7" s="51">
        <v>400.0</v>
      </c>
      <c r="K7" s="51">
        <v>0.0</v>
      </c>
      <c r="L7" s="51">
        <v>1.0</v>
      </c>
      <c r="M7" s="51">
        <v>0.0</v>
      </c>
      <c r="N7" s="42">
        <f t="shared" si="1"/>
        <v>400</v>
      </c>
      <c r="O7" s="20"/>
      <c r="P7" s="51">
        <f t="shared" si="2"/>
        <v>2000</v>
      </c>
      <c r="Q7" s="42">
        <f t="shared" si="3"/>
        <v>2000</v>
      </c>
      <c r="R7" s="20"/>
      <c r="S7" s="53">
        <f>Q7/Q27</f>
        <v>0.02258404421</v>
      </c>
      <c r="T7" s="256" t="s">
        <v>48</v>
      </c>
      <c r="U7" s="29" t="s">
        <v>434</v>
      </c>
      <c r="W7" s="20"/>
      <c r="X7" s="276" t="s">
        <v>378</v>
      </c>
      <c r="Y7" s="28"/>
      <c r="Z7" s="20"/>
    </row>
    <row r="8">
      <c r="A8" s="48" t="s">
        <v>223</v>
      </c>
      <c r="B8" s="49" t="s">
        <v>224</v>
      </c>
      <c r="C8" s="50">
        <v>1.0</v>
      </c>
      <c r="D8" s="51">
        <v>3.3</v>
      </c>
      <c r="E8" s="42" t="s">
        <v>225</v>
      </c>
      <c r="F8" s="20"/>
      <c r="G8" s="42" t="s">
        <v>25</v>
      </c>
      <c r="H8" s="20"/>
      <c r="I8" s="51" t="s">
        <v>25</v>
      </c>
      <c r="J8" s="51">
        <v>250.0</v>
      </c>
      <c r="K8" s="51">
        <v>0.0</v>
      </c>
      <c r="L8" s="51">
        <v>1.0</v>
      </c>
      <c r="M8" s="51">
        <v>0.0</v>
      </c>
      <c r="N8" s="42">
        <f t="shared" si="1"/>
        <v>250</v>
      </c>
      <c r="O8" s="20"/>
      <c r="P8" s="51">
        <f t="shared" si="2"/>
        <v>825</v>
      </c>
      <c r="Q8" s="42">
        <f t="shared" si="3"/>
        <v>825</v>
      </c>
      <c r="R8" s="20"/>
      <c r="S8" s="53">
        <f>Q8/Q27</f>
        <v>0.009315918235</v>
      </c>
      <c r="T8" s="256" t="s">
        <v>48</v>
      </c>
      <c r="U8" s="29" t="s">
        <v>223</v>
      </c>
      <c r="W8" s="20"/>
      <c r="X8" s="276" t="s">
        <v>378</v>
      </c>
      <c r="Y8" s="28"/>
      <c r="Z8" s="257"/>
    </row>
    <row r="9">
      <c r="A9" s="48" t="s">
        <v>223</v>
      </c>
      <c r="B9" s="49" t="s">
        <v>227</v>
      </c>
      <c r="C9" s="50">
        <v>1.0</v>
      </c>
      <c r="D9" s="51">
        <v>1.8</v>
      </c>
      <c r="E9" s="42" t="s">
        <v>395</v>
      </c>
      <c r="F9" s="20"/>
      <c r="G9" s="42" t="s">
        <v>25</v>
      </c>
      <c r="H9" s="20"/>
      <c r="I9" s="51" t="s">
        <v>25</v>
      </c>
      <c r="J9" s="51">
        <v>250.0</v>
      </c>
      <c r="K9" s="51">
        <v>0.0</v>
      </c>
      <c r="L9" s="51">
        <v>1.0</v>
      </c>
      <c r="M9" s="51">
        <v>0.0</v>
      </c>
      <c r="N9" s="42">
        <f t="shared" si="1"/>
        <v>250</v>
      </c>
      <c r="O9" s="20"/>
      <c r="P9" s="51">
        <f t="shared" si="2"/>
        <v>450</v>
      </c>
      <c r="Q9" s="42">
        <f t="shared" si="3"/>
        <v>450</v>
      </c>
      <c r="R9" s="20"/>
      <c r="S9" s="53">
        <f>Q9/Q27</f>
        <v>0.005081409946</v>
      </c>
      <c r="T9" s="256" t="s">
        <v>48</v>
      </c>
      <c r="U9" s="29" t="s">
        <v>223</v>
      </c>
      <c r="W9" s="20"/>
      <c r="X9" s="276" t="s">
        <v>378</v>
      </c>
      <c r="Y9" s="277"/>
      <c r="Z9" s="20"/>
    </row>
    <row r="10">
      <c r="A10" s="48" t="s">
        <v>223</v>
      </c>
      <c r="B10" s="49" t="s">
        <v>229</v>
      </c>
      <c r="C10" s="50">
        <v>1.0</v>
      </c>
      <c r="D10" s="51">
        <v>2.8</v>
      </c>
      <c r="E10" s="42" t="s">
        <v>230</v>
      </c>
      <c r="F10" s="20"/>
      <c r="G10" s="42" t="s">
        <v>25</v>
      </c>
      <c r="H10" s="20"/>
      <c r="I10" s="51" t="s">
        <v>25</v>
      </c>
      <c r="J10" s="51">
        <v>25.0</v>
      </c>
      <c r="K10" s="51">
        <v>0.0</v>
      </c>
      <c r="L10" s="51">
        <v>1.0</v>
      </c>
      <c r="M10" s="51">
        <v>0.0</v>
      </c>
      <c r="N10" s="42">
        <f t="shared" si="1"/>
        <v>25</v>
      </c>
      <c r="O10" s="20"/>
      <c r="P10" s="51">
        <f t="shared" si="2"/>
        <v>70</v>
      </c>
      <c r="Q10" s="42">
        <f t="shared" si="3"/>
        <v>70</v>
      </c>
      <c r="R10" s="20"/>
      <c r="S10" s="53">
        <f>Q10/Q27</f>
        <v>0.0007904415472</v>
      </c>
      <c r="T10" s="256" t="s">
        <v>48</v>
      </c>
      <c r="U10" s="29" t="s">
        <v>223</v>
      </c>
      <c r="W10" s="20"/>
      <c r="X10" s="276" t="s">
        <v>378</v>
      </c>
      <c r="Y10" s="28"/>
      <c r="Z10" s="20"/>
    </row>
    <row r="11">
      <c r="A11" s="48" t="s">
        <v>223</v>
      </c>
      <c r="B11" s="49" t="s">
        <v>231</v>
      </c>
      <c r="C11" s="50">
        <v>1.0</v>
      </c>
      <c r="D11" s="51">
        <v>3.3</v>
      </c>
      <c r="E11" s="42" t="s">
        <v>396</v>
      </c>
      <c r="F11" s="20"/>
      <c r="G11" s="42" t="s">
        <v>397</v>
      </c>
      <c r="H11" s="20"/>
      <c r="I11" s="51" t="s">
        <v>25</v>
      </c>
      <c r="J11" s="51">
        <v>50.0</v>
      </c>
      <c r="K11" s="51">
        <v>18.0</v>
      </c>
      <c r="L11" s="51">
        <v>1.0</v>
      </c>
      <c r="M11" s="51">
        <v>0.0</v>
      </c>
      <c r="N11" s="42">
        <f t="shared" si="1"/>
        <v>50</v>
      </c>
      <c r="O11" s="20"/>
      <c r="P11" s="51">
        <f t="shared" si="2"/>
        <v>165</v>
      </c>
      <c r="Q11" s="42">
        <f t="shared" si="3"/>
        <v>165</v>
      </c>
      <c r="R11" s="20"/>
      <c r="S11" s="53">
        <f>Q11/Q27</f>
        <v>0.001863183647</v>
      </c>
      <c r="T11" s="256" t="s">
        <v>48</v>
      </c>
      <c r="U11" s="29" t="s">
        <v>344</v>
      </c>
      <c r="W11" s="20"/>
      <c r="X11" s="276" t="s">
        <v>378</v>
      </c>
      <c r="Y11" s="28"/>
      <c r="Z11" s="257"/>
    </row>
    <row r="12">
      <c r="A12" s="48" t="s">
        <v>223</v>
      </c>
      <c r="B12" s="49" t="s">
        <v>235</v>
      </c>
      <c r="C12" s="50">
        <v>1.0</v>
      </c>
      <c r="D12" s="51">
        <v>3.3</v>
      </c>
      <c r="E12" s="42" t="s">
        <v>396</v>
      </c>
      <c r="F12" s="20"/>
      <c r="G12" s="42" t="s">
        <v>397</v>
      </c>
      <c r="H12" s="20"/>
      <c r="I12" s="51" t="s">
        <v>25</v>
      </c>
      <c r="J12" s="51">
        <v>50.0</v>
      </c>
      <c r="K12" s="51">
        <v>18.0</v>
      </c>
      <c r="L12" s="51">
        <v>1.0</v>
      </c>
      <c r="M12" s="51">
        <v>0.0</v>
      </c>
      <c r="N12" s="42">
        <f t="shared" si="1"/>
        <v>50</v>
      </c>
      <c r="O12" s="20"/>
      <c r="P12" s="51">
        <f t="shared" si="2"/>
        <v>165</v>
      </c>
      <c r="Q12" s="42">
        <f t="shared" si="3"/>
        <v>165</v>
      </c>
      <c r="R12" s="20"/>
      <c r="S12" s="53">
        <f>Q12/Q27</f>
        <v>0.001863183647</v>
      </c>
      <c r="T12" s="256" t="s">
        <v>48</v>
      </c>
      <c r="U12" s="29" t="s">
        <v>223</v>
      </c>
      <c r="W12" s="20"/>
      <c r="X12" s="57" t="s">
        <v>378</v>
      </c>
    </row>
    <row r="13">
      <c r="A13" s="48" t="s">
        <v>223</v>
      </c>
      <c r="B13" s="49" t="s">
        <v>290</v>
      </c>
      <c r="C13" s="50">
        <v>1.0</v>
      </c>
      <c r="D13" s="51">
        <v>3.3</v>
      </c>
      <c r="E13" s="42" t="s">
        <v>291</v>
      </c>
      <c r="F13" s="20"/>
      <c r="G13" s="42" t="s">
        <v>25</v>
      </c>
      <c r="H13" s="20"/>
      <c r="I13" s="51" t="s">
        <v>25</v>
      </c>
      <c r="J13" s="51">
        <v>50.0</v>
      </c>
      <c r="K13" s="51">
        <v>0.0</v>
      </c>
      <c r="L13" s="51">
        <v>0.0</v>
      </c>
      <c r="M13" s="51">
        <v>1.0</v>
      </c>
      <c r="N13" s="42">
        <f t="shared" si="1"/>
        <v>0</v>
      </c>
      <c r="O13" s="20"/>
      <c r="P13" s="51">
        <f t="shared" si="2"/>
        <v>165</v>
      </c>
      <c r="Q13" s="42">
        <f t="shared" si="3"/>
        <v>0</v>
      </c>
      <c r="R13" s="20"/>
      <c r="S13" s="53">
        <f>Q13/Q27</f>
        <v>0</v>
      </c>
      <c r="T13" s="256" t="s">
        <v>48</v>
      </c>
      <c r="U13" s="29" t="s">
        <v>435</v>
      </c>
      <c r="W13" s="20"/>
      <c r="X13" s="57" t="s">
        <v>378</v>
      </c>
    </row>
    <row r="14">
      <c r="A14" s="73" t="s">
        <v>66</v>
      </c>
      <c r="B14" s="74" t="s">
        <v>251</v>
      </c>
      <c r="C14" s="75">
        <v>1.0</v>
      </c>
      <c r="D14" s="78">
        <v>2.8</v>
      </c>
      <c r="E14" s="77" t="s">
        <v>350</v>
      </c>
      <c r="F14" s="20"/>
      <c r="G14" s="77" t="s">
        <v>25</v>
      </c>
      <c r="H14" s="20"/>
      <c r="I14" s="78" t="s">
        <v>25</v>
      </c>
      <c r="J14" s="78">
        <v>2.0</v>
      </c>
      <c r="K14" s="78">
        <v>0.265</v>
      </c>
      <c r="L14" s="78">
        <v>1.0</v>
      </c>
      <c r="M14" s="78">
        <v>0.0</v>
      </c>
      <c r="N14" s="77">
        <f t="shared" si="1"/>
        <v>2</v>
      </c>
      <c r="O14" s="20"/>
      <c r="P14" s="78">
        <f t="shared" si="2"/>
        <v>5.6</v>
      </c>
      <c r="Q14" s="77">
        <f t="shared" si="3"/>
        <v>5.6</v>
      </c>
      <c r="R14" s="20"/>
      <c r="S14" s="81">
        <f>Q14/Q27</f>
        <v>0.00006323532378</v>
      </c>
      <c r="T14" s="260" t="s">
        <v>70</v>
      </c>
      <c r="U14" s="261"/>
      <c r="V14" s="27"/>
      <c r="W14" s="13"/>
      <c r="X14" s="89" t="s">
        <v>378</v>
      </c>
    </row>
    <row r="15">
      <c r="A15" s="262" t="s">
        <v>223</v>
      </c>
      <c r="B15" s="74" t="s">
        <v>352</v>
      </c>
      <c r="C15" s="85">
        <v>1.0</v>
      </c>
      <c r="D15" s="78">
        <v>1.8</v>
      </c>
      <c r="E15" s="263" t="s">
        <v>436</v>
      </c>
      <c r="F15" s="20"/>
      <c r="G15" s="77" t="s">
        <v>405</v>
      </c>
      <c r="H15" s="20"/>
      <c r="I15" s="78" t="s">
        <v>25</v>
      </c>
      <c r="J15" s="78">
        <v>0.5</v>
      </c>
      <c r="K15" s="78">
        <v>0.0</v>
      </c>
      <c r="L15" s="78">
        <v>1.0</v>
      </c>
      <c r="M15" s="78">
        <v>0.0</v>
      </c>
      <c r="N15" s="77">
        <f t="shared" si="1"/>
        <v>0.5</v>
      </c>
      <c r="O15" s="20"/>
      <c r="P15" s="78">
        <f t="shared" si="2"/>
        <v>0.9</v>
      </c>
      <c r="Q15" s="77">
        <f t="shared" si="3"/>
        <v>0.9</v>
      </c>
      <c r="R15" s="20"/>
      <c r="S15" s="81">
        <f>Q15/Q27</f>
        <v>0.00001016281989</v>
      </c>
      <c r="T15" s="260" t="s">
        <v>70</v>
      </c>
      <c r="U15" s="35"/>
      <c r="W15" s="20"/>
      <c r="X15" s="89" t="s">
        <v>378</v>
      </c>
    </row>
    <row r="16">
      <c r="A16" s="73" t="s">
        <v>72</v>
      </c>
      <c r="B16" s="84" t="s">
        <v>73</v>
      </c>
      <c r="C16" s="85">
        <v>4.0</v>
      </c>
      <c r="D16" s="78">
        <v>5.0</v>
      </c>
      <c r="E16" s="77" t="s">
        <v>401</v>
      </c>
      <c r="F16" s="20"/>
      <c r="G16" s="77" t="s">
        <v>75</v>
      </c>
      <c r="H16" s="20"/>
      <c r="I16" s="78" t="s">
        <v>25</v>
      </c>
      <c r="J16" s="78">
        <v>15.0</v>
      </c>
      <c r="K16" s="78">
        <v>0.0</v>
      </c>
      <c r="L16" s="78">
        <v>1.0</v>
      </c>
      <c r="M16" s="78">
        <v>0.0</v>
      </c>
      <c r="N16" s="77">
        <f t="shared" si="1"/>
        <v>60</v>
      </c>
      <c r="O16" s="20"/>
      <c r="P16" s="78">
        <f t="shared" si="2"/>
        <v>300</v>
      </c>
      <c r="Q16" s="77">
        <f t="shared" si="3"/>
        <v>300</v>
      </c>
      <c r="R16" s="20"/>
      <c r="S16" s="81">
        <f>Q16/Q27</f>
        <v>0.003387606631</v>
      </c>
      <c r="T16" s="260" t="s">
        <v>76</v>
      </c>
      <c r="U16" s="35"/>
      <c r="W16" s="20"/>
      <c r="X16" s="89" t="s">
        <v>378</v>
      </c>
    </row>
    <row r="17">
      <c r="A17" s="87" t="s">
        <v>78</v>
      </c>
      <c r="B17" s="88" t="s">
        <v>79</v>
      </c>
      <c r="C17" s="75">
        <v>1.0</v>
      </c>
      <c r="D17" s="78">
        <v>3.3</v>
      </c>
      <c r="E17" s="77" t="s">
        <v>437</v>
      </c>
      <c r="F17" s="20"/>
      <c r="G17" s="77" t="s">
        <v>403</v>
      </c>
      <c r="H17" s="20"/>
      <c r="I17" s="78" t="s">
        <v>25</v>
      </c>
      <c r="J17" s="78">
        <v>25.0</v>
      </c>
      <c r="K17" s="78">
        <v>20.0</v>
      </c>
      <c r="L17" s="78">
        <v>1.0</v>
      </c>
      <c r="M17" s="78">
        <v>0.0</v>
      </c>
      <c r="N17" s="77">
        <f t="shared" si="1"/>
        <v>25</v>
      </c>
      <c r="O17" s="20"/>
      <c r="P17" s="78">
        <f t="shared" si="2"/>
        <v>82.5</v>
      </c>
      <c r="Q17" s="77">
        <f t="shared" si="3"/>
        <v>82.5</v>
      </c>
      <c r="R17" s="20"/>
      <c r="S17" s="81">
        <f>Q17/Q27</f>
        <v>0.0009315918235</v>
      </c>
      <c r="T17" s="260" t="s">
        <v>82</v>
      </c>
      <c r="U17" s="35" t="s">
        <v>438</v>
      </c>
      <c r="W17" s="20"/>
      <c r="X17" s="89" t="s">
        <v>378</v>
      </c>
    </row>
    <row r="18">
      <c r="A18" s="87" t="s">
        <v>223</v>
      </c>
      <c r="B18" s="88" t="s">
        <v>356</v>
      </c>
      <c r="C18" s="75">
        <v>1.0</v>
      </c>
      <c r="D18" s="78">
        <v>3.3</v>
      </c>
      <c r="E18" s="77" t="s">
        <v>357</v>
      </c>
      <c r="F18" s="20"/>
      <c r="G18" s="77" t="s">
        <v>25</v>
      </c>
      <c r="H18" s="20"/>
      <c r="I18" s="78" t="s">
        <v>25</v>
      </c>
      <c r="J18" s="78">
        <v>0.0</v>
      </c>
      <c r="K18" s="78">
        <v>0.0</v>
      </c>
      <c r="L18" s="78">
        <v>1.0</v>
      </c>
      <c r="M18" s="78">
        <v>0.0</v>
      </c>
      <c r="N18" s="77">
        <f t="shared" si="1"/>
        <v>0</v>
      </c>
      <c r="O18" s="20"/>
      <c r="P18" s="78">
        <f t="shared" si="2"/>
        <v>0</v>
      </c>
      <c r="Q18" s="77">
        <f t="shared" si="3"/>
        <v>0</v>
      </c>
      <c r="R18" s="20"/>
      <c r="S18" s="81">
        <f>Q18/Q27</f>
        <v>0</v>
      </c>
      <c r="T18" s="260" t="s">
        <v>82</v>
      </c>
      <c r="U18" s="35"/>
      <c r="W18" s="20"/>
      <c r="X18" s="89" t="s">
        <v>378</v>
      </c>
    </row>
    <row r="19">
      <c r="A19" s="87" t="s">
        <v>223</v>
      </c>
      <c r="B19" s="88" t="s">
        <v>201</v>
      </c>
      <c r="C19" s="75">
        <v>1.0</v>
      </c>
      <c r="D19" s="78">
        <v>3.3</v>
      </c>
      <c r="E19" s="77" t="s">
        <v>239</v>
      </c>
      <c r="F19" s="20"/>
      <c r="G19" s="77" t="s">
        <v>25</v>
      </c>
      <c r="H19" s="20"/>
      <c r="I19" s="78" t="s">
        <v>25</v>
      </c>
      <c r="J19" s="78">
        <v>20.0</v>
      </c>
      <c r="K19" s="78">
        <v>4.0</v>
      </c>
      <c r="L19" s="78">
        <v>1.0</v>
      </c>
      <c r="M19" s="78">
        <v>0.0</v>
      </c>
      <c r="N19" s="77">
        <f t="shared" si="1"/>
        <v>20</v>
      </c>
      <c r="O19" s="20"/>
      <c r="P19" s="78">
        <f t="shared" si="2"/>
        <v>66</v>
      </c>
      <c r="Q19" s="77">
        <f t="shared" si="3"/>
        <v>66</v>
      </c>
      <c r="R19" s="20"/>
      <c r="S19" s="81">
        <f>Q19/Q27</f>
        <v>0.0007452734588</v>
      </c>
      <c r="T19" s="260" t="s">
        <v>82</v>
      </c>
      <c r="U19" s="35"/>
      <c r="W19" s="20"/>
      <c r="X19" s="89" t="s">
        <v>378</v>
      </c>
    </row>
    <row r="20">
      <c r="A20" s="73" t="s">
        <v>84</v>
      </c>
      <c r="B20" s="90" t="s">
        <v>85</v>
      </c>
      <c r="C20" s="75">
        <v>1.0</v>
      </c>
      <c r="D20" s="78">
        <v>1.8</v>
      </c>
      <c r="E20" s="77" t="s">
        <v>359</v>
      </c>
      <c r="F20" s="20"/>
      <c r="G20" s="77" t="s">
        <v>25</v>
      </c>
      <c r="H20" s="20"/>
      <c r="I20" s="78" t="s">
        <v>25</v>
      </c>
      <c r="J20" s="78">
        <v>3.11</v>
      </c>
      <c r="K20" s="78">
        <v>1.23</v>
      </c>
      <c r="L20" s="78">
        <v>1.0</v>
      </c>
      <c r="M20" s="78">
        <v>0.0</v>
      </c>
      <c r="N20" s="77">
        <f t="shared" si="1"/>
        <v>3.11</v>
      </c>
      <c r="O20" s="20"/>
      <c r="P20" s="78">
        <f t="shared" si="2"/>
        <v>5.598</v>
      </c>
      <c r="Q20" s="77">
        <f t="shared" si="3"/>
        <v>5.598</v>
      </c>
      <c r="R20" s="20"/>
      <c r="S20" s="81">
        <f>Q20/Q27</f>
        <v>0.00006321273973</v>
      </c>
      <c r="T20" s="264" t="s">
        <v>88</v>
      </c>
      <c r="U20" s="35"/>
      <c r="W20" s="20"/>
      <c r="X20" s="89" t="s">
        <v>378</v>
      </c>
    </row>
    <row r="21">
      <c r="A21" s="262" t="s">
        <v>223</v>
      </c>
      <c r="B21" s="265" t="s">
        <v>352</v>
      </c>
      <c r="C21" s="75">
        <v>1.0</v>
      </c>
      <c r="D21" s="78">
        <v>1.8</v>
      </c>
      <c r="E21" s="77" t="s">
        <v>404</v>
      </c>
      <c r="F21" s="20"/>
      <c r="G21" s="77" t="s">
        <v>405</v>
      </c>
      <c r="H21" s="20"/>
      <c r="I21" s="78" t="s">
        <v>25</v>
      </c>
      <c r="J21" s="78">
        <v>6.0</v>
      </c>
      <c r="K21" s="78">
        <v>0.0</v>
      </c>
      <c r="L21" s="78">
        <v>1.0</v>
      </c>
      <c r="M21" s="78">
        <v>0.0</v>
      </c>
      <c r="N21" s="77">
        <f t="shared" si="1"/>
        <v>6</v>
      </c>
      <c r="O21" s="20"/>
      <c r="P21" s="78">
        <f t="shared" si="2"/>
        <v>10.8</v>
      </c>
      <c r="Q21" s="77">
        <f t="shared" si="3"/>
        <v>10.8</v>
      </c>
      <c r="R21" s="20"/>
      <c r="S21" s="81">
        <f>Q21/Q27</f>
        <v>0.0001219538387</v>
      </c>
      <c r="T21" s="264" t="s">
        <v>88</v>
      </c>
      <c r="U21" s="35"/>
      <c r="W21" s="20"/>
      <c r="X21" s="89" t="s">
        <v>378</v>
      </c>
    </row>
    <row r="22">
      <c r="A22" s="278" t="s">
        <v>406</v>
      </c>
      <c r="B22" s="242" t="s">
        <v>272</v>
      </c>
      <c r="C22" s="104">
        <v>1.0</v>
      </c>
      <c r="D22" s="105">
        <v>11.1</v>
      </c>
      <c r="E22" s="106" t="s">
        <v>273</v>
      </c>
      <c r="F22" s="20"/>
      <c r="G22" s="106" t="s">
        <v>25</v>
      </c>
      <c r="H22" s="20"/>
      <c r="I22" s="105" t="s">
        <v>25</v>
      </c>
      <c r="J22" s="284">
        <v>0.0</v>
      </c>
      <c r="K22" s="284">
        <v>0.0</v>
      </c>
      <c r="L22" s="105">
        <v>0.0</v>
      </c>
      <c r="M22" s="105">
        <v>0.0</v>
      </c>
      <c r="N22" s="106">
        <f t="shared" si="1"/>
        <v>0</v>
      </c>
      <c r="O22" s="20"/>
      <c r="P22" s="105">
        <f t="shared" si="2"/>
        <v>0</v>
      </c>
      <c r="Q22" s="106">
        <f t="shared" si="3"/>
        <v>0</v>
      </c>
      <c r="R22" s="20"/>
      <c r="S22" s="108">
        <f>Q22/Q27</f>
        <v>0</v>
      </c>
      <c r="T22" s="227" t="s">
        <v>407</v>
      </c>
      <c r="U22" s="47" t="s">
        <v>439</v>
      </c>
      <c r="W22" s="20"/>
      <c r="X22" s="107" t="s">
        <v>409</v>
      </c>
    </row>
    <row r="23">
      <c r="A23" s="246" t="s">
        <v>206</v>
      </c>
      <c r="B23" s="103" t="s">
        <v>97</v>
      </c>
      <c r="C23" s="104">
        <v>4.0</v>
      </c>
      <c r="D23" s="105">
        <v>11.1</v>
      </c>
      <c r="E23" s="106" t="s">
        <v>98</v>
      </c>
      <c r="F23" s="20"/>
      <c r="G23" s="106" t="s">
        <v>25</v>
      </c>
      <c r="H23" s="20"/>
      <c r="I23" s="105" t="s">
        <v>25</v>
      </c>
      <c r="J23" s="105">
        <v>2586.0</v>
      </c>
      <c r="K23" s="105">
        <v>915.0</v>
      </c>
      <c r="L23" s="105">
        <v>0.5</v>
      </c>
      <c r="M23" s="105">
        <v>0.5</v>
      </c>
      <c r="N23" s="106">
        <f t="shared" si="1"/>
        <v>7002</v>
      </c>
      <c r="O23" s="20"/>
      <c r="P23" s="105">
        <f t="shared" si="2"/>
        <v>114818.4</v>
      </c>
      <c r="Q23" s="106">
        <f t="shared" si="3"/>
        <v>77722.2</v>
      </c>
      <c r="R23" s="20"/>
      <c r="S23" s="108">
        <f>Q23/Q27</f>
        <v>0.8776408003</v>
      </c>
      <c r="T23" s="109" t="s">
        <v>99</v>
      </c>
      <c r="U23" s="47" t="s">
        <v>410</v>
      </c>
      <c r="W23" s="20"/>
      <c r="X23" s="107" t="s">
        <v>378</v>
      </c>
      <c r="Y23" s="200" t="s">
        <v>314</v>
      </c>
    </row>
    <row r="24">
      <c r="A24" s="279" t="s">
        <v>411</v>
      </c>
      <c r="B24" s="280" t="s">
        <v>412</v>
      </c>
      <c r="C24" s="104">
        <v>1.0</v>
      </c>
      <c r="D24" s="105">
        <v>11.1</v>
      </c>
      <c r="E24" s="106" t="s">
        <v>413</v>
      </c>
      <c r="F24" s="20"/>
      <c r="G24" s="106" t="s">
        <v>25</v>
      </c>
      <c r="H24" s="20"/>
      <c r="I24" s="105" t="s">
        <v>25</v>
      </c>
      <c r="J24" s="284">
        <v>220.0</v>
      </c>
      <c r="K24" s="284">
        <v>0.0</v>
      </c>
      <c r="L24" s="105">
        <v>1.0</v>
      </c>
      <c r="M24" s="105">
        <v>0.0</v>
      </c>
      <c r="N24" s="106">
        <f t="shared" si="1"/>
        <v>220</v>
      </c>
      <c r="O24" s="20"/>
      <c r="P24" s="105">
        <f t="shared" si="2"/>
        <v>2442</v>
      </c>
      <c r="Q24" s="106">
        <f t="shared" si="3"/>
        <v>2442</v>
      </c>
      <c r="R24" s="20"/>
      <c r="S24" s="108">
        <f>Q24/Q27</f>
        <v>0.02757511798</v>
      </c>
      <c r="T24" s="227" t="s">
        <v>414</v>
      </c>
      <c r="U24" s="47" t="s">
        <v>440</v>
      </c>
      <c r="W24" s="20"/>
      <c r="X24" s="107" t="s">
        <v>409</v>
      </c>
    </row>
    <row r="25">
      <c r="A25" s="279" t="s">
        <v>223</v>
      </c>
      <c r="B25" s="285" t="s">
        <v>441</v>
      </c>
      <c r="C25" s="104">
        <v>1.0</v>
      </c>
      <c r="D25" s="105">
        <v>11.1</v>
      </c>
      <c r="E25" s="106" t="s">
        <v>442</v>
      </c>
      <c r="F25" s="20"/>
      <c r="G25" s="106" t="s">
        <v>25</v>
      </c>
      <c r="H25" s="20"/>
      <c r="I25" s="105" t="s">
        <v>25</v>
      </c>
      <c r="J25" s="284">
        <v>0.0</v>
      </c>
      <c r="K25" s="284">
        <v>0.0</v>
      </c>
      <c r="L25" s="105">
        <v>1.0</v>
      </c>
      <c r="M25" s="105">
        <v>0.0</v>
      </c>
      <c r="N25" s="106">
        <f t="shared" si="1"/>
        <v>0</v>
      </c>
      <c r="O25" s="20"/>
      <c r="P25" s="105">
        <f t="shared" si="2"/>
        <v>0</v>
      </c>
      <c r="Q25" s="106">
        <f t="shared" si="3"/>
        <v>0</v>
      </c>
      <c r="R25" s="20"/>
      <c r="S25" s="108">
        <f>Q25/Q27</f>
        <v>0</v>
      </c>
      <c r="T25" s="227" t="s">
        <v>414</v>
      </c>
      <c r="U25" s="47"/>
      <c r="W25" s="20"/>
      <c r="X25" s="107" t="s">
        <v>409</v>
      </c>
    </row>
    <row r="26">
      <c r="A26" s="281" t="s">
        <v>315</v>
      </c>
      <c r="B26" s="111" t="s">
        <v>102</v>
      </c>
      <c r="C26" s="112">
        <v>4.0</v>
      </c>
      <c r="D26" s="114">
        <v>5.0</v>
      </c>
      <c r="E26" s="113" t="s">
        <v>103</v>
      </c>
      <c r="F26" s="66"/>
      <c r="G26" s="113" t="s">
        <v>25</v>
      </c>
      <c r="H26" s="66"/>
      <c r="I26" s="114" t="s">
        <v>25</v>
      </c>
      <c r="J26" s="286">
        <v>400.0</v>
      </c>
      <c r="K26" s="286">
        <v>1.0</v>
      </c>
      <c r="L26" s="114">
        <v>0.5</v>
      </c>
      <c r="M26" s="114">
        <v>0.0</v>
      </c>
      <c r="N26" s="113">
        <f t="shared" si="1"/>
        <v>800</v>
      </c>
      <c r="O26" s="66"/>
      <c r="P26" s="114">
        <f t="shared" si="2"/>
        <v>8000</v>
      </c>
      <c r="Q26" s="113">
        <f t="shared" si="3"/>
        <v>4000</v>
      </c>
      <c r="R26" s="66"/>
      <c r="S26" s="116">
        <f>Q26/Q27</f>
        <v>0.04516808841</v>
      </c>
      <c r="T26" s="249" t="s">
        <v>316</v>
      </c>
      <c r="U26" s="118" t="s">
        <v>443</v>
      </c>
      <c r="V26" s="72"/>
      <c r="W26" s="66"/>
      <c r="X26" s="115" t="s">
        <v>409</v>
      </c>
    </row>
    <row r="27">
      <c r="A27" s="119"/>
      <c r="B27" s="120"/>
      <c r="C27" s="121"/>
      <c r="D27" s="150" t="s">
        <v>444</v>
      </c>
      <c r="N27" s="124">
        <f>sum(N6:O26)</f>
        <v>9238.61</v>
      </c>
      <c r="O27" s="6"/>
      <c r="P27" s="282">
        <f>sum(P6:P26)</f>
        <v>129819.298</v>
      </c>
      <c r="Q27" s="124">
        <f>SUM(Q6:Q26)</f>
        <v>88558.098</v>
      </c>
      <c r="R27" s="6"/>
    </row>
    <row r="28">
      <c r="A28" s="125"/>
      <c r="C28" s="121"/>
      <c r="D28" s="9" t="s">
        <v>107</v>
      </c>
      <c r="N28" s="127" t="s">
        <v>108</v>
      </c>
      <c r="O28" s="72"/>
      <c r="P28" s="250" t="s">
        <v>417</v>
      </c>
      <c r="Q28" s="250" t="s">
        <v>109</v>
      </c>
      <c r="R28" s="66"/>
    </row>
    <row r="29">
      <c r="A29" s="201" t="s">
        <v>445</v>
      </c>
      <c r="B29" s="128"/>
      <c r="C29" s="125"/>
      <c r="D29" s="34"/>
    </row>
    <row r="30">
      <c r="A30" s="129" t="s">
        <v>418</v>
      </c>
      <c r="B30" s="130" t="s">
        <v>111</v>
      </c>
      <c r="C30" s="130" t="s">
        <v>419</v>
      </c>
      <c r="D30" s="131" t="s">
        <v>364</v>
      </c>
      <c r="E30" s="131" t="s">
        <v>114</v>
      </c>
      <c r="F30" s="132" t="s">
        <v>115</v>
      </c>
      <c r="G30" s="6"/>
      <c r="H30" s="132" t="s">
        <v>420</v>
      </c>
      <c r="I30" s="6"/>
      <c r="J30" s="132" t="s">
        <v>19</v>
      </c>
      <c r="K30" s="6"/>
    </row>
    <row r="31">
      <c r="A31" s="138" t="s">
        <v>121</v>
      </c>
      <c r="B31" s="139">
        <v>4.0</v>
      </c>
      <c r="C31" s="140">
        <v>11.1</v>
      </c>
      <c r="D31" s="139">
        <v>0.0</v>
      </c>
      <c r="E31" s="139">
        <v>2806.0</v>
      </c>
      <c r="F31" s="140" t="s">
        <v>25</v>
      </c>
      <c r="G31" s="20"/>
      <c r="H31" s="140">
        <f t="shared" ref="H31:H35" si="4">C31*E31 + D31*E31</f>
        <v>31146.6</v>
      </c>
      <c r="I31" s="20"/>
      <c r="J31" s="143" t="s">
        <v>422</v>
      </c>
      <c r="K31" s="20"/>
    </row>
    <row r="32">
      <c r="A32" s="138" t="s">
        <v>125</v>
      </c>
      <c r="B32" s="139">
        <v>3.0</v>
      </c>
      <c r="C32" s="140">
        <v>5.0</v>
      </c>
      <c r="D32" s="139">
        <v>0.0</v>
      </c>
      <c r="E32" s="139">
        <v>815.0</v>
      </c>
      <c r="F32" s="140" t="s">
        <v>25</v>
      </c>
      <c r="G32" s="20"/>
      <c r="H32" s="140">
        <f t="shared" si="4"/>
        <v>4075</v>
      </c>
      <c r="I32" s="20"/>
      <c r="J32" s="143" t="s">
        <v>422</v>
      </c>
      <c r="K32" s="20"/>
    </row>
    <row r="33">
      <c r="A33" s="138" t="s">
        <v>129</v>
      </c>
      <c r="B33" s="139">
        <v>8.0</v>
      </c>
      <c r="C33" s="140">
        <v>3.3</v>
      </c>
      <c r="D33" s="139">
        <v>1.7</v>
      </c>
      <c r="E33" s="139">
        <v>470.0</v>
      </c>
      <c r="F33" s="140">
        <v>800.0</v>
      </c>
      <c r="G33" s="20"/>
      <c r="H33" s="140">
        <f t="shared" si="4"/>
        <v>2350</v>
      </c>
      <c r="I33" s="20"/>
      <c r="J33" s="143" t="s">
        <v>424</v>
      </c>
      <c r="K33" s="20"/>
    </row>
    <row r="34">
      <c r="A34" s="138" t="s">
        <v>260</v>
      </c>
      <c r="B34" s="139">
        <v>2.0</v>
      </c>
      <c r="C34" s="140">
        <v>2.8</v>
      </c>
      <c r="D34" s="139">
        <v>2.2</v>
      </c>
      <c r="E34" s="139">
        <v>27.0</v>
      </c>
      <c r="F34" s="140">
        <v>800.0</v>
      </c>
      <c r="G34" s="20"/>
      <c r="H34" s="140">
        <f t="shared" si="4"/>
        <v>135</v>
      </c>
      <c r="I34" s="20"/>
      <c r="J34" s="143" t="s">
        <v>425</v>
      </c>
      <c r="K34" s="20"/>
    </row>
    <row r="35">
      <c r="A35" s="154" t="s">
        <v>300</v>
      </c>
      <c r="B35" s="155">
        <v>4.0</v>
      </c>
      <c r="C35" s="156">
        <v>1.8</v>
      </c>
      <c r="D35" s="155">
        <v>3.2</v>
      </c>
      <c r="E35" s="266">
        <v>260.0</v>
      </c>
      <c r="F35" s="266">
        <v>800.0</v>
      </c>
      <c r="G35" s="66"/>
      <c r="H35" s="155">
        <f t="shared" si="4"/>
        <v>1300</v>
      </c>
      <c r="I35" s="66"/>
      <c r="J35" s="267" t="s">
        <v>426</v>
      </c>
      <c r="K35" s="66"/>
    </row>
    <row r="36">
      <c r="H36" s="152"/>
    </row>
  </sheetData>
  <mergeCells count="158">
    <mergeCell ref="Q11:R11"/>
    <mergeCell ref="Q12:R12"/>
    <mergeCell ref="Q3:R3"/>
    <mergeCell ref="Q4:R4"/>
    <mergeCell ref="Q6:R6"/>
    <mergeCell ref="Q7:R7"/>
    <mergeCell ref="Q8:R8"/>
    <mergeCell ref="Q9:R9"/>
    <mergeCell ref="Q10:R10"/>
    <mergeCell ref="N11:O11"/>
    <mergeCell ref="N12:O12"/>
    <mergeCell ref="N13:O13"/>
    <mergeCell ref="Q13:R13"/>
    <mergeCell ref="N14:O14"/>
    <mergeCell ref="Q14:R14"/>
    <mergeCell ref="Q15:R15"/>
    <mergeCell ref="N22:O22"/>
    <mergeCell ref="N23:O23"/>
    <mergeCell ref="N24:O24"/>
    <mergeCell ref="N25:O25"/>
    <mergeCell ref="N26:O26"/>
    <mergeCell ref="N27:O27"/>
    <mergeCell ref="N28:O28"/>
    <mergeCell ref="N15:O15"/>
    <mergeCell ref="N16:O16"/>
    <mergeCell ref="N17:O17"/>
    <mergeCell ref="N18:O18"/>
    <mergeCell ref="N19:O19"/>
    <mergeCell ref="N20:O20"/>
    <mergeCell ref="N21:O21"/>
    <mergeCell ref="Q23:R23"/>
    <mergeCell ref="Q24:R24"/>
    <mergeCell ref="Q25:R25"/>
    <mergeCell ref="Q26:R26"/>
    <mergeCell ref="Q27:R27"/>
    <mergeCell ref="Q28:R28"/>
    <mergeCell ref="Q16:R16"/>
    <mergeCell ref="Q17:R17"/>
    <mergeCell ref="Q18:R18"/>
    <mergeCell ref="Q19:R19"/>
    <mergeCell ref="Q20:R20"/>
    <mergeCell ref="Q21:R21"/>
    <mergeCell ref="Q22:R22"/>
    <mergeCell ref="U24:W24"/>
    <mergeCell ref="U25:W25"/>
    <mergeCell ref="U26:W26"/>
    <mergeCell ref="U18:W18"/>
    <mergeCell ref="U19:W19"/>
    <mergeCell ref="U20:W20"/>
    <mergeCell ref="U21:W21"/>
    <mergeCell ref="U22:W22"/>
    <mergeCell ref="U23:W23"/>
    <mergeCell ref="Y23:AA23"/>
    <mergeCell ref="U2:W2"/>
    <mergeCell ref="Y2:Z2"/>
    <mergeCell ref="E1:F1"/>
    <mergeCell ref="G1:H1"/>
    <mergeCell ref="L1:M1"/>
    <mergeCell ref="E2:F2"/>
    <mergeCell ref="G2:H2"/>
    <mergeCell ref="N2:O2"/>
    <mergeCell ref="Q2:R2"/>
    <mergeCell ref="Y3:Z3"/>
    <mergeCell ref="Y4:Z4"/>
    <mergeCell ref="Y5:Z5"/>
    <mergeCell ref="Y6:Z6"/>
    <mergeCell ref="Y7:Z7"/>
    <mergeCell ref="Y9:Z9"/>
    <mergeCell ref="Y10:Z10"/>
    <mergeCell ref="E3:F3"/>
    <mergeCell ref="G3:H3"/>
    <mergeCell ref="N3:O3"/>
    <mergeCell ref="U3:W3"/>
    <mergeCell ref="G4:H4"/>
    <mergeCell ref="G5:H5"/>
    <mergeCell ref="Q5:R5"/>
    <mergeCell ref="N4:O4"/>
    <mergeCell ref="N5:O5"/>
    <mergeCell ref="N6:O6"/>
    <mergeCell ref="N7:O7"/>
    <mergeCell ref="N8:O8"/>
    <mergeCell ref="N9:O9"/>
    <mergeCell ref="N10:O10"/>
    <mergeCell ref="U4:W4"/>
    <mergeCell ref="U5:W5"/>
    <mergeCell ref="U6:W6"/>
    <mergeCell ref="U7:W7"/>
    <mergeCell ref="U8:W8"/>
    <mergeCell ref="U9:W9"/>
    <mergeCell ref="U10:W10"/>
    <mergeCell ref="U11:W11"/>
    <mergeCell ref="U12:W12"/>
    <mergeCell ref="U13:W13"/>
    <mergeCell ref="U14:W14"/>
    <mergeCell ref="U15:W15"/>
    <mergeCell ref="U16:W16"/>
    <mergeCell ref="U17:W17"/>
    <mergeCell ref="H31:I31"/>
    <mergeCell ref="J31:K31"/>
    <mergeCell ref="J32:K32"/>
    <mergeCell ref="J33:K33"/>
    <mergeCell ref="J34:K34"/>
    <mergeCell ref="J35:K35"/>
    <mergeCell ref="G24:H24"/>
    <mergeCell ref="G25:H25"/>
    <mergeCell ref="G26:H26"/>
    <mergeCell ref="F30:G30"/>
    <mergeCell ref="H30:I30"/>
    <mergeCell ref="J30:K30"/>
    <mergeCell ref="F31:G31"/>
    <mergeCell ref="E6:F6"/>
    <mergeCell ref="G6:H6"/>
    <mergeCell ref="E7:F7"/>
    <mergeCell ref="G7:H7"/>
    <mergeCell ref="E8:F8"/>
    <mergeCell ref="G8:H8"/>
    <mergeCell ref="G9:H9"/>
    <mergeCell ref="E9:F9"/>
    <mergeCell ref="E10:F10"/>
    <mergeCell ref="E11:F11"/>
    <mergeCell ref="E12:F12"/>
    <mergeCell ref="E13:F13"/>
    <mergeCell ref="E14:F14"/>
    <mergeCell ref="E15:F15"/>
    <mergeCell ref="G10:H10"/>
    <mergeCell ref="G11:H11"/>
    <mergeCell ref="G12:H12"/>
    <mergeCell ref="G13:H13"/>
    <mergeCell ref="G14:H14"/>
    <mergeCell ref="G15:H15"/>
    <mergeCell ref="G16:H16"/>
    <mergeCell ref="E23:F23"/>
    <mergeCell ref="E24:F24"/>
    <mergeCell ref="E25:F25"/>
    <mergeCell ref="E26:F26"/>
    <mergeCell ref="E16:F16"/>
    <mergeCell ref="E17:F17"/>
    <mergeCell ref="E18:F18"/>
    <mergeCell ref="E19:F19"/>
    <mergeCell ref="E20:F20"/>
    <mergeCell ref="E21:F21"/>
    <mergeCell ref="E22:F22"/>
    <mergeCell ref="G17:H17"/>
    <mergeCell ref="G18:H18"/>
    <mergeCell ref="G19:H19"/>
    <mergeCell ref="G20:H20"/>
    <mergeCell ref="G21:H21"/>
    <mergeCell ref="G22:H22"/>
    <mergeCell ref="G23:H23"/>
    <mergeCell ref="H35:I35"/>
    <mergeCell ref="H36:I36"/>
    <mergeCell ref="F32:G32"/>
    <mergeCell ref="H32:I32"/>
    <mergeCell ref="F33:G33"/>
    <mergeCell ref="H33:I33"/>
    <mergeCell ref="F34:G34"/>
    <mergeCell ref="H34:I34"/>
    <mergeCell ref="F35:G35"/>
  </mergeCells>
  <hyperlinks>
    <hyperlink r:id="rId1" ref="T3"/>
    <hyperlink r:id="rId2" ref="T4"/>
    <hyperlink r:id="rId3" ref="T5"/>
    <hyperlink r:id="rId4" ref="T6"/>
    <hyperlink r:id="rId5" ref="T7"/>
    <hyperlink r:id="rId6" ref="T8"/>
    <hyperlink r:id="rId7" ref="T9"/>
    <hyperlink r:id="rId8" ref="T10"/>
    <hyperlink r:id="rId9" ref="T11"/>
    <hyperlink r:id="rId10" ref="T12"/>
    <hyperlink r:id="rId11" ref="T13"/>
    <hyperlink r:id="rId12" ref="T14"/>
    <hyperlink r:id="rId13" ref="T15"/>
    <hyperlink r:id="rId14" ref="T16"/>
    <hyperlink r:id="rId15" ref="T17"/>
    <hyperlink r:id="rId16" ref="T18"/>
    <hyperlink r:id="rId17" ref="T19"/>
    <hyperlink r:id="rId18" ref="T20"/>
    <hyperlink r:id="rId19" ref="T21"/>
    <hyperlink r:id="rId20" ref="T22"/>
    <hyperlink r:id="rId21" ref="T23"/>
    <hyperlink r:id="rId22" location=":~:text=If%20you%20want%20your%20model,and%20I%20is%20the%20current." ref="Y23"/>
    <hyperlink r:id="rId23" ref="T24"/>
    <hyperlink r:id="rId24" ref="T25"/>
    <hyperlink r:id="rId25" ref="T26"/>
    <hyperlink r:id="rId26" ref="A29"/>
  </hyperlinks>
  <drawing r:id="rId2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25"/>
    <col customWidth="1" min="4" max="4" width="14.63"/>
    <col customWidth="1" min="23" max="23" width="16.63"/>
  </cols>
  <sheetData>
    <row r="1">
      <c r="A1" s="34" t="s">
        <v>446</v>
      </c>
      <c r="B1" s="2"/>
      <c r="C1" s="3"/>
      <c r="J1" s="4" t="s">
        <v>1</v>
      </c>
      <c r="K1" s="5"/>
      <c r="L1" s="4" t="s">
        <v>2</v>
      </c>
      <c r="M1" s="6"/>
    </row>
    <row r="2">
      <c r="A2" s="7" t="s">
        <v>3</v>
      </c>
      <c r="B2" s="8" t="s">
        <v>4</v>
      </c>
      <c r="C2" s="8" t="s">
        <v>5</v>
      </c>
      <c r="D2" s="9" t="s">
        <v>6</v>
      </c>
      <c r="E2" s="4" t="s">
        <v>428</v>
      </c>
      <c r="F2" s="6"/>
      <c r="G2" s="4" t="s">
        <v>429</v>
      </c>
      <c r="H2" s="6"/>
      <c r="I2" s="9" t="s">
        <v>372</v>
      </c>
      <c r="J2" s="9" t="s">
        <v>13</v>
      </c>
      <c r="K2" s="9" t="s">
        <v>14</v>
      </c>
      <c r="L2" s="9" t="s">
        <v>13</v>
      </c>
      <c r="M2" s="9" t="s">
        <v>14</v>
      </c>
      <c r="N2" s="4" t="s">
        <v>15</v>
      </c>
      <c r="O2" s="6"/>
      <c r="P2" s="9" t="s">
        <v>373</v>
      </c>
      <c r="Q2" s="4" t="s">
        <v>16</v>
      </c>
      <c r="R2" s="6"/>
      <c r="S2" s="9" t="s">
        <v>17</v>
      </c>
      <c r="T2" s="10" t="s">
        <v>18</v>
      </c>
      <c r="U2" s="4" t="s">
        <v>19</v>
      </c>
      <c r="V2" s="11"/>
      <c r="W2" s="6"/>
      <c r="X2" s="9" t="s">
        <v>430</v>
      </c>
      <c r="Y2" s="12" t="s">
        <v>20</v>
      </c>
      <c r="Z2" s="13"/>
    </row>
    <row r="3">
      <c r="A3" s="15" t="s">
        <v>375</v>
      </c>
      <c r="B3" s="16" t="s">
        <v>23</v>
      </c>
      <c r="C3" s="17">
        <v>1.0</v>
      </c>
      <c r="D3" s="18" t="s">
        <v>25</v>
      </c>
      <c r="E3" s="19" t="s">
        <v>376</v>
      </c>
      <c r="F3" s="20"/>
      <c r="G3" s="19" t="s">
        <v>25</v>
      </c>
      <c r="H3" s="20"/>
      <c r="I3" s="23"/>
      <c r="J3" s="23"/>
      <c r="K3" s="23"/>
      <c r="L3" s="23"/>
      <c r="M3" s="23"/>
      <c r="N3" s="21"/>
      <c r="O3" s="20"/>
      <c r="P3" s="30"/>
      <c r="Q3" s="21"/>
      <c r="R3" s="20"/>
      <c r="S3" s="24"/>
      <c r="T3" s="25" t="s">
        <v>331</v>
      </c>
      <c r="U3" s="26"/>
      <c r="V3" s="27"/>
      <c r="W3" s="13"/>
      <c r="X3" s="269" t="s">
        <v>378</v>
      </c>
      <c r="Y3" s="28" t="s">
        <v>447</v>
      </c>
      <c r="Z3" s="20"/>
    </row>
    <row r="4">
      <c r="A4" s="270" t="s">
        <v>380</v>
      </c>
      <c r="B4" s="16" t="s">
        <v>33</v>
      </c>
      <c r="C4" s="17">
        <v>1.0</v>
      </c>
      <c r="D4" s="18">
        <v>5.0</v>
      </c>
      <c r="E4" s="30"/>
      <c r="F4" s="30"/>
      <c r="G4" s="19" t="s">
        <v>381</v>
      </c>
      <c r="H4" s="20"/>
      <c r="I4" s="23"/>
      <c r="J4" s="23"/>
      <c r="K4" s="23"/>
      <c r="L4" s="23"/>
      <c r="M4" s="23"/>
      <c r="N4" s="19">
        <v>-3000.0</v>
      </c>
      <c r="O4" s="20"/>
      <c r="P4" s="30"/>
      <c r="Q4" s="19">
        <v>-15000.0</v>
      </c>
      <c r="R4" s="20"/>
      <c r="S4" s="31">
        <f>Q4/Q28</f>
        <v>-0.1692837979</v>
      </c>
      <c r="T4" s="271" t="s">
        <v>382</v>
      </c>
      <c r="U4" s="14"/>
      <c r="W4" s="20"/>
      <c r="X4" s="18" t="s">
        <v>378</v>
      </c>
      <c r="Y4" s="28" t="s">
        <v>448</v>
      </c>
      <c r="Z4" s="20"/>
    </row>
    <row r="5">
      <c r="A5" s="15" t="s">
        <v>385</v>
      </c>
      <c r="B5" s="16" t="s">
        <v>33</v>
      </c>
      <c r="C5" s="17">
        <v>1.0</v>
      </c>
      <c r="D5" s="18">
        <v>11.1</v>
      </c>
      <c r="E5" s="30"/>
      <c r="F5" s="30"/>
      <c r="G5" s="19" t="s">
        <v>386</v>
      </c>
      <c r="H5" s="20"/>
      <c r="I5" s="23"/>
      <c r="J5" s="23"/>
      <c r="K5" s="23"/>
      <c r="L5" s="23"/>
      <c r="M5" s="23"/>
      <c r="N5" s="19">
        <v>-9000.0</v>
      </c>
      <c r="O5" s="20"/>
      <c r="P5" s="30"/>
      <c r="Q5" s="19">
        <v>-99900.0</v>
      </c>
      <c r="R5" s="20"/>
      <c r="S5" s="31">
        <f>Q5/Q28</f>
        <v>-1.127430094</v>
      </c>
      <c r="T5" s="253" t="s">
        <v>387</v>
      </c>
      <c r="U5" s="14" t="s">
        <v>433</v>
      </c>
      <c r="W5" s="20"/>
      <c r="X5" s="272" t="s">
        <v>378</v>
      </c>
      <c r="Y5" s="28" t="s">
        <v>449</v>
      </c>
      <c r="Z5" s="20"/>
    </row>
    <row r="6">
      <c r="A6" s="287" t="s">
        <v>450</v>
      </c>
      <c r="B6" s="288" t="s">
        <v>39</v>
      </c>
      <c r="C6" s="50">
        <v>1.0</v>
      </c>
      <c r="D6" s="51">
        <v>5.0</v>
      </c>
      <c r="E6" s="42" t="s">
        <v>451</v>
      </c>
      <c r="F6" s="20"/>
      <c r="G6" s="42" t="s">
        <v>452</v>
      </c>
      <c r="H6" s="20"/>
      <c r="I6" s="51" t="s">
        <v>25</v>
      </c>
      <c r="J6" s="51">
        <v>14.0</v>
      </c>
      <c r="K6" s="51">
        <v>4.0</v>
      </c>
      <c r="L6" s="51">
        <v>1.0</v>
      </c>
      <c r="M6" s="51">
        <v>0.0</v>
      </c>
      <c r="N6" s="42">
        <f t="shared" ref="N6:N27" si="1">(J6*L6+K6*M6)*C6</f>
        <v>14</v>
      </c>
      <c r="O6" s="20"/>
      <c r="P6" s="51">
        <f t="shared" ref="P6:P27" si="2">(D6*J6)*C6</f>
        <v>70</v>
      </c>
      <c r="Q6" s="42">
        <f t="shared" ref="Q6:Q27" si="3">(N6*D6)</f>
        <v>70</v>
      </c>
      <c r="R6" s="20"/>
      <c r="S6" s="53">
        <f>Q6/Q28</f>
        <v>0.0007899910571</v>
      </c>
      <c r="T6" s="256" t="s">
        <v>453</v>
      </c>
      <c r="U6" s="29" t="s">
        <v>454</v>
      </c>
      <c r="W6" s="20"/>
      <c r="X6" s="276" t="s">
        <v>378</v>
      </c>
      <c r="Y6" s="28" t="s">
        <v>455</v>
      </c>
      <c r="Z6" s="20"/>
    </row>
    <row r="7">
      <c r="A7" s="289" t="s">
        <v>456</v>
      </c>
      <c r="B7" s="290" t="s">
        <v>457</v>
      </c>
      <c r="C7" s="291">
        <v>1.0</v>
      </c>
      <c r="D7" s="292">
        <v>5.0</v>
      </c>
      <c r="E7" s="234" t="s">
        <v>458</v>
      </c>
      <c r="F7" s="20"/>
      <c r="G7" s="233" t="s">
        <v>452</v>
      </c>
      <c r="I7" s="291" t="s">
        <v>25</v>
      </c>
      <c r="J7" s="292">
        <v>21.0</v>
      </c>
      <c r="K7" s="291">
        <v>6.0</v>
      </c>
      <c r="L7" s="292">
        <v>1.0</v>
      </c>
      <c r="M7" s="291">
        <v>0.0</v>
      </c>
      <c r="N7" s="42">
        <f t="shared" si="1"/>
        <v>21</v>
      </c>
      <c r="P7" s="57">
        <f t="shared" si="2"/>
        <v>105</v>
      </c>
      <c r="Q7" s="42">
        <f t="shared" si="3"/>
        <v>105</v>
      </c>
      <c r="S7" s="293">
        <f>Q7/Q28</f>
        <v>0.001184986586</v>
      </c>
      <c r="T7" s="294" t="s">
        <v>459</v>
      </c>
      <c r="U7" s="283"/>
      <c r="W7" s="20"/>
      <c r="X7" s="275" t="s">
        <v>378</v>
      </c>
      <c r="Y7" s="28" t="s">
        <v>460</v>
      </c>
      <c r="Z7" s="20"/>
      <c r="AA7" s="255"/>
    </row>
    <row r="8">
      <c r="A8" s="48" t="s">
        <v>221</v>
      </c>
      <c r="B8" s="49" t="s">
        <v>46</v>
      </c>
      <c r="C8" s="50">
        <v>1.0</v>
      </c>
      <c r="D8" s="51">
        <v>5.0</v>
      </c>
      <c r="E8" s="42" t="s">
        <v>47</v>
      </c>
      <c r="F8" s="20"/>
      <c r="G8" s="42" t="s">
        <v>25</v>
      </c>
      <c r="H8" s="20"/>
      <c r="I8" s="51" t="s">
        <v>25</v>
      </c>
      <c r="J8" s="51">
        <v>400.0</v>
      </c>
      <c r="K8" s="51">
        <v>0.0</v>
      </c>
      <c r="L8" s="51">
        <v>1.0</v>
      </c>
      <c r="M8" s="51">
        <v>0.0</v>
      </c>
      <c r="N8" s="42">
        <f t="shared" si="1"/>
        <v>400</v>
      </c>
      <c r="O8" s="20"/>
      <c r="P8" s="51">
        <f t="shared" si="2"/>
        <v>2000</v>
      </c>
      <c r="Q8" s="42">
        <f t="shared" si="3"/>
        <v>2000</v>
      </c>
      <c r="R8" s="20"/>
      <c r="S8" s="53">
        <f>Q8/Q28</f>
        <v>0.02257117306</v>
      </c>
      <c r="T8" s="256" t="s">
        <v>48</v>
      </c>
      <c r="U8" s="29" t="s">
        <v>434</v>
      </c>
      <c r="W8" s="20"/>
      <c r="X8" s="276" t="s">
        <v>378</v>
      </c>
      <c r="Y8" s="28" t="s">
        <v>461</v>
      </c>
      <c r="Z8" s="20"/>
    </row>
    <row r="9">
      <c r="A9" s="48" t="s">
        <v>223</v>
      </c>
      <c r="B9" s="49" t="s">
        <v>224</v>
      </c>
      <c r="C9" s="50">
        <v>1.0</v>
      </c>
      <c r="D9" s="51">
        <v>3.3</v>
      </c>
      <c r="E9" s="42" t="s">
        <v>225</v>
      </c>
      <c r="F9" s="20"/>
      <c r="G9" s="42" t="s">
        <v>25</v>
      </c>
      <c r="H9" s="20"/>
      <c r="I9" s="51" t="s">
        <v>25</v>
      </c>
      <c r="J9" s="51">
        <v>250.0</v>
      </c>
      <c r="K9" s="51">
        <v>0.0</v>
      </c>
      <c r="L9" s="51">
        <v>1.0</v>
      </c>
      <c r="M9" s="51">
        <v>0.0</v>
      </c>
      <c r="N9" s="42">
        <f t="shared" si="1"/>
        <v>250</v>
      </c>
      <c r="O9" s="20"/>
      <c r="P9" s="51">
        <f t="shared" si="2"/>
        <v>825</v>
      </c>
      <c r="Q9" s="42">
        <f t="shared" si="3"/>
        <v>825</v>
      </c>
      <c r="R9" s="20"/>
      <c r="S9" s="53">
        <f>Q9/Q28</f>
        <v>0.009310608887</v>
      </c>
      <c r="T9" s="256" t="s">
        <v>48</v>
      </c>
      <c r="U9" s="29" t="s">
        <v>223</v>
      </c>
      <c r="W9" s="20"/>
      <c r="X9" s="276" t="s">
        <v>378</v>
      </c>
      <c r="Y9" s="28" t="s">
        <v>462</v>
      </c>
      <c r="Z9" s="257"/>
    </row>
    <row r="10">
      <c r="A10" s="48" t="s">
        <v>223</v>
      </c>
      <c r="B10" s="49" t="s">
        <v>227</v>
      </c>
      <c r="C10" s="50">
        <v>1.0</v>
      </c>
      <c r="D10" s="51">
        <v>1.8</v>
      </c>
      <c r="E10" s="42" t="s">
        <v>395</v>
      </c>
      <c r="F10" s="20"/>
      <c r="G10" s="42" t="s">
        <v>25</v>
      </c>
      <c r="H10" s="20"/>
      <c r="I10" s="51" t="s">
        <v>25</v>
      </c>
      <c r="J10" s="51">
        <v>250.0</v>
      </c>
      <c r="K10" s="51">
        <v>0.0</v>
      </c>
      <c r="L10" s="51">
        <v>1.0</v>
      </c>
      <c r="M10" s="51">
        <v>0.0</v>
      </c>
      <c r="N10" s="42">
        <f t="shared" si="1"/>
        <v>250</v>
      </c>
      <c r="O10" s="20"/>
      <c r="P10" s="51">
        <f t="shared" si="2"/>
        <v>450</v>
      </c>
      <c r="Q10" s="42">
        <f t="shared" si="3"/>
        <v>450</v>
      </c>
      <c r="R10" s="20"/>
      <c r="S10" s="53">
        <f>Q10/Q28</f>
        <v>0.005078513938</v>
      </c>
      <c r="T10" s="256" t="s">
        <v>48</v>
      </c>
      <c r="U10" s="29" t="s">
        <v>223</v>
      </c>
      <c r="W10" s="20"/>
      <c r="X10" s="276" t="s">
        <v>378</v>
      </c>
      <c r="Y10" s="34" t="s">
        <v>463</v>
      </c>
    </row>
    <row r="11">
      <c r="A11" s="48" t="s">
        <v>223</v>
      </c>
      <c r="B11" s="49" t="s">
        <v>229</v>
      </c>
      <c r="C11" s="50">
        <v>1.0</v>
      </c>
      <c r="D11" s="51">
        <v>2.8</v>
      </c>
      <c r="E11" s="42" t="s">
        <v>230</v>
      </c>
      <c r="F11" s="20"/>
      <c r="G11" s="42" t="s">
        <v>25</v>
      </c>
      <c r="H11" s="20"/>
      <c r="I11" s="51" t="s">
        <v>25</v>
      </c>
      <c r="J11" s="51">
        <v>25.0</v>
      </c>
      <c r="K11" s="51">
        <v>0.0</v>
      </c>
      <c r="L11" s="51">
        <v>1.0</v>
      </c>
      <c r="M11" s="51">
        <v>0.0</v>
      </c>
      <c r="N11" s="42">
        <f t="shared" si="1"/>
        <v>25</v>
      </c>
      <c r="O11" s="20"/>
      <c r="P11" s="51">
        <f t="shared" si="2"/>
        <v>70</v>
      </c>
      <c r="Q11" s="42">
        <f t="shared" si="3"/>
        <v>70</v>
      </c>
      <c r="R11" s="20"/>
      <c r="S11" s="53">
        <f>Q11/Q28</f>
        <v>0.0007899910571</v>
      </c>
      <c r="T11" s="256" t="s">
        <v>48</v>
      </c>
      <c r="U11" s="29" t="s">
        <v>223</v>
      </c>
      <c r="W11" s="20"/>
      <c r="X11" s="276" t="s">
        <v>378</v>
      </c>
      <c r="Y11" s="28"/>
      <c r="Z11" s="20"/>
    </row>
    <row r="12">
      <c r="A12" s="48" t="s">
        <v>223</v>
      </c>
      <c r="B12" s="49" t="s">
        <v>231</v>
      </c>
      <c r="C12" s="50">
        <v>1.0</v>
      </c>
      <c r="D12" s="51">
        <v>3.3</v>
      </c>
      <c r="E12" s="42" t="s">
        <v>396</v>
      </c>
      <c r="F12" s="20"/>
      <c r="G12" s="42" t="s">
        <v>397</v>
      </c>
      <c r="H12" s="20"/>
      <c r="I12" s="51" t="s">
        <v>25</v>
      </c>
      <c r="J12" s="51">
        <v>50.0</v>
      </c>
      <c r="K12" s="51">
        <v>18.0</v>
      </c>
      <c r="L12" s="51">
        <v>1.0</v>
      </c>
      <c r="M12" s="51">
        <v>0.0</v>
      </c>
      <c r="N12" s="42">
        <f t="shared" si="1"/>
        <v>50</v>
      </c>
      <c r="O12" s="20"/>
      <c r="P12" s="51">
        <f t="shared" si="2"/>
        <v>165</v>
      </c>
      <c r="Q12" s="42">
        <f t="shared" si="3"/>
        <v>165</v>
      </c>
      <c r="R12" s="20"/>
      <c r="S12" s="53">
        <f>Q12/Q28</f>
        <v>0.001862121777</v>
      </c>
      <c r="T12" s="256" t="s">
        <v>48</v>
      </c>
      <c r="U12" s="29" t="s">
        <v>344</v>
      </c>
      <c r="W12" s="20"/>
      <c r="X12" s="276" t="s">
        <v>378</v>
      </c>
      <c r="Y12" s="28"/>
      <c r="Z12" s="257"/>
    </row>
    <row r="13">
      <c r="A13" s="48" t="s">
        <v>223</v>
      </c>
      <c r="B13" s="49" t="s">
        <v>235</v>
      </c>
      <c r="C13" s="50">
        <v>1.0</v>
      </c>
      <c r="D13" s="51">
        <v>3.3</v>
      </c>
      <c r="E13" s="42" t="s">
        <v>396</v>
      </c>
      <c r="F13" s="20"/>
      <c r="G13" s="42" t="s">
        <v>397</v>
      </c>
      <c r="H13" s="20"/>
      <c r="I13" s="51" t="s">
        <v>25</v>
      </c>
      <c r="J13" s="51">
        <v>50.0</v>
      </c>
      <c r="K13" s="51">
        <v>18.0</v>
      </c>
      <c r="L13" s="51">
        <v>1.0</v>
      </c>
      <c r="M13" s="51">
        <v>0.0</v>
      </c>
      <c r="N13" s="42">
        <f t="shared" si="1"/>
        <v>50</v>
      </c>
      <c r="O13" s="20"/>
      <c r="P13" s="51">
        <f t="shared" si="2"/>
        <v>165</v>
      </c>
      <c r="Q13" s="42">
        <f t="shared" si="3"/>
        <v>165</v>
      </c>
      <c r="R13" s="20"/>
      <c r="S13" s="53">
        <f>Q13/Q28</f>
        <v>0.001862121777</v>
      </c>
      <c r="T13" s="256" t="s">
        <v>48</v>
      </c>
      <c r="U13" s="29" t="s">
        <v>223</v>
      </c>
      <c r="W13" s="20"/>
      <c r="X13" s="57" t="s">
        <v>378</v>
      </c>
    </row>
    <row r="14">
      <c r="A14" s="48" t="s">
        <v>223</v>
      </c>
      <c r="B14" s="49" t="s">
        <v>290</v>
      </c>
      <c r="C14" s="50">
        <v>1.0</v>
      </c>
      <c r="D14" s="51">
        <v>3.3</v>
      </c>
      <c r="E14" s="42" t="s">
        <v>291</v>
      </c>
      <c r="F14" s="20"/>
      <c r="G14" s="42" t="s">
        <v>25</v>
      </c>
      <c r="H14" s="20"/>
      <c r="I14" s="51" t="s">
        <v>25</v>
      </c>
      <c r="J14" s="51">
        <v>50.0</v>
      </c>
      <c r="K14" s="51">
        <v>0.0</v>
      </c>
      <c r="L14" s="51">
        <v>0.0</v>
      </c>
      <c r="M14" s="51">
        <v>1.0</v>
      </c>
      <c r="N14" s="42">
        <f t="shared" si="1"/>
        <v>0</v>
      </c>
      <c r="O14" s="20"/>
      <c r="P14" s="51">
        <f t="shared" si="2"/>
        <v>165</v>
      </c>
      <c r="Q14" s="42">
        <f t="shared" si="3"/>
        <v>0</v>
      </c>
      <c r="R14" s="20"/>
      <c r="S14" s="53">
        <f>Q14/Q28</f>
        <v>0</v>
      </c>
      <c r="T14" s="256" t="s">
        <v>48</v>
      </c>
      <c r="U14" s="29" t="s">
        <v>435</v>
      </c>
      <c r="W14" s="20"/>
      <c r="X14" s="57" t="s">
        <v>378</v>
      </c>
      <c r="Y14" s="200" t="s">
        <v>314</v>
      </c>
    </row>
    <row r="15">
      <c r="A15" s="73" t="s">
        <v>66</v>
      </c>
      <c r="B15" s="74" t="s">
        <v>251</v>
      </c>
      <c r="C15" s="75">
        <v>1.0</v>
      </c>
      <c r="D15" s="78">
        <v>2.8</v>
      </c>
      <c r="E15" s="77" t="s">
        <v>350</v>
      </c>
      <c r="F15" s="20"/>
      <c r="G15" s="77" t="s">
        <v>25</v>
      </c>
      <c r="H15" s="20"/>
      <c r="I15" s="78" t="s">
        <v>25</v>
      </c>
      <c r="J15" s="78">
        <v>2.0</v>
      </c>
      <c r="K15" s="78">
        <v>0.265</v>
      </c>
      <c r="L15" s="78">
        <v>1.0</v>
      </c>
      <c r="M15" s="78">
        <v>0.0</v>
      </c>
      <c r="N15" s="77">
        <f t="shared" si="1"/>
        <v>2</v>
      </c>
      <c r="O15" s="20"/>
      <c r="P15" s="78">
        <f t="shared" si="2"/>
        <v>5.6</v>
      </c>
      <c r="Q15" s="77">
        <f t="shared" si="3"/>
        <v>5.6</v>
      </c>
      <c r="R15" s="20"/>
      <c r="S15" s="81">
        <f>Q15/Q28</f>
        <v>0.00006319928457</v>
      </c>
      <c r="T15" s="260" t="s">
        <v>70</v>
      </c>
      <c r="U15" s="261"/>
      <c r="V15" s="27"/>
      <c r="W15" s="13"/>
      <c r="X15" s="89" t="s">
        <v>378</v>
      </c>
      <c r="Y15" s="200" t="s">
        <v>464</v>
      </c>
    </row>
    <row r="16">
      <c r="A16" s="262" t="s">
        <v>223</v>
      </c>
      <c r="B16" s="74" t="s">
        <v>352</v>
      </c>
      <c r="C16" s="85">
        <v>1.0</v>
      </c>
      <c r="D16" s="78">
        <v>1.8</v>
      </c>
      <c r="E16" s="263" t="s">
        <v>436</v>
      </c>
      <c r="F16" s="20"/>
      <c r="G16" s="77" t="s">
        <v>405</v>
      </c>
      <c r="H16" s="20"/>
      <c r="I16" s="78" t="s">
        <v>25</v>
      </c>
      <c r="J16" s="78">
        <v>0.5</v>
      </c>
      <c r="K16" s="78">
        <v>0.0</v>
      </c>
      <c r="L16" s="78">
        <v>1.0</v>
      </c>
      <c r="M16" s="78">
        <v>0.0</v>
      </c>
      <c r="N16" s="77">
        <f t="shared" si="1"/>
        <v>0.5</v>
      </c>
      <c r="O16" s="20"/>
      <c r="P16" s="78">
        <f t="shared" si="2"/>
        <v>0.9</v>
      </c>
      <c r="Q16" s="77">
        <f t="shared" si="3"/>
        <v>0.9</v>
      </c>
      <c r="R16" s="20"/>
      <c r="S16" s="81">
        <f>Q16/Q28</f>
        <v>0.00001015702788</v>
      </c>
      <c r="T16" s="260" t="s">
        <v>70</v>
      </c>
      <c r="U16" s="35"/>
      <c r="W16" s="20"/>
      <c r="X16" s="89" t="s">
        <v>378</v>
      </c>
    </row>
    <row r="17">
      <c r="A17" s="73" t="s">
        <v>72</v>
      </c>
      <c r="B17" s="84" t="s">
        <v>73</v>
      </c>
      <c r="C17" s="85">
        <v>3.0</v>
      </c>
      <c r="D17" s="78">
        <v>5.0</v>
      </c>
      <c r="E17" s="77" t="s">
        <v>401</v>
      </c>
      <c r="F17" s="20"/>
      <c r="G17" s="77" t="s">
        <v>75</v>
      </c>
      <c r="H17" s="20"/>
      <c r="I17" s="78" t="s">
        <v>25</v>
      </c>
      <c r="J17" s="78">
        <v>15.0</v>
      </c>
      <c r="K17" s="78">
        <v>0.0</v>
      </c>
      <c r="L17" s="78">
        <v>1.0</v>
      </c>
      <c r="M17" s="78">
        <v>0.0</v>
      </c>
      <c r="N17" s="77">
        <f t="shared" si="1"/>
        <v>45</v>
      </c>
      <c r="O17" s="20"/>
      <c r="P17" s="78">
        <f t="shared" si="2"/>
        <v>225</v>
      </c>
      <c r="Q17" s="77">
        <f t="shared" si="3"/>
        <v>225</v>
      </c>
      <c r="R17" s="20"/>
      <c r="S17" s="81">
        <f>Q17/Q28</f>
        <v>0.002539256969</v>
      </c>
      <c r="T17" s="260" t="s">
        <v>76</v>
      </c>
      <c r="U17" s="35"/>
      <c r="W17" s="20"/>
      <c r="X17" s="89" t="s">
        <v>378</v>
      </c>
    </row>
    <row r="18">
      <c r="A18" s="87" t="s">
        <v>78</v>
      </c>
      <c r="B18" s="88" t="s">
        <v>79</v>
      </c>
      <c r="C18" s="75">
        <v>1.0</v>
      </c>
      <c r="D18" s="78">
        <v>3.3</v>
      </c>
      <c r="E18" s="77" t="s">
        <v>437</v>
      </c>
      <c r="F18" s="20"/>
      <c r="G18" s="77" t="s">
        <v>403</v>
      </c>
      <c r="H18" s="20"/>
      <c r="I18" s="78" t="s">
        <v>25</v>
      </c>
      <c r="J18" s="78">
        <v>25.0</v>
      </c>
      <c r="K18" s="78">
        <v>20.0</v>
      </c>
      <c r="L18" s="78">
        <v>1.0</v>
      </c>
      <c r="M18" s="78">
        <v>0.0</v>
      </c>
      <c r="N18" s="77">
        <f t="shared" si="1"/>
        <v>25</v>
      </c>
      <c r="O18" s="20"/>
      <c r="P18" s="78">
        <f t="shared" si="2"/>
        <v>82.5</v>
      </c>
      <c r="Q18" s="77">
        <f t="shared" si="3"/>
        <v>82.5</v>
      </c>
      <c r="R18" s="20"/>
      <c r="S18" s="81">
        <f>Q18/Q28</f>
        <v>0.0009310608887</v>
      </c>
      <c r="T18" s="260" t="s">
        <v>82</v>
      </c>
      <c r="U18" s="35" t="s">
        <v>438</v>
      </c>
      <c r="W18" s="20"/>
      <c r="X18" s="89" t="s">
        <v>378</v>
      </c>
    </row>
    <row r="19">
      <c r="A19" s="87" t="s">
        <v>223</v>
      </c>
      <c r="B19" s="88" t="s">
        <v>356</v>
      </c>
      <c r="C19" s="75">
        <v>1.0</v>
      </c>
      <c r="D19" s="78">
        <v>3.3</v>
      </c>
      <c r="E19" s="77" t="s">
        <v>357</v>
      </c>
      <c r="F19" s="20"/>
      <c r="G19" s="77" t="s">
        <v>25</v>
      </c>
      <c r="H19" s="20"/>
      <c r="I19" s="78" t="s">
        <v>25</v>
      </c>
      <c r="J19" s="78">
        <v>0.0</v>
      </c>
      <c r="K19" s="78">
        <v>0.0</v>
      </c>
      <c r="L19" s="78">
        <v>1.0</v>
      </c>
      <c r="M19" s="78">
        <v>0.0</v>
      </c>
      <c r="N19" s="77">
        <f t="shared" si="1"/>
        <v>0</v>
      </c>
      <c r="O19" s="20"/>
      <c r="P19" s="78">
        <f t="shared" si="2"/>
        <v>0</v>
      </c>
      <c r="Q19" s="77">
        <f t="shared" si="3"/>
        <v>0</v>
      </c>
      <c r="R19" s="20"/>
      <c r="S19" s="81">
        <f>Q19/Q28</f>
        <v>0</v>
      </c>
      <c r="T19" s="260" t="s">
        <v>82</v>
      </c>
      <c r="U19" s="35"/>
      <c r="W19" s="20"/>
      <c r="X19" s="89" t="s">
        <v>378</v>
      </c>
    </row>
    <row r="20">
      <c r="A20" s="87" t="s">
        <v>223</v>
      </c>
      <c r="B20" s="88" t="s">
        <v>201</v>
      </c>
      <c r="C20" s="75">
        <v>1.0</v>
      </c>
      <c r="D20" s="78">
        <v>3.3</v>
      </c>
      <c r="E20" s="77" t="s">
        <v>239</v>
      </c>
      <c r="F20" s="20"/>
      <c r="G20" s="77" t="s">
        <v>25</v>
      </c>
      <c r="H20" s="20"/>
      <c r="I20" s="78" t="s">
        <v>25</v>
      </c>
      <c r="J20" s="78">
        <v>20.0</v>
      </c>
      <c r="K20" s="78">
        <v>4.0</v>
      </c>
      <c r="L20" s="78">
        <v>1.0</v>
      </c>
      <c r="M20" s="78">
        <v>0.0</v>
      </c>
      <c r="N20" s="77">
        <f t="shared" si="1"/>
        <v>20</v>
      </c>
      <c r="O20" s="20"/>
      <c r="P20" s="78">
        <f t="shared" si="2"/>
        <v>66</v>
      </c>
      <c r="Q20" s="77">
        <f t="shared" si="3"/>
        <v>66</v>
      </c>
      <c r="R20" s="20"/>
      <c r="S20" s="81">
        <f>Q20/Q28</f>
        <v>0.000744848711</v>
      </c>
      <c r="T20" s="260" t="s">
        <v>82</v>
      </c>
      <c r="U20" s="35"/>
      <c r="W20" s="20"/>
      <c r="X20" s="89" t="s">
        <v>378</v>
      </c>
    </row>
    <row r="21">
      <c r="A21" s="73" t="s">
        <v>84</v>
      </c>
      <c r="B21" s="90" t="s">
        <v>85</v>
      </c>
      <c r="C21" s="75">
        <v>1.0</v>
      </c>
      <c r="D21" s="78">
        <v>1.8</v>
      </c>
      <c r="E21" s="77" t="s">
        <v>359</v>
      </c>
      <c r="F21" s="20"/>
      <c r="G21" s="77" t="s">
        <v>25</v>
      </c>
      <c r="H21" s="20"/>
      <c r="I21" s="78" t="s">
        <v>25</v>
      </c>
      <c r="J21" s="78">
        <v>3.11</v>
      </c>
      <c r="K21" s="78">
        <v>1.23</v>
      </c>
      <c r="L21" s="78">
        <v>1.0</v>
      </c>
      <c r="M21" s="78">
        <v>0.0</v>
      </c>
      <c r="N21" s="77">
        <f t="shared" si="1"/>
        <v>3.11</v>
      </c>
      <c r="O21" s="20"/>
      <c r="P21" s="78">
        <f t="shared" si="2"/>
        <v>5.598</v>
      </c>
      <c r="Q21" s="77">
        <f t="shared" si="3"/>
        <v>5.598</v>
      </c>
      <c r="R21" s="20"/>
      <c r="S21" s="81">
        <f>Q21/Q28</f>
        <v>0.00006317671339</v>
      </c>
      <c r="T21" s="264" t="s">
        <v>88</v>
      </c>
      <c r="U21" s="35"/>
      <c r="W21" s="20"/>
      <c r="X21" s="89" t="s">
        <v>378</v>
      </c>
    </row>
    <row r="22">
      <c r="A22" s="262" t="s">
        <v>223</v>
      </c>
      <c r="B22" s="265" t="s">
        <v>352</v>
      </c>
      <c r="C22" s="75">
        <v>1.0</v>
      </c>
      <c r="D22" s="78">
        <v>1.8</v>
      </c>
      <c r="E22" s="77" t="s">
        <v>404</v>
      </c>
      <c r="F22" s="20"/>
      <c r="G22" s="77" t="s">
        <v>405</v>
      </c>
      <c r="H22" s="20"/>
      <c r="I22" s="78" t="s">
        <v>25</v>
      </c>
      <c r="J22" s="78">
        <v>6.0</v>
      </c>
      <c r="K22" s="78">
        <v>0.0</v>
      </c>
      <c r="L22" s="78">
        <v>1.0</v>
      </c>
      <c r="M22" s="78">
        <v>0.0</v>
      </c>
      <c r="N22" s="77">
        <f t="shared" si="1"/>
        <v>6</v>
      </c>
      <c r="O22" s="20"/>
      <c r="P22" s="78">
        <f t="shared" si="2"/>
        <v>10.8</v>
      </c>
      <c r="Q22" s="77">
        <f t="shared" si="3"/>
        <v>10.8</v>
      </c>
      <c r="R22" s="20"/>
      <c r="S22" s="81">
        <f>Q22/Q28</f>
        <v>0.0001218843345</v>
      </c>
      <c r="T22" s="264" t="s">
        <v>88</v>
      </c>
      <c r="U22" s="35"/>
      <c r="W22" s="20"/>
      <c r="X22" s="89" t="s">
        <v>378</v>
      </c>
    </row>
    <row r="23">
      <c r="A23" s="295" t="s">
        <v>465</v>
      </c>
      <c r="B23" s="296" t="s">
        <v>272</v>
      </c>
      <c r="C23" s="297">
        <v>1.0</v>
      </c>
      <c r="D23" s="298">
        <v>11.1</v>
      </c>
      <c r="E23" s="299" t="s">
        <v>273</v>
      </c>
      <c r="F23" s="20"/>
      <c r="G23" s="299" t="s">
        <v>25</v>
      </c>
      <c r="H23" s="20"/>
      <c r="I23" s="298" t="s">
        <v>25</v>
      </c>
      <c r="J23" s="284">
        <v>0.0</v>
      </c>
      <c r="K23" s="284">
        <v>0.0</v>
      </c>
      <c r="L23" s="298">
        <v>0.0</v>
      </c>
      <c r="M23" s="298">
        <v>0.0</v>
      </c>
      <c r="N23" s="299">
        <f t="shared" si="1"/>
        <v>0</v>
      </c>
      <c r="O23" s="20"/>
      <c r="P23" s="298">
        <f t="shared" si="2"/>
        <v>0</v>
      </c>
      <c r="Q23" s="299">
        <f t="shared" si="3"/>
        <v>0</v>
      </c>
      <c r="R23" s="20"/>
      <c r="S23" s="300">
        <f>Q23/Q28</f>
        <v>0</v>
      </c>
      <c r="T23" s="301" t="s">
        <v>407</v>
      </c>
      <c r="U23" s="302" t="s">
        <v>439</v>
      </c>
      <c r="W23" s="20"/>
      <c r="X23" s="303" t="s">
        <v>409</v>
      </c>
    </row>
    <row r="24">
      <c r="A24" s="304" t="s">
        <v>206</v>
      </c>
      <c r="B24" s="305" t="s">
        <v>97</v>
      </c>
      <c r="C24" s="297">
        <v>4.0</v>
      </c>
      <c r="D24" s="298">
        <v>11.1</v>
      </c>
      <c r="E24" s="299" t="s">
        <v>98</v>
      </c>
      <c r="F24" s="20"/>
      <c r="G24" s="299" t="s">
        <v>25</v>
      </c>
      <c r="H24" s="20"/>
      <c r="I24" s="298" t="s">
        <v>25</v>
      </c>
      <c r="J24" s="298">
        <v>2586.0</v>
      </c>
      <c r="K24" s="298">
        <v>915.0</v>
      </c>
      <c r="L24" s="298">
        <v>0.5</v>
      </c>
      <c r="M24" s="298">
        <v>0.5</v>
      </c>
      <c r="N24" s="299">
        <f t="shared" si="1"/>
        <v>7002</v>
      </c>
      <c r="O24" s="20"/>
      <c r="P24" s="298">
        <f t="shared" si="2"/>
        <v>114818.4</v>
      </c>
      <c r="Q24" s="299">
        <f t="shared" si="3"/>
        <v>77722.2</v>
      </c>
      <c r="R24" s="20"/>
      <c r="S24" s="300">
        <f>Q24/Q28</f>
        <v>0.8771406134</v>
      </c>
      <c r="T24" s="306" t="s">
        <v>99</v>
      </c>
      <c r="U24" s="307" t="s">
        <v>466</v>
      </c>
      <c r="W24" s="20"/>
      <c r="X24" s="303" t="s">
        <v>409</v>
      </c>
      <c r="Y24" s="307" t="s">
        <v>467</v>
      </c>
      <c r="AA24" s="20"/>
    </row>
    <row r="25">
      <c r="A25" s="308" t="s">
        <v>411</v>
      </c>
      <c r="B25" s="309" t="s">
        <v>412</v>
      </c>
      <c r="C25" s="297">
        <v>1.0</v>
      </c>
      <c r="D25" s="298">
        <v>12.0</v>
      </c>
      <c r="E25" s="299" t="s">
        <v>413</v>
      </c>
      <c r="F25" s="20"/>
      <c r="G25" s="299" t="s">
        <v>25</v>
      </c>
      <c r="H25" s="20"/>
      <c r="I25" s="298" t="s">
        <v>25</v>
      </c>
      <c r="J25" s="284">
        <v>220.0</v>
      </c>
      <c r="K25" s="284">
        <v>0.0</v>
      </c>
      <c r="L25" s="298">
        <v>1.0</v>
      </c>
      <c r="M25" s="298">
        <v>0.0</v>
      </c>
      <c r="N25" s="299">
        <f t="shared" si="1"/>
        <v>220</v>
      </c>
      <c r="O25" s="20"/>
      <c r="P25" s="298">
        <f t="shared" si="2"/>
        <v>2640</v>
      </c>
      <c r="Q25" s="299">
        <f t="shared" si="3"/>
        <v>2640</v>
      </c>
      <c r="R25" s="20"/>
      <c r="S25" s="300">
        <f>Q25/Q28</f>
        <v>0.02979394844</v>
      </c>
      <c r="T25" s="301" t="s">
        <v>414</v>
      </c>
      <c r="U25" s="302" t="s">
        <v>440</v>
      </c>
      <c r="W25" s="20"/>
      <c r="X25" s="303" t="s">
        <v>409</v>
      </c>
    </row>
    <row r="26">
      <c r="A26" s="308" t="s">
        <v>223</v>
      </c>
      <c r="B26" s="310" t="s">
        <v>441</v>
      </c>
      <c r="C26" s="297">
        <v>1.0</v>
      </c>
      <c r="D26" s="298">
        <v>12.0</v>
      </c>
      <c r="E26" s="299" t="s">
        <v>442</v>
      </c>
      <c r="F26" s="20"/>
      <c r="G26" s="299" t="s">
        <v>25</v>
      </c>
      <c r="H26" s="20"/>
      <c r="I26" s="298" t="s">
        <v>25</v>
      </c>
      <c r="J26" s="284">
        <v>0.0</v>
      </c>
      <c r="K26" s="284">
        <v>0.0</v>
      </c>
      <c r="L26" s="298">
        <v>1.0</v>
      </c>
      <c r="M26" s="298">
        <v>0.0</v>
      </c>
      <c r="N26" s="299">
        <f t="shared" si="1"/>
        <v>0</v>
      </c>
      <c r="O26" s="20"/>
      <c r="P26" s="298">
        <f t="shared" si="2"/>
        <v>0</v>
      </c>
      <c r="Q26" s="299">
        <f t="shared" si="3"/>
        <v>0</v>
      </c>
      <c r="R26" s="20"/>
      <c r="S26" s="300">
        <f>Q26/Q28</f>
        <v>0</v>
      </c>
      <c r="T26" s="301" t="s">
        <v>414</v>
      </c>
      <c r="U26" s="302"/>
      <c r="W26" s="20"/>
      <c r="X26" s="303" t="s">
        <v>409</v>
      </c>
    </row>
    <row r="27">
      <c r="A27" s="311" t="s">
        <v>315</v>
      </c>
      <c r="B27" s="312" t="s">
        <v>102</v>
      </c>
      <c r="C27" s="313">
        <v>4.0</v>
      </c>
      <c r="D27" s="314">
        <v>5.0</v>
      </c>
      <c r="E27" s="315" t="s">
        <v>103</v>
      </c>
      <c r="F27" s="66"/>
      <c r="G27" s="315" t="s">
        <v>25</v>
      </c>
      <c r="H27" s="66"/>
      <c r="I27" s="314" t="s">
        <v>25</v>
      </c>
      <c r="J27" s="286">
        <v>400.0</v>
      </c>
      <c r="K27" s="286">
        <v>1.0</v>
      </c>
      <c r="L27" s="314">
        <v>0.5</v>
      </c>
      <c r="M27" s="314">
        <v>0.0</v>
      </c>
      <c r="N27" s="315">
        <f t="shared" si="1"/>
        <v>800</v>
      </c>
      <c r="O27" s="66"/>
      <c r="P27" s="314">
        <f t="shared" si="2"/>
        <v>8000</v>
      </c>
      <c r="Q27" s="315">
        <f t="shared" si="3"/>
        <v>4000</v>
      </c>
      <c r="R27" s="66"/>
      <c r="S27" s="316">
        <f>Q27/Q28</f>
        <v>0.04514234612</v>
      </c>
      <c r="T27" s="317" t="s">
        <v>316</v>
      </c>
      <c r="U27" s="318" t="s">
        <v>468</v>
      </c>
      <c r="V27" s="72"/>
      <c r="W27" s="66"/>
      <c r="X27" s="319" t="s">
        <v>409</v>
      </c>
    </row>
    <row r="28">
      <c r="A28" s="119"/>
      <c r="B28" s="120"/>
      <c r="C28" s="121"/>
      <c r="D28" s="150" t="s">
        <v>444</v>
      </c>
      <c r="N28" s="124">
        <f>sum(N6:O27)</f>
        <v>9183.61</v>
      </c>
      <c r="O28" s="6"/>
      <c r="P28" s="282">
        <f>sum(P6:P27)</f>
        <v>129869.798</v>
      </c>
      <c r="Q28" s="124">
        <f>SUM(Q6:Q27)</f>
        <v>88608.598</v>
      </c>
      <c r="R28" s="6"/>
    </row>
    <row r="29">
      <c r="A29" s="125"/>
      <c r="C29" s="121"/>
      <c r="D29" s="9" t="s">
        <v>107</v>
      </c>
      <c r="N29" s="127" t="s">
        <v>108</v>
      </c>
      <c r="O29" s="72"/>
      <c r="P29" s="250" t="s">
        <v>417</v>
      </c>
      <c r="Q29" s="250" t="s">
        <v>109</v>
      </c>
      <c r="R29" s="66"/>
    </row>
    <row r="30">
      <c r="A30" s="128"/>
      <c r="B30" s="128"/>
      <c r="C30" s="125"/>
      <c r="D30" s="34"/>
    </row>
    <row r="31">
      <c r="A31" s="129" t="s">
        <v>418</v>
      </c>
      <c r="B31" s="130" t="s">
        <v>111</v>
      </c>
      <c r="C31" s="130" t="s">
        <v>419</v>
      </c>
      <c r="D31" s="131" t="s">
        <v>364</v>
      </c>
      <c r="E31" s="131" t="s">
        <v>114</v>
      </c>
      <c r="F31" s="132" t="s">
        <v>115</v>
      </c>
      <c r="G31" s="6"/>
      <c r="H31" s="132" t="s">
        <v>420</v>
      </c>
      <c r="I31" s="6"/>
      <c r="J31" s="132" t="s">
        <v>19</v>
      </c>
      <c r="K31" s="6"/>
    </row>
    <row r="32">
      <c r="A32" s="138" t="s">
        <v>121</v>
      </c>
      <c r="B32" s="139">
        <v>1.0</v>
      </c>
      <c r="C32" s="140">
        <v>7.4</v>
      </c>
      <c r="D32" s="139">
        <v>0.0</v>
      </c>
      <c r="E32" s="139">
        <v>8256.0</v>
      </c>
      <c r="F32" s="140">
        <v>8256.0</v>
      </c>
      <c r="G32" s="20"/>
      <c r="H32" s="140">
        <f t="shared" ref="H32:H38" si="4">D32*F32</f>
        <v>0</v>
      </c>
      <c r="I32" s="20"/>
      <c r="J32" s="143" t="s">
        <v>469</v>
      </c>
      <c r="K32" s="20"/>
    </row>
    <row r="33">
      <c r="A33" s="138" t="s">
        <v>125</v>
      </c>
      <c r="B33" s="139">
        <v>7.0</v>
      </c>
      <c r="C33" s="140">
        <v>5.0</v>
      </c>
      <c r="D33" s="139">
        <v>2.4</v>
      </c>
      <c r="E33" s="139">
        <v>1635.0</v>
      </c>
      <c r="F33" s="320"/>
      <c r="G33" s="20"/>
      <c r="H33" s="140">
        <f t="shared" si="4"/>
        <v>0</v>
      </c>
      <c r="I33" s="20"/>
      <c r="J33" s="321"/>
      <c r="K33" s="20"/>
    </row>
    <row r="34">
      <c r="A34" s="138" t="s">
        <v>129</v>
      </c>
      <c r="B34" s="139">
        <v>7.0</v>
      </c>
      <c r="C34" s="140">
        <v>3.3</v>
      </c>
      <c r="D34" s="139">
        <v>4.1</v>
      </c>
      <c r="E34" s="139">
        <v>395.0</v>
      </c>
      <c r="F34" s="320"/>
      <c r="G34" s="20"/>
      <c r="H34" s="140">
        <f t="shared" si="4"/>
        <v>0</v>
      </c>
      <c r="I34" s="20"/>
      <c r="J34" s="321"/>
      <c r="K34" s="20"/>
    </row>
    <row r="35">
      <c r="A35" s="138" t="s">
        <v>260</v>
      </c>
      <c r="B35" s="139">
        <v>2.0</v>
      </c>
      <c r="C35" s="140">
        <v>2.8</v>
      </c>
      <c r="D35" s="139">
        <v>4.6</v>
      </c>
      <c r="E35" s="139">
        <v>27.0</v>
      </c>
      <c r="F35" s="320"/>
      <c r="G35" s="20"/>
      <c r="H35" s="140">
        <f t="shared" si="4"/>
        <v>0</v>
      </c>
      <c r="I35" s="20"/>
      <c r="J35" s="321"/>
      <c r="K35" s="20"/>
    </row>
    <row r="36">
      <c r="A36" s="142" t="s">
        <v>300</v>
      </c>
      <c r="B36" s="140">
        <v>4.0</v>
      </c>
      <c r="C36" s="139">
        <v>1.8</v>
      </c>
      <c r="D36" s="140">
        <v>5.6</v>
      </c>
      <c r="E36" s="138">
        <v>259.0</v>
      </c>
      <c r="F36" s="322"/>
      <c r="G36" s="20"/>
      <c r="H36" s="140">
        <f t="shared" si="4"/>
        <v>0</v>
      </c>
      <c r="I36" s="20"/>
      <c r="J36" s="143"/>
      <c r="K36" s="20"/>
    </row>
    <row r="37">
      <c r="A37" s="138" t="s">
        <v>132</v>
      </c>
      <c r="B37" s="139">
        <v>1.0</v>
      </c>
      <c r="C37" s="140">
        <v>8.4</v>
      </c>
      <c r="D37" s="139">
        <v>-1.0</v>
      </c>
      <c r="E37" s="323"/>
      <c r="F37" s="320"/>
      <c r="G37" s="20"/>
      <c r="H37" s="140">
        <f t="shared" si="4"/>
        <v>0</v>
      </c>
      <c r="I37" s="20"/>
      <c r="J37" s="143" t="s">
        <v>470</v>
      </c>
      <c r="K37" s="20"/>
    </row>
    <row r="38">
      <c r="A38" s="266" t="s">
        <v>471</v>
      </c>
      <c r="B38" s="156">
        <v>2.0</v>
      </c>
      <c r="C38" s="155">
        <v>12.0</v>
      </c>
      <c r="D38" s="156">
        <v>-4.6</v>
      </c>
      <c r="E38" s="324"/>
      <c r="F38" s="325"/>
      <c r="G38" s="66"/>
      <c r="H38" s="155">
        <f t="shared" si="4"/>
        <v>0</v>
      </c>
      <c r="I38" s="66"/>
      <c r="J38" s="267" t="s">
        <v>470</v>
      </c>
      <c r="K38" s="66"/>
    </row>
  </sheetData>
  <mergeCells count="169">
    <mergeCell ref="Q11:R11"/>
    <mergeCell ref="Q12:R12"/>
    <mergeCell ref="Q3:R3"/>
    <mergeCell ref="Q4:R4"/>
    <mergeCell ref="Q6:R6"/>
    <mergeCell ref="Q7:R7"/>
    <mergeCell ref="Q8:R8"/>
    <mergeCell ref="Q9:R9"/>
    <mergeCell ref="Q10:R10"/>
    <mergeCell ref="N11:O11"/>
    <mergeCell ref="N12:O12"/>
    <mergeCell ref="N13:O13"/>
    <mergeCell ref="Q13:R13"/>
    <mergeCell ref="N14:O14"/>
    <mergeCell ref="Q14:R14"/>
    <mergeCell ref="Q15:R15"/>
    <mergeCell ref="N22:O22"/>
    <mergeCell ref="N23:O23"/>
    <mergeCell ref="N24:O24"/>
    <mergeCell ref="N25:O25"/>
    <mergeCell ref="N26:O26"/>
    <mergeCell ref="N27:O27"/>
    <mergeCell ref="N28:O28"/>
    <mergeCell ref="N29:O29"/>
    <mergeCell ref="N15:O15"/>
    <mergeCell ref="N16:O16"/>
    <mergeCell ref="N17:O17"/>
    <mergeCell ref="N18:O18"/>
    <mergeCell ref="N19:O19"/>
    <mergeCell ref="N20:O20"/>
    <mergeCell ref="N21:O21"/>
    <mergeCell ref="Q23:R23"/>
    <mergeCell ref="Q24:R24"/>
    <mergeCell ref="Q25:R25"/>
    <mergeCell ref="Q26:R26"/>
    <mergeCell ref="Q27:R27"/>
    <mergeCell ref="Q28:R28"/>
    <mergeCell ref="Q29:R29"/>
    <mergeCell ref="Q16:R16"/>
    <mergeCell ref="Q17:R17"/>
    <mergeCell ref="Q18:R18"/>
    <mergeCell ref="Q19:R19"/>
    <mergeCell ref="Q20:R20"/>
    <mergeCell ref="Q21:R21"/>
    <mergeCell ref="Q22:R22"/>
    <mergeCell ref="U24:W24"/>
    <mergeCell ref="U25:W25"/>
    <mergeCell ref="U26:W26"/>
    <mergeCell ref="U27:W27"/>
    <mergeCell ref="U18:W18"/>
    <mergeCell ref="U19:W19"/>
    <mergeCell ref="U20:W20"/>
    <mergeCell ref="U21:W21"/>
    <mergeCell ref="U22:W22"/>
    <mergeCell ref="U23:W23"/>
    <mergeCell ref="Y24:AA24"/>
    <mergeCell ref="U2:W2"/>
    <mergeCell ref="Y2:Z2"/>
    <mergeCell ref="E1:F1"/>
    <mergeCell ref="G1:H1"/>
    <mergeCell ref="L1:M1"/>
    <mergeCell ref="E2:F2"/>
    <mergeCell ref="G2:H2"/>
    <mergeCell ref="N2:O2"/>
    <mergeCell ref="Q2:R2"/>
    <mergeCell ref="Y3:Z3"/>
    <mergeCell ref="Y4:Z4"/>
    <mergeCell ref="Y5:Z5"/>
    <mergeCell ref="Y6:Z6"/>
    <mergeCell ref="Y7:Z7"/>
    <mergeCell ref="Y8:Z8"/>
    <mergeCell ref="Y10:Z10"/>
    <mergeCell ref="Y11:Z11"/>
    <mergeCell ref="E3:F3"/>
    <mergeCell ref="G3:H3"/>
    <mergeCell ref="N3:O3"/>
    <mergeCell ref="U3:W3"/>
    <mergeCell ref="G4:H4"/>
    <mergeCell ref="G5:H5"/>
    <mergeCell ref="Q5:R5"/>
    <mergeCell ref="N4:O4"/>
    <mergeCell ref="N5:O5"/>
    <mergeCell ref="N6:O6"/>
    <mergeCell ref="N7:O7"/>
    <mergeCell ref="N8:O8"/>
    <mergeCell ref="N9:O9"/>
    <mergeCell ref="N10:O10"/>
    <mergeCell ref="U4:W4"/>
    <mergeCell ref="U5:W5"/>
    <mergeCell ref="U6:W6"/>
    <mergeCell ref="U7:W7"/>
    <mergeCell ref="U8:W8"/>
    <mergeCell ref="U9:W9"/>
    <mergeCell ref="U10:W10"/>
    <mergeCell ref="U11:W11"/>
    <mergeCell ref="U12:W12"/>
    <mergeCell ref="U13:W13"/>
    <mergeCell ref="U14:W14"/>
    <mergeCell ref="U15:W15"/>
    <mergeCell ref="U16:W16"/>
    <mergeCell ref="U17:W17"/>
    <mergeCell ref="H34:I34"/>
    <mergeCell ref="J34:K34"/>
    <mergeCell ref="F32:G32"/>
    <mergeCell ref="H32:I32"/>
    <mergeCell ref="J32:K32"/>
    <mergeCell ref="F33:G33"/>
    <mergeCell ref="H33:I33"/>
    <mergeCell ref="J33:K33"/>
    <mergeCell ref="F34:G34"/>
    <mergeCell ref="H37:I37"/>
    <mergeCell ref="J37:K37"/>
    <mergeCell ref="F38:G38"/>
    <mergeCell ref="H38:I38"/>
    <mergeCell ref="J38:K38"/>
    <mergeCell ref="F35:G35"/>
    <mergeCell ref="H35:I35"/>
    <mergeCell ref="J35:K35"/>
    <mergeCell ref="F36:G36"/>
    <mergeCell ref="H36:I36"/>
    <mergeCell ref="J36:K36"/>
    <mergeCell ref="F37:G37"/>
    <mergeCell ref="E6:F6"/>
    <mergeCell ref="G6:H6"/>
    <mergeCell ref="E7:F7"/>
    <mergeCell ref="G7:H7"/>
    <mergeCell ref="E8:F8"/>
    <mergeCell ref="G8:H8"/>
    <mergeCell ref="G9:H9"/>
    <mergeCell ref="E9:F9"/>
    <mergeCell ref="E10:F10"/>
    <mergeCell ref="E11:F11"/>
    <mergeCell ref="E12:F12"/>
    <mergeCell ref="E13:F13"/>
    <mergeCell ref="E14:F14"/>
    <mergeCell ref="E15:F15"/>
    <mergeCell ref="G10:H10"/>
    <mergeCell ref="G11:H11"/>
    <mergeCell ref="G12:H12"/>
    <mergeCell ref="G13:H13"/>
    <mergeCell ref="G14:H14"/>
    <mergeCell ref="G15:H15"/>
    <mergeCell ref="G16:H16"/>
    <mergeCell ref="E23:F23"/>
    <mergeCell ref="E24:F24"/>
    <mergeCell ref="E25:F25"/>
    <mergeCell ref="E26:F26"/>
    <mergeCell ref="E27:F27"/>
    <mergeCell ref="E16:F16"/>
    <mergeCell ref="E17:F17"/>
    <mergeCell ref="E18:F18"/>
    <mergeCell ref="E19:F19"/>
    <mergeCell ref="E20:F20"/>
    <mergeCell ref="E21:F21"/>
    <mergeCell ref="E22:F22"/>
    <mergeCell ref="G17:H17"/>
    <mergeCell ref="G18:H18"/>
    <mergeCell ref="G19:H19"/>
    <mergeCell ref="G20:H20"/>
    <mergeCell ref="G21:H21"/>
    <mergeCell ref="G22:H22"/>
    <mergeCell ref="G23:H23"/>
    <mergeCell ref="G24:H24"/>
    <mergeCell ref="G25:H25"/>
    <mergeCell ref="G26:H26"/>
    <mergeCell ref="G27:H27"/>
    <mergeCell ref="F31:G31"/>
    <mergeCell ref="H31:I31"/>
    <mergeCell ref="J31:K31"/>
  </mergeCells>
  <hyperlinks>
    <hyperlink r:id="rId1" ref="T3"/>
    <hyperlink r:id="rId2" ref="T4"/>
    <hyperlink r:id="rId3" ref="T5"/>
    <hyperlink r:id="rId4" ref="T6"/>
    <hyperlink r:id="rId5" ref="T7"/>
    <hyperlink r:id="rId6" ref="T8"/>
    <hyperlink r:id="rId7" ref="T9"/>
    <hyperlink r:id="rId8" ref="T10"/>
    <hyperlink r:id="rId9" ref="T11"/>
    <hyperlink r:id="rId10" ref="T12"/>
    <hyperlink r:id="rId11" ref="T13"/>
    <hyperlink r:id="rId12" ref="T14"/>
    <hyperlink r:id="rId13" location=":~:text=If%20you%20want%20your%20model,and%20I%20is%20the%20current." ref="Y14"/>
    <hyperlink r:id="rId14" ref="T15"/>
    <hyperlink r:id="rId15" location="EEq31" ref="Y15"/>
    <hyperlink r:id="rId16" ref="T16"/>
    <hyperlink r:id="rId17" ref="T17"/>
    <hyperlink r:id="rId18" ref="T18"/>
    <hyperlink r:id="rId19" ref="T19"/>
    <hyperlink r:id="rId20" ref="T20"/>
    <hyperlink r:id="rId21" ref="T21"/>
    <hyperlink r:id="rId22" ref="T22"/>
    <hyperlink r:id="rId23" ref="T23"/>
    <hyperlink r:id="rId24" ref="T24"/>
    <hyperlink r:id="rId25" ref="T25"/>
    <hyperlink r:id="rId26" ref="T26"/>
    <hyperlink r:id="rId27" ref="T27"/>
  </hyperlinks>
  <drawing r:id="rId2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25"/>
    <col customWidth="1" min="23" max="23" width="16.63"/>
  </cols>
  <sheetData>
    <row r="1">
      <c r="A1" s="34" t="s">
        <v>472</v>
      </c>
      <c r="B1" s="2"/>
      <c r="C1" s="3"/>
      <c r="J1" s="4" t="s">
        <v>1</v>
      </c>
      <c r="K1" s="5"/>
      <c r="L1" s="4" t="s">
        <v>2</v>
      </c>
      <c r="M1" s="6"/>
    </row>
    <row r="2">
      <c r="A2" s="7" t="s">
        <v>3</v>
      </c>
      <c r="B2" s="8" t="s">
        <v>4</v>
      </c>
      <c r="C2" s="8" t="s">
        <v>5</v>
      </c>
      <c r="D2" s="9" t="s">
        <v>6</v>
      </c>
      <c r="E2" s="4" t="s">
        <v>428</v>
      </c>
      <c r="F2" s="6"/>
      <c r="G2" s="4" t="s">
        <v>429</v>
      </c>
      <c r="H2" s="6"/>
      <c r="I2" s="9" t="s">
        <v>372</v>
      </c>
      <c r="J2" s="9" t="s">
        <v>13</v>
      </c>
      <c r="K2" s="9" t="s">
        <v>14</v>
      </c>
      <c r="L2" s="9" t="s">
        <v>13</v>
      </c>
      <c r="M2" s="9" t="s">
        <v>14</v>
      </c>
      <c r="N2" s="4" t="s">
        <v>15</v>
      </c>
      <c r="O2" s="6"/>
      <c r="P2" s="9" t="s">
        <v>373</v>
      </c>
      <c r="Q2" s="4" t="s">
        <v>16</v>
      </c>
      <c r="R2" s="6"/>
      <c r="S2" s="9" t="s">
        <v>17</v>
      </c>
      <c r="T2" s="10" t="s">
        <v>18</v>
      </c>
      <c r="U2" s="4" t="s">
        <v>19</v>
      </c>
      <c r="V2" s="11"/>
      <c r="W2" s="6"/>
      <c r="X2" s="9" t="s">
        <v>473</v>
      </c>
      <c r="Y2" s="4" t="s">
        <v>20</v>
      </c>
      <c r="Z2" s="6"/>
    </row>
    <row r="3">
      <c r="A3" s="15" t="s">
        <v>474</v>
      </c>
      <c r="B3" s="16" t="s">
        <v>33</v>
      </c>
      <c r="C3" s="17">
        <v>1.0</v>
      </c>
      <c r="D3" s="18" t="s">
        <v>475</v>
      </c>
      <c r="E3" s="30"/>
      <c r="F3" s="30"/>
      <c r="G3" s="19" t="s">
        <v>476</v>
      </c>
      <c r="H3" s="20"/>
      <c r="I3" s="23"/>
      <c r="J3" s="23"/>
      <c r="K3" s="23"/>
      <c r="L3" s="23"/>
      <c r="M3" s="23"/>
      <c r="N3" s="19">
        <v>-8800.0</v>
      </c>
      <c r="O3" s="20"/>
      <c r="P3" s="30"/>
      <c r="Q3" s="19">
        <v>-65120.0</v>
      </c>
      <c r="R3" s="20"/>
      <c r="S3" s="31">
        <f>Q3/Q27</f>
        <v>-0.9136626086</v>
      </c>
      <c r="T3" s="326" t="s">
        <v>477</v>
      </c>
      <c r="U3" s="26" t="s">
        <v>478</v>
      </c>
      <c r="V3" s="27"/>
      <c r="W3" s="13"/>
      <c r="X3" s="327" t="s">
        <v>409</v>
      </c>
      <c r="Y3" s="28" t="s">
        <v>479</v>
      </c>
      <c r="Z3" s="20"/>
    </row>
    <row r="4">
      <c r="A4" s="328" t="s">
        <v>480</v>
      </c>
      <c r="B4" s="288" t="s">
        <v>39</v>
      </c>
      <c r="C4" s="50">
        <v>1.0</v>
      </c>
      <c r="D4" s="51">
        <v>5.0</v>
      </c>
      <c r="E4" s="42" t="s">
        <v>481</v>
      </c>
      <c r="F4" s="20"/>
      <c r="G4" s="42" t="s">
        <v>482</v>
      </c>
      <c r="H4" s="20"/>
      <c r="I4" s="51" t="s">
        <v>25</v>
      </c>
      <c r="J4" s="51">
        <v>9.0</v>
      </c>
      <c r="K4" s="51">
        <v>2.7</v>
      </c>
      <c r="L4" s="51">
        <v>1.0</v>
      </c>
      <c r="M4" s="51">
        <v>1.0</v>
      </c>
      <c r="N4" s="42">
        <f t="shared" ref="N4:N26" si="1">(J4*L4+K4*M4)*C4</f>
        <v>11.7</v>
      </c>
      <c r="O4" s="20"/>
      <c r="P4" s="51">
        <f t="shared" ref="P4:P26" si="2">(D4*J4)*C4</f>
        <v>45</v>
      </c>
      <c r="Q4" s="42">
        <f t="shared" ref="Q4:Q26" si="3">(N4*D4)</f>
        <v>58.5</v>
      </c>
      <c r="R4" s="20"/>
      <c r="S4" s="53">
        <f>Q4/Q27</f>
        <v>0.0008207810596</v>
      </c>
      <c r="T4" s="256" t="s">
        <v>483</v>
      </c>
      <c r="U4" s="29" t="s">
        <v>223</v>
      </c>
      <c r="W4" s="20"/>
      <c r="X4" s="57" t="s">
        <v>378</v>
      </c>
      <c r="Y4" s="28" t="s">
        <v>484</v>
      </c>
      <c r="Z4" s="20"/>
    </row>
    <row r="5">
      <c r="A5" s="48" t="s">
        <v>221</v>
      </c>
      <c r="B5" s="49" t="s">
        <v>485</v>
      </c>
      <c r="C5" s="50">
        <v>1.0</v>
      </c>
      <c r="D5" s="51">
        <v>5.0</v>
      </c>
      <c r="E5" s="42" t="s">
        <v>486</v>
      </c>
      <c r="F5" s="20"/>
      <c r="G5" s="42" t="s">
        <v>25</v>
      </c>
      <c r="H5" s="20"/>
      <c r="I5" s="51" t="s">
        <v>25</v>
      </c>
      <c r="J5" s="51">
        <v>400.0</v>
      </c>
      <c r="K5" s="51">
        <v>1.0</v>
      </c>
      <c r="L5" s="51">
        <v>1.0</v>
      </c>
      <c r="M5" s="51">
        <v>1.0</v>
      </c>
      <c r="N5" s="42">
        <f t="shared" si="1"/>
        <v>401</v>
      </c>
      <c r="O5" s="20"/>
      <c r="P5" s="51">
        <f t="shared" si="2"/>
        <v>2000</v>
      </c>
      <c r="Q5" s="42">
        <f t="shared" si="3"/>
        <v>2005</v>
      </c>
      <c r="R5" s="20"/>
      <c r="S5" s="53">
        <f>Q5/Q27</f>
        <v>0.02813104315</v>
      </c>
      <c r="T5" s="256" t="s">
        <v>48</v>
      </c>
      <c r="U5" s="29" t="s">
        <v>434</v>
      </c>
      <c r="W5" s="20"/>
      <c r="X5" s="57" t="s">
        <v>378</v>
      </c>
      <c r="Y5" s="28" t="s">
        <v>487</v>
      </c>
      <c r="Z5" s="20"/>
    </row>
    <row r="6">
      <c r="A6" s="48" t="s">
        <v>223</v>
      </c>
      <c r="B6" s="49" t="s">
        <v>224</v>
      </c>
      <c r="C6" s="50">
        <v>1.0</v>
      </c>
      <c r="D6" s="51">
        <v>3.3</v>
      </c>
      <c r="E6" s="42" t="s">
        <v>488</v>
      </c>
      <c r="F6" s="20"/>
      <c r="G6" s="42" t="s">
        <v>25</v>
      </c>
      <c r="H6" s="20"/>
      <c r="I6" s="51" t="s">
        <v>25</v>
      </c>
      <c r="J6" s="51">
        <v>250.0</v>
      </c>
      <c r="K6" s="51">
        <v>1.0</v>
      </c>
      <c r="L6" s="51">
        <v>1.0</v>
      </c>
      <c r="M6" s="51">
        <v>1.0</v>
      </c>
      <c r="N6" s="42">
        <f t="shared" si="1"/>
        <v>251</v>
      </c>
      <c r="O6" s="20"/>
      <c r="P6" s="51">
        <f t="shared" si="2"/>
        <v>825</v>
      </c>
      <c r="Q6" s="42">
        <f t="shared" si="3"/>
        <v>828.3</v>
      </c>
      <c r="R6" s="20"/>
      <c r="S6" s="53">
        <f>Q6/Q27</f>
        <v>0.01162141798</v>
      </c>
      <c r="T6" s="256" t="s">
        <v>48</v>
      </c>
      <c r="U6" s="29" t="s">
        <v>223</v>
      </c>
      <c r="W6" s="20"/>
      <c r="X6" s="57" t="s">
        <v>378</v>
      </c>
      <c r="Y6" s="329" t="s">
        <v>489</v>
      </c>
      <c r="Z6" s="66"/>
    </row>
    <row r="7">
      <c r="A7" s="48" t="s">
        <v>223</v>
      </c>
      <c r="B7" s="49" t="s">
        <v>227</v>
      </c>
      <c r="C7" s="50">
        <v>1.0</v>
      </c>
      <c r="D7" s="51">
        <v>1.8</v>
      </c>
      <c r="E7" s="42" t="s">
        <v>490</v>
      </c>
      <c r="F7" s="20"/>
      <c r="G7" s="42" t="s">
        <v>25</v>
      </c>
      <c r="H7" s="20"/>
      <c r="I7" s="51" t="s">
        <v>25</v>
      </c>
      <c r="J7" s="51">
        <v>250.0</v>
      </c>
      <c r="K7" s="51">
        <v>1.0</v>
      </c>
      <c r="L7" s="51">
        <v>1.0</v>
      </c>
      <c r="M7" s="51">
        <v>1.0</v>
      </c>
      <c r="N7" s="42">
        <f t="shared" si="1"/>
        <v>251</v>
      </c>
      <c r="O7" s="20"/>
      <c r="P7" s="51">
        <f t="shared" si="2"/>
        <v>450</v>
      </c>
      <c r="Q7" s="42">
        <f t="shared" si="3"/>
        <v>451.8</v>
      </c>
      <c r="R7" s="20"/>
      <c r="S7" s="53">
        <f>Q7/Q27</f>
        <v>0.00633895526</v>
      </c>
      <c r="T7" s="256" t="s">
        <v>48</v>
      </c>
      <c r="U7" s="29" t="s">
        <v>223</v>
      </c>
      <c r="W7" s="20"/>
      <c r="X7" s="57" t="s">
        <v>378</v>
      </c>
    </row>
    <row r="8">
      <c r="A8" s="48" t="s">
        <v>223</v>
      </c>
      <c r="B8" s="49" t="s">
        <v>229</v>
      </c>
      <c r="C8" s="50">
        <v>1.0</v>
      </c>
      <c r="D8" s="51">
        <v>2.8</v>
      </c>
      <c r="E8" s="42" t="s">
        <v>491</v>
      </c>
      <c r="F8" s="20"/>
      <c r="G8" s="42" t="s">
        <v>25</v>
      </c>
      <c r="H8" s="20"/>
      <c r="I8" s="51" t="s">
        <v>25</v>
      </c>
      <c r="J8" s="51">
        <v>25.0</v>
      </c>
      <c r="K8" s="51">
        <v>1.0</v>
      </c>
      <c r="L8" s="51">
        <v>1.0</v>
      </c>
      <c r="M8" s="51">
        <v>1.0</v>
      </c>
      <c r="N8" s="42">
        <f t="shared" si="1"/>
        <v>26</v>
      </c>
      <c r="O8" s="20"/>
      <c r="P8" s="51">
        <f t="shared" si="2"/>
        <v>70</v>
      </c>
      <c r="Q8" s="42">
        <f t="shared" si="3"/>
        <v>72.8</v>
      </c>
      <c r="R8" s="20"/>
      <c r="S8" s="53">
        <f>Q8/Q27</f>
        <v>0.00102141643</v>
      </c>
      <c r="T8" s="256" t="s">
        <v>48</v>
      </c>
      <c r="U8" s="29" t="s">
        <v>223</v>
      </c>
      <c r="W8" s="20"/>
      <c r="X8" s="57" t="s">
        <v>378</v>
      </c>
    </row>
    <row r="9">
      <c r="A9" s="48" t="s">
        <v>223</v>
      </c>
      <c r="B9" s="49" t="s">
        <v>231</v>
      </c>
      <c r="C9" s="50">
        <v>1.0</v>
      </c>
      <c r="D9" s="51">
        <v>3.3</v>
      </c>
      <c r="E9" s="42" t="s">
        <v>492</v>
      </c>
      <c r="F9" s="20"/>
      <c r="G9" s="42" t="s">
        <v>493</v>
      </c>
      <c r="H9" s="20"/>
      <c r="I9" s="51" t="s">
        <v>25</v>
      </c>
      <c r="J9" s="51">
        <v>50.0</v>
      </c>
      <c r="K9" s="51">
        <v>1.0</v>
      </c>
      <c r="L9" s="51">
        <v>1.0</v>
      </c>
      <c r="M9" s="51">
        <v>1.0</v>
      </c>
      <c r="N9" s="42">
        <f t="shared" si="1"/>
        <v>51</v>
      </c>
      <c r="O9" s="20"/>
      <c r="P9" s="51">
        <f t="shared" si="2"/>
        <v>165</v>
      </c>
      <c r="Q9" s="42">
        <f t="shared" si="3"/>
        <v>168.3</v>
      </c>
      <c r="R9" s="20"/>
      <c r="S9" s="53">
        <f>Q9/Q27</f>
        <v>0.002361323971</v>
      </c>
      <c r="T9" s="256" t="s">
        <v>48</v>
      </c>
      <c r="U9" s="29" t="s">
        <v>344</v>
      </c>
      <c r="W9" s="20"/>
      <c r="X9" s="57" t="s">
        <v>378</v>
      </c>
    </row>
    <row r="10">
      <c r="A10" s="48" t="s">
        <v>223</v>
      </c>
      <c r="B10" s="49" t="s">
        <v>235</v>
      </c>
      <c r="C10" s="50">
        <v>1.0</v>
      </c>
      <c r="D10" s="51">
        <v>3.3</v>
      </c>
      <c r="E10" s="42" t="s">
        <v>492</v>
      </c>
      <c r="F10" s="20"/>
      <c r="G10" s="42" t="s">
        <v>493</v>
      </c>
      <c r="H10" s="20"/>
      <c r="I10" s="51" t="s">
        <v>25</v>
      </c>
      <c r="J10" s="51">
        <v>50.0</v>
      </c>
      <c r="K10" s="51">
        <v>1.0</v>
      </c>
      <c r="L10" s="51">
        <v>1.0</v>
      </c>
      <c r="M10" s="51">
        <v>1.0</v>
      </c>
      <c r="N10" s="42">
        <f t="shared" si="1"/>
        <v>51</v>
      </c>
      <c r="O10" s="20"/>
      <c r="P10" s="51">
        <f t="shared" si="2"/>
        <v>165</v>
      </c>
      <c r="Q10" s="42">
        <f t="shared" si="3"/>
        <v>168.3</v>
      </c>
      <c r="R10" s="20"/>
      <c r="S10" s="53">
        <f>Q10/Q27</f>
        <v>0.002361323971</v>
      </c>
      <c r="T10" s="256" t="s">
        <v>48</v>
      </c>
      <c r="U10" s="29" t="s">
        <v>223</v>
      </c>
      <c r="W10" s="20"/>
      <c r="X10" s="57" t="s">
        <v>378</v>
      </c>
    </row>
    <row r="11">
      <c r="A11" s="73" t="s">
        <v>66</v>
      </c>
      <c r="B11" s="74" t="s">
        <v>251</v>
      </c>
      <c r="C11" s="75">
        <v>1.0</v>
      </c>
      <c r="D11" s="78">
        <v>2.5</v>
      </c>
      <c r="E11" s="77" t="s">
        <v>350</v>
      </c>
      <c r="F11" s="20"/>
      <c r="G11" s="77" t="s">
        <v>25</v>
      </c>
      <c r="H11" s="20"/>
      <c r="I11" s="78" t="s">
        <v>25</v>
      </c>
      <c r="J11" s="78">
        <v>2.0</v>
      </c>
      <c r="K11" s="78">
        <v>0.265</v>
      </c>
      <c r="L11" s="78">
        <v>1.0</v>
      </c>
      <c r="M11" s="78">
        <v>1.0</v>
      </c>
      <c r="N11" s="77">
        <f t="shared" si="1"/>
        <v>2.265</v>
      </c>
      <c r="O11" s="20"/>
      <c r="P11" s="78">
        <f t="shared" si="2"/>
        <v>5</v>
      </c>
      <c r="Q11" s="77">
        <f t="shared" si="3"/>
        <v>5.6625</v>
      </c>
      <c r="R11" s="20"/>
      <c r="S11" s="81">
        <f>Q11/Q27</f>
        <v>0.00007944739744</v>
      </c>
      <c r="T11" s="260" t="s">
        <v>70</v>
      </c>
      <c r="U11" s="261" t="s">
        <v>494</v>
      </c>
      <c r="V11" s="27"/>
      <c r="W11" s="13"/>
      <c r="X11" s="89" t="s">
        <v>378</v>
      </c>
    </row>
    <row r="12">
      <c r="A12" s="262" t="s">
        <v>223</v>
      </c>
      <c r="B12" s="74" t="s">
        <v>352</v>
      </c>
      <c r="C12" s="85">
        <v>1.0</v>
      </c>
      <c r="D12" s="78">
        <v>1.8</v>
      </c>
      <c r="E12" s="263" t="s">
        <v>495</v>
      </c>
      <c r="F12" s="20"/>
      <c r="G12" s="77" t="s">
        <v>496</v>
      </c>
      <c r="H12" s="20"/>
      <c r="I12" s="78" t="s">
        <v>25</v>
      </c>
      <c r="J12" s="78">
        <v>0.5</v>
      </c>
      <c r="K12" s="78">
        <v>0.5</v>
      </c>
      <c r="L12" s="78">
        <v>1.0</v>
      </c>
      <c r="M12" s="78">
        <v>1.0</v>
      </c>
      <c r="N12" s="77">
        <f t="shared" si="1"/>
        <v>1</v>
      </c>
      <c r="O12" s="20"/>
      <c r="P12" s="78">
        <f t="shared" si="2"/>
        <v>0.9</v>
      </c>
      <c r="Q12" s="77">
        <f t="shared" si="3"/>
        <v>1.8</v>
      </c>
      <c r="R12" s="20"/>
      <c r="S12" s="81">
        <f>Q12/Q27</f>
        <v>0.00002525480183</v>
      </c>
      <c r="T12" s="260" t="s">
        <v>497</v>
      </c>
      <c r="U12" s="35" t="s">
        <v>498</v>
      </c>
      <c r="W12" s="20"/>
      <c r="X12" s="89" t="s">
        <v>378</v>
      </c>
    </row>
    <row r="13">
      <c r="A13" s="73" t="s">
        <v>72</v>
      </c>
      <c r="B13" s="84" t="s">
        <v>73</v>
      </c>
      <c r="C13" s="85">
        <v>3.0</v>
      </c>
      <c r="D13" s="78">
        <v>5.0</v>
      </c>
      <c r="E13" s="77" t="s">
        <v>499</v>
      </c>
      <c r="F13" s="20"/>
      <c r="G13" s="77" t="s">
        <v>500</v>
      </c>
      <c r="H13" s="20"/>
      <c r="I13" s="78" t="s">
        <v>25</v>
      </c>
      <c r="J13" s="78">
        <v>15.0</v>
      </c>
      <c r="K13" s="78">
        <v>1.0</v>
      </c>
      <c r="L13" s="78">
        <v>1.0</v>
      </c>
      <c r="M13" s="78">
        <v>1.0</v>
      </c>
      <c r="N13" s="77">
        <f t="shared" si="1"/>
        <v>48</v>
      </c>
      <c r="O13" s="20"/>
      <c r="P13" s="78">
        <f t="shared" si="2"/>
        <v>225</v>
      </c>
      <c r="Q13" s="77">
        <f t="shared" si="3"/>
        <v>240</v>
      </c>
      <c r="R13" s="20"/>
      <c r="S13" s="81">
        <f>Q13/Q27</f>
        <v>0.003367306911</v>
      </c>
      <c r="T13" s="260" t="s">
        <v>76</v>
      </c>
      <c r="U13" s="35" t="s">
        <v>223</v>
      </c>
      <c r="W13" s="20"/>
      <c r="X13" s="89" t="s">
        <v>378</v>
      </c>
    </row>
    <row r="14">
      <c r="A14" s="87" t="s">
        <v>78</v>
      </c>
      <c r="B14" s="88" t="s">
        <v>79</v>
      </c>
      <c r="C14" s="75">
        <v>1.0</v>
      </c>
      <c r="D14" s="78">
        <v>3.3</v>
      </c>
      <c r="E14" s="77" t="s">
        <v>501</v>
      </c>
      <c r="F14" s="20"/>
      <c r="G14" s="77" t="s">
        <v>502</v>
      </c>
      <c r="H14" s="20"/>
      <c r="I14" s="78" t="s">
        <v>25</v>
      </c>
      <c r="J14" s="78">
        <v>25.0</v>
      </c>
      <c r="K14" s="78">
        <v>1.0</v>
      </c>
      <c r="L14" s="78">
        <v>1.0</v>
      </c>
      <c r="M14" s="78">
        <v>1.0</v>
      </c>
      <c r="N14" s="77">
        <f t="shared" si="1"/>
        <v>26</v>
      </c>
      <c r="O14" s="20"/>
      <c r="P14" s="78">
        <f t="shared" si="2"/>
        <v>82.5</v>
      </c>
      <c r="Q14" s="77">
        <f t="shared" si="3"/>
        <v>85.8</v>
      </c>
      <c r="R14" s="20"/>
      <c r="S14" s="81">
        <f>Q14/Q27</f>
        <v>0.001203812221</v>
      </c>
      <c r="T14" s="260" t="s">
        <v>82</v>
      </c>
      <c r="U14" s="35" t="s">
        <v>223</v>
      </c>
      <c r="W14" s="20"/>
      <c r="X14" s="89" t="s">
        <v>378</v>
      </c>
    </row>
    <row r="15">
      <c r="A15" s="87" t="s">
        <v>223</v>
      </c>
      <c r="B15" s="88" t="s">
        <v>201</v>
      </c>
      <c r="C15" s="75">
        <v>1.0</v>
      </c>
      <c r="D15" s="78">
        <v>3.3</v>
      </c>
      <c r="E15" s="77" t="s">
        <v>239</v>
      </c>
      <c r="F15" s="20"/>
      <c r="G15" s="77" t="s">
        <v>25</v>
      </c>
      <c r="H15" s="20"/>
      <c r="I15" s="78" t="s">
        <v>25</v>
      </c>
      <c r="J15" s="78">
        <v>20.0</v>
      </c>
      <c r="K15" s="78">
        <v>1.0</v>
      </c>
      <c r="L15" s="78">
        <v>1.0</v>
      </c>
      <c r="M15" s="78">
        <v>1.0</v>
      </c>
      <c r="N15" s="77">
        <f t="shared" si="1"/>
        <v>21</v>
      </c>
      <c r="O15" s="20"/>
      <c r="P15" s="78">
        <f t="shared" si="2"/>
        <v>66</v>
      </c>
      <c r="Q15" s="77">
        <f t="shared" si="3"/>
        <v>69.3</v>
      </c>
      <c r="R15" s="20"/>
      <c r="S15" s="81">
        <f>Q15/Q27</f>
        <v>0.0009723098706</v>
      </c>
      <c r="T15" s="260" t="s">
        <v>82</v>
      </c>
      <c r="U15" s="35" t="s">
        <v>223</v>
      </c>
      <c r="W15" s="20"/>
      <c r="X15" s="89" t="s">
        <v>378</v>
      </c>
    </row>
    <row r="16">
      <c r="A16" s="73" t="s">
        <v>84</v>
      </c>
      <c r="B16" s="90" t="s">
        <v>85</v>
      </c>
      <c r="C16" s="75">
        <v>1.0</v>
      </c>
      <c r="D16" s="78">
        <v>1.8</v>
      </c>
      <c r="E16" s="77" t="s">
        <v>503</v>
      </c>
      <c r="F16" s="20"/>
      <c r="G16" s="77" t="s">
        <v>504</v>
      </c>
      <c r="H16" s="20"/>
      <c r="I16" s="78" t="s">
        <v>25</v>
      </c>
      <c r="J16" s="78">
        <v>3.11</v>
      </c>
      <c r="K16" s="78">
        <v>1.23</v>
      </c>
      <c r="L16" s="78">
        <v>1.0</v>
      </c>
      <c r="M16" s="78">
        <v>1.0</v>
      </c>
      <c r="N16" s="77">
        <f t="shared" si="1"/>
        <v>4.34</v>
      </c>
      <c r="O16" s="20"/>
      <c r="P16" s="78">
        <f t="shared" si="2"/>
        <v>5.598</v>
      </c>
      <c r="Q16" s="77">
        <f t="shared" si="3"/>
        <v>7.812</v>
      </c>
      <c r="R16" s="20"/>
      <c r="S16" s="81">
        <f>Q16/Q27</f>
        <v>0.00010960584</v>
      </c>
      <c r="T16" s="264" t="s">
        <v>88</v>
      </c>
      <c r="U16" s="35" t="s">
        <v>223</v>
      </c>
      <c r="W16" s="20"/>
      <c r="X16" s="89" t="s">
        <v>378</v>
      </c>
    </row>
    <row r="17">
      <c r="A17" s="330" t="s">
        <v>505</v>
      </c>
      <c r="B17" s="331" t="s">
        <v>248</v>
      </c>
      <c r="C17" s="332">
        <v>3.0</v>
      </c>
      <c r="D17" s="95">
        <v>5.0</v>
      </c>
      <c r="E17" s="96" t="s">
        <v>506</v>
      </c>
      <c r="F17" s="66"/>
      <c r="G17" s="96" t="s">
        <v>25</v>
      </c>
      <c r="H17" s="66"/>
      <c r="I17" s="95" t="s">
        <v>25</v>
      </c>
      <c r="J17" s="95">
        <v>250.0</v>
      </c>
      <c r="K17" s="95">
        <v>1.0</v>
      </c>
      <c r="L17" s="95">
        <v>1.0</v>
      </c>
      <c r="M17" s="95">
        <v>1.0</v>
      </c>
      <c r="N17" s="96">
        <f t="shared" si="1"/>
        <v>753</v>
      </c>
      <c r="O17" s="66"/>
      <c r="P17" s="95">
        <f t="shared" si="2"/>
        <v>3750</v>
      </c>
      <c r="Q17" s="96">
        <f t="shared" si="3"/>
        <v>3765</v>
      </c>
      <c r="R17" s="66"/>
      <c r="S17" s="99">
        <f>Q17/Q27</f>
        <v>0.05282462717</v>
      </c>
      <c r="T17" s="333" t="s">
        <v>507</v>
      </c>
      <c r="U17" s="334" t="s">
        <v>508</v>
      </c>
      <c r="V17" s="72"/>
      <c r="W17" s="66"/>
      <c r="X17" s="335" t="s">
        <v>409</v>
      </c>
    </row>
    <row r="18">
      <c r="A18" s="336" t="s">
        <v>509</v>
      </c>
      <c r="B18" s="296" t="s">
        <v>510</v>
      </c>
      <c r="C18" s="297">
        <v>1.0</v>
      </c>
      <c r="D18" s="298">
        <v>8.4</v>
      </c>
      <c r="E18" s="299" t="s">
        <v>273</v>
      </c>
      <c r="F18" s="20"/>
      <c r="G18" s="299" t="s">
        <v>25</v>
      </c>
      <c r="H18" s="20"/>
      <c r="I18" s="298" t="s">
        <v>25</v>
      </c>
      <c r="J18" s="298">
        <v>0.0</v>
      </c>
      <c r="K18" s="298">
        <v>0.0</v>
      </c>
      <c r="L18" s="298">
        <v>0.0</v>
      </c>
      <c r="M18" s="298">
        <v>0.0</v>
      </c>
      <c r="N18" s="299">
        <f t="shared" si="1"/>
        <v>0</v>
      </c>
      <c r="O18" s="20"/>
      <c r="P18" s="298">
        <f t="shared" si="2"/>
        <v>0</v>
      </c>
      <c r="Q18" s="299">
        <f t="shared" si="3"/>
        <v>0</v>
      </c>
      <c r="R18" s="20"/>
      <c r="S18" s="300">
        <f>Q18/Q27</f>
        <v>0</v>
      </c>
      <c r="T18" s="337" t="s">
        <v>511</v>
      </c>
      <c r="U18" s="302" t="s">
        <v>467</v>
      </c>
      <c r="W18" s="20"/>
      <c r="X18" s="303" t="s">
        <v>409</v>
      </c>
    </row>
    <row r="19">
      <c r="A19" s="338" t="s">
        <v>512</v>
      </c>
      <c r="B19" s="339" t="s">
        <v>97</v>
      </c>
      <c r="C19" s="297">
        <v>4.0</v>
      </c>
      <c r="D19" s="298">
        <v>7.4</v>
      </c>
      <c r="E19" s="299" t="s">
        <v>513</v>
      </c>
      <c r="F19" s="20"/>
      <c r="G19" s="299" t="s">
        <v>25</v>
      </c>
      <c r="H19" s="20"/>
      <c r="I19" s="298" t="s">
        <v>25</v>
      </c>
      <c r="J19" s="298">
        <v>3303.0</v>
      </c>
      <c r="K19" s="298">
        <v>1651.0</v>
      </c>
      <c r="L19" s="298">
        <v>0.25</v>
      </c>
      <c r="M19" s="298">
        <v>0.75</v>
      </c>
      <c r="N19" s="299">
        <f t="shared" si="1"/>
        <v>8256</v>
      </c>
      <c r="O19" s="20"/>
      <c r="P19" s="298">
        <f t="shared" si="2"/>
        <v>97768.8</v>
      </c>
      <c r="Q19" s="299">
        <f t="shared" si="3"/>
        <v>61094.4</v>
      </c>
      <c r="R19" s="20"/>
      <c r="S19" s="300">
        <f>Q19/Q27</f>
        <v>0.8571816473</v>
      </c>
      <c r="T19" s="301" t="s">
        <v>514</v>
      </c>
      <c r="U19" s="302" t="s">
        <v>466</v>
      </c>
      <c r="W19" s="20"/>
      <c r="X19" s="303" t="s">
        <v>409</v>
      </c>
    </row>
    <row r="20">
      <c r="A20" s="340" t="s">
        <v>515</v>
      </c>
      <c r="B20" s="341" t="s">
        <v>516</v>
      </c>
      <c r="C20" s="342">
        <v>1.0</v>
      </c>
      <c r="D20" s="298">
        <v>5.0</v>
      </c>
      <c r="E20" s="299" t="s">
        <v>517</v>
      </c>
      <c r="F20" s="20"/>
      <c r="G20" s="299" t="s">
        <v>25</v>
      </c>
      <c r="H20" s="20"/>
      <c r="I20" s="298" t="s">
        <v>25</v>
      </c>
      <c r="J20" s="298">
        <v>1.0</v>
      </c>
      <c r="K20" s="298">
        <v>1.0</v>
      </c>
      <c r="L20" s="298">
        <v>1.0</v>
      </c>
      <c r="M20" s="298">
        <v>1.0</v>
      </c>
      <c r="N20" s="299">
        <f t="shared" si="1"/>
        <v>2</v>
      </c>
      <c r="O20" s="20"/>
      <c r="P20" s="298">
        <f t="shared" si="2"/>
        <v>5</v>
      </c>
      <c r="Q20" s="299">
        <f t="shared" si="3"/>
        <v>10</v>
      </c>
      <c r="R20" s="20"/>
      <c r="S20" s="300">
        <f>Q20/Q27</f>
        <v>0.0001403044546</v>
      </c>
      <c r="T20" s="301" t="s">
        <v>518</v>
      </c>
      <c r="U20" s="302" t="s">
        <v>519</v>
      </c>
      <c r="W20" s="20"/>
      <c r="X20" s="303" t="s">
        <v>409</v>
      </c>
    </row>
    <row r="21">
      <c r="A21" s="343" t="s">
        <v>520</v>
      </c>
      <c r="B21" s="312" t="s">
        <v>102</v>
      </c>
      <c r="C21" s="313">
        <v>4.0</v>
      </c>
      <c r="D21" s="314">
        <v>5.0</v>
      </c>
      <c r="E21" s="315" t="s">
        <v>103</v>
      </c>
      <c r="F21" s="66"/>
      <c r="G21" s="315" t="s">
        <v>25</v>
      </c>
      <c r="H21" s="66"/>
      <c r="I21" s="314" t="s">
        <v>25</v>
      </c>
      <c r="J21" s="314">
        <v>400.0</v>
      </c>
      <c r="K21" s="314">
        <v>1.0</v>
      </c>
      <c r="L21" s="314">
        <v>0.25</v>
      </c>
      <c r="M21" s="314">
        <v>0.75</v>
      </c>
      <c r="N21" s="315">
        <f t="shared" si="1"/>
        <v>403</v>
      </c>
      <c r="O21" s="66"/>
      <c r="P21" s="314">
        <f t="shared" si="2"/>
        <v>8000</v>
      </c>
      <c r="Q21" s="315">
        <f t="shared" si="3"/>
        <v>2015</v>
      </c>
      <c r="R21" s="66"/>
      <c r="S21" s="316">
        <f>Q21/Q27</f>
        <v>0.02827134761</v>
      </c>
      <c r="T21" s="317" t="s">
        <v>316</v>
      </c>
      <c r="U21" s="318" t="s">
        <v>468</v>
      </c>
      <c r="V21" s="72"/>
      <c r="W21" s="66"/>
      <c r="X21" s="319" t="s">
        <v>409</v>
      </c>
    </row>
    <row r="22">
      <c r="A22" s="344" t="s">
        <v>521</v>
      </c>
      <c r="B22" s="345" t="s">
        <v>522</v>
      </c>
      <c r="C22" s="346">
        <v>1.0</v>
      </c>
      <c r="D22" s="347">
        <v>7.0</v>
      </c>
      <c r="E22" s="348" t="s">
        <v>523</v>
      </c>
      <c r="F22" s="20"/>
      <c r="G22" s="348" t="s">
        <v>524</v>
      </c>
      <c r="H22" s="20"/>
      <c r="I22" s="347" t="s">
        <v>25</v>
      </c>
      <c r="J22" s="347">
        <v>8.0</v>
      </c>
      <c r="K22" s="347">
        <v>0.1</v>
      </c>
      <c r="L22" s="347">
        <v>1.0</v>
      </c>
      <c r="M22" s="347">
        <v>1.0</v>
      </c>
      <c r="N22" s="348">
        <f t="shared" si="1"/>
        <v>8.1</v>
      </c>
      <c r="O22" s="20"/>
      <c r="P22" s="347">
        <f t="shared" si="2"/>
        <v>56</v>
      </c>
      <c r="Q22" s="348">
        <f t="shared" si="3"/>
        <v>56.7</v>
      </c>
      <c r="R22" s="20"/>
      <c r="S22" s="349">
        <f>Q22/Q27</f>
        <v>0.0007955262578</v>
      </c>
      <c r="T22" s="350" t="s">
        <v>525</v>
      </c>
      <c r="U22" s="351" t="s">
        <v>526</v>
      </c>
      <c r="V22" s="27"/>
      <c r="W22" s="13"/>
      <c r="X22" s="352" t="s">
        <v>378</v>
      </c>
    </row>
    <row r="23">
      <c r="A23" s="353" t="s">
        <v>527</v>
      </c>
      <c r="B23" s="345" t="s">
        <v>528</v>
      </c>
      <c r="C23" s="346">
        <v>1.0</v>
      </c>
      <c r="D23" s="347">
        <v>7.0</v>
      </c>
      <c r="E23" s="348" t="s">
        <v>523</v>
      </c>
      <c r="F23" s="20"/>
      <c r="G23" s="348" t="s">
        <v>529</v>
      </c>
      <c r="H23" s="20"/>
      <c r="I23" s="347" t="s">
        <v>25</v>
      </c>
      <c r="J23" s="347">
        <v>5.0</v>
      </c>
      <c r="K23" s="347">
        <v>0.1</v>
      </c>
      <c r="L23" s="347">
        <v>1.0</v>
      </c>
      <c r="M23" s="347">
        <v>1.0</v>
      </c>
      <c r="N23" s="348">
        <f t="shared" si="1"/>
        <v>5.1</v>
      </c>
      <c r="O23" s="20"/>
      <c r="P23" s="347">
        <f t="shared" si="2"/>
        <v>35</v>
      </c>
      <c r="Q23" s="348">
        <f t="shared" si="3"/>
        <v>35.7</v>
      </c>
      <c r="R23" s="20"/>
      <c r="S23" s="349">
        <f>Q23/Q27</f>
        <v>0.000500886903</v>
      </c>
      <c r="T23" s="350" t="s">
        <v>525</v>
      </c>
      <c r="U23" s="354" t="s">
        <v>223</v>
      </c>
      <c r="W23" s="20"/>
      <c r="X23" s="352" t="s">
        <v>378</v>
      </c>
    </row>
    <row r="24">
      <c r="A24" s="355" t="s">
        <v>530</v>
      </c>
      <c r="B24" s="356" t="s">
        <v>531</v>
      </c>
      <c r="C24" s="346">
        <v>1.0</v>
      </c>
      <c r="D24" s="347">
        <v>7.0</v>
      </c>
      <c r="E24" s="348" t="s">
        <v>523</v>
      </c>
      <c r="F24" s="20"/>
      <c r="G24" s="348" t="s">
        <v>532</v>
      </c>
      <c r="H24" s="20"/>
      <c r="I24" s="347" t="s">
        <v>25</v>
      </c>
      <c r="J24" s="347">
        <v>3.0</v>
      </c>
      <c r="K24" s="347">
        <v>0.1</v>
      </c>
      <c r="L24" s="347">
        <v>1.0</v>
      </c>
      <c r="M24" s="347">
        <v>1.0</v>
      </c>
      <c r="N24" s="348">
        <f t="shared" si="1"/>
        <v>3.1</v>
      </c>
      <c r="O24" s="20"/>
      <c r="P24" s="347">
        <f t="shared" si="2"/>
        <v>21</v>
      </c>
      <c r="Q24" s="348">
        <f t="shared" si="3"/>
        <v>21.7</v>
      </c>
      <c r="R24" s="20"/>
      <c r="S24" s="349">
        <f>Q24/Q27</f>
        <v>0.0003044606666</v>
      </c>
      <c r="T24" s="350" t="s">
        <v>525</v>
      </c>
      <c r="U24" s="354" t="s">
        <v>223</v>
      </c>
      <c r="W24" s="20"/>
      <c r="X24" s="352" t="s">
        <v>378</v>
      </c>
    </row>
    <row r="25">
      <c r="A25" s="357" t="s">
        <v>533</v>
      </c>
      <c r="B25" s="345" t="s">
        <v>534</v>
      </c>
      <c r="C25" s="346">
        <v>1.0</v>
      </c>
      <c r="D25" s="347">
        <v>7.0</v>
      </c>
      <c r="E25" s="348" t="s">
        <v>523</v>
      </c>
      <c r="F25" s="20"/>
      <c r="G25" s="348" t="s">
        <v>535</v>
      </c>
      <c r="H25" s="20"/>
      <c r="I25" s="347" t="s">
        <v>25</v>
      </c>
      <c r="J25" s="347">
        <v>3.0</v>
      </c>
      <c r="K25" s="347">
        <v>0.1</v>
      </c>
      <c r="L25" s="347">
        <v>1.0</v>
      </c>
      <c r="M25" s="347">
        <v>1.0</v>
      </c>
      <c r="N25" s="348">
        <f t="shared" si="1"/>
        <v>3.1</v>
      </c>
      <c r="O25" s="20"/>
      <c r="P25" s="347">
        <f t="shared" si="2"/>
        <v>21</v>
      </c>
      <c r="Q25" s="348">
        <f t="shared" si="3"/>
        <v>21.7</v>
      </c>
      <c r="R25" s="20"/>
      <c r="S25" s="349">
        <f>Q25/Q27</f>
        <v>0.0003044606666</v>
      </c>
      <c r="T25" s="350" t="s">
        <v>525</v>
      </c>
      <c r="U25" s="354" t="s">
        <v>223</v>
      </c>
      <c r="W25" s="20"/>
      <c r="X25" s="352" t="s">
        <v>378</v>
      </c>
    </row>
    <row r="26">
      <c r="A26" s="358" t="s">
        <v>536</v>
      </c>
      <c r="B26" s="359" t="s">
        <v>457</v>
      </c>
      <c r="C26" s="360">
        <v>2.0</v>
      </c>
      <c r="D26" s="361">
        <v>5.0</v>
      </c>
      <c r="E26" s="362" t="s">
        <v>537</v>
      </c>
      <c r="F26" s="66"/>
      <c r="G26" s="362" t="s">
        <v>538</v>
      </c>
      <c r="H26" s="66"/>
      <c r="I26" s="361" t="s">
        <v>25</v>
      </c>
      <c r="J26" s="361">
        <v>8.0</v>
      </c>
      <c r="K26" s="361">
        <v>1.0</v>
      </c>
      <c r="L26" s="361">
        <v>1.0</v>
      </c>
      <c r="M26" s="361">
        <v>1.0</v>
      </c>
      <c r="N26" s="362">
        <f t="shared" si="1"/>
        <v>18</v>
      </c>
      <c r="O26" s="66"/>
      <c r="P26" s="361">
        <f t="shared" si="2"/>
        <v>80</v>
      </c>
      <c r="Q26" s="362">
        <f t="shared" si="3"/>
        <v>90</v>
      </c>
      <c r="R26" s="66"/>
      <c r="S26" s="363">
        <f>Q26/Q27</f>
        <v>0.001262740092</v>
      </c>
      <c r="T26" s="364" t="s">
        <v>539</v>
      </c>
      <c r="U26" s="365" t="s">
        <v>223</v>
      </c>
      <c r="V26" s="72"/>
      <c r="W26" s="66"/>
      <c r="X26" s="366" t="s">
        <v>378</v>
      </c>
    </row>
    <row r="27">
      <c r="A27" s="367"/>
      <c r="B27" s="367"/>
      <c r="C27" s="121"/>
      <c r="D27" s="150" t="s">
        <v>444</v>
      </c>
      <c r="N27" s="124">
        <f>sum(N4:O26)</f>
        <v>10596.705</v>
      </c>
      <c r="O27" s="6"/>
      <c r="P27" s="282">
        <f>sum(P4:P26)</f>
        <v>113841.798</v>
      </c>
      <c r="Q27" s="124">
        <f>SUM(Q4:Q26)</f>
        <v>71273.5745</v>
      </c>
      <c r="R27" s="6"/>
    </row>
    <row r="28">
      <c r="A28" s="255"/>
      <c r="B28" s="368"/>
      <c r="C28" s="121"/>
      <c r="D28" s="9" t="s">
        <v>107</v>
      </c>
      <c r="N28" s="127" t="s">
        <v>108</v>
      </c>
      <c r="O28" s="72"/>
      <c r="P28" s="250" t="s">
        <v>417</v>
      </c>
      <c r="Q28" s="250" t="s">
        <v>109</v>
      </c>
      <c r="R28" s="66"/>
    </row>
    <row r="29">
      <c r="A29" s="369"/>
      <c r="B29" s="369"/>
      <c r="C29" s="121"/>
    </row>
    <row r="30">
      <c r="A30" s="129" t="s">
        <v>418</v>
      </c>
      <c r="B30" s="130" t="s">
        <v>111</v>
      </c>
      <c r="C30" s="130" t="s">
        <v>419</v>
      </c>
      <c r="D30" s="131" t="s">
        <v>114</v>
      </c>
      <c r="E30" s="132" t="s">
        <v>115</v>
      </c>
      <c r="F30" s="6"/>
      <c r="G30" s="132" t="s">
        <v>540</v>
      </c>
      <c r="H30" s="6"/>
    </row>
    <row r="31">
      <c r="A31" s="138" t="s">
        <v>121</v>
      </c>
      <c r="B31" s="139">
        <v>5.0</v>
      </c>
      <c r="C31" s="140">
        <v>7.4</v>
      </c>
      <c r="D31" s="139">
        <v>3322.0</v>
      </c>
      <c r="E31" s="140" t="s">
        <v>25</v>
      </c>
      <c r="F31" s="20"/>
      <c r="G31" s="140">
        <f t="shared" ref="G31:G35" si="4">C31*D31</f>
        <v>24582.8</v>
      </c>
      <c r="H31" s="20"/>
    </row>
    <row r="32">
      <c r="A32" s="138" t="s">
        <v>125</v>
      </c>
      <c r="B32" s="139">
        <v>7.0</v>
      </c>
      <c r="C32" s="140">
        <v>5.0</v>
      </c>
      <c r="D32" s="139">
        <v>1636.0</v>
      </c>
      <c r="E32" s="140">
        <v>1582.0</v>
      </c>
      <c r="F32" s="20"/>
      <c r="G32" s="140">
        <f t="shared" si="4"/>
        <v>8180</v>
      </c>
      <c r="H32" s="20"/>
    </row>
    <row r="33">
      <c r="A33" s="138" t="s">
        <v>129</v>
      </c>
      <c r="B33" s="139">
        <v>5.0</v>
      </c>
      <c r="C33" s="140">
        <v>3.3</v>
      </c>
      <c r="D33" s="139">
        <v>395.0</v>
      </c>
      <c r="E33" s="140">
        <v>382.0</v>
      </c>
      <c r="F33" s="20"/>
      <c r="G33" s="140">
        <f t="shared" si="4"/>
        <v>1303.5</v>
      </c>
      <c r="H33" s="20"/>
    </row>
    <row r="34">
      <c r="A34" s="138" t="s">
        <v>260</v>
      </c>
      <c r="B34" s="139">
        <v>2.0</v>
      </c>
      <c r="C34" s="140">
        <v>2.8</v>
      </c>
      <c r="D34" s="139">
        <v>27.0</v>
      </c>
      <c r="E34" s="140">
        <v>26.0</v>
      </c>
      <c r="F34" s="20"/>
      <c r="G34" s="140">
        <f t="shared" si="4"/>
        <v>75.6</v>
      </c>
      <c r="H34" s="20"/>
    </row>
    <row r="35">
      <c r="A35" s="266" t="s">
        <v>300</v>
      </c>
      <c r="B35" s="156">
        <v>3.0</v>
      </c>
      <c r="C35" s="155">
        <v>1.8</v>
      </c>
      <c r="D35" s="156">
        <v>253.0</v>
      </c>
      <c r="E35" s="155">
        <v>244.0</v>
      </c>
      <c r="F35" s="66"/>
      <c r="G35" s="140">
        <f t="shared" si="4"/>
        <v>455.4</v>
      </c>
      <c r="H35" s="20"/>
    </row>
  </sheetData>
  <mergeCells count="148">
    <mergeCell ref="E7:F7"/>
    <mergeCell ref="G7:H7"/>
    <mergeCell ref="E8:F8"/>
    <mergeCell ref="G8:H8"/>
    <mergeCell ref="E9:F9"/>
    <mergeCell ref="G9:H9"/>
    <mergeCell ref="G10:H10"/>
    <mergeCell ref="E10:F10"/>
    <mergeCell ref="E11:F11"/>
    <mergeCell ref="E12:F12"/>
    <mergeCell ref="E13:F13"/>
    <mergeCell ref="E14:F14"/>
    <mergeCell ref="E15:F15"/>
    <mergeCell ref="E16:F16"/>
    <mergeCell ref="G11:H11"/>
    <mergeCell ref="G12:H12"/>
    <mergeCell ref="G13:H13"/>
    <mergeCell ref="G14:H14"/>
    <mergeCell ref="G15:H15"/>
    <mergeCell ref="G16:H16"/>
    <mergeCell ref="G17:H17"/>
    <mergeCell ref="E17:F17"/>
    <mergeCell ref="E18:F18"/>
    <mergeCell ref="E19:F19"/>
    <mergeCell ref="E20:F20"/>
    <mergeCell ref="E21:F21"/>
    <mergeCell ref="E22:F22"/>
    <mergeCell ref="E23:F23"/>
    <mergeCell ref="G25:H25"/>
    <mergeCell ref="G26:H26"/>
    <mergeCell ref="G30:H30"/>
    <mergeCell ref="G31:H31"/>
    <mergeCell ref="G32:H32"/>
    <mergeCell ref="G33:H33"/>
    <mergeCell ref="G34:H34"/>
    <mergeCell ref="G35:H35"/>
    <mergeCell ref="G18:H18"/>
    <mergeCell ref="G19:H19"/>
    <mergeCell ref="G20:H20"/>
    <mergeCell ref="G21:H21"/>
    <mergeCell ref="G22:H22"/>
    <mergeCell ref="G23:H23"/>
    <mergeCell ref="G24:H24"/>
    <mergeCell ref="E34:F34"/>
    <mergeCell ref="E35:F35"/>
    <mergeCell ref="E24:F24"/>
    <mergeCell ref="E25:F25"/>
    <mergeCell ref="E26:F26"/>
    <mergeCell ref="E30:F30"/>
    <mergeCell ref="E31:F31"/>
    <mergeCell ref="E32:F32"/>
    <mergeCell ref="E33:F33"/>
    <mergeCell ref="N6:O6"/>
    <mergeCell ref="N7:O7"/>
    <mergeCell ref="N8:O8"/>
    <mergeCell ref="N9:O9"/>
    <mergeCell ref="N10:O10"/>
    <mergeCell ref="N11:O11"/>
    <mergeCell ref="N12:O12"/>
    <mergeCell ref="N13:O13"/>
    <mergeCell ref="N14:O14"/>
    <mergeCell ref="N15:O15"/>
    <mergeCell ref="N16:O16"/>
    <mergeCell ref="N17:O17"/>
    <mergeCell ref="N18:O18"/>
    <mergeCell ref="N19:O19"/>
    <mergeCell ref="N27:O27"/>
    <mergeCell ref="N28:O28"/>
    <mergeCell ref="N20:O20"/>
    <mergeCell ref="N21:O21"/>
    <mergeCell ref="N22:O22"/>
    <mergeCell ref="N23:O23"/>
    <mergeCell ref="N24:O24"/>
    <mergeCell ref="N25:O25"/>
    <mergeCell ref="N26:O26"/>
    <mergeCell ref="U19:W19"/>
    <mergeCell ref="U20:W20"/>
    <mergeCell ref="U12:W12"/>
    <mergeCell ref="U13:W13"/>
    <mergeCell ref="U14:W14"/>
    <mergeCell ref="U15:W15"/>
    <mergeCell ref="U16:W16"/>
    <mergeCell ref="U17:W17"/>
    <mergeCell ref="U18:W18"/>
    <mergeCell ref="U2:W2"/>
    <mergeCell ref="Y2:Z2"/>
    <mergeCell ref="U3:W3"/>
    <mergeCell ref="Y3:Z3"/>
    <mergeCell ref="U4:W4"/>
    <mergeCell ref="Y4:Z4"/>
    <mergeCell ref="Y5:Z5"/>
    <mergeCell ref="Y6:Z6"/>
    <mergeCell ref="U5:W5"/>
    <mergeCell ref="U6:W6"/>
    <mergeCell ref="U7:W7"/>
    <mergeCell ref="U8:W8"/>
    <mergeCell ref="U9:W9"/>
    <mergeCell ref="U10:W10"/>
    <mergeCell ref="U11:W11"/>
    <mergeCell ref="E1:F1"/>
    <mergeCell ref="G1:H1"/>
    <mergeCell ref="L1:M1"/>
    <mergeCell ref="G2:H2"/>
    <mergeCell ref="Q2:R2"/>
    <mergeCell ref="G3:H3"/>
    <mergeCell ref="Q3:R3"/>
    <mergeCell ref="E2:F2"/>
    <mergeCell ref="E4:F4"/>
    <mergeCell ref="G4:H4"/>
    <mergeCell ref="E5:F5"/>
    <mergeCell ref="G5:H5"/>
    <mergeCell ref="E6:F6"/>
    <mergeCell ref="G6:H6"/>
    <mergeCell ref="N2:O2"/>
    <mergeCell ref="N3:O3"/>
    <mergeCell ref="N4:O4"/>
    <mergeCell ref="Q4:R4"/>
    <mergeCell ref="N5:O5"/>
    <mergeCell ref="Q5:R5"/>
    <mergeCell ref="Q6:R6"/>
    <mergeCell ref="Q7:R7"/>
    <mergeCell ref="Q8:R8"/>
    <mergeCell ref="Q9:R9"/>
    <mergeCell ref="Q10:R10"/>
    <mergeCell ref="Q11:R11"/>
    <mergeCell ref="Q12:R12"/>
    <mergeCell ref="Q13:R13"/>
    <mergeCell ref="Q21:R21"/>
    <mergeCell ref="Q22:R22"/>
    <mergeCell ref="Q23:R23"/>
    <mergeCell ref="Q24:R24"/>
    <mergeCell ref="Q25:R25"/>
    <mergeCell ref="Q26:R26"/>
    <mergeCell ref="Q27:R27"/>
    <mergeCell ref="Q28:R28"/>
    <mergeCell ref="Q14:R14"/>
    <mergeCell ref="Q15:R15"/>
    <mergeCell ref="Q16:R16"/>
    <mergeCell ref="Q17:R17"/>
    <mergeCell ref="Q18:R18"/>
    <mergeCell ref="Q19:R19"/>
    <mergeCell ref="Q20:R20"/>
    <mergeCell ref="U21:W21"/>
    <mergeCell ref="U22:W22"/>
    <mergeCell ref="U23:W23"/>
    <mergeCell ref="U24:W24"/>
    <mergeCell ref="U25:W25"/>
    <mergeCell ref="U26:W26"/>
  </mergeCells>
  <hyperlinks>
    <hyperlink r:id="rId1" ref="T3"/>
    <hyperlink r:id="rId2" ref="T4"/>
    <hyperlink r:id="rId3" ref="T5"/>
    <hyperlink r:id="rId4" ref="T6"/>
    <hyperlink r:id="rId5" ref="T7"/>
    <hyperlink r:id="rId6" ref="T8"/>
    <hyperlink r:id="rId7" ref="T9"/>
    <hyperlink r:id="rId8" ref="T10"/>
    <hyperlink r:id="rId9" ref="T11"/>
    <hyperlink r:id="rId10" ref="T12"/>
    <hyperlink r:id="rId11" ref="T13"/>
    <hyperlink r:id="rId12" ref="T14"/>
    <hyperlink r:id="rId13" ref="T15"/>
    <hyperlink r:id="rId14" ref="T16"/>
    <hyperlink r:id="rId15" ref="T17"/>
    <hyperlink r:id="rId16" ref="T18"/>
    <hyperlink r:id="rId17" ref="T19"/>
    <hyperlink r:id="rId18" ref="T20"/>
    <hyperlink r:id="rId19" ref="T21"/>
    <hyperlink r:id="rId20" ref="T22"/>
    <hyperlink r:id="rId21" ref="T23"/>
    <hyperlink r:id="rId22" ref="T24"/>
    <hyperlink r:id="rId23" ref="T25"/>
    <hyperlink r:id="rId24" ref="T26"/>
  </hyperlinks>
  <drawing r:id="rId25"/>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25"/>
    <col customWidth="1" min="23" max="23" width="16.63"/>
  </cols>
  <sheetData>
    <row r="1">
      <c r="A1" s="34" t="s">
        <v>541</v>
      </c>
      <c r="B1" s="2"/>
      <c r="C1" s="3"/>
      <c r="J1" s="4" t="s">
        <v>1</v>
      </c>
      <c r="K1" s="5"/>
      <c r="L1" s="4" t="s">
        <v>2</v>
      </c>
      <c r="M1" s="6"/>
    </row>
    <row r="2">
      <c r="A2" s="7" t="s">
        <v>3</v>
      </c>
      <c r="B2" s="8" t="s">
        <v>4</v>
      </c>
      <c r="C2" s="8" t="s">
        <v>5</v>
      </c>
      <c r="D2" s="9" t="s">
        <v>6</v>
      </c>
      <c r="E2" s="4" t="s">
        <v>428</v>
      </c>
      <c r="F2" s="6"/>
      <c r="G2" s="4" t="s">
        <v>429</v>
      </c>
      <c r="H2" s="6"/>
      <c r="I2" s="9" t="s">
        <v>372</v>
      </c>
      <c r="J2" s="9" t="s">
        <v>13</v>
      </c>
      <c r="K2" s="9" t="s">
        <v>14</v>
      </c>
      <c r="L2" s="9" t="s">
        <v>13</v>
      </c>
      <c r="M2" s="9" t="s">
        <v>14</v>
      </c>
      <c r="N2" s="4" t="s">
        <v>15</v>
      </c>
      <c r="O2" s="6"/>
      <c r="P2" s="9" t="s">
        <v>373</v>
      </c>
      <c r="Q2" s="4" t="s">
        <v>16</v>
      </c>
      <c r="R2" s="6"/>
      <c r="S2" s="9" t="s">
        <v>17</v>
      </c>
      <c r="T2" s="10" t="s">
        <v>18</v>
      </c>
      <c r="U2" s="4" t="s">
        <v>19</v>
      </c>
      <c r="V2" s="11"/>
      <c r="W2" s="6"/>
      <c r="X2" s="9" t="s">
        <v>542</v>
      </c>
    </row>
    <row r="3">
      <c r="A3" s="15" t="s">
        <v>474</v>
      </c>
      <c r="B3" s="16" t="s">
        <v>33</v>
      </c>
      <c r="C3" s="17">
        <v>1.0</v>
      </c>
      <c r="D3" s="18" t="s">
        <v>475</v>
      </c>
      <c r="E3" s="30"/>
      <c r="F3" s="30"/>
      <c r="G3" s="19" t="s">
        <v>543</v>
      </c>
      <c r="H3" s="20"/>
      <c r="I3" s="23"/>
      <c r="J3" s="23"/>
      <c r="K3" s="23"/>
      <c r="L3" s="23"/>
      <c r="M3" s="23"/>
      <c r="N3" s="19">
        <v>-11000.0</v>
      </c>
      <c r="O3" s="20"/>
      <c r="P3" s="30"/>
      <c r="Q3" s="19">
        <v>-81400.0</v>
      </c>
      <c r="R3" s="20"/>
      <c r="S3" s="31">
        <f>Q3/Q30</f>
        <v>-1.083403798</v>
      </c>
      <c r="T3" s="326" t="s">
        <v>477</v>
      </c>
      <c r="U3" s="26" t="s">
        <v>544</v>
      </c>
      <c r="V3" s="27"/>
      <c r="W3" s="13"/>
      <c r="X3" s="327" t="s">
        <v>409</v>
      </c>
      <c r="Y3" s="34" t="s">
        <v>545</v>
      </c>
    </row>
    <row r="4">
      <c r="A4" s="370" t="s">
        <v>546</v>
      </c>
      <c r="B4" s="371" t="s">
        <v>39</v>
      </c>
      <c r="C4" s="372">
        <v>1.0</v>
      </c>
      <c r="D4" s="373">
        <v>5.0</v>
      </c>
      <c r="E4" s="43" t="s">
        <v>547</v>
      </c>
      <c r="F4" s="13"/>
      <c r="G4" s="43" t="s">
        <v>548</v>
      </c>
      <c r="H4" s="13"/>
      <c r="I4" s="373" t="s">
        <v>25</v>
      </c>
      <c r="J4" s="373">
        <v>19.0</v>
      </c>
      <c r="K4" s="373">
        <v>1.0</v>
      </c>
      <c r="L4" s="373">
        <v>1.0</v>
      </c>
      <c r="M4" s="373">
        <v>1.0</v>
      </c>
      <c r="N4" s="43">
        <f t="shared" ref="N4:N29" si="1">(J4*L4+K4*M4)*C4</f>
        <v>20</v>
      </c>
      <c r="O4" s="13"/>
      <c r="P4" s="373">
        <f t="shared" ref="P4:P29" si="2">(D4*J4)*C4</f>
        <v>95</v>
      </c>
      <c r="Q4" s="43">
        <f t="shared" ref="Q4:Q29" si="3">(N4*D4)</f>
        <v>100</v>
      </c>
      <c r="R4" s="13"/>
      <c r="S4" s="374">
        <f>Q4/Q30</f>
        <v>0.001330962897</v>
      </c>
      <c r="T4" s="375" t="s">
        <v>549</v>
      </c>
      <c r="U4" s="376" t="s">
        <v>494</v>
      </c>
      <c r="V4" s="27"/>
      <c r="W4" s="13"/>
      <c r="X4" s="377" t="s">
        <v>378</v>
      </c>
      <c r="Y4" s="34" t="s">
        <v>550</v>
      </c>
    </row>
    <row r="5">
      <c r="A5" s="378" t="s">
        <v>223</v>
      </c>
      <c r="B5" s="379" t="s">
        <v>551</v>
      </c>
      <c r="C5" s="372">
        <v>1.0</v>
      </c>
      <c r="D5" s="373">
        <v>5.0</v>
      </c>
      <c r="E5" s="43" t="s">
        <v>552</v>
      </c>
      <c r="F5" s="13"/>
      <c r="G5" s="43" t="s">
        <v>553</v>
      </c>
      <c r="H5" s="13"/>
      <c r="I5" s="373" t="s">
        <v>25</v>
      </c>
      <c r="J5" s="373">
        <v>600.0</v>
      </c>
      <c r="K5" s="373">
        <v>1.0</v>
      </c>
      <c r="L5" s="373">
        <v>1.0</v>
      </c>
      <c r="M5" s="373">
        <v>1.0</v>
      </c>
      <c r="N5" s="43">
        <f t="shared" si="1"/>
        <v>601</v>
      </c>
      <c r="O5" s="13"/>
      <c r="P5" s="373">
        <f t="shared" si="2"/>
        <v>3000</v>
      </c>
      <c r="Q5" s="43">
        <f t="shared" si="3"/>
        <v>3005</v>
      </c>
      <c r="R5" s="13"/>
      <c r="S5" s="374">
        <f>Q5/Q30</f>
        <v>0.03999543506</v>
      </c>
      <c r="T5" s="375" t="s">
        <v>549</v>
      </c>
      <c r="U5" s="376" t="s">
        <v>554</v>
      </c>
      <c r="V5" s="27"/>
      <c r="W5" s="13"/>
      <c r="X5" s="377" t="s">
        <v>378</v>
      </c>
      <c r="Y5" s="34" t="s">
        <v>555</v>
      </c>
    </row>
    <row r="6">
      <c r="A6" s="328" t="s">
        <v>480</v>
      </c>
      <c r="B6" s="288" t="s">
        <v>39</v>
      </c>
      <c r="C6" s="50">
        <v>1.0</v>
      </c>
      <c r="D6" s="51">
        <v>5.0</v>
      </c>
      <c r="E6" s="42" t="s">
        <v>481</v>
      </c>
      <c r="F6" s="20"/>
      <c r="G6" s="42" t="s">
        <v>482</v>
      </c>
      <c r="H6" s="20"/>
      <c r="I6" s="51" t="s">
        <v>25</v>
      </c>
      <c r="J6" s="51">
        <v>9.0</v>
      </c>
      <c r="K6" s="51">
        <v>2.7</v>
      </c>
      <c r="L6" s="51">
        <v>1.0</v>
      </c>
      <c r="M6" s="51">
        <v>1.0</v>
      </c>
      <c r="N6" s="42">
        <f t="shared" si="1"/>
        <v>11.7</v>
      </c>
      <c r="O6" s="20"/>
      <c r="P6" s="51">
        <f t="shared" si="2"/>
        <v>45</v>
      </c>
      <c r="Q6" s="42">
        <f t="shared" si="3"/>
        <v>58.5</v>
      </c>
      <c r="R6" s="20"/>
      <c r="S6" s="53">
        <f>Q6/Q30</f>
        <v>0.0007786132949</v>
      </c>
      <c r="T6" s="256" t="s">
        <v>483</v>
      </c>
      <c r="U6" s="29" t="s">
        <v>223</v>
      </c>
      <c r="W6" s="20"/>
      <c r="X6" s="57" t="s">
        <v>378</v>
      </c>
      <c r="Y6" s="34" t="s">
        <v>556</v>
      </c>
    </row>
    <row r="7">
      <c r="A7" s="380" t="s">
        <v>557</v>
      </c>
      <c r="B7" s="288" t="s">
        <v>485</v>
      </c>
      <c r="C7" s="381">
        <v>1.0</v>
      </c>
      <c r="D7" s="51">
        <v>5.0</v>
      </c>
      <c r="E7" s="42" t="s">
        <v>558</v>
      </c>
      <c r="F7" s="20"/>
      <c r="G7" s="42" t="s">
        <v>25</v>
      </c>
      <c r="H7" s="20"/>
      <c r="I7" s="51" t="s">
        <v>25</v>
      </c>
      <c r="J7" s="51">
        <v>150.0</v>
      </c>
      <c r="K7" s="51">
        <v>1.0</v>
      </c>
      <c r="L7" s="51">
        <v>1.0</v>
      </c>
      <c r="M7" s="51">
        <v>1.0</v>
      </c>
      <c r="N7" s="42">
        <f t="shared" si="1"/>
        <v>151</v>
      </c>
      <c r="O7" s="20"/>
      <c r="P7" s="51">
        <f t="shared" si="2"/>
        <v>750</v>
      </c>
      <c r="Q7" s="42">
        <f t="shared" si="3"/>
        <v>755</v>
      </c>
      <c r="R7" s="20"/>
      <c r="S7" s="53">
        <f>Q7/Q30</f>
        <v>0.01004876987</v>
      </c>
      <c r="T7" s="382" t="s">
        <v>559</v>
      </c>
      <c r="U7" s="29" t="s">
        <v>223</v>
      </c>
      <c r="W7" s="20"/>
      <c r="X7" s="57" t="s">
        <v>378</v>
      </c>
    </row>
    <row r="8">
      <c r="A8" s="48" t="s">
        <v>221</v>
      </c>
      <c r="B8" s="49" t="s">
        <v>560</v>
      </c>
      <c r="C8" s="50">
        <v>1.0</v>
      </c>
      <c r="D8" s="51">
        <v>5.0</v>
      </c>
      <c r="E8" s="42" t="s">
        <v>486</v>
      </c>
      <c r="F8" s="20"/>
      <c r="G8" s="42" t="s">
        <v>25</v>
      </c>
      <c r="H8" s="20"/>
      <c r="I8" s="51" t="s">
        <v>25</v>
      </c>
      <c r="J8" s="51">
        <v>400.0</v>
      </c>
      <c r="K8" s="51">
        <v>1.0</v>
      </c>
      <c r="L8" s="51">
        <v>1.0</v>
      </c>
      <c r="M8" s="51">
        <v>1.0</v>
      </c>
      <c r="N8" s="42">
        <f t="shared" si="1"/>
        <v>401</v>
      </c>
      <c r="O8" s="20"/>
      <c r="P8" s="51">
        <f t="shared" si="2"/>
        <v>2000</v>
      </c>
      <c r="Q8" s="42">
        <f t="shared" si="3"/>
        <v>2005</v>
      </c>
      <c r="R8" s="20"/>
      <c r="S8" s="53">
        <f>Q8/Q30</f>
        <v>0.02668580609</v>
      </c>
      <c r="T8" s="256" t="s">
        <v>48</v>
      </c>
      <c r="U8" s="29" t="s">
        <v>434</v>
      </c>
      <c r="W8" s="20"/>
      <c r="X8" s="57" t="s">
        <v>378</v>
      </c>
    </row>
    <row r="9">
      <c r="A9" s="48" t="s">
        <v>223</v>
      </c>
      <c r="B9" s="49" t="s">
        <v>224</v>
      </c>
      <c r="C9" s="50">
        <v>1.0</v>
      </c>
      <c r="D9" s="51">
        <v>3.3</v>
      </c>
      <c r="E9" s="42" t="s">
        <v>488</v>
      </c>
      <c r="F9" s="20"/>
      <c r="G9" s="42" t="s">
        <v>25</v>
      </c>
      <c r="H9" s="20"/>
      <c r="I9" s="51" t="s">
        <v>25</v>
      </c>
      <c r="J9" s="51">
        <v>250.0</v>
      </c>
      <c r="K9" s="51">
        <v>1.0</v>
      </c>
      <c r="L9" s="51">
        <v>1.0</v>
      </c>
      <c r="M9" s="51">
        <v>1.0</v>
      </c>
      <c r="N9" s="42">
        <f t="shared" si="1"/>
        <v>251</v>
      </c>
      <c r="O9" s="20"/>
      <c r="P9" s="51">
        <f t="shared" si="2"/>
        <v>825</v>
      </c>
      <c r="Q9" s="42">
        <f t="shared" si="3"/>
        <v>828.3</v>
      </c>
      <c r="R9" s="20"/>
      <c r="S9" s="53">
        <f>Q9/Q30</f>
        <v>0.01102436568</v>
      </c>
      <c r="T9" s="256" t="s">
        <v>48</v>
      </c>
      <c r="U9" s="29" t="s">
        <v>223</v>
      </c>
      <c r="W9" s="20"/>
      <c r="X9" s="57" t="s">
        <v>378</v>
      </c>
    </row>
    <row r="10">
      <c r="A10" s="48" t="s">
        <v>223</v>
      </c>
      <c r="B10" s="49" t="s">
        <v>227</v>
      </c>
      <c r="C10" s="50">
        <v>1.0</v>
      </c>
      <c r="D10" s="51">
        <v>1.8</v>
      </c>
      <c r="E10" s="42" t="s">
        <v>490</v>
      </c>
      <c r="F10" s="20"/>
      <c r="G10" s="42" t="s">
        <v>25</v>
      </c>
      <c r="H10" s="20"/>
      <c r="I10" s="51" t="s">
        <v>25</v>
      </c>
      <c r="J10" s="51">
        <v>250.0</v>
      </c>
      <c r="K10" s="51">
        <v>1.0</v>
      </c>
      <c r="L10" s="51">
        <v>1.0</v>
      </c>
      <c r="M10" s="51">
        <v>1.0</v>
      </c>
      <c r="N10" s="42">
        <f t="shared" si="1"/>
        <v>251</v>
      </c>
      <c r="O10" s="20"/>
      <c r="P10" s="51">
        <f t="shared" si="2"/>
        <v>450</v>
      </c>
      <c r="Q10" s="42">
        <f t="shared" si="3"/>
        <v>451.8</v>
      </c>
      <c r="R10" s="20"/>
      <c r="S10" s="53">
        <f>Q10/Q30</f>
        <v>0.00601329037</v>
      </c>
      <c r="T10" s="256" t="s">
        <v>48</v>
      </c>
      <c r="U10" s="29" t="s">
        <v>223</v>
      </c>
      <c r="W10" s="20"/>
      <c r="X10" s="57" t="s">
        <v>378</v>
      </c>
    </row>
    <row r="11">
      <c r="A11" s="48" t="s">
        <v>223</v>
      </c>
      <c r="B11" s="49" t="s">
        <v>229</v>
      </c>
      <c r="C11" s="50">
        <v>1.0</v>
      </c>
      <c r="D11" s="51">
        <v>2.8</v>
      </c>
      <c r="E11" s="42" t="s">
        <v>491</v>
      </c>
      <c r="F11" s="20"/>
      <c r="G11" s="42" t="s">
        <v>25</v>
      </c>
      <c r="H11" s="20"/>
      <c r="I11" s="51" t="s">
        <v>25</v>
      </c>
      <c r="J11" s="51">
        <v>25.0</v>
      </c>
      <c r="K11" s="51">
        <v>1.0</v>
      </c>
      <c r="L11" s="51">
        <v>1.0</v>
      </c>
      <c r="M11" s="51">
        <v>1.0</v>
      </c>
      <c r="N11" s="42">
        <f t="shared" si="1"/>
        <v>26</v>
      </c>
      <c r="O11" s="20"/>
      <c r="P11" s="51">
        <f t="shared" si="2"/>
        <v>70</v>
      </c>
      <c r="Q11" s="42">
        <f t="shared" si="3"/>
        <v>72.8</v>
      </c>
      <c r="R11" s="20"/>
      <c r="S11" s="53">
        <f>Q11/Q30</f>
        <v>0.0009689409892</v>
      </c>
      <c r="T11" s="256" t="s">
        <v>48</v>
      </c>
      <c r="U11" s="29" t="s">
        <v>223</v>
      </c>
      <c r="W11" s="20"/>
      <c r="X11" s="57" t="s">
        <v>378</v>
      </c>
    </row>
    <row r="12">
      <c r="A12" s="48" t="s">
        <v>223</v>
      </c>
      <c r="B12" s="49" t="s">
        <v>231</v>
      </c>
      <c r="C12" s="50">
        <v>1.0</v>
      </c>
      <c r="D12" s="51">
        <v>3.3</v>
      </c>
      <c r="E12" s="42" t="s">
        <v>492</v>
      </c>
      <c r="F12" s="20"/>
      <c r="G12" s="42" t="s">
        <v>493</v>
      </c>
      <c r="H12" s="20"/>
      <c r="I12" s="51" t="s">
        <v>25</v>
      </c>
      <c r="J12" s="51">
        <v>50.0</v>
      </c>
      <c r="K12" s="51">
        <v>1.0</v>
      </c>
      <c r="L12" s="51">
        <v>1.0</v>
      </c>
      <c r="M12" s="51">
        <v>1.0</v>
      </c>
      <c r="N12" s="42">
        <f t="shared" si="1"/>
        <v>51</v>
      </c>
      <c r="O12" s="20"/>
      <c r="P12" s="51">
        <f t="shared" si="2"/>
        <v>165</v>
      </c>
      <c r="Q12" s="42">
        <f t="shared" si="3"/>
        <v>168.3</v>
      </c>
      <c r="R12" s="20"/>
      <c r="S12" s="53">
        <f>Q12/Q30</f>
        <v>0.002240010556</v>
      </c>
      <c r="T12" s="256" t="s">
        <v>48</v>
      </c>
      <c r="U12" s="29" t="s">
        <v>344</v>
      </c>
      <c r="W12" s="20"/>
      <c r="X12" s="57" t="s">
        <v>378</v>
      </c>
    </row>
    <row r="13">
      <c r="A13" s="48" t="s">
        <v>223</v>
      </c>
      <c r="B13" s="49" t="s">
        <v>235</v>
      </c>
      <c r="C13" s="50">
        <v>1.0</v>
      </c>
      <c r="D13" s="51">
        <v>3.3</v>
      </c>
      <c r="E13" s="42" t="s">
        <v>492</v>
      </c>
      <c r="F13" s="20"/>
      <c r="G13" s="42" t="s">
        <v>493</v>
      </c>
      <c r="H13" s="20"/>
      <c r="I13" s="51" t="s">
        <v>25</v>
      </c>
      <c r="J13" s="51">
        <v>50.0</v>
      </c>
      <c r="K13" s="51">
        <v>1.0</v>
      </c>
      <c r="L13" s="51">
        <v>1.0</v>
      </c>
      <c r="M13" s="51">
        <v>1.0</v>
      </c>
      <c r="N13" s="42">
        <f t="shared" si="1"/>
        <v>51</v>
      </c>
      <c r="O13" s="20"/>
      <c r="P13" s="51">
        <f t="shared" si="2"/>
        <v>165</v>
      </c>
      <c r="Q13" s="42">
        <f t="shared" si="3"/>
        <v>168.3</v>
      </c>
      <c r="R13" s="20"/>
      <c r="S13" s="53">
        <f>Q13/Q30</f>
        <v>0.002240010556</v>
      </c>
      <c r="T13" s="256" t="s">
        <v>48</v>
      </c>
      <c r="U13" s="29" t="s">
        <v>223</v>
      </c>
      <c r="W13" s="20"/>
      <c r="X13" s="57" t="s">
        <v>378</v>
      </c>
    </row>
    <row r="14">
      <c r="A14" s="73" t="s">
        <v>66</v>
      </c>
      <c r="B14" s="74" t="s">
        <v>251</v>
      </c>
      <c r="C14" s="75">
        <v>1.0</v>
      </c>
      <c r="D14" s="78">
        <v>2.5</v>
      </c>
      <c r="E14" s="77" t="s">
        <v>350</v>
      </c>
      <c r="F14" s="20"/>
      <c r="G14" s="77" t="s">
        <v>25</v>
      </c>
      <c r="H14" s="20"/>
      <c r="I14" s="78" t="s">
        <v>25</v>
      </c>
      <c r="J14" s="78">
        <v>2.0</v>
      </c>
      <c r="K14" s="78">
        <v>0.265</v>
      </c>
      <c r="L14" s="78">
        <v>1.0</v>
      </c>
      <c r="M14" s="78">
        <v>1.0</v>
      </c>
      <c r="N14" s="77">
        <f t="shared" si="1"/>
        <v>2.265</v>
      </c>
      <c r="O14" s="20"/>
      <c r="P14" s="78">
        <f t="shared" si="2"/>
        <v>5</v>
      </c>
      <c r="Q14" s="77">
        <f t="shared" si="3"/>
        <v>5.6625</v>
      </c>
      <c r="R14" s="20"/>
      <c r="S14" s="81">
        <f>Q14/Q30</f>
        <v>0.00007536577406</v>
      </c>
      <c r="T14" s="260" t="s">
        <v>70</v>
      </c>
      <c r="U14" s="261" t="s">
        <v>494</v>
      </c>
      <c r="V14" s="27"/>
      <c r="W14" s="13"/>
      <c r="X14" s="89" t="s">
        <v>378</v>
      </c>
    </row>
    <row r="15">
      <c r="A15" s="262" t="s">
        <v>223</v>
      </c>
      <c r="B15" s="74" t="s">
        <v>352</v>
      </c>
      <c r="C15" s="85">
        <v>1.0</v>
      </c>
      <c r="D15" s="78">
        <v>1.8</v>
      </c>
      <c r="E15" s="263" t="s">
        <v>495</v>
      </c>
      <c r="F15" s="20"/>
      <c r="G15" s="77" t="s">
        <v>496</v>
      </c>
      <c r="H15" s="20"/>
      <c r="I15" s="78" t="s">
        <v>25</v>
      </c>
      <c r="J15" s="78">
        <v>0.5</v>
      </c>
      <c r="K15" s="78">
        <v>0.5</v>
      </c>
      <c r="L15" s="78">
        <v>1.0</v>
      </c>
      <c r="M15" s="78">
        <v>1.0</v>
      </c>
      <c r="N15" s="77">
        <f t="shared" si="1"/>
        <v>1</v>
      </c>
      <c r="O15" s="20"/>
      <c r="P15" s="78">
        <f t="shared" si="2"/>
        <v>0.9</v>
      </c>
      <c r="Q15" s="77">
        <f t="shared" si="3"/>
        <v>1.8</v>
      </c>
      <c r="R15" s="20"/>
      <c r="S15" s="81">
        <f>Q15/Q30</f>
        <v>0.00002395733215</v>
      </c>
      <c r="T15" s="260" t="s">
        <v>497</v>
      </c>
      <c r="U15" s="35" t="s">
        <v>498</v>
      </c>
      <c r="W15" s="20"/>
      <c r="X15" s="89" t="s">
        <v>409</v>
      </c>
    </row>
    <row r="16">
      <c r="A16" s="73" t="s">
        <v>72</v>
      </c>
      <c r="B16" s="84" t="s">
        <v>73</v>
      </c>
      <c r="C16" s="85">
        <v>3.0</v>
      </c>
      <c r="D16" s="78">
        <v>5.0</v>
      </c>
      <c r="E16" s="77" t="s">
        <v>499</v>
      </c>
      <c r="F16" s="20"/>
      <c r="G16" s="77" t="s">
        <v>500</v>
      </c>
      <c r="H16" s="20"/>
      <c r="I16" s="78" t="s">
        <v>25</v>
      </c>
      <c r="J16" s="78">
        <v>15.0</v>
      </c>
      <c r="K16" s="78">
        <v>1.0</v>
      </c>
      <c r="L16" s="78">
        <v>1.0</v>
      </c>
      <c r="M16" s="78">
        <v>1.0</v>
      </c>
      <c r="N16" s="77">
        <f t="shared" si="1"/>
        <v>48</v>
      </c>
      <c r="O16" s="20"/>
      <c r="P16" s="78">
        <f t="shared" si="2"/>
        <v>225</v>
      </c>
      <c r="Q16" s="77">
        <f t="shared" si="3"/>
        <v>240</v>
      </c>
      <c r="R16" s="20"/>
      <c r="S16" s="81">
        <f>Q16/Q30</f>
        <v>0.003194310953</v>
      </c>
      <c r="T16" s="260" t="s">
        <v>76</v>
      </c>
      <c r="U16" s="35" t="s">
        <v>223</v>
      </c>
      <c r="W16" s="20"/>
      <c r="X16" s="89" t="s">
        <v>378</v>
      </c>
    </row>
    <row r="17">
      <c r="A17" s="87" t="s">
        <v>78</v>
      </c>
      <c r="B17" s="88" t="s">
        <v>79</v>
      </c>
      <c r="C17" s="75">
        <v>1.0</v>
      </c>
      <c r="D17" s="78">
        <v>3.3</v>
      </c>
      <c r="E17" s="77" t="s">
        <v>501</v>
      </c>
      <c r="F17" s="20"/>
      <c r="G17" s="77" t="s">
        <v>502</v>
      </c>
      <c r="H17" s="20"/>
      <c r="I17" s="78" t="s">
        <v>25</v>
      </c>
      <c r="J17" s="78">
        <v>25.0</v>
      </c>
      <c r="K17" s="78">
        <v>1.0</v>
      </c>
      <c r="L17" s="78">
        <v>1.0</v>
      </c>
      <c r="M17" s="78">
        <v>1.0</v>
      </c>
      <c r="N17" s="77">
        <f t="shared" si="1"/>
        <v>26</v>
      </c>
      <c r="O17" s="20"/>
      <c r="P17" s="78">
        <f t="shared" si="2"/>
        <v>82.5</v>
      </c>
      <c r="Q17" s="77">
        <f t="shared" si="3"/>
        <v>85.8</v>
      </c>
      <c r="R17" s="20"/>
      <c r="S17" s="81">
        <f>Q17/Q30</f>
        <v>0.001141966166</v>
      </c>
      <c r="T17" s="260" t="s">
        <v>82</v>
      </c>
      <c r="U17" s="35" t="s">
        <v>223</v>
      </c>
      <c r="W17" s="20"/>
      <c r="X17" s="89" t="s">
        <v>378</v>
      </c>
    </row>
    <row r="18">
      <c r="A18" s="87" t="s">
        <v>223</v>
      </c>
      <c r="B18" s="88" t="s">
        <v>201</v>
      </c>
      <c r="C18" s="75">
        <v>1.0</v>
      </c>
      <c r="D18" s="78">
        <v>3.3</v>
      </c>
      <c r="E18" s="77" t="s">
        <v>239</v>
      </c>
      <c r="F18" s="20"/>
      <c r="G18" s="77" t="s">
        <v>25</v>
      </c>
      <c r="H18" s="20"/>
      <c r="I18" s="78" t="s">
        <v>25</v>
      </c>
      <c r="J18" s="78">
        <v>20.0</v>
      </c>
      <c r="K18" s="78">
        <v>1.0</v>
      </c>
      <c r="L18" s="78">
        <v>1.0</v>
      </c>
      <c r="M18" s="78">
        <v>1.0</v>
      </c>
      <c r="N18" s="77">
        <f t="shared" si="1"/>
        <v>21</v>
      </c>
      <c r="O18" s="20"/>
      <c r="P18" s="78">
        <f t="shared" si="2"/>
        <v>66</v>
      </c>
      <c r="Q18" s="77">
        <f t="shared" si="3"/>
        <v>69.3</v>
      </c>
      <c r="R18" s="20"/>
      <c r="S18" s="81">
        <f>Q18/Q30</f>
        <v>0.0009223572878</v>
      </c>
      <c r="T18" s="260" t="s">
        <v>82</v>
      </c>
      <c r="U18" s="35" t="s">
        <v>223</v>
      </c>
      <c r="W18" s="20"/>
      <c r="X18" s="89" t="s">
        <v>378</v>
      </c>
    </row>
    <row r="19">
      <c r="A19" s="73" t="s">
        <v>84</v>
      </c>
      <c r="B19" s="90" t="s">
        <v>85</v>
      </c>
      <c r="C19" s="75">
        <v>1.0</v>
      </c>
      <c r="D19" s="78">
        <v>1.8</v>
      </c>
      <c r="E19" s="77" t="s">
        <v>503</v>
      </c>
      <c r="F19" s="20"/>
      <c r="G19" s="77" t="s">
        <v>504</v>
      </c>
      <c r="H19" s="20"/>
      <c r="I19" s="78" t="s">
        <v>25</v>
      </c>
      <c r="J19" s="78">
        <v>3.11</v>
      </c>
      <c r="K19" s="78">
        <v>1.23</v>
      </c>
      <c r="L19" s="78">
        <v>1.0</v>
      </c>
      <c r="M19" s="78">
        <v>1.0</v>
      </c>
      <c r="N19" s="77">
        <f t="shared" si="1"/>
        <v>4.34</v>
      </c>
      <c r="O19" s="20"/>
      <c r="P19" s="78">
        <f t="shared" si="2"/>
        <v>5.598</v>
      </c>
      <c r="Q19" s="77">
        <f t="shared" si="3"/>
        <v>7.812</v>
      </c>
      <c r="R19" s="20"/>
      <c r="S19" s="81">
        <f>Q19/Q30</f>
        <v>0.0001039748215</v>
      </c>
      <c r="T19" s="264" t="s">
        <v>88</v>
      </c>
      <c r="U19" s="35" t="s">
        <v>223</v>
      </c>
      <c r="W19" s="20"/>
      <c r="X19" s="89" t="s">
        <v>378</v>
      </c>
    </row>
    <row r="20">
      <c r="A20" s="330" t="s">
        <v>505</v>
      </c>
      <c r="B20" s="331" t="s">
        <v>248</v>
      </c>
      <c r="C20" s="332">
        <v>3.0</v>
      </c>
      <c r="D20" s="95">
        <v>5.0</v>
      </c>
      <c r="E20" s="96" t="s">
        <v>506</v>
      </c>
      <c r="F20" s="66"/>
      <c r="G20" s="96" t="s">
        <v>25</v>
      </c>
      <c r="H20" s="66"/>
      <c r="I20" s="95" t="s">
        <v>25</v>
      </c>
      <c r="J20" s="95">
        <v>250.0</v>
      </c>
      <c r="K20" s="95">
        <v>1.0</v>
      </c>
      <c r="L20" s="95">
        <v>1.0</v>
      </c>
      <c r="M20" s="95">
        <v>1.0</v>
      </c>
      <c r="N20" s="96">
        <f t="shared" si="1"/>
        <v>753</v>
      </c>
      <c r="O20" s="66"/>
      <c r="P20" s="95">
        <f t="shared" si="2"/>
        <v>3750</v>
      </c>
      <c r="Q20" s="96">
        <f t="shared" si="3"/>
        <v>3765</v>
      </c>
      <c r="R20" s="66"/>
      <c r="S20" s="99">
        <f>Q20/Q30</f>
        <v>0.05011075308</v>
      </c>
      <c r="T20" s="333" t="s">
        <v>507</v>
      </c>
      <c r="U20" s="334" t="s">
        <v>508</v>
      </c>
      <c r="V20" s="72"/>
      <c r="W20" s="66"/>
      <c r="X20" s="335" t="s">
        <v>409</v>
      </c>
    </row>
    <row r="21">
      <c r="A21" s="383" t="s">
        <v>509</v>
      </c>
      <c r="B21" s="339" t="s">
        <v>272</v>
      </c>
      <c r="C21" s="297">
        <v>1.0</v>
      </c>
      <c r="D21" s="298">
        <v>8.4</v>
      </c>
      <c r="E21" s="299" t="s">
        <v>273</v>
      </c>
      <c r="F21" s="20"/>
      <c r="G21" s="299" t="s">
        <v>25</v>
      </c>
      <c r="H21" s="20"/>
      <c r="I21" s="298" t="s">
        <v>25</v>
      </c>
      <c r="J21" s="298">
        <v>0.0</v>
      </c>
      <c r="K21" s="298">
        <v>0.0</v>
      </c>
      <c r="L21" s="298">
        <v>0.0</v>
      </c>
      <c r="M21" s="298">
        <v>0.0</v>
      </c>
      <c r="N21" s="299">
        <f t="shared" si="1"/>
        <v>0</v>
      </c>
      <c r="O21" s="20"/>
      <c r="P21" s="298">
        <f t="shared" si="2"/>
        <v>0</v>
      </c>
      <c r="Q21" s="299">
        <f t="shared" si="3"/>
        <v>0</v>
      </c>
      <c r="R21" s="20"/>
      <c r="S21" s="300">
        <f>Q21/Q30</f>
        <v>0</v>
      </c>
      <c r="T21" s="337" t="s">
        <v>511</v>
      </c>
      <c r="U21" s="302" t="s">
        <v>561</v>
      </c>
      <c r="W21" s="20"/>
      <c r="X21" s="303" t="s">
        <v>409</v>
      </c>
    </row>
    <row r="22">
      <c r="A22" s="338" t="s">
        <v>512</v>
      </c>
      <c r="B22" s="339" t="s">
        <v>97</v>
      </c>
      <c r="C22" s="297">
        <v>4.0</v>
      </c>
      <c r="D22" s="298">
        <v>7.4</v>
      </c>
      <c r="E22" s="299" t="s">
        <v>513</v>
      </c>
      <c r="F22" s="20"/>
      <c r="G22" s="299" t="s">
        <v>25</v>
      </c>
      <c r="H22" s="20"/>
      <c r="I22" s="298" t="s">
        <v>25</v>
      </c>
      <c r="J22" s="298">
        <v>3303.0</v>
      </c>
      <c r="K22" s="298">
        <v>1651.0</v>
      </c>
      <c r="L22" s="298">
        <v>0.25</v>
      </c>
      <c r="M22" s="298">
        <v>0.75</v>
      </c>
      <c r="N22" s="299">
        <f t="shared" si="1"/>
        <v>8256</v>
      </c>
      <c r="O22" s="20"/>
      <c r="P22" s="298">
        <f t="shared" si="2"/>
        <v>97768.8</v>
      </c>
      <c r="Q22" s="299">
        <f t="shared" si="3"/>
        <v>61094.4</v>
      </c>
      <c r="R22" s="20"/>
      <c r="S22" s="300">
        <f>Q22/Q30</f>
        <v>0.8131437963</v>
      </c>
      <c r="T22" s="301" t="s">
        <v>514</v>
      </c>
      <c r="U22" s="302" t="s">
        <v>466</v>
      </c>
      <c r="W22" s="20"/>
      <c r="X22" s="303" t="s">
        <v>409</v>
      </c>
    </row>
    <row r="23">
      <c r="A23" s="340" t="s">
        <v>515</v>
      </c>
      <c r="B23" s="341" t="s">
        <v>516</v>
      </c>
      <c r="C23" s="342">
        <v>1.0</v>
      </c>
      <c r="D23" s="298">
        <v>5.0</v>
      </c>
      <c r="E23" s="299" t="s">
        <v>517</v>
      </c>
      <c r="F23" s="20"/>
      <c r="G23" s="299" t="s">
        <v>25</v>
      </c>
      <c r="H23" s="20"/>
      <c r="I23" s="298" t="s">
        <v>25</v>
      </c>
      <c r="J23" s="298">
        <v>1.0</v>
      </c>
      <c r="K23" s="298">
        <v>1.0</v>
      </c>
      <c r="L23" s="298">
        <v>1.0</v>
      </c>
      <c r="M23" s="298">
        <v>1.0</v>
      </c>
      <c r="N23" s="299">
        <f t="shared" si="1"/>
        <v>2</v>
      </c>
      <c r="O23" s="20"/>
      <c r="P23" s="298">
        <f t="shared" si="2"/>
        <v>5</v>
      </c>
      <c r="Q23" s="299">
        <f t="shared" si="3"/>
        <v>10</v>
      </c>
      <c r="R23" s="20"/>
      <c r="S23" s="300">
        <f>Q23/Q30</f>
        <v>0.0001330962897</v>
      </c>
      <c r="T23" s="301" t="s">
        <v>518</v>
      </c>
      <c r="U23" s="302" t="s">
        <v>519</v>
      </c>
      <c r="W23" s="20"/>
      <c r="X23" s="303" t="s">
        <v>409</v>
      </c>
    </row>
    <row r="24">
      <c r="A24" s="343" t="s">
        <v>520</v>
      </c>
      <c r="B24" s="312" t="s">
        <v>102</v>
      </c>
      <c r="C24" s="313">
        <v>4.0</v>
      </c>
      <c r="D24" s="314">
        <v>5.0</v>
      </c>
      <c r="E24" s="315" t="s">
        <v>103</v>
      </c>
      <c r="F24" s="66"/>
      <c r="G24" s="315" t="s">
        <v>25</v>
      </c>
      <c r="H24" s="66"/>
      <c r="I24" s="314" t="s">
        <v>25</v>
      </c>
      <c r="J24" s="314">
        <v>400.0</v>
      </c>
      <c r="K24" s="314">
        <v>1.0</v>
      </c>
      <c r="L24" s="314">
        <v>0.25</v>
      </c>
      <c r="M24" s="314">
        <v>0.75</v>
      </c>
      <c r="N24" s="315">
        <f t="shared" si="1"/>
        <v>403</v>
      </c>
      <c r="O24" s="66"/>
      <c r="P24" s="314">
        <f t="shared" si="2"/>
        <v>8000</v>
      </c>
      <c r="Q24" s="315">
        <f t="shared" si="3"/>
        <v>2015</v>
      </c>
      <c r="R24" s="66"/>
      <c r="S24" s="316">
        <f>Q24/Q30</f>
        <v>0.02681890238</v>
      </c>
      <c r="T24" s="317" t="s">
        <v>316</v>
      </c>
      <c r="U24" s="318" t="s">
        <v>468</v>
      </c>
      <c r="V24" s="72"/>
      <c r="W24" s="66"/>
      <c r="X24" s="319" t="s">
        <v>378</v>
      </c>
    </row>
    <row r="25">
      <c r="A25" s="384" t="s">
        <v>521</v>
      </c>
      <c r="B25" s="345" t="s">
        <v>522</v>
      </c>
      <c r="C25" s="346">
        <v>1.0</v>
      </c>
      <c r="D25" s="347">
        <v>7.0</v>
      </c>
      <c r="E25" s="348" t="s">
        <v>523</v>
      </c>
      <c r="F25" s="20"/>
      <c r="G25" s="348" t="s">
        <v>524</v>
      </c>
      <c r="H25" s="20"/>
      <c r="I25" s="347" t="s">
        <v>25</v>
      </c>
      <c r="J25" s="347">
        <v>8.0</v>
      </c>
      <c r="K25" s="347">
        <v>0.1</v>
      </c>
      <c r="L25" s="347">
        <v>1.0</v>
      </c>
      <c r="M25" s="347">
        <v>1.0</v>
      </c>
      <c r="N25" s="348">
        <f t="shared" si="1"/>
        <v>8.1</v>
      </c>
      <c r="O25" s="20"/>
      <c r="P25" s="347">
        <f t="shared" si="2"/>
        <v>56</v>
      </c>
      <c r="Q25" s="348">
        <f t="shared" si="3"/>
        <v>56.7</v>
      </c>
      <c r="R25" s="20"/>
      <c r="S25" s="349">
        <f>Q25/Q30</f>
        <v>0.0007546559628</v>
      </c>
      <c r="T25" s="350" t="s">
        <v>525</v>
      </c>
      <c r="U25" s="351" t="s">
        <v>526</v>
      </c>
      <c r="V25" s="27"/>
      <c r="W25" s="13"/>
      <c r="X25" s="352" t="s">
        <v>378</v>
      </c>
    </row>
    <row r="26">
      <c r="A26" s="385" t="s">
        <v>527</v>
      </c>
      <c r="B26" s="345" t="s">
        <v>528</v>
      </c>
      <c r="C26" s="346">
        <v>1.0</v>
      </c>
      <c r="D26" s="347">
        <v>7.0</v>
      </c>
      <c r="E26" s="348" t="s">
        <v>523</v>
      </c>
      <c r="F26" s="20"/>
      <c r="G26" s="348" t="s">
        <v>529</v>
      </c>
      <c r="H26" s="20"/>
      <c r="I26" s="347" t="s">
        <v>25</v>
      </c>
      <c r="J26" s="347">
        <v>5.0</v>
      </c>
      <c r="K26" s="347">
        <v>0.1</v>
      </c>
      <c r="L26" s="347">
        <v>1.0</v>
      </c>
      <c r="M26" s="347">
        <v>1.0</v>
      </c>
      <c r="N26" s="348">
        <f t="shared" si="1"/>
        <v>5.1</v>
      </c>
      <c r="O26" s="20"/>
      <c r="P26" s="347">
        <f t="shared" si="2"/>
        <v>35</v>
      </c>
      <c r="Q26" s="348">
        <f t="shared" si="3"/>
        <v>35.7</v>
      </c>
      <c r="R26" s="20"/>
      <c r="S26" s="349">
        <f>Q26/Q30</f>
        <v>0.0004751537543</v>
      </c>
      <c r="T26" s="350" t="s">
        <v>525</v>
      </c>
      <c r="U26" s="354" t="s">
        <v>223</v>
      </c>
      <c r="W26" s="20"/>
      <c r="X26" s="352" t="s">
        <v>378</v>
      </c>
    </row>
    <row r="27">
      <c r="A27" s="386" t="s">
        <v>530</v>
      </c>
      <c r="B27" s="356" t="s">
        <v>531</v>
      </c>
      <c r="C27" s="346">
        <v>1.0</v>
      </c>
      <c r="D27" s="347">
        <v>7.0</v>
      </c>
      <c r="E27" s="348" t="s">
        <v>523</v>
      </c>
      <c r="F27" s="20"/>
      <c r="G27" s="348" t="s">
        <v>532</v>
      </c>
      <c r="H27" s="20"/>
      <c r="I27" s="347" t="s">
        <v>25</v>
      </c>
      <c r="J27" s="347">
        <v>3.0</v>
      </c>
      <c r="K27" s="347">
        <v>0.1</v>
      </c>
      <c r="L27" s="347">
        <v>1.0</v>
      </c>
      <c r="M27" s="347">
        <v>1.0</v>
      </c>
      <c r="N27" s="348">
        <f t="shared" si="1"/>
        <v>3.1</v>
      </c>
      <c r="O27" s="20"/>
      <c r="P27" s="347">
        <f t="shared" si="2"/>
        <v>21</v>
      </c>
      <c r="Q27" s="348">
        <f t="shared" si="3"/>
        <v>21.7</v>
      </c>
      <c r="R27" s="20"/>
      <c r="S27" s="349">
        <f>Q27/Q30</f>
        <v>0.0002888189487</v>
      </c>
      <c r="T27" s="350" t="s">
        <v>525</v>
      </c>
      <c r="U27" s="354" t="s">
        <v>223</v>
      </c>
      <c r="W27" s="20"/>
      <c r="X27" s="352" t="s">
        <v>378</v>
      </c>
    </row>
    <row r="28">
      <c r="A28" s="387" t="s">
        <v>533</v>
      </c>
      <c r="B28" s="345" t="s">
        <v>534</v>
      </c>
      <c r="C28" s="346">
        <v>1.0</v>
      </c>
      <c r="D28" s="347">
        <v>7.0</v>
      </c>
      <c r="E28" s="348" t="s">
        <v>523</v>
      </c>
      <c r="F28" s="20"/>
      <c r="G28" s="348" t="s">
        <v>535</v>
      </c>
      <c r="H28" s="20"/>
      <c r="I28" s="347" t="s">
        <v>25</v>
      </c>
      <c r="J28" s="347">
        <v>3.0</v>
      </c>
      <c r="K28" s="347">
        <v>0.1</v>
      </c>
      <c r="L28" s="347">
        <v>1.0</v>
      </c>
      <c r="M28" s="347">
        <v>1.0</v>
      </c>
      <c r="N28" s="348">
        <f t="shared" si="1"/>
        <v>3.1</v>
      </c>
      <c r="O28" s="20"/>
      <c r="P28" s="347">
        <f t="shared" si="2"/>
        <v>21</v>
      </c>
      <c r="Q28" s="348">
        <f t="shared" si="3"/>
        <v>21.7</v>
      </c>
      <c r="R28" s="20"/>
      <c r="S28" s="349">
        <f>Q28/Q30</f>
        <v>0.0002888189487</v>
      </c>
      <c r="T28" s="350" t="s">
        <v>525</v>
      </c>
      <c r="U28" s="354" t="s">
        <v>223</v>
      </c>
      <c r="W28" s="20"/>
      <c r="X28" s="352" t="s">
        <v>378</v>
      </c>
    </row>
    <row r="29">
      <c r="A29" s="385" t="s">
        <v>536</v>
      </c>
      <c r="B29" s="388" t="s">
        <v>457</v>
      </c>
      <c r="C29" s="389">
        <v>2.0</v>
      </c>
      <c r="D29" s="347">
        <v>5.0</v>
      </c>
      <c r="E29" s="348" t="s">
        <v>537</v>
      </c>
      <c r="F29" s="20"/>
      <c r="G29" s="348" t="s">
        <v>538</v>
      </c>
      <c r="H29" s="20"/>
      <c r="I29" s="347" t="s">
        <v>25</v>
      </c>
      <c r="J29" s="347">
        <v>8.0</v>
      </c>
      <c r="K29" s="347">
        <v>1.0</v>
      </c>
      <c r="L29" s="347">
        <v>1.0</v>
      </c>
      <c r="M29" s="347">
        <v>1.0</v>
      </c>
      <c r="N29" s="348">
        <f t="shared" si="1"/>
        <v>18</v>
      </c>
      <c r="O29" s="20"/>
      <c r="P29" s="347">
        <f t="shared" si="2"/>
        <v>80</v>
      </c>
      <c r="Q29" s="348">
        <f t="shared" si="3"/>
        <v>90</v>
      </c>
      <c r="R29" s="20"/>
      <c r="S29" s="349">
        <f>Q29/Q30</f>
        <v>0.001197866608</v>
      </c>
      <c r="T29" s="350" t="s">
        <v>539</v>
      </c>
      <c r="U29" s="354" t="s">
        <v>223</v>
      </c>
      <c r="W29" s="20"/>
      <c r="X29" s="352" t="s">
        <v>378</v>
      </c>
    </row>
    <row r="30">
      <c r="A30" s="367"/>
      <c r="B30" s="367"/>
      <c r="C30" s="121"/>
      <c r="D30" s="150" t="s">
        <v>444</v>
      </c>
      <c r="N30" s="124">
        <f>sum(N4:O29)</f>
        <v>11368.705</v>
      </c>
      <c r="O30" s="6"/>
      <c r="P30" s="282">
        <f>sum(P4:P29)</f>
        <v>117686.798</v>
      </c>
      <c r="Q30" s="124">
        <f>SUM(Q4:Q29)</f>
        <v>75133.5745</v>
      </c>
      <c r="R30" s="6"/>
    </row>
    <row r="31">
      <c r="A31" s="255"/>
      <c r="B31" s="368"/>
      <c r="C31" s="121"/>
      <c r="D31" s="9" t="s">
        <v>107</v>
      </c>
      <c r="N31" s="127" t="s">
        <v>108</v>
      </c>
      <c r="O31" s="72"/>
      <c r="P31" s="250" t="s">
        <v>417</v>
      </c>
      <c r="Q31" s="250" t="s">
        <v>109</v>
      </c>
      <c r="R31" s="66"/>
    </row>
    <row r="32">
      <c r="A32" s="369"/>
      <c r="B32" s="369"/>
      <c r="C32" s="121"/>
    </row>
    <row r="33">
      <c r="A33" s="390"/>
      <c r="B33" s="391"/>
      <c r="C33" s="391"/>
      <c r="D33" s="34"/>
      <c r="E33" s="34"/>
    </row>
    <row r="34">
      <c r="A34" s="34"/>
      <c r="B34" s="34"/>
      <c r="C34" s="34"/>
      <c r="D34" s="34"/>
    </row>
    <row r="35">
      <c r="A35" s="34"/>
      <c r="B35" s="34"/>
      <c r="C35" s="34"/>
      <c r="D35" s="34"/>
    </row>
    <row r="36">
      <c r="A36" s="34"/>
      <c r="B36" s="34"/>
      <c r="C36" s="34"/>
      <c r="D36" s="34"/>
    </row>
    <row r="37">
      <c r="A37" s="34"/>
      <c r="B37" s="34"/>
      <c r="C37" s="34"/>
      <c r="D37" s="34"/>
    </row>
    <row r="38">
      <c r="A38" s="34"/>
      <c r="B38" s="34"/>
      <c r="C38" s="34"/>
      <c r="D38" s="34"/>
    </row>
  </sheetData>
  <mergeCells count="152">
    <mergeCell ref="Q9:R9"/>
    <mergeCell ref="Q10:R10"/>
    <mergeCell ref="N6:O6"/>
    <mergeCell ref="N7:O7"/>
    <mergeCell ref="Q7:R7"/>
    <mergeCell ref="N8:O8"/>
    <mergeCell ref="Q8:R8"/>
    <mergeCell ref="N9:O9"/>
    <mergeCell ref="N10:O10"/>
    <mergeCell ref="E4:F4"/>
    <mergeCell ref="E5:F5"/>
    <mergeCell ref="G5:H5"/>
    <mergeCell ref="E6:F6"/>
    <mergeCell ref="G6:H6"/>
    <mergeCell ref="E7:F7"/>
    <mergeCell ref="G7:H7"/>
    <mergeCell ref="E8:F8"/>
    <mergeCell ref="G8:H8"/>
    <mergeCell ref="E9:F9"/>
    <mergeCell ref="G9:H9"/>
    <mergeCell ref="E10:F10"/>
    <mergeCell ref="G10:H10"/>
    <mergeCell ref="G11:H11"/>
    <mergeCell ref="E14:F14"/>
    <mergeCell ref="G14:H14"/>
    <mergeCell ref="E15:F15"/>
    <mergeCell ref="G15:H15"/>
    <mergeCell ref="E16:F16"/>
    <mergeCell ref="G16:H16"/>
    <mergeCell ref="G17:H17"/>
    <mergeCell ref="E17:F17"/>
    <mergeCell ref="E18:F18"/>
    <mergeCell ref="E19:F19"/>
    <mergeCell ref="E20:F20"/>
    <mergeCell ref="E21:F21"/>
    <mergeCell ref="E22:F22"/>
    <mergeCell ref="E23:F23"/>
    <mergeCell ref="G25:H25"/>
    <mergeCell ref="G26:H26"/>
    <mergeCell ref="G27:H27"/>
    <mergeCell ref="G28:H28"/>
    <mergeCell ref="G29:H29"/>
    <mergeCell ref="G18:H18"/>
    <mergeCell ref="G19:H19"/>
    <mergeCell ref="G20:H20"/>
    <mergeCell ref="G21:H21"/>
    <mergeCell ref="G22:H22"/>
    <mergeCell ref="G23:H23"/>
    <mergeCell ref="G24:H24"/>
    <mergeCell ref="E34:F34"/>
    <mergeCell ref="E35:F35"/>
    <mergeCell ref="E36:F36"/>
    <mergeCell ref="E37:F37"/>
    <mergeCell ref="E38:F38"/>
    <mergeCell ref="E24:F24"/>
    <mergeCell ref="E25:F25"/>
    <mergeCell ref="E26:F26"/>
    <mergeCell ref="E27:F27"/>
    <mergeCell ref="E28:F28"/>
    <mergeCell ref="E29:F29"/>
    <mergeCell ref="E33:F33"/>
    <mergeCell ref="U14:W14"/>
    <mergeCell ref="U15:W15"/>
    <mergeCell ref="U7:W7"/>
    <mergeCell ref="U8:W8"/>
    <mergeCell ref="U9:W9"/>
    <mergeCell ref="U10:W10"/>
    <mergeCell ref="U11:W11"/>
    <mergeCell ref="U12:W12"/>
    <mergeCell ref="U13:W13"/>
    <mergeCell ref="U18:W18"/>
    <mergeCell ref="U19:W19"/>
    <mergeCell ref="Q15:R15"/>
    <mergeCell ref="Q16:R16"/>
    <mergeCell ref="U16:W16"/>
    <mergeCell ref="Q17:R17"/>
    <mergeCell ref="U17:W17"/>
    <mergeCell ref="Q18:R18"/>
    <mergeCell ref="Q19:R19"/>
    <mergeCell ref="N14:O14"/>
    <mergeCell ref="N15:O15"/>
    <mergeCell ref="N16:O16"/>
    <mergeCell ref="N17:O17"/>
    <mergeCell ref="N18:O18"/>
    <mergeCell ref="N19:O19"/>
    <mergeCell ref="N20:O20"/>
    <mergeCell ref="N28:O28"/>
    <mergeCell ref="N29:O29"/>
    <mergeCell ref="N30:O30"/>
    <mergeCell ref="N31:O31"/>
    <mergeCell ref="N21:O21"/>
    <mergeCell ref="N22:O22"/>
    <mergeCell ref="N23:O23"/>
    <mergeCell ref="N24:O24"/>
    <mergeCell ref="N25:O25"/>
    <mergeCell ref="N26:O26"/>
    <mergeCell ref="N27:O27"/>
    <mergeCell ref="Q20:R20"/>
    <mergeCell ref="U20:W20"/>
    <mergeCell ref="Q21:R21"/>
    <mergeCell ref="U21:W21"/>
    <mergeCell ref="Q22:R22"/>
    <mergeCell ref="U22:W22"/>
    <mergeCell ref="U23:W23"/>
    <mergeCell ref="Q28:R28"/>
    <mergeCell ref="Q29:R29"/>
    <mergeCell ref="Q30:R30"/>
    <mergeCell ref="Q31:R31"/>
    <mergeCell ref="U24:W24"/>
    <mergeCell ref="U25:W25"/>
    <mergeCell ref="Q26:R26"/>
    <mergeCell ref="U26:W26"/>
    <mergeCell ref="Q27:R27"/>
    <mergeCell ref="U27:W27"/>
    <mergeCell ref="U28:W28"/>
    <mergeCell ref="U29:W29"/>
    <mergeCell ref="E1:F1"/>
    <mergeCell ref="G1:H1"/>
    <mergeCell ref="L1:M1"/>
    <mergeCell ref="E2:F2"/>
    <mergeCell ref="N2:O2"/>
    <mergeCell ref="Q2:R2"/>
    <mergeCell ref="U2:W2"/>
    <mergeCell ref="G2:H2"/>
    <mergeCell ref="G3:H3"/>
    <mergeCell ref="N3:O3"/>
    <mergeCell ref="U3:W3"/>
    <mergeCell ref="G4:H4"/>
    <mergeCell ref="N4:O4"/>
    <mergeCell ref="U4:W4"/>
    <mergeCell ref="Q3:R3"/>
    <mergeCell ref="Q4:R4"/>
    <mergeCell ref="N5:O5"/>
    <mergeCell ref="Q5:R5"/>
    <mergeCell ref="U5:W5"/>
    <mergeCell ref="Q6:R6"/>
    <mergeCell ref="U6:W6"/>
    <mergeCell ref="E11:F11"/>
    <mergeCell ref="E12:F12"/>
    <mergeCell ref="E13:F13"/>
    <mergeCell ref="G12:H12"/>
    <mergeCell ref="G13:H13"/>
    <mergeCell ref="N11:O11"/>
    <mergeCell ref="Q11:R11"/>
    <mergeCell ref="N12:O12"/>
    <mergeCell ref="Q12:R12"/>
    <mergeCell ref="N13:O13"/>
    <mergeCell ref="Q13:R13"/>
    <mergeCell ref="Q14:R14"/>
    <mergeCell ref="Q23:R23"/>
    <mergeCell ref="Q24:R24"/>
    <mergeCell ref="Q25:R25"/>
  </mergeCells>
  <hyperlinks>
    <hyperlink r:id="rId1" ref="T3"/>
    <hyperlink r:id="rId2" ref="T4"/>
    <hyperlink r:id="rId3" ref="T5"/>
    <hyperlink r:id="rId4" ref="T6"/>
    <hyperlink r:id="rId5" ref="T7"/>
    <hyperlink r:id="rId6" ref="T8"/>
    <hyperlink r:id="rId7" ref="T9"/>
    <hyperlink r:id="rId8" ref="T10"/>
    <hyperlink r:id="rId9" ref="T11"/>
    <hyperlink r:id="rId10" ref="T12"/>
    <hyperlink r:id="rId11" ref="T13"/>
    <hyperlink r:id="rId12" ref="T14"/>
    <hyperlink r:id="rId13" ref="T15"/>
    <hyperlink r:id="rId14" ref="T16"/>
    <hyperlink r:id="rId15" ref="T17"/>
    <hyperlink r:id="rId16" ref="T18"/>
    <hyperlink r:id="rId17" ref="T19"/>
    <hyperlink r:id="rId18" ref="T20"/>
    <hyperlink r:id="rId19" ref="T21"/>
    <hyperlink r:id="rId20" ref="T22"/>
    <hyperlink r:id="rId21" ref="T23"/>
    <hyperlink r:id="rId22" ref="T24"/>
    <hyperlink r:id="rId23" ref="T25"/>
    <hyperlink r:id="rId24" ref="T26"/>
    <hyperlink r:id="rId25" ref="T27"/>
    <hyperlink r:id="rId26" ref="T28"/>
    <hyperlink r:id="rId27" ref="T29"/>
  </hyperlinks>
  <drawing r:id="rId28"/>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25"/>
    <col customWidth="1" min="23" max="23" width="16.63"/>
  </cols>
  <sheetData>
    <row r="1">
      <c r="A1" s="34" t="s">
        <v>541</v>
      </c>
      <c r="B1" s="2"/>
      <c r="C1" s="3"/>
      <c r="J1" s="4" t="s">
        <v>1</v>
      </c>
      <c r="K1" s="5"/>
      <c r="L1" s="4" t="s">
        <v>2</v>
      </c>
      <c r="M1" s="6"/>
    </row>
    <row r="2">
      <c r="A2" s="7" t="s">
        <v>3</v>
      </c>
      <c r="B2" s="8" t="s">
        <v>4</v>
      </c>
      <c r="C2" s="8" t="s">
        <v>5</v>
      </c>
      <c r="D2" s="9" t="s">
        <v>6</v>
      </c>
      <c r="E2" s="4" t="s">
        <v>428</v>
      </c>
      <c r="F2" s="6"/>
      <c r="G2" s="4" t="s">
        <v>429</v>
      </c>
      <c r="H2" s="6"/>
      <c r="I2" s="9" t="s">
        <v>372</v>
      </c>
      <c r="J2" s="9" t="s">
        <v>13</v>
      </c>
      <c r="K2" s="9" t="s">
        <v>14</v>
      </c>
      <c r="L2" s="9" t="s">
        <v>13</v>
      </c>
      <c r="M2" s="9" t="s">
        <v>14</v>
      </c>
      <c r="N2" s="4" t="s">
        <v>562</v>
      </c>
      <c r="O2" s="6"/>
      <c r="P2" s="9" t="s">
        <v>373</v>
      </c>
      <c r="Q2" s="4" t="s">
        <v>563</v>
      </c>
      <c r="R2" s="6"/>
      <c r="S2" s="9" t="s">
        <v>17</v>
      </c>
      <c r="T2" s="10" t="s">
        <v>18</v>
      </c>
      <c r="U2" s="4" t="s">
        <v>19</v>
      </c>
      <c r="V2" s="11"/>
      <c r="W2" s="6"/>
      <c r="X2" s="9" t="s">
        <v>542</v>
      </c>
    </row>
    <row r="3">
      <c r="A3" s="15" t="s">
        <v>564</v>
      </c>
      <c r="B3" s="16" t="s">
        <v>33</v>
      </c>
      <c r="C3" s="17">
        <v>1.0</v>
      </c>
      <c r="D3" s="18" t="s">
        <v>475</v>
      </c>
      <c r="E3" s="30"/>
      <c r="F3" s="30"/>
      <c r="G3" s="19" t="s">
        <v>543</v>
      </c>
      <c r="H3" s="20"/>
      <c r="I3" s="23"/>
      <c r="J3" s="23"/>
      <c r="K3" s="23"/>
      <c r="L3" s="23"/>
      <c r="M3" s="23"/>
      <c r="N3" s="19">
        <v>-8000.0</v>
      </c>
      <c r="O3" s="20"/>
      <c r="P3" s="30"/>
      <c r="Q3" s="19">
        <v>-59200.0</v>
      </c>
      <c r="R3" s="20"/>
      <c r="S3" s="31">
        <f>Q3/Q29</f>
        <v>-1.136082876</v>
      </c>
      <c r="T3" s="326" t="s">
        <v>565</v>
      </c>
      <c r="U3" s="26" t="s">
        <v>544</v>
      </c>
      <c r="V3" s="27"/>
      <c r="W3" s="13"/>
      <c r="X3" s="327" t="s">
        <v>409</v>
      </c>
      <c r="Y3" s="34" t="s">
        <v>566</v>
      </c>
    </row>
    <row r="4">
      <c r="A4" s="370" t="s">
        <v>546</v>
      </c>
      <c r="B4" s="371" t="s">
        <v>39</v>
      </c>
      <c r="C4" s="372">
        <v>1.0</v>
      </c>
      <c r="D4" s="373">
        <v>5.0</v>
      </c>
      <c r="E4" s="43" t="s">
        <v>547</v>
      </c>
      <c r="F4" s="13"/>
      <c r="G4" s="43" t="s">
        <v>548</v>
      </c>
      <c r="H4" s="13"/>
      <c r="I4" s="373" t="s">
        <v>25</v>
      </c>
      <c r="J4" s="373">
        <v>19.0</v>
      </c>
      <c r="K4" s="373">
        <v>1.0</v>
      </c>
      <c r="L4" s="373">
        <v>1.0</v>
      </c>
      <c r="M4" s="373">
        <v>1.0</v>
      </c>
      <c r="N4" s="43">
        <f t="shared" ref="N4:N28" si="1">(J4*L4+K4*M4)*C4</f>
        <v>20</v>
      </c>
      <c r="O4" s="13"/>
      <c r="P4" s="373">
        <f t="shared" ref="P4:P28" si="2">(D4*J4)*C4</f>
        <v>95</v>
      </c>
      <c r="Q4" s="43">
        <f t="shared" ref="Q4:Q28" si="3">(N4*D4)</f>
        <v>100</v>
      </c>
      <c r="R4" s="13"/>
      <c r="S4" s="374">
        <f>Q4/Q29</f>
        <v>0.001919058912</v>
      </c>
      <c r="T4" s="392" t="s">
        <v>567</v>
      </c>
      <c r="U4" s="376" t="s">
        <v>494</v>
      </c>
      <c r="V4" s="27"/>
      <c r="W4" s="13"/>
      <c r="X4" s="377" t="s">
        <v>378</v>
      </c>
      <c r="Y4" s="34" t="s">
        <v>568</v>
      </c>
    </row>
    <row r="5">
      <c r="A5" s="328" t="s">
        <v>480</v>
      </c>
      <c r="B5" s="288" t="s">
        <v>39</v>
      </c>
      <c r="C5" s="50">
        <v>1.0</v>
      </c>
      <c r="D5" s="51">
        <v>5.0</v>
      </c>
      <c r="E5" s="42" t="s">
        <v>481</v>
      </c>
      <c r="F5" s="20"/>
      <c r="G5" s="42" t="s">
        <v>482</v>
      </c>
      <c r="H5" s="20"/>
      <c r="I5" s="51" t="s">
        <v>25</v>
      </c>
      <c r="J5" s="51">
        <v>9.0</v>
      </c>
      <c r="K5" s="51">
        <v>2.7</v>
      </c>
      <c r="L5" s="51">
        <v>1.0</v>
      </c>
      <c r="M5" s="51">
        <v>1.0</v>
      </c>
      <c r="N5" s="42">
        <f t="shared" si="1"/>
        <v>11.7</v>
      </c>
      <c r="O5" s="20"/>
      <c r="P5" s="51">
        <f t="shared" si="2"/>
        <v>45</v>
      </c>
      <c r="Q5" s="42">
        <f t="shared" si="3"/>
        <v>58.5</v>
      </c>
      <c r="R5" s="20"/>
      <c r="S5" s="53">
        <f>Q5/Q29</f>
        <v>0.001122649463</v>
      </c>
      <c r="T5" s="256" t="s">
        <v>483</v>
      </c>
      <c r="U5" s="29" t="s">
        <v>223</v>
      </c>
      <c r="W5" s="20"/>
      <c r="X5" s="57" t="s">
        <v>378</v>
      </c>
      <c r="Y5" s="34" t="s">
        <v>569</v>
      </c>
    </row>
    <row r="6">
      <c r="A6" s="380" t="s">
        <v>557</v>
      </c>
      <c r="B6" s="288" t="s">
        <v>485</v>
      </c>
      <c r="C6" s="381">
        <v>1.0</v>
      </c>
      <c r="D6" s="51">
        <v>5.1</v>
      </c>
      <c r="E6" s="42" t="s">
        <v>558</v>
      </c>
      <c r="F6" s="20"/>
      <c r="G6" s="42" t="s">
        <v>25</v>
      </c>
      <c r="H6" s="20"/>
      <c r="I6" s="51" t="s">
        <v>25</v>
      </c>
      <c r="J6" s="51">
        <v>150.0</v>
      </c>
      <c r="K6" s="51">
        <v>1.0</v>
      </c>
      <c r="L6" s="51">
        <v>1.0</v>
      </c>
      <c r="M6" s="51">
        <v>1.0</v>
      </c>
      <c r="N6" s="42">
        <f t="shared" si="1"/>
        <v>151</v>
      </c>
      <c r="O6" s="20"/>
      <c r="P6" s="51">
        <f t="shared" si="2"/>
        <v>765</v>
      </c>
      <c r="Q6" s="42">
        <f t="shared" si="3"/>
        <v>770.1</v>
      </c>
      <c r="R6" s="20"/>
      <c r="S6" s="53">
        <f>Q6/Q29</f>
        <v>0.01477867268</v>
      </c>
      <c r="T6" s="382" t="s">
        <v>559</v>
      </c>
      <c r="U6" s="29" t="s">
        <v>570</v>
      </c>
      <c r="W6" s="20"/>
      <c r="X6" s="57" t="s">
        <v>409</v>
      </c>
      <c r="Y6" s="34" t="s">
        <v>569</v>
      </c>
    </row>
    <row r="7">
      <c r="A7" s="48" t="s">
        <v>221</v>
      </c>
      <c r="B7" s="49" t="s">
        <v>560</v>
      </c>
      <c r="C7" s="50">
        <v>1.0</v>
      </c>
      <c r="D7" s="51">
        <v>5.0</v>
      </c>
      <c r="E7" s="42" t="s">
        <v>486</v>
      </c>
      <c r="F7" s="20"/>
      <c r="G7" s="42" t="s">
        <v>25</v>
      </c>
      <c r="H7" s="20"/>
      <c r="I7" s="51" t="s">
        <v>25</v>
      </c>
      <c r="J7" s="51">
        <v>400.0</v>
      </c>
      <c r="K7" s="51">
        <v>1.0</v>
      </c>
      <c r="L7" s="51">
        <v>1.0</v>
      </c>
      <c r="M7" s="51">
        <v>1.0</v>
      </c>
      <c r="N7" s="42">
        <f t="shared" si="1"/>
        <v>401</v>
      </c>
      <c r="O7" s="20"/>
      <c r="P7" s="51">
        <f t="shared" si="2"/>
        <v>2000</v>
      </c>
      <c r="Q7" s="42">
        <f t="shared" si="3"/>
        <v>2005</v>
      </c>
      <c r="R7" s="20"/>
      <c r="S7" s="53">
        <f>Q7/Q29</f>
        <v>0.03847713118</v>
      </c>
      <c r="T7" s="256" t="s">
        <v>48</v>
      </c>
      <c r="U7" s="29" t="s">
        <v>571</v>
      </c>
      <c r="W7" s="20"/>
      <c r="X7" s="57" t="s">
        <v>409</v>
      </c>
      <c r="Y7" s="34" t="s">
        <v>572</v>
      </c>
    </row>
    <row r="8">
      <c r="A8" s="48" t="s">
        <v>223</v>
      </c>
      <c r="B8" s="49" t="s">
        <v>224</v>
      </c>
      <c r="C8" s="50">
        <v>1.0</v>
      </c>
      <c r="D8" s="51">
        <v>3.3</v>
      </c>
      <c r="E8" s="42" t="s">
        <v>488</v>
      </c>
      <c r="F8" s="20"/>
      <c r="G8" s="42" t="s">
        <v>25</v>
      </c>
      <c r="H8" s="20"/>
      <c r="I8" s="51" t="s">
        <v>25</v>
      </c>
      <c r="J8" s="51">
        <v>250.0</v>
      </c>
      <c r="K8" s="51">
        <v>1.0</v>
      </c>
      <c r="L8" s="51">
        <v>1.0</v>
      </c>
      <c r="M8" s="51">
        <v>1.0</v>
      </c>
      <c r="N8" s="42">
        <f t="shared" si="1"/>
        <v>251</v>
      </c>
      <c r="O8" s="20"/>
      <c r="P8" s="51">
        <f t="shared" si="2"/>
        <v>825</v>
      </c>
      <c r="Q8" s="42">
        <f t="shared" si="3"/>
        <v>828.3</v>
      </c>
      <c r="R8" s="20"/>
      <c r="S8" s="53">
        <f>Q8/Q29</f>
        <v>0.01589556497</v>
      </c>
      <c r="T8" s="256" t="s">
        <v>48</v>
      </c>
      <c r="U8" s="29" t="s">
        <v>223</v>
      </c>
      <c r="W8" s="20"/>
      <c r="X8" s="57" t="s">
        <v>409</v>
      </c>
      <c r="Y8" s="34" t="s">
        <v>573</v>
      </c>
    </row>
    <row r="9">
      <c r="A9" s="48" t="s">
        <v>223</v>
      </c>
      <c r="B9" s="49" t="s">
        <v>227</v>
      </c>
      <c r="C9" s="50">
        <v>1.0</v>
      </c>
      <c r="D9" s="51">
        <v>1.8</v>
      </c>
      <c r="E9" s="42" t="s">
        <v>490</v>
      </c>
      <c r="F9" s="20"/>
      <c r="G9" s="42" t="s">
        <v>25</v>
      </c>
      <c r="H9" s="20"/>
      <c r="I9" s="51" t="s">
        <v>25</v>
      </c>
      <c r="J9" s="51">
        <v>250.0</v>
      </c>
      <c r="K9" s="51">
        <v>1.0</v>
      </c>
      <c r="L9" s="51">
        <v>1.0</v>
      </c>
      <c r="M9" s="51">
        <v>1.0</v>
      </c>
      <c r="N9" s="42">
        <f t="shared" si="1"/>
        <v>251</v>
      </c>
      <c r="O9" s="20"/>
      <c r="P9" s="51">
        <f t="shared" si="2"/>
        <v>450</v>
      </c>
      <c r="Q9" s="42">
        <f t="shared" si="3"/>
        <v>451.8</v>
      </c>
      <c r="R9" s="20"/>
      <c r="S9" s="53">
        <f>Q9/Q29</f>
        <v>0.008670308164</v>
      </c>
      <c r="T9" s="256" t="s">
        <v>48</v>
      </c>
      <c r="U9" s="29" t="s">
        <v>223</v>
      </c>
      <c r="W9" s="20"/>
      <c r="X9" s="57" t="s">
        <v>409</v>
      </c>
    </row>
    <row r="10">
      <c r="A10" s="48" t="s">
        <v>223</v>
      </c>
      <c r="B10" s="49" t="s">
        <v>229</v>
      </c>
      <c r="C10" s="50">
        <v>1.0</v>
      </c>
      <c r="D10" s="51">
        <v>2.8</v>
      </c>
      <c r="E10" s="42" t="s">
        <v>491</v>
      </c>
      <c r="F10" s="20"/>
      <c r="G10" s="42" t="s">
        <v>25</v>
      </c>
      <c r="H10" s="20"/>
      <c r="I10" s="51" t="s">
        <v>25</v>
      </c>
      <c r="J10" s="51">
        <v>25.0</v>
      </c>
      <c r="K10" s="51">
        <v>1.0</v>
      </c>
      <c r="L10" s="51">
        <v>1.0</v>
      </c>
      <c r="M10" s="51">
        <v>1.0</v>
      </c>
      <c r="N10" s="42">
        <f t="shared" si="1"/>
        <v>26</v>
      </c>
      <c r="O10" s="20"/>
      <c r="P10" s="51">
        <f t="shared" si="2"/>
        <v>70</v>
      </c>
      <c r="Q10" s="42">
        <f t="shared" si="3"/>
        <v>72.8</v>
      </c>
      <c r="R10" s="20"/>
      <c r="S10" s="53">
        <f>Q10/Q29</f>
        <v>0.001397074888</v>
      </c>
      <c r="T10" s="256" t="s">
        <v>48</v>
      </c>
      <c r="U10" s="29" t="s">
        <v>223</v>
      </c>
      <c r="W10" s="20"/>
      <c r="X10" s="57" t="s">
        <v>378</v>
      </c>
    </row>
    <row r="11">
      <c r="A11" s="48" t="s">
        <v>223</v>
      </c>
      <c r="B11" s="49" t="s">
        <v>231</v>
      </c>
      <c r="C11" s="50">
        <v>1.0</v>
      </c>
      <c r="D11" s="51">
        <v>3.3</v>
      </c>
      <c r="E11" s="42" t="s">
        <v>492</v>
      </c>
      <c r="F11" s="20"/>
      <c r="G11" s="42" t="s">
        <v>493</v>
      </c>
      <c r="H11" s="20"/>
      <c r="I11" s="51" t="s">
        <v>25</v>
      </c>
      <c r="J11" s="51">
        <v>50.0</v>
      </c>
      <c r="K11" s="51">
        <v>1.0</v>
      </c>
      <c r="L11" s="51">
        <v>1.0</v>
      </c>
      <c r="M11" s="51">
        <v>1.0</v>
      </c>
      <c r="N11" s="42">
        <f t="shared" si="1"/>
        <v>51</v>
      </c>
      <c r="O11" s="20"/>
      <c r="P11" s="51">
        <f t="shared" si="2"/>
        <v>165</v>
      </c>
      <c r="Q11" s="42">
        <f t="shared" si="3"/>
        <v>168.3</v>
      </c>
      <c r="R11" s="20"/>
      <c r="S11" s="53">
        <f>Q11/Q29</f>
        <v>0.003229776149</v>
      </c>
      <c r="T11" s="256" t="s">
        <v>48</v>
      </c>
      <c r="U11" s="29" t="s">
        <v>574</v>
      </c>
      <c r="W11" s="20"/>
      <c r="X11" s="57" t="s">
        <v>378</v>
      </c>
    </row>
    <row r="12">
      <c r="A12" s="48" t="s">
        <v>223</v>
      </c>
      <c r="B12" s="49" t="s">
        <v>235</v>
      </c>
      <c r="C12" s="50">
        <v>1.0</v>
      </c>
      <c r="D12" s="51">
        <v>3.3</v>
      </c>
      <c r="E12" s="42" t="s">
        <v>492</v>
      </c>
      <c r="F12" s="20"/>
      <c r="G12" s="42" t="s">
        <v>493</v>
      </c>
      <c r="H12" s="20"/>
      <c r="I12" s="51" t="s">
        <v>25</v>
      </c>
      <c r="J12" s="51">
        <v>50.0</v>
      </c>
      <c r="K12" s="51">
        <v>1.0</v>
      </c>
      <c r="L12" s="51">
        <v>1.0</v>
      </c>
      <c r="M12" s="51">
        <v>1.0</v>
      </c>
      <c r="N12" s="42">
        <f t="shared" si="1"/>
        <v>51</v>
      </c>
      <c r="O12" s="20"/>
      <c r="P12" s="51">
        <f t="shared" si="2"/>
        <v>165</v>
      </c>
      <c r="Q12" s="42">
        <f t="shared" si="3"/>
        <v>168.3</v>
      </c>
      <c r="R12" s="20"/>
      <c r="S12" s="53">
        <f>Q12/Q29</f>
        <v>0.003229776149</v>
      </c>
      <c r="T12" s="256" t="s">
        <v>48</v>
      </c>
      <c r="U12" s="29" t="s">
        <v>223</v>
      </c>
      <c r="W12" s="20"/>
      <c r="X12" s="57" t="s">
        <v>378</v>
      </c>
    </row>
    <row r="13">
      <c r="A13" s="73" t="s">
        <v>66</v>
      </c>
      <c r="B13" s="74" t="s">
        <v>251</v>
      </c>
      <c r="C13" s="75">
        <v>1.0</v>
      </c>
      <c r="D13" s="78">
        <v>2.5</v>
      </c>
      <c r="E13" s="77" t="s">
        <v>350</v>
      </c>
      <c r="F13" s="20"/>
      <c r="G13" s="77" t="s">
        <v>25</v>
      </c>
      <c r="H13" s="20"/>
      <c r="I13" s="78" t="s">
        <v>25</v>
      </c>
      <c r="J13" s="78">
        <v>2.0</v>
      </c>
      <c r="K13" s="78">
        <v>0.265</v>
      </c>
      <c r="L13" s="78">
        <v>1.0</v>
      </c>
      <c r="M13" s="78">
        <v>1.0</v>
      </c>
      <c r="N13" s="77">
        <f t="shared" si="1"/>
        <v>2.265</v>
      </c>
      <c r="O13" s="20"/>
      <c r="P13" s="78">
        <f t="shared" si="2"/>
        <v>5</v>
      </c>
      <c r="Q13" s="77">
        <f t="shared" si="3"/>
        <v>5.6625</v>
      </c>
      <c r="R13" s="20"/>
      <c r="S13" s="81">
        <f>Q13/Q29</f>
        <v>0.0001086667109</v>
      </c>
      <c r="T13" s="260" t="s">
        <v>70</v>
      </c>
      <c r="U13" s="261" t="s">
        <v>494</v>
      </c>
      <c r="V13" s="27"/>
      <c r="W13" s="13"/>
      <c r="X13" s="89" t="s">
        <v>409</v>
      </c>
    </row>
    <row r="14">
      <c r="A14" s="262" t="s">
        <v>223</v>
      </c>
      <c r="B14" s="74" t="s">
        <v>352</v>
      </c>
      <c r="C14" s="85">
        <v>1.0</v>
      </c>
      <c r="D14" s="78">
        <v>1.8</v>
      </c>
      <c r="E14" s="263" t="s">
        <v>495</v>
      </c>
      <c r="F14" s="20"/>
      <c r="G14" s="77" t="s">
        <v>496</v>
      </c>
      <c r="H14" s="20"/>
      <c r="I14" s="78" t="s">
        <v>25</v>
      </c>
      <c r="J14" s="78">
        <v>0.5</v>
      </c>
      <c r="K14" s="78">
        <v>0.5</v>
      </c>
      <c r="L14" s="78">
        <v>1.0</v>
      </c>
      <c r="M14" s="78">
        <v>1.0</v>
      </c>
      <c r="N14" s="77">
        <f t="shared" si="1"/>
        <v>1</v>
      </c>
      <c r="O14" s="20"/>
      <c r="P14" s="78">
        <f t="shared" si="2"/>
        <v>0.9</v>
      </c>
      <c r="Q14" s="77">
        <f t="shared" si="3"/>
        <v>1.8</v>
      </c>
      <c r="R14" s="20"/>
      <c r="S14" s="81">
        <f>Q14/Q29</f>
        <v>0.00003454306041</v>
      </c>
      <c r="T14" s="260" t="s">
        <v>497</v>
      </c>
      <c r="U14" s="35" t="s">
        <v>223</v>
      </c>
      <c r="W14" s="20"/>
      <c r="X14" s="89" t="s">
        <v>409</v>
      </c>
    </row>
    <row r="15">
      <c r="A15" s="73" t="s">
        <v>72</v>
      </c>
      <c r="B15" s="84" t="s">
        <v>73</v>
      </c>
      <c r="C15" s="85">
        <v>3.0</v>
      </c>
      <c r="D15" s="78">
        <v>5.0</v>
      </c>
      <c r="E15" s="77" t="s">
        <v>499</v>
      </c>
      <c r="F15" s="20"/>
      <c r="G15" s="77" t="s">
        <v>500</v>
      </c>
      <c r="H15" s="20"/>
      <c r="I15" s="78" t="s">
        <v>25</v>
      </c>
      <c r="J15" s="78">
        <v>15.0</v>
      </c>
      <c r="K15" s="78">
        <v>1.0</v>
      </c>
      <c r="L15" s="78">
        <v>1.0</v>
      </c>
      <c r="M15" s="78">
        <v>1.0</v>
      </c>
      <c r="N15" s="77">
        <f t="shared" si="1"/>
        <v>48</v>
      </c>
      <c r="O15" s="20"/>
      <c r="P15" s="78">
        <f t="shared" si="2"/>
        <v>225</v>
      </c>
      <c r="Q15" s="77">
        <f t="shared" si="3"/>
        <v>240</v>
      </c>
      <c r="R15" s="20"/>
      <c r="S15" s="81">
        <f>Q15/Q29</f>
        <v>0.004605741389</v>
      </c>
      <c r="T15" s="260" t="s">
        <v>76</v>
      </c>
      <c r="U15" s="35" t="s">
        <v>223</v>
      </c>
      <c r="W15" s="20"/>
      <c r="X15" s="89" t="s">
        <v>378</v>
      </c>
    </row>
    <row r="16">
      <c r="A16" s="87" t="s">
        <v>78</v>
      </c>
      <c r="B16" s="88" t="s">
        <v>79</v>
      </c>
      <c r="C16" s="75">
        <v>1.0</v>
      </c>
      <c r="D16" s="78">
        <v>3.3</v>
      </c>
      <c r="E16" s="77" t="s">
        <v>501</v>
      </c>
      <c r="F16" s="20"/>
      <c r="G16" s="77" t="s">
        <v>502</v>
      </c>
      <c r="H16" s="20"/>
      <c r="I16" s="78" t="s">
        <v>25</v>
      </c>
      <c r="J16" s="78">
        <v>25.0</v>
      </c>
      <c r="K16" s="78">
        <v>1.0</v>
      </c>
      <c r="L16" s="78">
        <v>1.0</v>
      </c>
      <c r="M16" s="78">
        <v>1.0</v>
      </c>
      <c r="N16" s="77">
        <f t="shared" si="1"/>
        <v>26</v>
      </c>
      <c r="O16" s="20"/>
      <c r="P16" s="78">
        <f t="shared" si="2"/>
        <v>82.5</v>
      </c>
      <c r="Q16" s="77">
        <f t="shared" si="3"/>
        <v>85.8</v>
      </c>
      <c r="R16" s="20"/>
      <c r="S16" s="81">
        <f>Q16/Q29</f>
        <v>0.001646552546</v>
      </c>
      <c r="T16" s="260" t="s">
        <v>82</v>
      </c>
      <c r="U16" s="35" t="s">
        <v>223</v>
      </c>
      <c r="W16" s="20"/>
      <c r="X16" s="89" t="s">
        <v>378</v>
      </c>
    </row>
    <row r="17">
      <c r="A17" s="87" t="s">
        <v>223</v>
      </c>
      <c r="B17" s="88" t="s">
        <v>201</v>
      </c>
      <c r="C17" s="75">
        <v>1.0</v>
      </c>
      <c r="D17" s="78">
        <v>3.3</v>
      </c>
      <c r="E17" s="77" t="s">
        <v>239</v>
      </c>
      <c r="F17" s="20"/>
      <c r="G17" s="77" t="s">
        <v>25</v>
      </c>
      <c r="H17" s="20"/>
      <c r="I17" s="78" t="s">
        <v>25</v>
      </c>
      <c r="J17" s="78">
        <v>20.0</v>
      </c>
      <c r="K17" s="78">
        <v>1.0</v>
      </c>
      <c r="L17" s="78">
        <v>1.0</v>
      </c>
      <c r="M17" s="78">
        <v>1.0</v>
      </c>
      <c r="N17" s="77">
        <f t="shared" si="1"/>
        <v>21</v>
      </c>
      <c r="O17" s="20"/>
      <c r="P17" s="78">
        <f t="shared" si="2"/>
        <v>66</v>
      </c>
      <c r="Q17" s="77">
        <f t="shared" si="3"/>
        <v>69.3</v>
      </c>
      <c r="R17" s="20"/>
      <c r="S17" s="81">
        <f>Q17/Q29</f>
        <v>0.001329907826</v>
      </c>
      <c r="T17" s="260" t="s">
        <v>82</v>
      </c>
      <c r="U17" s="35" t="s">
        <v>223</v>
      </c>
      <c r="W17" s="20"/>
      <c r="X17" s="89" t="s">
        <v>378</v>
      </c>
    </row>
    <row r="18">
      <c r="A18" s="73" t="s">
        <v>84</v>
      </c>
      <c r="B18" s="90" t="s">
        <v>85</v>
      </c>
      <c r="C18" s="75">
        <v>1.0</v>
      </c>
      <c r="D18" s="78">
        <v>1.8</v>
      </c>
      <c r="E18" s="77" t="s">
        <v>503</v>
      </c>
      <c r="F18" s="20"/>
      <c r="G18" s="77" t="s">
        <v>504</v>
      </c>
      <c r="H18" s="20"/>
      <c r="I18" s="78" t="s">
        <v>25</v>
      </c>
      <c r="J18" s="78">
        <v>3.11</v>
      </c>
      <c r="K18" s="78">
        <v>1.23</v>
      </c>
      <c r="L18" s="78">
        <v>1.0</v>
      </c>
      <c r="M18" s="78">
        <v>1.0</v>
      </c>
      <c r="N18" s="77">
        <f t="shared" si="1"/>
        <v>4.34</v>
      </c>
      <c r="O18" s="20"/>
      <c r="P18" s="78">
        <f t="shared" si="2"/>
        <v>5.598</v>
      </c>
      <c r="Q18" s="77">
        <f t="shared" si="3"/>
        <v>7.812</v>
      </c>
      <c r="R18" s="20"/>
      <c r="S18" s="81">
        <f>Q18/Q29</f>
        <v>0.0001499168822</v>
      </c>
      <c r="T18" s="264" t="s">
        <v>88</v>
      </c>
      <c r="U18" s="35" t="s">
        <v>223</v>
      </c>
      <c r="W18" s="20"/>
      <c r="X18" s="89" t="s">
        <v>378</v>
      </c>
    </row>
    <row r="19">
      <c r="A19" s="330" t="s">
        <v>505</v>
      </c>
      <c r="B19" s="331" t="s">
        <v>248</v>
      </c>
      <c r="C19" s="332">
        <v>3.0</v>
      </c>
      <c r="D19" s="95">
        <v>5.0</v>
      </c>
      <c r="E19" s="96" t="s">
        <v>506</v>
      </c>
      <c r="F19" s="66"/>
      <c r="G19" s="96" t="s">
        <v>25</v>
      </c>
      <c r="H19" s="66"/>
      <c r="I19" s="95" t="s">
        <v>25</v>
      </c>
      <c r="J19" s="95">
        <v>250.0</v>
      </c>
      <c r="K19" s="95">
        <v>1.0</v>
      </c>
      <c r="L19" s="95">
        <v>1.0</v>
      </c>
      <c r="M19" s="95">
        <v>1.0</v>
      </c>
      <c r="N19" s="96">
        <f t="shared" si="1"/>
        <v>753</v>
      </c>
      <c r="O19" s="66"/>
      <c r="P19" s="95">
        <f t="shared" si="2"/>
        <v>3750</v>
      </c>
      <c r="Q19" s="96">
        <f t="shared" si="3"/>
        <v>3765</v>
      </c>
      <c r="R19" s="66"/>
      <c r="S19" s="99">
        <f>Q19/Q29</f>
        <v>0.07225256803</v>
      </c>
      <c r="T19" s="333" t="s">
        <v>507</v>
      </c>
      <c r="U19" s="334" t="s">
        <v>508</v>
      </c>
      <c r="V19" s="72"/>
      <c r="W19" s="66"/>
      <c r="X19" s="335" t="s">
        <v>409</v>
      </c>
    </row>
    <row r="20">
      <c r="A20" s="383" t="s">
        <v>509</v>
      </c>
      <c r="B20" s="339" t="s">
        <v>272</v>
      </c>
      <c r="C20" s="297">
        <v>4.0</v>
      </c>
      <c r="D20" s="298"/>
      <c r="E20" s="299" t="s">
        <v>273</v>
      </c>
      <c r="F20" s="20"/>
      <c r="G20" s="299" t="s">
        <v>25</v>
      </c>
      <c r="H20" s="20"/>
      <c r="I20" s="298" t="s">
        <v>25</v>
      </c>
      <c r="J20" s="393"/>
      <c r="K20" s="393"/>
      <c r="L20" s="393"/>
      <c r="M20" s="393"/>
      <c r="N20" s="299">
        <f t="shared" si="1"/>
        <v>0</v>
      </c>
      <c r="O20" s="20"/>
      <c r="P20" s="298">
        <f t="shared" si="2"/>
        <v>0</v>
      </c>
      <c r="Q20" s="299">
        <f t="shared" si="3"/>
        <v>0</v>
      </c>
      <c r="R20" s="20"/>
      <c r="S20" s="300">
        <f>Q20/Q29</f>
        <v>0</v>
      </c>
      <c r="T20" s="337" t="s">
        <v>511</v>
      </c>
      <c r="U20" s="302" t="s">
        <v>575</v>
      </c>
      <c r="W20" s="20"/>
      <c r="X20" s="303" t="s">
        <v>409</v>
      </c>
    </row>
    <row r="21">
      <c r="A21" s="338" t="s">
        <v>512</v>
      </c>
      <c r="B21" s="339" t="s">
        <v>97</v>
      </c>
      <c r="C21" s="297">
        <v>4.0</v>
      </c>
      <c r="D21" s="298">
        <v>7.4</v>
      </c>
      <c r="E21" s="299" t="s">
        <v>513</v>
      </c>
      <c r="F21" s="20"/>
      <c r="G21" s="299" t="s">
        <v>25</v>
      </c>
      <c r="H21" s="20"/>
      <c r="I21" s="298" t="s">
        <v>25</v>
      </c>
      <c r="J21" s="298">
        <v>1851.0</v>
      </c>
      <c r="K21" s="298">
        <v>1234.0</v>
      </c>
      <c r="L21" s="298">
        <v>0.25</v>
      </c>
      <c r="M21" s="298">
        <v>0.75</v>
      </c>
      <c r="N21" s="299">
        <f t="shared" si="1"/>
        <v>5553</v>
      </c>
      <c r="O21" s="20"/>
      <c r="P21" s="298">
        <f t="shared" si="2"/>
        <v>54789.6</v>
      </c>
      <c r="Q21" s="299">
        <f t="shared" si="3"/>
        <v>41092.2</v>
      </c>
      <c r="R21" s="20"/>
      <c r="S21" s="300">
        <f>Q21/Q29</f>
        <v>0.7885835262</v>
      </c>
      <c r="T21" s="301" t="s">
        <v>514</v>
      </c>
      <c r="U21" s="302" t="s">
        <v>576</v>
      </c>
      <c r="W21" s="20"/>
      <c r="X21" s="303" t="s">
        <v>409</v>
      </c>
    </row>
    <row r="22">
      <c r="A22" s="340" t="s">
        <v>515</v>
      </c>
      <c r="B22" s="341" t="s">
        <v>516</v>
      </c>
      <c r="C22" s="342">
        <v>1.0</v>
      </c>
      <c r="D22" s="298">
        <v>5.0</v>
      </c>
      <c r="E22" s="299" t="s">
        <v>517</v>
      </c>
      <c r="F22" s="20"/>
      <c r="G22" s="299" t="s">
        <v>25</v>
      </c>
      <c r="H22" s="20"/>
      <c r="I22" s="298" t="s">
        <v>25</v>
      </c>
      <c r="J22" s="298">
        <v>1.0</v>
      </c>
      <c r="K22" s="298">
        <v>1.0</v>
      </c>
      <c r="L22" s="298">
        <v>1.0</v>
      </c>
      <c r="M22" s="298">
        <v>1.0</v>
      </c>
      <c r="N22" s="299">
        <f t="shared" si="1"/>
        <v>2</v>
      </c>
      <c r="O22" s="20"/>
      <c r="P22" s="298">
        <f t="shared" si="2"/>
        <v>5</v>
      </c>
      <c r="Q22" s="299">
        <f t="shared" si="3"/>
        <v>10</v>
      </c>
      <c r="R22" s="20"/>
      <c r="S22" s="300">
        <f>Q22/Q29</f>
        <v>0.0001919058912</v>
      </c>
      <c r="T22" s="301" t="s">
        <v>518</v>
      </c>
      <c r="U22" s="302" t="s">
        <v>519</v>
      </c>
      <c r="W22" s="20"/>
      <c r="X22" s="303" t="s">
        <v>409</v>
      </c>
    </row>
    <row r="23">
      <c r="A23" s="343" t="s">
        <v>520</v>
      </c>
      <c r="B23" s="312" t="s">
        <v>102</v>
      </c>
      <c r="C23" s="313">
        <v>4.0</v>
      </c>
      <c r="D23" s="314">
        <v>5.0</v>
      </c>
      <c r="E23" s="315" t="s">
        <v>103</v>
      </c>
      <c r="F23" s="66"/>
      <c r="G23" s="315" t="s">
        <v>25</v>
      </c>
      <c r="H23" s="66"/>
      <c r="I23" s="314" t="s">
        <v>25</v>
      </c>
      <c r="J23" s="314">
        <v>400.0</v>
      </c>
      <c r="K23" s="314">
        <v>1.0</v>
      </c>
      <c r="L23" s="314">
        <v>0.25</v>
      </c>
      <c r="M23" s="314">
        <v>0.75</v>
      </c>
      <c r="N23" s="315">
        <f t="shared" si="1"/>
        <v>403</v>
      </c>
      <c r="O23" s="66"/>
      <c r="P23" s="314">
        <f t="shared" si="2"/>
        <v>8000</v>
      </c>
      <c r="Q23" s="315">
        <f t="shared" si="3"/>
        <v>2015</v>
      </c>
      <c r="R23" s="66"/>
      <c r="S23" s="316">
        <f>Q23/Q29</f>
        <v>0.03866903708</v>
      </c>
      <c r="T23" s="317" t="s">
        <v>316</v>
      </c>
      <c r="U23" s="318" t="s">
        <v>468</v>
      </c>
      <c r="V23" s="72"/>
      <c r="W23" s="66"/>
      <c r="X23" s="319" t="s">
        <v>378</v>
      </c>
    </row>
    <row r="24">
      <c r="A24" s="384" t="s">
        <v>521</v>
      </c>
      <c r="B24" s="345" t="s">
        <v>577</v>
      </c>
      <c r="C24" s="346">
        <v>1.0</v>
      </c>
      <c r="D24" s="347">
        <v>5.0</v>
      </c>
      <c r="E24" s="348" t="s">
        <v>523</v>
      </c>
      <c r="F24" s="20"/>
      <c r="G24" s="348" t="s">
        <v>524</v>
      </c>
      <c r="H24" s="20"/>
      <c r="I24" s="347" t="s">
        <v>25</v>
      </c>
      <c r="J24" s="347">
        <v>8.0</v>
      </c>
      <c r="K24" s="347">
        <v>0.1</v>
      </c>
      <c r="L24" s="347">
        <v>1.0</v>
      </c>
      <c r="M24" s="347">
        <v>1.0</v>
      </c>
      <c r="N24" s="348">
        <f t="shared" si="1"/>
        <v>8.1</v>
      </c>
      <c r="O24" s="20"/>
      <c r="P24" s="347">
        <f t="shared" si="2"/>
        <v>40</v>
      </c>
      <c r="Q24" s="348">
        <f t="shared" si="3"/>
        <v>40.5</v>
      </c>
      <c r="R24" s="20"/>
      <c r="S24" s="349">
        <f>Q24/Q29</f>
        <v>0.0007772188593</v>
      </c>
      <c r="T24" s="350" t="s">
        <v>525</v>
      </c>
      <c r="U24" s="351" t="s">
        <v>526</v>
      </c>
      <c r="V24" s="27"/>
      <c r="W24" s="13"/>
      <c r="X24" s="352" t="s">
        <v>378</v>
      </c>
    </row>
    <row r="25">
      <c r="A25" s="385" t="s">
        <v>527</v>
      </c>
      <c r="B25" s="345" t="s">
        <v>578</v>
      </c>
      <c r="C25" s="346">
        <v>1.0</v>
      </c>
      <c r="D25" s="347">
        <v>5.0</v>
      </c>
      <c r="E25" s="348" t="s">
        <v>523</v>
      </c>
      <c r="F25" s="20"/>
      <c r="G25" s="348" t="s">
        <v>529</v>
      </c>
      <c r="H25" s="20"/>
      <c r="I25" s="347" t="s">
        <v>25</v>
      </c>
      <c r="J25" s="347">
        <v>5.0</v>
      </c>
      <c r="K25" s="347">
        <v>0.1</v>
      </c>
      <c r="L25" s="347">
        <v>1.0</v>
      </c>
      <c r="M25" s="347">
        <v>1.0</v>
      </c>
      <c r="N25" s="348">
        <f t="shared" si="1"/>
        <v>5.1</v>
      </c>
      <c r="O25" s="20"/>
      <c r="P25" s="347">
        <f t="shared" si="2"/>
        <v>25</v>
      </c>
      <c r="Q25" s="348">
        <f t="shared" si="3"/>
        <v>25.5</v>
      </c>
      <c r="R25" s="20"/>
      <c r="S25" s="349">
        <f>Q25/Q29</f>
        <v>0.0004893600225</v>
      </c>
      <c r="T25" s="350" t="s">
        <v>525</v>
      </c>
      <c r="U25" s="354" t="s">
        <v>223</v>
      </c>
      <c r="W25" s="20"/>
      <c r="X25" s="352" t="s">
        <v>378</v>
      </c>
    </row>
    <row r="26">
      <c r="A26" s="386" t="s">
        <v>530</v>
      </c>
      <c r="B26" s="356" t="s">
        <v>579</v>
      </c>
      <c r="C26" s="346">
        <v>1.0</v>
      </c>
      <c r="D26" s="347">
        <v>5.0</v>
      </c>
      <c r="E26" s="348" t="s">
        <v>523</v>
      </c>
      <c r="F26" s="20"/>
      <c r="G26" s="348" t="s">
        <v>532</v>
      </c>
      <c r="H26" s="20"/>
      <c r="I26" s="347" t="s">
        <v>25</v>
      </c>
      <c r="J26" s="347">
        <v>3.0</v>
      </c>
      <c r="K26" s="347">
        <v>0.1</v>
      </c>
      <c r="L26" s="347">
        <v>1.0</v>
      </c>
      <c r="M26" s="347">
        <v>1.0</v>
      </c>
      <c r="N26" s="348">
        <f t="shared" si="1"/>
        <v>3.1</v>
      </c>
      <c r="O26" s="20"/>
      <c r="P26" s="347">
        <f t="shared" si="2"/>
        <v>15</v>
      </c>
      <c r="Q26" s="348">
        <f t="shared" si="3"/>
        <v>15.5</v>
      </c>
      <c r="R26" s="20"/>
      <c r="S26" s="349">
        <f>Q26/Q29</f>
        <v>0.0002974541313</v>
      </c>
      <c r="T26" s="350" t="s">
        <v>525</v>
      </c>
      <c r="U26" s="354" t="s">
        <v>223</v>
      </c>
      <c r="W26" s="20"/>
      <c r="X26" s="352" t="s">
        <v>378</v>
      </c>
    </row>
    <row r="27">
      <c r="A27" s="387" t="s">
        <v>533</v>
      </c>
      <c r="B27" s="345" t="s">
        <v>534</v>
      </c>
      <c r="C27" s="346">
        <v>1.0</v>
      </c>
      <c r="D27" s="347">
        <v>7.0</v>
      </c>
      <c r="E27" s="348" t="s">
        <v>523</v>
      </c>
      <c r="F27" s="20"/>
      <c r="G27" s="348" t="s">
        <v>535</v>
      </c>
      <c r="H27" s="20"/>
      <c r="I27" s="347" t="s">
        <v>25</v>
      </c>
      <c r="J27" s="347">
        <v>3.0</v>
      </c>
      <c r="K27" s="347">
        <v>0.1</v>
      </c>
      <c r="L27" s="347">
        <v>1.0</v>
      </c>
      <c r="M27" s="347">
        <v>1.0</v>
      </c>
      <c r="N27" s="348">
        <f t="shared" si="1"/>
        <v>3.1</v>
      </c>
      <c r="O27" s="20"/>
      <c r="P27" s="347">
        <f t="shared" si="2"/>
        <v>21</v>
      </c>
      <c r="Q27" s="348">
        <f t="shared" si="3"/>
        <v>21.7</v>
      </c>
      <c r="R27" s="20"/>
      <c r="S27" s="349">
        <f>Q27/Q29</f>
        <v>0.0004164357839</v>
      </c>
      <c r="T27" s="350" t="s">
        <v>525</v>
      </c>
      <c r="U27" s="354" t="s">
        <v>223</v>
      </c>
      <c r="W27" s="20"/>
      <c r="X27" s="352" t="s">
        <v>378</v>
      </c>
    </row>
    <row r="28">
      <c r="A28" s="385" t="s">
        <v>536</v>
      </c>
      <c r="B28" s="388" t="s">
        <v>457</v>
      </c>
      <c r="C28" s="389">
        <v>2.0</v>
      </c>
      <c r="D28" s="347">
        <v>5.0</v>
      </c>
      <c r="E28" s="348" t="s">
        <v>537</v>
      </c>
      <c r="F28" s="20"/>
      <c r="G28" s="348" t="s">
        <v>538</v>
      </c>
      <c r="H28" s="20"/>
      <c r="I28" s="347" t="s">
        <v>25</v>
      </c>
      <c r="J28" s="347">
        <v>8.0</v>
      </c>
      <c r="K28" s="347">
        <v>1.0</v>
      </c>
      <c r="L28" s="347">
        <v>1.0</v>
      </c>
      <c r="M28" s="347">
        <v>1.0</v>
      </c>
      <c r="N28" s="348">
        <f t="shared" si="1"/>
        <v>18</v>
      </c>
      <c r="O28" s="20"/>
      <c r="P28" s="347">
        <f t="shared" si="2"/>
        <v>80</v>
      </c>
      <c r="Q28" s="348">
        <f t="shared" si="3"/>
        <v>90</v>
      </c>
      <c r="R28" s="20"/>
      <c r="S28" s="349">
        <f>Q28/Q29</f>
        <v>0.001727153021</v>
      </c>
      <c r="T28" s="350" t="s">
        <v>539</v>
      </c>
      <c r="U28" s="354" t="s">
        <v>223</v>
      </c>
      <c r="W28" s="20"/>
      <c r="X28" s="352" t="s">
        <v>378</v>
      </c>
    </row>
    <row r="29">
      <c r="A29" s="367"/>
      <c r="B29" s="367"/>
      <c r="C29" s="121"/>
      <c r="D29" s="34">
        <f>MAX(D4:D28)</f>
        <v>7.4</v>
      </c>
      <c r="N29" s="124">
        <f>sum(N4:O28)</f>
        <v>8064.705</v>
      </c>
      <c r="O29" s="6"/>
      <c r="P29" s="282">
        <f>sum(P4:P28)</f>
        <v>71690.598</v>
      </c>
      <c r="Q29" s="124">
        <f>SUM(Q4:Q28)</f>
        <v>52108.8745</v>
      </c>
      <c r="R29" s="6"/>
    </row>
    <row r="30">
      <c r="A30" s="255"/>
      <c r="B30" s="368"/>
      <c r="C30" s="121"/>
      <c r="D30" s="34" t="s">
        <v>107</v>
      </c>
      <c r="N30" s="127" t="s">
        <v>108</v>
      </c>
      <c r="O30" s="72"/>
      <c r="P30" s="250" t="s">
        <v>417</v>
      </c>
      <c r="Q30" s="250" t="s">
        <v>109</v>
      </c>
      <c r="R30" s="66"/>
    </row>
    <row r="31">
      <c r="A31" s="369"/>
      <c r="B31" s="369"/>
      <c r="C31" s="121"/>
    </row>
    <row r="32">
      <c r="A32" s="394"/>
      <c r="B32" s="395"/>
      <c r="C32" s="121"/>
    </row>
  </sheetData>
  <mergeCells count="141">
    <mergeCell ref="Q9:R9"/>
    <mergeCell ref="Q10:R10"/>
    <mergeCell ref="N6:O6"/>
    <mergeCell ref="N7:O7"/>
    <mergeCell ref="Q7:R7"/>
    <mergeCell ref="N8:O8"/>
    <mergeCell ref="Q8:R8"/>
    <mergeCell ref="N9:O9"/>
    <mergeCell ref="N10:O10"/>
    <mergeCell ref="E4:F4"/>
    <mergeCell ref="E5:F5"/>
    <mergeCell ref="G5:H5"/>
    <mergeCell ref="E6:F6"/>
    <mergeCell ref="G6:H6"/>
    <mergeCell ref="E7:F7"/>
    <mergeCell ref="G7:H7"/>
    <mergeCell ref="E8:F8"/>
    <mergeCell ref="G8:H8"/>
    <mergeCell ref="E9:F9"/>
    <mergeCell ref="G9:H9"/>
    <mergeCell ref="E10:F10"/>
    <mergeCell ref="G10:H10"/>
    <mergeCell ref="G11:H11"/>
    <mergeCell ref="E14:F14"/>
    <mergeCell ref="G14:H14"/>
    <mergeCell ref="E15:F15"/>
    <mergeCell ref="G15:H15"/>
    <mergeCell ref="E16:F16"/>
    <mergeCell ref="G16:H16"/>
    <mergeCell ref="G17:H17"/>
    <mergeCell ref="E24:F24"/>
    <mergeCell ref="E25:F25"/>
    <mergeCell ref="E26:F26"/>
    <mergeCell ref="E27:F27"/>
    <mergeCell ref="E28:F28"/>
    <mergeCell ref="E17:F17"/>
    <mergeCell ref="E18:F18"/>
    <mergeCell ref="E19:F19"/>
    <mergeCell ref="E20:F20"/>
    <mergeCell ref="E21:F21"/>
    <mergeCell ref="E22:F22"/>
    <mergeCell ref="E23:F23"/>
    <mergeCell ref="G25:H25"/>
    <mergeCell ref="G26:H26"/>
    <mergeCell ref="G27:H27"/>
    <mergeCell ref="G28:H28"/>
    <mergeCell ref="G18:H18"/>
    <mergeCell ref="G19:H19"/>
    <mergeCell ref="G20:H20"/>
    <mergeCell ref="G21:H21"/>
    <mergeCell ref="G22:H22"/>
    <mergeCell ref="G23:H23"/>
    <mergeCell ref="G24:H24"/>
    <mergeCell ref="U14:W14"/>
    <mergeCell ref="U15:W15"/>
    <mergeCell ref="U7:W7"/>
    <mergeCell ref="U8:W8"/>
    <mergeCell ref="U9:W9"/>
    <mergeCell ref="U10:W10"/>
    <mergeCell ref="U11:W11"/>
    <mergeCell ref="U12:W12"/>
    <mergeCell ref="U13:W13"/>
    <mergeCell ref="U18:W18"/>
    <mergeCell ref="U19:W19"/>
    <mergeCell ref="Q15:R15"/>
    <mergeCell ref="Q16:R16"/>
    <mergeCell ref="U16:W16"/>
    <mergeCell ref="Q17:R17"/>
    <mergeCell ref="U17:W17"/>
    <mergeCell ref="Q18:R18"/>
    <mergeCell ref="Q19:R19"/>
    <mergeCell ref="N14:O14"/>
    <mergeCell ref="N15:O15"/>
    <mergeCell ref="N16:O16"/>
    <mergeCell ref="N17:O17"/>
    <mergeCell ref="N18:O18"/>
    <mergeCell ref="N19:O19"/>
    <mergeCell ref="N20:O20"/>
    <mergeCell ref="N28:O28"/>
    <mergeCell ref="N29:O29"/>
    <mergeCell ref="N30:O30"/>
    <mergeCell ref="N21:O21"/>
    <mergeCell ref="N22:O22"/>
    <mergeCell ref="N23:O23"/>
    <mergeCell ref="N24:O24"/>
    <mergeCell ref="N25:O25"/>
    <mergeCell ref="N26:O26"/>
    <mergeCell ref="N27:O27"/>
    <mergeCell ref="Q20:R20"/>
    <mergeCell ref="U20:W20"/>
    <mergeCell ref="Q21:R21"/>
    <mergeCell ref="U21:W21"/>
    <mergeCell ref="Q22:R22"/>
    <mergeCell ref="U22:W22"/>
    <mergeCell ref="U23:W23"/>
    <mergeCell ref="Q28:R28"/>
    <mergeCell ref="Q29:R29"/>
    <mergeCell ref="Q30:R30"/>
    <mergeCell ref="U24:W24"/>
    <mergeCell ref="U25:W25"/>
    <mergeCell ref="Q26:R26"/>
    <mergeCell ref="U26:W26"/>
    <mergeCell ref="Q27:R27"/>
    <mergeCell ref="U27:W27"/>
    <mergeCell ref="U28:W28"/>
    <mergeCell ref="E1:F1"/>
    <mergeCell ref="G1:H1"/>
    <mergeCell ref="L1:M1"/>
    <mergeCell ref="E2:F2"/>
    <mergeCell ref="N2:O2"/>
    <mergeCell ref="Q2:R2"/>
    <mergeCell ref="U2:W2"/>
    <mergeCell ref="G2:H2"/>
    <mergeCell ref="G3:H3"/>
    <mergeCell ref="N3:O3"/>
    <mergeCell ref="U3:W3"/>
    <mergeCell ref="G4:H4"/>
    <mergeCell ref="N4:O4"/>
    <mergeCell ref="U4:W4"/>
    <mergeCell ref="Q3:R3"/>
    <mergeCell ref="Q4:R4"/>
    <mergeCell ref="N5:O5"/>
    <mergeCell ref="Q5:R5"/>
    <mergeCell ref="U5:W5"/>
    <mergeCell ref="Q6:R6"/>
    <mergeCell ref="U6:W6"/>
    <mergeCell ref="E11:F11"/>
    <mergeCell ref="E12:F12"/>
    <mergeCell ref="E13:F13"/>
    <mergeCell ref="G12:H12"/>
    <mergeCell ref="G13:H13"/>
    <mergeCell ref="N11:O11"/>
    <mergeCell ref="Q11:R11"/>
    <mergeCell ref="N12:O12"/>
    <mergeCell ref="Q12:R12"/>
    <mergeCell ref="N13:O13"/>
    <mergeCell ref="Q13:R13"/>
    <mergeCell ref="Q14:R14"/>
    <mergeCell ref="Q23:R23"/>
    <mergeCell ref="Q24:R24"/>
    <mergeCell ref="Q25:R25"/>
  </mergeCells>
  <hyperlinks>
    <hyperlink r:id="rId1" ref="T3"/>
    <hyperlink r:id="rId2" ref="T4"/>
    <hyperlink r:id="rId3" ref="T5"/>
    <hyperlink r:id="rId4" ref="T6"/>
    <hyperlink r:id="rId5" ref="T7"/>
    <hyperlink r:id="rId6" ref="T8"/>
    <hyperlink r:id="rId7" ref="T9"/>
    <hyperlink r:id="rId8" ref="T10"/>
    <hyperlink r:id="rId9" ref="T11"/>
    <hyperlink r:id="rId10" ref="T12"/>
    <hyperlink r:id="rId11" ref="T13"/>
    <hyperlink r:id="rId12" ref="T14"/>
    <hyperlink r:id="rId13" ref="T15"/>
    <hyperlink r:id="rId14" ref="T16"/>
    <hyperlink r:id="rId15" ref="T17"/>
    <hyperlink r:id="rId16" ref="T18"/>
    <hyperlink r:id="rId17" ref="T19"/>
    <hyperlink r:id="rId18" ref="T20"/>
    <hyperlink r:id="rId19" ref="T21"/>
    <hyperlink r:id="rId20" ref="T22"/>
    <hyperlink r:id="rId21" ref="T23"/>
    <hyperlink r:id="rId22" ref="T24"/>
    <hyperlink r:id="rId23" ref="T25"/>
    <hyperlink r:id="rId24" ref="T26"/>
    <hyperlink r:id="rId25" ref="T27"/>
    <hyperlink r:id="rId26" ref="T28"/>
  </hyperlinks>
  <drawing r:id="rId27"/>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13"/>
    <col customWidth="1" min="4" max="4" width="14.75"/>
  </cols>
  <sheetData>
    <row r="1">
      <c r="A1" s="396" t="s">
        <v>580</v>
      </c>
      <c r="B1" s="257"/>
      <c r="C1" s="257"/>
      <c r="J1" s="4" t="s">
        <v>1</v>
      </c>
      <c r="K1" s="5"/>
      <c r="L1" s="4" t="s">
        <v>2</v>
      </c>
      <c r="M1" s="6"/>
    </row>
    <row r="2">
      <c r="A2" s="397" t="s">
        <v>3</v>
      </c>
      <c r="B2" s="398" t="s">
        <v>4</v>
      </c>
      <c r="C2" s="398" t="s">
        <v>5</v>
      </c>
      <c r="D2" s="9" t="s">
        <v>6</v>
      </c>
      <c r="E2" s="4" t="s">
        <v>428</v>
      </c>
      <c r="F2" s="6"/>
      <c r="G2" s="4" t="s">
        <v>429</v>
      </c>
      <c r="H2" s="6"/>
      <c r="I2" s="9" t="s">
        <v>372</v>
      </c>
      <c r="J2" s="9" t="s">
        <v>13</v>
      </c>
      <c r="K2" s="9" t="s">
        <v>14</v>
      </c>
      <c r="L2" s="9" t="s">
        <v>13</v>
      </c>
      <c r="M2" s="9" t="s">
        <v>14</v>
      </c>
      <c r="N2" s="4" t="s">
        <v>562</v>
      </c>
      <c r="O2" s="6"/>
      <c r="P2" s="9" t="s">
        <v>373</v>
      </c>
      <c r="Q2" s="9" t="s">
        <v>563</v>
      </c>
      <c r="R2" s="399"/>
      <c r="S2" s="9" t="s">
        <v>17</v>
      </c>
      <c r="T2" s="400" t="s">
        <v>581</v>
      </c>
      <c r="U2" s="4" t="s">
        <v>19</v>
      </c>
      <c r="V2" s="11"/>
      <c r="W2" s="6"/>
    </row>
    <row r="3">
      <c r="A3" s="15" t="s">
        <v>564</v>
      </c>
      <c r="B3" s="16" t="s">
        <v>33</v>
      </c>
      <c r="C3" s="17">
        <v>1.0</v>
      </c>
      <c r="D3" s="18" t="s">
        <v>475</v>
      </c>
      <c r="E3" s="30"/>
      <c r="F3" s="30"/>
      <c r="G3" s="19" t="s">
        <v>543</v>
      </c>
      <c r="H3" s="20"/>
      <c r="I3" s="23"/>
      <c r="J3" s="23"/>
      <c r="K3" s="23"/>
      <c r="L3" s="23"/>
      <c r="M3" s="23"/>
      <c r="N3" s="19">
        <v>-8000.0</v>
      </c>
      <c r="O3" s="20"/>
      <c r="P3" s="30"/>
      <c r="Q3" s="19">
        <v>-59200.0</v>
      </c>
      <c r="R3" s="20"/>
      <c r="S3" s="31">
        <f>Q3/Q18</f>
        <v>-1.286442658</v>
      </c>
      <c r="T3" s="401" t="s">
        <v>565</v>
      </c>
      <c r="U3" s="402"/>
      <c r="V3" s="27"/>
      <c r="W3" s="13"/>
    </row>
    <row r="4">
      <c r="A4" s="380" t="s">
        <v>546</v>
      </c>
      <c r="B4" s="288" t="s">
        <v>39</v>
      </c>
      <c r="C4" s="381">
        <v>1.0</v>
      </c>
      <c r="D4" s="51">
        <v>5.0</v>
      </c>
      <c r="E4" s="42" t="s">
        <v>547</v>
      </c>
      <c r="F4" s="20"/>
      <c r="G4" s="42" t="s">
        <v>548</v>
      </c>
      <c r="H4" s="20"/>
      <c r="I4" s="51" t="s">
        <v>25</v>
      </c>
      <c r="J4" s="51">
        <v>19.0</v>
      </c>
      <c r="K4" s="51">
        <v>1.0</v>
      </c>
      <c r="L4" s="51">
        <v>1.0</v>
      </c>
      <c r="M4" s="51">
        <v>1.0</v>
      </c>
      <c r="N4" s="42">
        <f t="shared" ref="N4:N6" si="1">(J4*L4+K4*M4)*C4</f>
        <v>20</v>
      </c>
      <c r="O4" s="20"/>
      <c r="P4" s="51">
        <f t="shared" ref="P4:P6" si="2">(D4*J4)*C4</f>
        <v>95</v>
      </c>
      <c r="Q4" s="42">
        <f t="shared" ref="Q4:Q6" si="3">(N4*D4)</f>
        <v>100</v>
      </c>
      <c r="R4" s="20"/>
      <c r="S4" s="53">
        <f>Q4/Q18</f>
        <v>0.00217304503</v>
      </c>
      <c r="T4" s="403" t="s">
        <v>567</v>
      </c>
      <c r="U4" s="283" t="s">
        <v>526</v>
      </c>
      <c r="W4" s="20"/>
    </row>
    <row r="5">
      <c r="A5" s="328" t="s">
        <v>480</v>
      </c>
      <c r="B5" s="288" t="s">
        <v>39</v>
      </c>
      <c r="C5" s="50">
        <v>1.0</v>
      </c>
      <c r="D5" s="51">
        <v>5.0</v>
      </c>
      <c r="E5" s="42" t="s">
        <v>481</v>
      </c>
      <c r="F5" s="20"/>
      <c r="G5" s="42" t="s">
        <v>482</v>
      </c>
      <c r="H5" s="20"/>
      <c r="I5" s="51" t="s">
        <v>25</v>
      </c>
      <c r="J5" s="51">
        <v>5.2</v>
      </c>
      <c r="K5" s="51">
        <v>1.2</v>
      </c>
      <c r="L5" s="51">
        <v>1.0</v>
      </c>
      <c r="M5" s="51">
        <v>1.0</v>
      </c>
      <c r="N5" s="42">
        <f t="shared" si="1"/>
        <v>6.4</v>
      </c>
      <c r="O5" s="20"/>
      <c r="P5" s="51">
        <f t="shared" si="2"/>
        <v>26</v>
      </c>
      <c r="Q5" s="42">
        <f t="shared" si="3"/>
        <v>32</v>
      </c>
      <c r="R5" s="20"/>
      <c r="S5" s="53">
        <f>Q5/Q18</f>
        <v>0.0006953744096</v>
      </c>
      <c r="T5" s="404" t="s">
        <v>582</v>
      </c>
      <c r="U5" s="283" t="s">
        <v>223</v>
      </c>
      <c r="W5" s="20"/>
    </row>
    <row r="6">
      <c r="A6" s="380" t="s">
        <v>557</v>
      </c>
      <c r="B6" s="288" t="s">
        <v>485</v>
      </c>
      <c r="C6" s="381">
        <v>1.0</v>
      </c>
      <c r="D6" s="51">
        <v>5.1</v>
      </c>
      <c r="E6" s="42" t="s">
        <v>558</v>
      </c>
      <c r="F6" s="20"/>
      <c r="G6" s="42" t="s">
        <v>25</v>
      </c>
      <c r="H6" s="20"/>
      <c r="I6" s="51" t="s">
        <v>25</v>
      </c>
      <c r="J6" s="51">
        <v>150.0</v>
      </c>
      <c r="K6" s="51">
        <v>1.0</v>
      </c>
      <c r="L6" s="51">
        <v>1.0</v>
      </c>
      <c r="M6" s="51">
        <v>1.0</v>
      </c>
      <c r="N6" s="42">
        <f t="shared" si="1"/>
        <v>151</v>
      </c>
      <c r="O6" s="20"/>
      <c r="P6" s="51">
        <f t="shared" si="2"/>
        <v>765</v>
      </c>
      <c r="Q6" s="42">
        <f t="shared" si="3"/>
        <v>770.1</v>
      </c>
      <c r="R6" s="20"/>
      <c r="S6" s="53">
        <f>Q6/Q18</f>
        <v>0.01673461978</v>
      </c>
      <c r="T6" s="403" t="s">
        <v>559</v>
      </c>
      <c r="U6" s="283" t="s">
        <v>223</v>
      </c>
      <c r="W6" s="20"/>
    </row>
    <row r="7">
      <c r="A7" s="380"/>
      <c r="B7" s="49" t="s">
        <v>583</v>
      </c>
      <c r="C7" s="381"/>
      <c r="D7" s="51"/>
      <c r="E7" s="51"/>
      <c r="F7" s="51"/>
      <c r="G7" s="51"/>
      <c r="H7" s="51"/>
      <c r="I7" s="51"/>
      <c r="J7" s="51"/>
      <c r="K7" s="51"/>
      <c r="L7" s="51"/>
      <c r="M7" s="51"/>
      <c r="N7" s="51"/>
      <c r="O7" s="51"/>
      <c r="P7" s="51"/>
      <c r="Q7" s="51"/>
      <c r="R7" s="51"/>
      <c r="S7" s="53"/>
      <c r="T7" s="403"/>
      <c r="U7" s="283" t="s">
        <v>223</v>
      </c>
      <c r="W7" s="20"/>
    </row>
    <row r="8">
      <c r="A8" s="73" t="s">
        <v>66</v>
      </c>
      <c r="B8" s="84" t="s">
        <v>67</v>
      </c>
      <c r="C8" s="75">
        <v>1.0</v>
      </c>
      <c r="D8" s="78">
        <v>2.5</v>
      </c>
      <c r="E8" s="77" t="s">
        <v>350</v>
      </c>
      <c r="F8" s="20"/>
      <c r="G8" s="77" t="s">
        <v>584</v>
      </c>
      <c r="H8" s="20"/>
      <c r="I8" s="78" t="s">
        <v>25</v>
      </c>
      <c r="J8" s="78">
        <v>2.0</v>
      </c>
      <c r="K8" s="78">
        <v>0.265</v>
      </c>
      <c r="L8" s="78">
        <v>1.0</v>
      </c>
      <c r="M8" s="78">
        <v>1.0</v>
      </c>
      <c r="N8" s="77">
        <f t="shared" ref="N8:N17" si="4">(J8*L8+K8*M8)*C8</f>
        <v>2.265</v>
      </c>
      <c r="O8" s="20"/>
      <c r="P8" s="78">
        <f t="shared" ref="P8:P17" si="5">(D8*J8)*C8</f>
        <v>5</v>
      </c>
      <c r="Q8" s="77">
        <f t="shared" ref="Q8:Q17" si="6">(N8*D8)</f>
        <v>5.6625</v>
      </c>
      <c r="R8" s="20"/>
      <c r="S8" s="81">
        <f>Q8/Q18</f>
        <v>0.0001230486748</v>
      </c>
      <c r="T8" s="405" t="s">
        <v>585</v>
      </c>
      <c r="U8" s="406" t="s">
        <v>586</v>
      </c>
      <c r="W8" s="20"/>
    </row>
    <row r="9">
      <c r="A9" s="73" t="s">
        <v>72</v>
      </c>
      <c r="B9" s="84" t="s">
        <v>73</v>
      </c>
      <c r="C9" s="85">
        <v>3.0</v>
      </c>
      <c r="D9" s="78">
        <v>5.0</v>
      </c>
      <c r="E9" s="77" t="s">
        <v>499</v>
      </c>
      <c r="F9" s="20"/>
      <c r="G9" s="77" t="s">
        <v>500</v>
      </c>
      <c r="H9" s="20"/>
      <c r="I9" s="78" t="s">
        <v>25</v>
      </c>
      <c r="J9" s="78">
        <v>15.0</v>
      </c>
      <c r="K9" s="78">
        <v>1.0</v>
      </c>
      <c r="L9" s="78">
        <v>1.0</v>
      </c>
      <c r="M9" s="78">
        <v>1.0</v>
      </c>
      <c r="N9" s="77">
        <f t="shared" si="4"/>
        <v>48</v>
      </c>
      <c r="O9" s="20"/>
      <c r="P9" s="78">
        <f t="shared" si="5"/>
        <v>225</v>
      </c>
      <c r="Q9" s="77">
        <f t="shared" si="6"/>
        <v>240</v>
      </c>
      <c r="R9" s="20"/>
      <c r="S9" s="81">
        <f>Q9/Q18</f>
        <v>0.005215308072</v>
      </c>
      <c r="T9" s="405" t="s">
        <v>587</v>
      </c>
      <c r="U9" s="406" t="s">
        <v>223</v>
      </c>
      <c r="W9" s="20"/>
    </row>
    <row r="10">
      <c r="A10" s="87" t="s">
        <v>78</v>
      </c>
      <c r="B10" s="88" t="s">
        <v>79</v>
      </c>
      <c r="C10" s="75">
        <v>1.0</v>
      </c>
      <c r="D10" s="78">
        <v>3.3</v>
      </c>
      <c r="E10" s="77" t="s">
        <v>437</v>
      </c>
      <c r="F10" s="20"/>
      <c r="G10" s="77" t="s">
        <v>502</v>
      </c>
      <c r="H10" s="20"/>
      <c r="I10" s="78" t="s">
        <v>25</v>
      </c>
      <c r="J10" s="78">
        <v>25.0</v>
      </c>
      <c r="K10" s="78">
        <v>1.0</v>
      </c>
      <c r="L10" s="78">
        <v>1.0</v>
      </c>
      <c r="M10" s="78">
        <v>1.0</v>
      </c>
      <c r="N10" s="77">
        <f t="shared" si="4"/>
        <v>26</v>
      </c>
      <c r="O10" s="20"/>
      <c r="P10" s="78">
        <f t="shared" si="5"/>
        <v>82.5</v>
      </c>
      <c r="Q10" s="77">
        <f t="shared" si="6"/>
        <v>85.8</v>
      </c>
      <c r="R10" s="20"/>
      <c r="S10" s="81">
        <f>Q10/Q18</f>
        <v>0.001864472636</v>
      </c>
      <c r="T10" s="407" t="s">
        <v>588</v>
      </c>
      <c r="U10" s="406" t="s">
        <v>223</v>
      </c>
      <c r="W10" s="20"/>
    </row>
    <row r="11">
      <c r="A11" s="73" t="s">
        <v>84</v>
      </c>
      <c r="B11" s="90" t="s">
        <v>85</v>
      </c>
      <c r="C11" s="75">
        <v>1.0</v>
      </c>
      <c r="D11" s="78">
        <v>1.8</v>
      </c>
      <c r="E11" s="77" t="s">
        <v>359</v>
      </c>
      <c r="F11" s="20"/>
      <c r="G11" s="77" t="s">
        <v>589</v>
      </c>
      <c r="H11" s="20"/>
      <c r="I11" s="78" t="s">
        <v>25</v>
      </c>
      <c r="J11" s="78">
        <v>3.11</v>
      </c>
      <c r="K11" s="78">
        <v>1.23</v>
      </c>
      <c r="L11" s="78">
        <v>1.0</v>
      </c>
      <c r="M11" s="78">
        <v>1.0</v>
      </c>
      <c r="N11" s="77">
        <f t="shared" si="4"/>
        <v>4.34</v>
      </c>
      <c r="O11" s="20"/>
      <c r="P11" s="78">
        <f t="shared" si="5"/>
        <v>5.598</v>
      </c>
      <c r="Q11" s="77">
        <f t="shared" si="6"/>
        <v>7.812</v>
      </c>
      <c r="R11" s="20"/>
      <c r="S11" s="81">
        <f>Q11/Q18</f>
        <v>0.0001697582778</v>
      </c>
      <c r="T11" s="408" t="s">
        <v>590</v>
      </c>
      <c r="U11" s="406" t="s">
        <v>223</v>
      </c>
      <c r="W11" s="20"/>
    </row>
    <row r="12">
      <c r="A12" s="409" t="s">
        <v>505</v>
      </c>
      <c r="B12" s="410" t="s">
        <v>248</v>
      </c>
      <c r="C12" s="75">
        <v>3.0</v>
      </c>
      <c r="D12" s="78">
        <v>5.0</v>
      </c>
      <c r="E12" s="77" t="s">
        <v>506</v>
      </c>
      <c r="F12" s="20"/>
      <c r="G12" s="77" t="s">
        <v>25</v>
      </c>
      <c r="H12" s="20"/>
      <c r="I12" s="78" t="s">
        <v>25</v>
      </c>
      <c r="J12" s="78">
        <v>250.0</v>
      </c>
      <c r="K12" s="78">
        <v>1.0</v>
      </c>
      <c r="L12" s="78">
        <v>1.0</v>
      </c>
      <c r="M12" s="78">
        <v>1.0</v>
      </c>
      <c r="N12" s="77">
        <f t="shared" si="4"/>
        <v>753</v>
      </c>
      <c r="O12" s="20"/>
      <c r="P12" s="78">
        <f t="shared" si="5"/>
        <v>3750</v>
      </c>
      <c r="Q12" s="77">
        <f t="shared" si="6"/>
        <v>3765</v>
      </c>
      <c r="R12" s="20"/>
      <c r="S12" s="81">
        <f>Q12/Q18</f>
        <v>0.08181514538</v>
      </c>
      <c r="T12" s="411" t="s">
        <v>507</v>
      </c>
      <c r="U12" s="406" t="s">
        <v>223</v>
      </c>
      <c r="W12" s="20"/>
    </row>
    <row r="13">
      <c r="A13" s="383" t="s">
        <v>509</v>
      </c>
      <c r="B13" s="339" t="s">
        <v>272</v>
      </c>
      <c r="C13" s="297">
        <v>4.0</v>
      </c>
      <c r="D13" s="298"/>
      <c r="E13" s="299" t="s">
        <v>273</v>
      </c>
      <c r="F13" s="20"/>
      <c r="G13" s="299" t="s">
        <v>25</v>
      </c>
      <c r="H13" s="20"/>
      <c r="I13" s="298" t="s">
        <v>25</v>
      </c>
      <c r="J13" s="393"/>
      <c r="K13" s="393"/>
      <c r="L13" s="393"/>
      <c r="M13" s="393"/>
      <c r="N13" s="299">
        <f t="shared" si="4"/>
        <v>0</v>
      </c>
      <c r="O13" s="20"/>
      <c r="P13" s="298">
        <f t="shared" si="5"/>
        <v>0</v>
      </c>
      <c r="Q13" s="299">
        <f t="shared" si="6"/>
        <v>0</v>
      </c>
      <c r="R13" s="20"/>
      <c r="S13" s="300">
        <f>Q13/Q18</f>
        <v>0</v>
      </c>
      <c r="T13" s="412" t="s">
        <v>511</v>
      </c>
      <c r="U13" s="413" t="s">
        <v>591</v>
      </c>
      <c r="W13" s="20"/>
    </row>
    <row r="14">
      <c r="A14" s="338" t="s">
        <v>512</v>
      </c>
      <c r="B14" s="339" t="s">
        <v>97</v>
      </c>
      <c r="C14" s="297">
        <v>4.0</v>
      </c>
      <c r="D14" s="298">
        <v>7.0</v>
      </c>
      <c r="E14" s="299" t="s">
        <v>592</v>
      </c>
      <c r="F14" s="20"/>
      <c r="G14" s="299" t="s">
        <v>25</v>
      </c>
      <c r="H14" s="20"/>
      <c r="I14" s="298" t="s">
        <v>25</v>
      </c>
      <c r="J14" s="298">
        <v>1851.0</v>
      </c>
      <c r="K14" s="298">
        <v>1234.0</v>
      </c>
      <c r="L14" s="298">
        <v>0.25</v>
      </c>
      <c r="M14" s="298">
        <v>0.75</v>
      </c>
      <c r="N14" s="299">
        <f t="shared" si="4"/>
        <v>5553</v>
      </c>
      <c r="O14" s="20"/>
      <c r="P14" s="298">
        <f t="shared" si="5"/>
        <v>51828</v>
      </c>
      <c r="Q14" s="299">
        <f t="shared" si="6"/>
        <v>38871</v>
      </c>
      <c r="R14" s="20"/>
      <c r="S14" s="300">
        <f>Q14/Q18</f>
        <v>0.8446843336</v>
      </c>
      <c r="T14" s="414" t="s">
        <v>593</v>
      </c>
      <c r="U14" s="413" t="s">
        <v>594</v>
      </c>
      <c r="W14" s="20"/>
    </row>
    <row r="15">
      <c r="A15" s="340" t="s">
        <v>515</v>
      </c>
      <c r="B15" s="415" t="s">
        <v>595</v>
      </c>
      <c r="C15" s="342">
        <v>1.0</v>
      </c>
      <c r="D15" s="298">
        <v>5.0</v>
      </c>
      <c r="E15" s="299" t="s">
        <v>58</v>
      </c>
      <c r="F15" s="20"/>
      <c r="G15" s="299" t="s">
        <v>25</v>
      </c>
      <c r="H15" s="20"/>
      <c r="I15" s="298" t="s">
        <v>25</v>
      </c>
      <c r="J15" s="298">
        <v>1.0</v>
      </c>
      <c r="K15" s="298">
        <v>1.0</v>
      </c>
      <c r="L15" s="298">
        <v>1.0</v>
      </c>
      <c r="M15" s="298">
        <v>1.0</v>
      </c>
      <c r="N15" s="299">
        <f t="shared" si="4"/>
        <v>2</v>
      </c>
      <c r="O15" s="20"/>
      <c r="P15" s="298">
        <f t="shared" si="5"/>
        <v>5</v>
      </c>
      <c r="Q15" s="299">
        <f t="shared" si="6"/>
        <v>10</v>
      </c>
      <c r="R15" s="20"/>
      <c r="S15" s="300">
        <f>Q15/Q18</f>
        <v>0.000217304503</v>
      </c>
      <c r="T15" s="414" t="s">
        <v>596</v>
      </c>
      <c r="U15" s="416"/>
      <c r="W15" s="20"/>
    </row>
    <row r="16">
      <c r="A16" s="340" t="s">
        <v>520</v>
      </c>
      <c r="B16" s="339" t="s">
        <v>597</v>
      </c>
      <c r="C16" s="297">
        <v>4.0</v>
      </c>
      <c r="D16" s="298">
        <v>5.0</v>
      </c>
      <c r="E16" s="299" t="s">
        <v>103</v>
      </c>
      <c r="F16" s="20"/>
      <c r="G16" s="299" t="s">
        <v>25</v>
      </c>
      <c r="H16" s="20"/>
      <c r="I16" s="298" t="s">
        <v>25</v>
      </c>
      <c r="J16" s="298">
        <v>400.0</v>
      </c>
      <c r="K16" s="298">
        <v>1.0</v>
      </c>
      <c r="L16" s="298">
        <v>0.25</v>
      </c>
      <c r="M16" s="298">
        <v>0.75</v>
      </c>
      <c r="N16" s="299">
        <f t="shared" si="4"/>
        <v>403</v>
      </c>
      <c r="O16" s="20"/>
      <c r="P16" s="298">
        <f t="shared" si="5"/>
        <v>8000</v>
      </c>
      <c r="Q16" s="299">
        <f t="shared" si="6"/>
        <v>2015</v>
      </c>
      <c r="R16" s="20"/>
      <c r="S16" s="300">
        <f>Q16/Q18</f>
        <v>0.04378685736</v>
      </c>
      <c r="T16" s="414" t="s">
        <v>316</v>
      </c>
      <c r="U16" s="413" t="s">
        <v>468</v>
      </c>
      <c r="W16" s="20"/>
    </row>
    <row r="17">
      <c r="A17" s="417" t="s">
        <v>200</v>
      </c>
      <c r="B17" s="418" t="s">
        <v>201</v>
      </c>
      <c r="C17" s="419">
        <v>1.0</v>
      </c>
      <c r="D17" s="347">
        <v>5.0</v>
      </c>
      <c r="E17" s="348" t="s">
        <v>598</v>
      </c>
      <c r="F17" s="20"/>
      <c r="G17" s="348" t="s">
        <v>25</v>
      </c>
      <c r="H17" s="20"/>
      <c r="I17" s="347" t="s">
        <v>25</v>
      </c>
      <c r="J17" s="347">
        <v>16.6</v>
      </c>
      <c r="K17" s="347">
        <v>6.6</v>
      </c>
      <c r="L17" s="347">
        <v>1.0</v>
      </c>
      <c r="M17" s="347">
        <v>1.0</v>
      </c>
      <c r="N17" s="348">
        <f t="shared" si="4"/>
        <v>23.2</v>
      </c>
      <c r="O17" s="20"/>
      <c r="P17" s="347">
        <f t="shared" si="5"/>
        <v>83</v>
      </c>
      <c r="Q17" s="348">
        <f t="shared" si="6"/>
        <v>116</v>
      </c>
      <c r="R17" s="20"/>
      <c r="S17" s="349">
        <f>Q17/Q18</f>
        <v>0.002520732235</v>
      </c>
      <c r="T17" s="420" t="s">
        <v>599</v>
      </c>
      <c r="U17" s="421" t="s">
        <v>600</v>
      </c>
      <c r="V17" s="72"/>
      <c r="W17" s="66"/>
    </row>
    <row r="18">
      <c r="A18" s="422" t="s">
        <v>601</v>
      </c>
      <c r="B18" s="423" t="s">
        <v>602</v>
      </c>
      <c r="C18" s="34">
        <v>2.0</v>
      </c>
      <c r="D18" s="123">
        <f>MAX(D4:D17)</f>
        <v>7</v>
      </c>
      <c r="N18" s="424">
        <f>SUM(N4:N17)</f>
        <v>6992.205</v>
      </c>
      <c r="O18" s="27"/>
      <c r="P18" s="425">
        <f t="shared" ref="P18:Q18" si="7">SUM(P4:P17)</f>
        <v>64870.098</v>
      </c>
      <c r="Q18" s="425">
        <f t="shared" si="7"/>
        <v>46018.3745</v>
      </c>
      <c r="R18" s="13"/>
    </row>
    <row r="19">
      <c r="A19" s="255" t="s">
        <v>536</v>
      </c>
      <c r="B19" s="368" t="s">
        <v>457</v>
      </c>
      <c r="D19" s="34" t="s">
        <v>107</v>
      </c>
      <c r="N19" s="127" t="s">
        <v>108</v>
      </c>
      <c r="O19" s="72"/>
      <c r="P19" s="250" t="s">
        <v>417</v>
      </c>
      <c r="Q19" s="250" t="s">
        <v>109</v>
      </c>
      <c r="R19" s="66"/>
    </row>
    <row r="20">
      <c r="A20" s="369" t="s">
        <v>603</v>
      </c>
      <c r="B20" s="369" t="s">
        <v>604</v>
      </c>
    </row>
    <row r="21">
      <c r="A21" s="394" t="s">
        <v>605</v>
      </c>
      <c r="B21" s="426" t="s">
        <v>606</v>
      </c>
    </row>
    <row r="22">
      <c r="A22" s="369" t="s">
        <v>521</v>
      </c>
      <c r="B22" s="255" t="s">
        <v>607</v>
      </c>
    </row>
    <row r="23">
      <c r="A23" s="255" t="s">
        <v>527</v>
      </c>
      <c r="B23" s="255" t="s">
        <v>608</v>
      </c>
    </row>
  </sheetData>
  <mergeCells count="81">
    <mergeCell ref="N2:O2"/>
    <mergeCell ref="N3:O3"/>
    <mergeCell ref="N4:O4"/>
    <mergeCell ref="Q4:R4"/>
    <mergeCell ref="N5:O5"/>
    <mergeCell ref="Q5:R5"/>
    <mergeCell ref="Q6:R6"/>
    <mergeCell ref="N6:O6"/>
    <mergeCell ref="N8:O8"/>
    <mergeCell ref="Q8:R8"/>
    <mergeCell ref="N9:O9"/>
    <mergeCell ref="Q9:R9"/>
    <mergeCell ref="N10:O10"/>
    <mergeCell ref="N11:O11"/>
    <mergeCell ref="E15:F15"/>
    <mergeCell ref="E16:F16"/>
    <mergeCell ref="G16:H16"/>
    <mergeCell ref="E17:F17"/>
    <mergeCell ref="G17:H17"/>
    <mergeCell ref="E8:F8"/>
    <mergeCell ref="E9:F9"/>
    <mergeCell ref="E10:F10"/>
    <mergeCell ref="E11:F11"/>
    <mergeCell ref="E12:F12"/>
    <mergeCell ref="E13:F13"/>
    <mergeCell ref="E14:F14"/>
    <mergeCell ref="U16:W16"/>
    <mergeCell ref="U17:W17"/>
    <mergeCell ref="U9:W9"/>
    <mergeCell ref="U10:W10"/>
    <mergeCell ref="U11:W11"/>
    <mergeCell ref="U12:W12"/>
    <mergeCell ref="U13:W13"/>
    <mergeCell ref="U14:W14"/>
    <mergeCell ref="U15:W15"/>
    <mergeCell ref="E1:F1"/>
    <mergeCell ref="G1:H1"/>
    <mergeCell ref="L1:M1"/>
    <mergeCell ref="E2:F2"/>
    <mergeCell ref="G2:H2"/>
    <mergeCell ref="G3:H3"/>
    <mergeCell ref="Q3:R3"/>
    <mergeCell ref="G9:H9"/>
    <mergeCell ref="G10:H10"/>
    <mergeCell ref="G11:H11"/>
    <mergeCell ref="G12:H12"/>
    <mergeCell ref="G13:H13"/>
    <mergeCell ref="G14:H14"/>
    <mergeCell ref="G15:H15"/>
    <mergeCell ref="E4:F4"/>
    <mergeCell ref="G4:H4"/>
    <mergeCell ref="E5:F5"/>
    <mergeCell ref="G5:H5"/>
    <mergeCell ref="E6:F6"/>
    <mergeCell ref="G6:H6"/>
    <mergeCell ref="G8:H8"/>
    <mergeCell ref="U2:W2"/>
    <mergeCell ref="U3:W3"/>
    <mergeCell ref="U4:W4"/>
    <mergeCell ref="U5:W5"/>
    <mergeCell ref="U6:W6"/>
    <mergeCell ref="U7:W7"/>
    <mergeCell ref="U8:W8"/>
    <mergeCell ref="N14:O14"/>
    <mergeCell ref="N15:O15"/>
    <mergeCell ref="N16:O16"/>
    <mergeCell ref="N17:O17"/>
    <mergeCell ref="N18:O18"/>
    <mergeCell ref="N19:O19"/>
    <mergeCell ref="Q15:R15"/>
    <mergeCell ref="Q16:R16"/>
    <mergeCell ref="Q17:R17"/>
    <mergeCell ref="Q18:R18"/>
    <mergeCell ref="Q19:R19"/>
    <mergeCell ref="Q10:R10"/>
    <mergeCell ref="Q11:R11"/>
    <mergeCell ref="N12:O12"/>
    <mergeCell ref="Q12:R12"/>
    <mergeCell ref="N13:O13"/>
    <mergeCell ref="Q13:R13"/>
    <mergeCell ref="Q14:R14"/>
  </mergeCells>
  <hyperlinks>
    <hyperlink r:id="rId1" ref="T3"/>
    <hyperlink r:id="rId2" ref="T4"/>
    <hyperlink r:id="rId3" ref="T5"/>
    <hyperlink r:id="rId4" ref="T6"/>
    <hyperlink r:id="rId5" ref="T8"/>
    <hyperlink r:id="rId6" ref="T9"/>
    <hyperlink r:id="rId7" ref="T10"/>
    <hyperlink r:id="rId8" ref="T11"/>
    <hyperlink r:id="rId9" ref="T12"/>
    <hyperlink r:id="rId10" ref="T13"/>
    <hyperlink r:id="rId11" ref="T14"/>
    <hyperlink r:id="rId12" ref="T15"/>
    <hyperlink r:id="rId13" ref="T16"/>
    <hyperlink r:id="rId14" ref="T17"/>
  </hyperlinks>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3.75"/>
    <col customWidth="1" min="2" max="2" width="17.25"/>
    <col customWidth="1" min="4" max="4" width="14.63"/>
    <col customWidth="1" min="7" max="7" width="15.38"/>
    <col customWidth="1" min="8" max="8" width="17.13"/>
    <col customWidth="1" min="16" max="16" width="13.63"/>
    <col customWidth="1" min="23" max="23" width="17.63"/>
    <col customWidth="1" min="25" max="25" width="13.38"/>
  </cols>
  <sheetData>
    <row r="1">
      <c r="A1" s="34" t="s">
        <v>180</v>
      </c>
      <c r="B1" s="2"/>
      <c r="C1" s="3"/>
      <c r="I1" s="4" t="s">
        <v>1</v>
      </c>
      <c r="J1" s="5"/>
      <c r="K1" s="5"/>
      <c r="L1" s="5"/>
      <c r="M1" s="4" t="s">
        <v>2</v>
      </c>
      <c r="N1" s="6"/>
    </row>
    <row r="2">
      <c r="A2" s="7" t="s">
        <v>3</v>
      </c>
      <c r="B2" s="8" t="s">
        <v>4</v>
      </c>
      <c r="C2" s="8" t="s">
        <v>5</v>
      </c>
      <c r="D2" s="9" t="s">
        <v>6</v>
      </c>
      <c r="E2" s="4" t="s">
        <v>7</v>
      </c>
      <c r="F2" s="6"/>
      <c r="G2" s="4" t="s">
        <v>8</v>
      </c>
      <c r="H2" s="6"/>
      <c r="I2" s="9" t="s">
        <v>9</v>
      </c>
      <c r="J2" s="9" t="s">
        <v>10</v>
      </c>
      <c r="K2" s="9" t="s">
        <v>11</v>
      </c>
      <c r="L2" s="9" t="s">
        <v>12</v>
      </c>
      <c r="M2" s="9" t="s">
        <v>13</v>
      </c>
      <c r="N2" s="9" t="s">
        <v>14</v>
      </c>
      <c r="O2" s="4" t="s">
        <v>15</v>
      </c>
      <c r="P2" s="6"/>
      <c r="Q2" s="4" t="s">
        <v>16</v>
      </c>
      <c r="R2" s="6"/>
      <c r="S2" s="9" t="s">
        <v>17</v>
      </c>
      <c r="T2" s="10" t="s">
        <v>18</v>
      </c>
      <c r="U2" s="4" t="s">
        <v>19</v>
      </c>
      <c r="V2" s="11"/>
      <c r="W2" s="6"/>
      <c r="X2" s="12" t="s">
        <v>20</v>
      </c>
      <c r="Y2" s="13"/>
      <c r="Z2" s="14" t="s">
        <v>21</v>
      </c>
    </row>
    <row r="3">
      <c r="A3" s="15" t="s">
        <v>22</v>
      </c>
      <c r="B3" s="16" t="s">
        <v>23</v>
      </c>
      <c r="C3" s="17">
        <v>1.0</v>
      </c>
      <c r="D3" s="18">
        <v>11.1</v>
      </c>
      <c r="E3" s="19" t="s">
        <v>24</v>
      </c>
      <c r="F3" s="20"/>
      <c r="G3" s="21" t="s">
        <v>25</v>
      </c>
      <c r="H3" s="20"/>
      <c r="I3" s="22" t="s">
        <v>26</v>
      </c>
      <c r="J3" s="22"/>
      <c r="K3" s="23"/>
      <c r="L3" s="23"/>
      <c r="M3" s="23"/>
      <c r="N3" s="23"/>
      <c r="O3" s="21"/>
      <c r="P3" s="20"/>
      <c r="Q3" s="19" t="s">
        <v>27</v>
      </c>
      <c r="R3" s="20"/>
      <c r="S3" s="24"/>
      <c r="T3" s="25" t="s">
        <v>28</v>
      </c>
      <c r="U3" s="26" t="s">
        <v>29</v>
      </c>
      <c r="V3" s="27"/>
      <c r="W3" s="13"/>
      <c r="X3" s="28" t="s">
        <v>181</v>
      </c>
      <c r="Y3" s="20"/>
      <c r="Z3" s="29" t="s">
        <v>31</v>
      </c>
    </row>
    <row r="4">
      <c r="A4" s="15" t="s">
        <v>32</v>
      </c>
      <c r="B4" s="16" t="s">
        <v>33</v>
      </c>
      <c r="C4" s="17">
        <v>1.0</v>
      </c>
      <c r="D4" s="18">
        <v>11.1</v>
      </c>
      <c r="E4" s="30"/>
      <c r="F4" s="30"/>
      <c r="G4" s="19" t="s">
        <v>34</v>
      </c>
      <c r="H4" s="20"/>
      <c r="I4" s="23"/>
      <c r="J4" s="23"/>
      <c r="K4" s="23"/>
      <c r="L4" s="23"/>
      <c r="M4" s="23"/>
      <c r="N4" s="23"/>
      <c r="O4" s="19">
        <v>-9166.66</v>
      </c>
      <c r="P4" s="20"/>
      <c r="Q4" s="19">
        <v>101750.0</v>
      </c>
      <c r="R4" s="20"/>
      <c r="S4" s="24"/>
      <c r="T4" s="32" t="s">
        <v>35</v>
      </c>
      <c r="U4" s="33" t="s">
        <v>36</v>
      </c>
      <c r="W4" s="20"/>
      <c r="X4" s="34" t="s">
        <v>182</v>
      </c>
      <c r="Y4" s="20"/>
      <c r="Z4" s="35" t="s">
        <v>37</v>
      </c>
    </row>
    <row r="5">
      <c r="A5" s="36" t="s">
        <v>38</v>
      </c>
      <c r="B5" s="37" t="s">
        <v>39</v>
      </c>
      <c r="C5" s="38">
        <v>1.0</v>
      </c>
      <c r="D5" s="39">
        <v>5.0</v>
      </c>
      <c r="E5" s="40" t="s">
        <v>40</v>
      </c>
      <c r="F5" s="13"/>
      <c r="G5" s="39" t="s">
        <v>41</v>
      </c>
      <c r="H5" s="27"/>
      <c r="I5" s="40">
        <v>75.5</v>
      </c>
      <c r="J5" s="40">
        <v>60.0</v>
      </c>
      <c r="K5" s="38">
        <v>0.0</v>
      </c>
      <c r="L5" s="38">
        <v>0.0</v>
      </c>
      <c r="M5" s="41">
        <f>P21</f>
        <v>1</v>
      </c>
      <c r="N5" s="38">
        <v>0.0</v>
      </c>
      <c r="O5" s="42">
        <f t="shared" ref="O5:O14" si="1">(J5*M5+L5*N5)*C5</f>
        <v>60</v>
      </c>
      <c r="P5" s="20"/>
      <c r="Q5" s="43">
        <f t="shared" ref="Q5:Q10" si="2">(O5*D5)</f>
        <v>300</v>
      </c>
      <c r="R5" s="13"/>
      <c r="S5" s="44">
        <f>Q5/Q4</f>
        <v>0.002948402948</v>
      </c>
      <c r="T5" s="45" t="s">
        <v>42</v>
      </c>
      <c r="U5" s="46" t="s">
        <v>43</v>
      </c>
      <c r="V5" s="27"/>
      <c r="W5" s="13"/>
      <c r="X5" s="34" t="s">
        <v>183</v>
      </c>
      <c r="Y5" s="20"/>
      <c r="Z5" s="47" t="s">
        <v>44</v>
      </c>
    </row>
    <row r="6">
      <c r="A6" s="48" t="s">
        <v>45</v>
      </c>
      <c r="B6" s="49" t="s">
        <v>46</v>
      </c>
      <c r="C6" s="50">
        <v>1.0</v>
      </c>
      <c r="D6" s="51">
        <v>5.0</v>
      </c>
      <c r="E6" s="42" t="s">
        <v>47</v>
      </c>
      <c r="F6" s="20"/>
      <c r="G6" s="42" t="s">
        <v>25</v>
      </c>
      <c r="H6" s="20"/>
      <c r="I6" s="51">
        <v>1200.0</v>
      </c>
      <c r="J6" s="51">
        <v>500.0</v>
      </c>
      <c r="K6" s="51">
        <v>0.0</v>
      </c>
      <c r="L6" s="51">
        <v>0.0</v>
      </c>
      <c r="M6" s="52">
        <f>P21</f>
        <v>1</v>
      </c>
      <c r="N6" s="51">
        <v>0.0</v>
      </c>
      <c r="O6" s="42">
        <f t="shared" si="1"/>
        <v>500</v>
      </c>
      <c r="P6" s="20"/>
      <c r="Q6" s="42">
        <f t="shared" si="2"/>
        <v>2500</v>
      </c>
      <c r="R6" s="20"/>
      <c r="S6" s="53">
        <f>Q6/Q4</f>
        <v>0.02457002457</v>
      </c>
      <c r="T6" s="54" t="s">
        <v>184</v>
      </c>
      <c r="U6" s="55" t="s">
        <v>49</v>
      </c>
      <c r="W6" s="20"/>
      <c r="X6" s="34"/>
      <c r="Y6" s="20"/>
      <c r="Z6" s="34"/>
    </row>
    <row r="7">
      <c r="A7" s="56" t="s">
        <v>50</v>
      </c>
      <c r="B7" s="49" t="s">
        <v>51</v>
      </c>
      <c r="C7" s="50">
        <v>1.0</v>
      </c>
      <c r="D7" s="51">
        <v>11.1</v>
      </c>
      <c r="E7" s="42" t="s">
        <v>52</v>
      </c>
      <c r="F7" s="20"/>
      <c r="G7" s="42" t="s">
        <v>53</v>
      </c>
      <c r="H7" s="20"/>
      <c r="I7" s="51">
        <v>340.0</v>
      </c>
      <c r="J7" s="51">
        <v>312.0</v>
      </c>
      <c r="K7" s="51">
        <v>0.0</v>
      </c>
      <c r="L7" s="51">
        <v>0.0</v>
      </c>
      <c r="M7" s="57">
        <f>P21</f>
        <v>1</v>
      </c>
      <c r="N7" s="51">
        <v>0.0</v>
      </c>
      <c r="O7" s="42">
        <f t="shared" si="1"/>
        <v>312</v>
      </c>
      <c r="P7" s="20"/>
      <c r="Q7" s="42">
        <f t="shared" si="2"/>
        <v>3463.2</v>
      </c>
      <c r="R7" s="20"/>
      <c r="S7" s="53">
        <f>Q7/Q4</f>
        <v>0.03403636364</v>
      </c>
      <c r="T7" s="58" t="s">
        <v>54</v>
      </c>
      <c r="U7" s="29" t="s">
        <v>55</v>
      </c>
      <c r="W7" s="20"/>
    </row>
    <row r="8">
      <c r="A8" s="59" t="s">
        <v>56</v>
      </c>
      <c r="B8" s="49" t="s">
        <v>57</v>
      </c>
      <c r="C8" s="50">
        <v>1.0</v>
      </c>
      <c r="D8" s="51">
        <v>5.0</v>
      </c>
      <c r="E8" s="42" t="s">
        <v>58</v>
      </c>
      <c r="F8" s="20"/>
      <c r="G8" s="42" t="s">
        <v>25</v>
      </c>
      <c r="H8" s="20"/>
      <c r="I8" s="51">
        <v>20.0</v>
      </c>
      <c r="J8" s="51">
        <v>34.0</v>
      </c>
      <c r="K8" s="51">
        <v>0.0</v>
      </c>
      <c r="L8" s="51">
        <v>0.0</v>
      </c>
      <c r="M8" s="57">
        <f>P21</f>
        <v>1</v>
      </c>
      <c r="N8" s="51">
        <v>0.0</v>
      </c>
      <c r="O8" s="42">
        <f t="shared" si="1"/>
        <v>34</v>
      </c>
      <c r="P8" s="20"/>
      <c r="Q8" s="42">
        <f t="shared" si="2"/>
        <v>170</v>
      </c>
      <c r="R8" s="20"/>
      <c r="S8" s="53">
        <f>Q8/Q4</f>
        <v>0.001670761671</v>
      </c>
      <c r="T8" s="60" t="s">
        <v>59</v>
      </c>
      <c r="U8" s="29" t="s">
        <v>60</v>
      </c>
      <c r="W8" s="20"/>
      <c r="X8" s="34"/>
    </row>
    <row r="9">
      <c r="A9" s="61" t="s">
        <v>61</v>
      </c>
      <c r="B9" s="62" t="s">
        <v>62</v>
      </c>
      <c r="C9" s="63">
        <v>1.0</v>
      </c>
      <c r="D9" s="64">
        <v>5.0</v>
      </c>
      <c r="E9" s="65" t="s">
        <v>63</v>
      </c>
      <c r="F9" s="66"/>
      <c r="G9" s="65" t="s">
        <v>25</v>
      </c>
      <c r="H9" s="66"/>
      <c r="I9" s="64">
        <v>100.0</v>
      </c>
      <c r="J9" s="67">
        <v>100.0</v>
      </c>
      <c r="K9" s="64">
        <v>0.0</v>
      </c>
      <c r="L9" s="64">
        <v>0.0</v>
      </c>
      <c r="M9" s="68">
        <f>P21</f>
        <v>1</v>
      </c>
      <c r="N9" s="64">
        <v>0.0</v>
      </c>
      <c r="O9" s="42">
        <f t="shared" si="1"/>
        <v>100</v>
      </c>
      <c r="P9" s="20"/>
      <c r="Q9" s="65">
        <f t="shared" si="2"/>
        <v>500</v>
      </c>
      <c r="R9" s="66"/>
      <c r="S9" s="69">
        <f>Q9/Q4</f>
        <v>0.004914004914</v>
      </c>
      <c r="T9" s="70" t="s">
        <v>64</v>
      </c>
      <c r="U9" s="71" t="s">
        <v>65</v>
      </c>
      <c r="V9" s="72"/>
      <c r="W9" s="66"/>
    </row>
    <row r="10">
      <c r="A10" s="73" t="s">
        <v>66</v>
      </c>
      <c r="B10" s="74" t="s">
        <v>67</v>
      </c>
      <c r="C10" s="75">
        <v>1.0</v>
      </c>
      <c r="D10" s="76">
        <v>3.3</v>
      </c>
      <c r="E10" s="77" t="s">
        <v>68</v>
      </c>
      <c r="F10" s="20"/>
      <c r="G10" s="77" t="s">
        <v>69</v>
      </c>
      <c r="H10" s="20"/>
      <c r="I10" s="78">
        <v>0.2</v>
      </c>
      <c r="J10" s="78">
        <v>0.16</v>
      </c>
      <c r="K10" s="78">
        <v>0.0</v>
      </c>
      <c r="L10" s="78">
        <v>0.0</v>
      </c>
      <c r="M10" s="79">
        <f>P21</f>
        <v>1</v>
      </c>
      <c r="N10" s="77">
        <v>0.0</v>
      </c>
      <c r="O10" s="80">
        <f t="shared" si="1"/>
        <v>0.16</v>
      </c>
      <c r="P10" s="13"/>
      <c r="Q10" s="77">
        <f t="shared" si="2"/>
        <v>0.528</v>
      </c>
      <c r="R10" s="20"/>
      <c r="S10" s="81">
        <f>Q10/Q4</f>
        <v>0.000005189189189</v>
      </c>
      <c r="T10" s="82" t="s">
        <v>70</v>
      </c>
      <c r="U10" s="83" t="s">
        <v>71</v>
      </c>
      <c r="W10" s="20"/>
    </row>
    <row r="11">
      <c r="A11" s="73" t="s">
        <v>72</v>
      </c>
      <c r="B11" s="84" t="s">
        <v>73</v>
      </c>
      <c r="C11" s="85">
        <v>4.0</v>
      </c>
      <c r="D11" s="78">
        <v>5.0</v>
      </c>
      <c r="E11" s="77" t="s">
        <v>74</v>
      </c>
      <c r="F11" s="20"/>
      <c r="G11" s="77" t="s">
        <v>75</v>
      </c>
      <c r="H11" s="20"/>
      <c r="I11" s="78">
        <v>15.0</v>
      </c>
      <c r="J11" s="78">
        <v>2.0</v>
      </c>
      <c r="K11" s="78">
        <v>0.0</v>
      </c>
      <c r="L11" s="78">
        <v>0.0</v>
      </c>
      <c r="M11" s="79">
        <f>P21</f>
        <v>1</v>
      </c>
      <c r="N11" s="77">
        <v>0.0</v>
      </c>
      <c r="O11" s="86">
        <f t="shared" si="1"/>
        <v>8</v>
      </c>
      <c r="P11" s="20"/>
      <c r="Q11" s="77">
        <f>(O11*D11) + 0.844 * M11</f>
        <v>40.844</v>
      </c>
      <c r="R11" s="20"/>
      <c r="S11" s="81">
        <f>Q11/Q4</f>
        <v>0.0004014152334</v>
      </c>
      <c r="T11" s="82" t="s">
        <v>76</v>
      </c>
      <c r="U11" s="83" t="s">
        <v>77</v>
      </c>
      <c r="W11" s="20"/>
    </row>
    <row r="12">
      <c r="A12" s="87" t="s">
        <v>78</v>
      </c>
      <c r="B12" s="88" t="s">
        <v>79</v>
      </c>
      <c r="C12" s="75">
        <v>1.0</v>
      </c>
      <c r="D12" s="78">
        <v>3.3</v>
      </c>
      <c r="E12" s="77" t="s">
        <v>80</v>
      </c>
      <c r="F12" s="20"/>
      <c r="G12" s="77" t="s">
        <v>81</v>
      </c>
      <c r="H12" s="20"/>
      <c r="I12" s="78">
        <v>25.0</v>
      </c>
      <c r="J12" s="78">
        <v>25.0</v>
      </c>
      <c r="K12" s="78">
        <v>20.0</v>
      </c>
      <c r="L12" s="188">
        <v>20.0</v>
      </c>
      <c r="M12" s="89">
        <v>0.01</v>
      </c>
      <c r="N12" s="77">
        <f>P21-0.01</f>
        <v>0.99</v>
      </c>
      <c r="O12" s="86">
        <f t="shared" si="1"/>
        <v>20.05</v>
      </c>
      <c r="P12" s="20"/>
      <c r="Q12" s="77">
        <f>(O12*D12)+ 1.09 * M12</f>
        <v>66.1759</v>
      </c>
      <c r="R12" s="20"/>
      <c r="S12" s="81">
        <f>Q12/Q4</f>
        <v>0.0006503773956</v>
      </c>
      <c r="T12" s="82" t="s">
        <v>82</v>
      </c>
      <c r="U12" s="83" t="s">
        <v>83</v>
      </c>
      <c r="W12" s="20"/>
    </row>
    <row r="13">
      <c r="A13" s="73" t="s">
        <v>84</v>
      </c>
      <c r="B13" s="90" t="s">
        <v>85</v>
      </c>
      <c r="C13" s="75">
        <v>1.0</v>
      </c>
      <c r="D13" s="78">
        <v>3.3</v>
      </c>
      <c r="E13" s="77" t="s">
        <v>86</v>
      </c>
      <c r="F13" s="20"/>
      <c r="G13" s="77" t="s">
        <v>87</v>
      </c>
      <c r="H13" s="20"/>
      <c r="I13" s="78">
        <v>3.0</v>
      </c>
      <c r="J13" s="78">
        <v>3.0</v>
      </c>
      <c r="K13" s="78">
        <v>0.0</v>
      </c>
      <c r="L13" s="78">
        <v>0.0</v>
      </c>
      <c r="M13" s="79">
        <f>P21</f>
        <v>1</v>
      </c>
      <c r="N13" s="77">
        <v>0.0</v>
      </c>
      <c r="O13" s="86">
        <f t="shared" si="1"/>
        <v>3</v>
      </c>
      <c r="P13" s="20"/>
      <c r="Q13" s="77">
        <f t="shared" ref="Q13:Q16" si="3">(O13*D13)</f>
        <v>9.9</v>
      </c>
      <c r="R13" s="20"/>
      <c r="S13" s="81">
        <f>Q13/Q4</f>
        <v>0.0000972972973</v>
      </c>
      <c r="T13" s="91" t="s">
        <v>88</v>
      </c>
      <c r="U13" s="83" t="s">
        <v>89</v>
      </c>
      <c r="W13" s="20"/>
    </row>
    <row r="14">
      <c r="A14" s="92" t="s">
        <v>90</v>
      </c>
      <c r="B14" s="93" t="s">
        <v>91</v>
      </c>
      <c r="C14" s="94">
        <v>1.0</v>
      </c>
      <c r="D14" s="95">
        <v>3.3</v>
      </c>
      <c r="E14" s="96" t="s">
        <v>92</v>
      </c>
      <c r="F14" s="66"/>
      <c r="G14" s="96" t="s">
        <v>93</v>
      </c>
      <c r="H14" s="66"/>
      <c r="I14" s="95">
        <v>4.0</v>
      </c>
      <c r="J14" s="67">
        <v>4.0</v>
      </c>
      <c r="K14" s="95">
        <v>0.0</v>
      </c>
      <c r="L14" s="95">
        <v>0.0</v>
      </c>
      <c r="M14" s="97">
        <f>P21</f>
        <v>1</v>
      </c>
      <c r="N14" s="96">
        <v>0.0</v>
      </c>
      <c r="O14" s="98">
        <f t="shared" si="1"/>
        <v>4</v>
      </c>
      <c r="P14" s="66"/>
      <c r="Q14" s="96">
        <f t="shared" si="3"/>
        <v>13.2</v>
      </c>
      <c r="R14" s="66"/>
      <c r="S14" s="99">
        <f>Q14/Q4</f>
        <v>0.0001297297297</v>
      </c>
      <c r="T14" s="100" t="s">
        <v>94</v>
      </c>
      <c r="U14" s="101" t="s">
        <v>95</v>
      </c>
      <c r="V14" s="72"/>
      <c r="W14" s="66"/>
    </row>
    <row r="15">
      <c r="A15" s="102" t="s">
        <v>185</v>
      </c>
      <c r="B15" s="103" t="s">
        <v>97</v>
      </c>
      <c r="C15" s="104">
        <v>4.0</v>
      </c>
      <c r="D15" s="105">
        <v>11.1</v>
      </c>
      <c r="E15" s="106" t="s">
        <v>98</v>
      </c>
      <c r="F15" s="20"/>
      <c r="G15" s="106" t="s">
        <v>25</v>
      </c>
      <c r="H15" s="20"/>
      <c r="I15" s="105">
        <v>4086.0</v>
      </c>
      <c r="J15" s="106">
        <v>4086.0</v>
      </c>
      <c r="K15" s="107">
        <v>1787.0</v>
      </c>
      <c r="L15" s="106">
        <v>1787.0</v>
      </c>
      <c r="M15" s="107">
        <f>P21 * P23</f>
        <v>1</v>
      </c>
      <c r="N15" s="105">
        <f>P21 * (1 - P23)</f>
        <v>0</v>
      </c>
      <c r="O15" s="106">
        <f t="shared" ref="O15:O16" si="4">(I15*M15+K15*N15)*C15</f>
        <v>16344</v>
      </c>
      <c r="P15" s="20"/>
      <c r="Q15" s="106">
        <f t="shared" si="3"/>
        <v>181418.4</v>
      </c>
      <c r="R15" s="20"/>
      <c r="S15" s="108">
        <f>Q15/Q4</f>
        <v>1.782981818</v>
      </c>
      <c r="T15" s="109" t="s">
        <v>186</v>
      </c>
      <c r="U15" s="47" t="s">
        <v>100</v>
      </c>
      <c r="W15" s="20"/>
    </row>
    <row r="16">
      <c r="A16" s="110" t="s">
        <v>101</v>
      </c>
      <c r="B16" s="111" t="s">
        <v>102</v>
      </c>
      <c r="C16" s="112">
        <v>4.0</v>
      </c>
      <c r="D16" s="105">
        <v>5.0</v>
      </c>
      <c r="E16" s="113" t="s">
        <v>103</v>
      </c>
      <c r="F16" s="66"/>
      <c r="G16" s="113" t="s">
        <v>25</v>
      </c>
      <c r="H16" s="66"/>
      <c r="I16" s="114">
        <v>350.0</v>
      </c>
      <c r="J16" s="114">
        <v>350.0</v>
      </c>
      <c r="K16" s="114">
        <v>3.0</v>
      </c>
      <c r="L16" s="114">
        <v>1.0</v>
      </c>
      <c r="M16" s="115">
        <f>P21 * P25</f>
        <v>0</v>
      </c>
      <c r="N16" s="114">
        <f>P21*(1-P25)</f>
        <v>1</v>
      </c>
      <c r="O16" s="113">
        <f t="shared" si="4"/>
        <v>12</v>
      </c>
      <c r="P16" s="66"/>
      <c r="Q16" s="113">
        <f t="shared" si="3"/>
        <v>60</v>
      </c>
      <c r="R16" s="66"/>
      <c r="S16" s="116">
        <f>Q16/Q4</f>
        <v>0.0005896805897</v>
      </c>
      <c r="T16" s="117" t="s">
        <v>104</v>
      </c>
      <c r="U16" s="118" t="s">
        <v>105</v>
      </c>
      <c r="V16" s="72"/>
      <c r="W16" s="66"/>
    </row>
    <row r="17">
      <c r="A17" s="119"/>
      <c r="B17" s="120"/>
      <c r="C17" s="121"/>
      <c r="D17" s="122">
        <v>11.1</v>
      </c>
      <c r="I17" s="34" t="s">
        <v>106</v>
      </c>
      <c r="J17" s="123">
        <f>SUM(I5:I16)-SUM(J5:J16)</f>
        <v>742.54</v>
      </c>
      <c r="O17" s="124">
        <f>sum(O5:P16)</f>
        <v>17397.21</v>
      </c>
      <c r="P17" s="6"/>
      <c r="Q17" s="124">
        <f>SUM(Q5:Q16)</f>
        <v>188542.2479</v>
      </c>
      <c r="R17" s="6"/>
    </row>
    <row r="18">
      <c r="A18" s="125"/>
      <c r="C18" s="121"/>
      <c r="D18" s="126" t="s">
        <v>107</v>
      </c>
      <c r="O18" s="127" t="s">
        <v>108</v>
      </c>
      <c r="P18" s="72"/>
      <c r="Q18" s="127" t="s">
        <v>109</v>
      </c>
      <c r="R18" s="66"/>
    </row>
    <row r="19">
      <c r="A19" s="128"/>
      <c r="B19" s="128"/>
      <c r="C19" s="125"/>
      <c r="D19" s="34"/>
    </row>
    <row r="20">
      <c r="A20" s="129" t="s">
        <v>110</v>
      </c>
      <c r="B20" s="130" t="s">
        <v>111</v>
      </c>
      <c r="C20" s="130" t="s">
        <v>112</v>
      </c>
      <c r="D20" s="131" t="s">
        <v>113</v>
      </c>
      <c r="E20" s="131" t="s">
        <v>114</v>
      </c>
      <c r="F20" s="132" t="s">
        <v>115</v>
      </c>
      <c r="G20" s="6"/>
      <c r="H20" s="131" t="s">
        <v>116</v>
      </c>
      <c r="I20" s="131" t="s">
        <v>117</v>
      </c>
      <c r="J20" s="132" t="s">
        <v>19</v>
      </c>
      <c r="K20" s="11"/>
      <c r="L20" s="6"/>
      <c r="M20" s="133"/>
      <c r="N20" s="34"/>
      <c r="P20" s="134" t="s">
        <v>118</v>
      </c>
      <c r="R20" s="135" t="s">
        <v>119</v>
      </c>
      <c r="S20" s="136"/>
      <c r="T20" s="137" t="s">
        <v>120</v>
      </c>
      <c r="U20" s="6"/>
      <c r="V20" s="34"/>
    </row>
    <row r="21">
      <c r="A21" s="138" t="s">
        <v>121</v>
      </c>
      <c r="B21" s="139">
        <v>3.0</v>
      </c>
      <c r="C21" s="140" t="s">
        <v>122</v>
      </c>
      <c r="D21" s="139">
        <v>0.0</v>
      </c>
      <c r="E21" s="139">
        <v>12906.0</v>
      </c>
      <c r="F21" s="140" t="s">
        <v>25</v>
      </c>
      <c r="G21" s="20"/>
      <c r="H21" s="141">
        <f>I21*P21*P23 + (1-P23)*I21*1787/4086</f>
        <v>661</v>
      </c>
      <c r="I21" s="142">
        <v>661.0</v>
      </c>
      <c r="J21" s="143" t="s">
        <v>187</v>
      </c>
      <c r="L21" s="20"/>
      <c r="M21" s="28"/>
      <c r="N21" s="34"/>
      <c r="P21" s="126">
        <v>1.0</v>
      </c>
      <c r="R21" s="144" t="s">
        <v>124</v>
      </c>
      <c r="S21" s="145"/>
      <c r="T21" s="146">
        <f>Q17 + H25</f>
        <v>189945.5336</v>
      </c>
      <c r="U21" s="20"/>
      <c r="V21" s="147"/>
    </row>
    <row r="22">
      <c r="A22" s="138" t="s">
        <v>125</v>
      </c>
      <c r="B22" s="139">
        <v>1.0</v>
      </c>
      <c r="C22" s="140">
        <v>5.0</v>
      </c>
      <c r="D22" s="139">
        <v>6.1</v>
      </c>
      <c r="E22" s="139">
        <v>1400.0</v>
      </c>
      <c r="F22" s="140">
        <v>5000.0</v>
      </c>
      <c r="G22" s="20"/>
      <c r="H22" s="148">
        <f>1235*P25*P21 + 3/350*1235*(1-P25)*P21</f>
        <v>10.58571429</v>
      </c>
      <c r="I22" s="140">
        <v>1235.0</v>
      </c>
      <c r="J22" s="149" t="s">
        <v>126</v>
      </c>
      <c r="L22" s="20"/>
      <c r="M22" s="28"/>
      <c r="N22" s="34"/>
      <c r="P22" s="150" t="s">
        <v>127</v>
      </c>
      <c r="R22" s="144" t="s">
        <v>128</v>
      </c>
      <c r="S22" s="145"/>
      <c r="T22" s="151">
        <v>101750.0</v>
      </c>
      <c r="U22" s="20"/>
      <c r="V22" s="152"/>
    </row>
    <row r="23">
      <c r="A23" s="138" t="s">
        <v>129</v>
      </c>
      <c r="B23" s="139">
        <v>5.0</v>
      </c>
      <c r="C23" s="140">
        <v>3.3</v>
      </c>
      <c r="D23" s="139">
        <v>1.7</v>
      </c>
      <c r="E23" s="139">
        <v>41.0</v>
      </c>
      <c r="F23" s="140">
        <v>800.0</v>
      </c>
      <c r="G23" s="20"/>
      <c r="H23" s="141">
        <f>D23*E23*P21</f>
        <v>69.7</v>
      </c>
      <c r="I23" s="142">
        <v>70.0</v>
      </c>
      <c r="J23" s="149" t="s">
        <v>130</v>
      </c>
      <c r="L23" s="20"/>
      <c r="M23" s="28"/>
      <c r="N23" s="34"/>
      <c r="P23" s="126">
        <v>1.0</v>
      </c>
      <c r="R23" s="144" t="s">
        <v>131</v>
      </c>
      <c r="T23" s="153" t="str">
        <f>If(T21&gt;T22, "Out of Battery", "Not out of Battery")</f>
        <v>Out of Battery</v>
      </c>
      <c r="U23" s="20"/>
      <c r="V23" s="152"/>
    </row>
    <row r="24">
      <c r="A24" s="154" t="s">
        <v>132</v>
      </c>
      <c r="B24" s="155">
        <v>5.0</v>
      </c>
      <c r="C24" s="156">
        <v>5.0</v>
      </c>
      <c r="D24" s="155">
        <v>6.1</v>
      </c>
      <c r="E24" s="156">
        <v>750.0</v>
      </c>
      <c r="F24" s="155">
        <v>5000.0</v>
      </c>
      <c r="G24" s="72"/>
      <c r="H24" s="157">
        <f>I24*P21</f>
        <v>662</v>
      </c>
      <c r="I24" s="155">
        <v>662.0</v>
      </c>
      <c r="J24" s="158" t="s">
        <v>133</v>
      </c>
      <c r="K24" s="72"/>
      <c r="L24" s="66"/>
      <c r="M24" s="28"/>
      <c r="P24" s="150" t="s">
        <v>134</v>
      </c>
      <c r="R24" s="144" t="s">
        <v>135</v>
      </c>
      <c r="T24" s="159">
        <f t="shared" ref="T24:T25" si="5">Q15</f>
        <v>181418.4</v>
      </c>
      <c r="U24" s="20"/>
      <c r="V24" s="160">
        <f>T24/T21</f>
        <v>0.9551074803</v>
      </c>
      <c r="W24" s="20"/>
    </row>
    <row r="25">
      <c r="A25" s="161"/>
      <c r="H25" s="148">
        <f>SUM(H21:H24)</f>
        <v>1403.285714</v>
      </c>
      <c r="I25" s="28"/>
      <c r="J25" s="34"/>
      <c r="P25" s="150">
        <v>0.0</v>
      </c>
      <c r="Q25" s="34"/>
      <c r="R25" s="144" t="s">
        <v>136</v>
      </c>
      <c r="T25" s="159">
        <f t="shared" si="5"/>
        <v>60</v>
      </c>
      <c r="U25" s="20"/>
      <c r="V25" s="160">
        <f>T25/T21</f>
        <v>0.0003158800255</v>
      </c>
      <c r="W25" s="20"/>
    </row>
    <row r="26">
      <c r="H26" s="162" t="s">
        <v>137</v>
      </c>
      <c r="P26" s="163"/>
      <c r="Q26" s="34"/>
      <c r="R26" s="144" t="s">
        <v>138</v>
      </c>
      <c r="T26" s="164">
        <f>SUM(Q5:Q14)</f>
        <v>7063.8479</v>
      </c>
      <c r="U26" s="20"/>
      <c r="V26" s="160">
        <f>T26/T21</f>
        <v>0.03718880758</v>
      </c>
      <c r="W26" s="20"/>
    </row>
    <row r="27">
      <c r="H27" s="163"/>
      <c r="R27" s="144" t="s">
        <v>139</v>
      </c>
      <c r="T27" s="159">
        <f>H25</f>
        <v>1403.285714</v>
      </c>
      <c r="U27" s="20"/>
      <c r="V27" s="160">
        <f>T27/T21</f>
        <v>0.00738783212</v>
      </c>
      <c r="W27" s="20"/>
    </row>
    <row r="29">
      <c r="A29" s="165" t="s">
        <v>140</v>
      </c>
      <c r="B29" s="166"/>
      <c r="C29" s="166"/>
      <c r="D29" s="34" t="s">
        <v>141</v>
      </c>
      <c r="E29" s="34" t="s">
        <v>142</v>
      </c>
      <c r="F29" s="34" t="s">
        <v>143</v>
      </c>
      <c r="G29" s="34" t="s">
        <v>144</v>
      </c>
    </row>
    <row r="30">
      <c r="A30" s="167" t="s">
        <v>145</v>
      </c>
      <c r="B30" s="167" t="s">
        <v>146</v>
      </c>
      <c r="C30" s="167" t="s">
        <v>147</v>
      </c>
      <c r="D30" s="168">
        <v>0.0</v>
      </c>
      <c r="E30" s="152">
        <v>0.0</v>
      </c>
      <c r="F30" s="152">
        <v>0.0</v>
      </c>
      <c r="G30" s="152"/>
    </row>
    <row r="31">
      <c r="A31" s="169" t="s">
        <v>148</v>
      </c>
      <c r="B31" s="170" t="s">
        <v>149</v>
      </c>
      <c r="C31" s="171" t="s">
        <v>150</v>
      </c>
      <c r="D31" s="168">
        <v>0.1</v>
      </c>
      <c r="E31" s="152">
        <v>0.1</v>
      </c>
      <c r="F31" s="152">
        <v>0.1</v>
      </c>
      <c r="G31" s="152"/>
    </row>
    <row r="32">
      <c r="A32" s="172">
        <v>8.9</v>
      </c>
      <c r="B32" s="173">
        <v>12000.0</v>
      </c>
      <c r="C32" s="174">
        <f>2*3.14159*A32/(B32*A34)/B40</f>
        <v>0.02038506197</v>
      </c>
      <c r="D32" s="168">
        <v>0.2</v>
      </c>
      <c r="E32" s="152">
        <v>0.7</v>
      </c>
      <c r="F32" s="152">
        <v>0.7</v>
      </c>
      <c r="G32" s="152"/>
    </row>
    <row r="33">
      <c r="A33" s="171" t="s">
        <v>151</v>
      </c>
      <c r="B33" s="170" t="s">
        <v>152</v>
      </c>
      <c r="C33" s="171" t="s">
        <v>153</v>
      </c>
      <c r="D33" s="168">
        <v>0.3</v>
      </c>
      <c r="E33" s="152">
        <v>2.5</v>
      </c>
      <c r="F33" s="152">
        <v>2.2</v>
      </c>
      <c r="G33" s="152"/>
    </row>
    <row r="34">
      <c r="A34" s="167">
        <v>1.0</v>
      </c>
      <c r="B34" s="175">
        <f>1.84*10^-3</f>
        <v>0.00184</v>
      </c>
      <c r="C34" s="176">
        <f>B34+B36*C32+B38*C32^2</f>
        <v>0.001903661645</v>
      </c>
      <c r="D34" s="168">
        <v>0.4</v>
      </c>
      <c r="E34" s="152">
        <v>5.7</v>
      </c>
      <c r="F34" s="152">
        <v>5.3</v>
      </c>
      <c r="G34" s="152"/>
    </row>
    <row r="35">
      <c r="A35" s="177"/>
      <c r="B35" s="170" t="s">
        <v>154</v>
      </c>
      <c r="C35" s="171" t="s">
        <v>155</v>
      </c>
      <c r="D35" s="168">
        <v>0.5</v>
      </c>
      <c r="E35" s="152">
        <v>11.1</v>
      </c>
      <c r="F35" s="152">
        <v>10.4</v>
      </c>
      <c r="G35" s="152"/>
    </row>
    <row r="36">
      <c r="A36" s="177"/>
      <c r="B36" s="175">
        <f>3.39*10^-3</f>
        <v>0.00339</v>
      </c>
      <c r="C36" s="178">
        <f>B32*A34/9.549</f>
        <v>1256.676092</v>
      </c>
      <c r="D36" s="168">
        <v>0.6</v>
      </c>
      <c r="E36" s="152">
        <v>19.0</v>
      </c>
      <c r="F36" s="152">
        <v>18.0</v>
      </c>
      <c r="G36" s="152" t="s">
        <v>156</v>
      </c>
    </row>
    <row r="37">
      <c r="A37" s="177"/>
      <c r="B37" s="170" t="s">
        <v>157</v>
      </c>
      <c r="C37" s="171" t="s">
        <v>158</v>
      </c>
      <c r="D37" s="168">
        <v>0.7</v>
      </c>
      <c r="E37" s="152">
        <v>29.9</v>
      </c>
      <c r="F37" s="152">
        <v>28.5</v>
      </c>
      <c r="G37" s="152"/>
    </row>
    <row r="38">
      <c r="A38" s="177"/>
      <c r="B38" s="175">
        <f>-1.31*10^-2</f>
        <v>-0.0131</v>
      </c>
      <c r="C38" s="179">
        <f>C36^3*C34*B40^5*B42/4/3.14159/3.14159/0.85</f>
        <v>86.09919842</v>
      </c>
      <c r="D38" s="168">
        <v>0.765</v>
      </c>
      <c r="E38" s="152">
        <v>38.9</v>
      </c>
      <c r="F38" s="152">
        <v>38.0</v>
      </c>
      <c r="G38" s="152" t="s">
        <v>159</v>
      </c>
    </row>
    <row r="39">
      <c r="A39" s="177"/>
      <c r="B39" s="170" t="s">
        <v>160</v>
      </c>
      <c r="C39" s="171" t="s">
        <v>161</v>
      </c>
      <c r="D39" s="168">
        <v>0.8</v>
      </c>
      <c r="E39" s="152">
        <v>44.4</v>
      </c>
      <c r="F39" s="152">
        <v>42.6</v>
      </c>
      <c r="G39" s="152"/>
    </row>
    <row r="40">
      <c r="A40" s="177"/>
      <c r="B40" s="172">
        <v>0.2286</v>
      </c>
      <c r="C40" s="180">
        <f>C38/11.1</f>
        <v>7.756684543</v>
      </c>
      <c r="D40" s="168">
        <v>0.9</v>
      </c>
      <c r="E40" s="152">
        <v>63.0</v>
      </c>
      <c r="F40" s="152">
        <v>60.7</v>
      </c>
      <c r="G40" s="181"/>
    </row>
    <row r="41">
      <c r="A41" s="182"/>
      <c r="B41" s="170" t="s">
        <v>162</v>
      </c>
      <c r="C41" s="171" t="s">
        <v>163</v>
      </c>
      <c r="D41" s="168">
        <v>1.0</v>
      </c>
      <c r="E41" s="152">
        <v>86.1</v>
      </c>
      <c r="F41" s="152">
        <v>83.2</v>
      </c>
      <c r="G41" s="152" t="s">
        <v>164</v>
      </c>
    </row>
    <row r="42">
      <c r="A42" s="182"/>
      <c r="B42" s="172">
        <v>1.225</v>
      </c>
      <c r="C42" s="183">
        <f>A34*B32</f>
        <v>12000</v>
      </c>
    </row>
    <row r="45">
      <c r="A45" s="184" t="s">
        <v>165</v>
      </c>
      <c r="B45" s="184" t="s">
        <v>166</v>
      </c>
      <c r="C45" s="185"/>
      <c r="D45" s="185"/>
      <c r="E45" s="185"/>
    </row>
    <row r="46">
      <c r="A46" s="189" t="s">
        <v>167</v>
      </c>
      <c r="B46" s="190" t="s">
        <v>168</v>
      </c>
      <c r="C46" s="190" t="s">
        <v>169</v>
      </c>
      <c r="D46" s="190" t="s">
        <v>170</v>
      </c>
      <c r="E46" s="191" t="s">
        <v>171</v>
      </c>
    </row>
    <row r="47">
      <c r="A47" s="192">
        <v>0.0</v>
      </c>
      <c r="B47" s="184">
        <v>0.0</v>
      </c>
      <c r="C47" s="184">
        <f t="shared" ref="C47:C57" si="6">B47*9.8/1000</f>
        <v>0</v>
      </c>
      <c r="D47" s="184">
        <v>0.046</v>
      </c>
      <c r="E47" s="193">
        <f t="shared" ref="E47:E57" si="7">11.34 * D47</f>
        <v>0.52164</v>
      </c>
    </row>
    <row r="48">
      <c r="A48" s="192">
        <v>0.05</v>
      </c>
      <c r="B48" s="184">
        <v>0.0</v>
      </c>
      <c r="C48" s="184">
        <f t="shared" si="6"/>
        <v>0</v>
      </c>
      <c r="D48" s="184">
        <v>0.046</v>
      </c>
      <c r="E48" s="193">
        <f t="shared" si="7"/>
        <v>0.52164</v>
      </c>
      <c r="M48" s="34"/>
      <c r="N48" s="34"/>
    </row>
    <row r="49">
      <c r="A49" s="192">
        <v>0.1</v>
      </c>
      <c r="B49" s="184">
        <v>74.0</v>
      </c>
      <c r="C49" s="184">
        <f t="shared" si="6"/>
        <v>0.7252</v>
      </c>
      <c r="D49" s="184">
        <v>0.986</v>
      </c>
      <c r="E49" s="193">
        <f t="shared" si="7"/>
        <v>11.18124</v>
      </c>
      <c r="M49" s="34"/>
      <c r="N49" s="34"/>
    </row>
    <row r="50">
      <c r="A50" s="192">
        <v>0.15</v>
      </c>
      <c r="B50" s="184">
        <v>114.0</v>
      </c>
      <c r="C50" s="184">
        <f t="shared" si="6"/>
        <v>1.1172</v>
      </c>
      <c r="D50" s="184">
        <v>1.61</v>
      </c>
      <c r="E50" s="193">
        <f t="shared" si="7"/>
        <v>18.2574</v>
      </c>
      <c r="M50" s="34"/>
    </row>
    <row r="51">
      <c r="A51" s="192">
        <v>0.16</v>
      </c>
      <c r="B51" s="184">
        <v>125.0</v>
      </c>
      <c r="C51" s="184">
        <f t="shared" si="6"/>
        <v>1.225</v>
      </c>
      <c r="D51" s="184">
        <v>1.75</v>
      </c>
      <c r="E51" s="193">
        <f t="shared" si="7"/>
        <v>19.845</v>
      </c>
      <c r="F51" s="34" t="s">
        <v>172</v>
      </c>
    </row>
    <row r="52">
      <c r="A52" s="192">
        <v>0.17</v>
      </c>
      <c r="B52" s="184">
        <v>131.0</v>
      </c>
      <c r="C52" s="184">
        <f t="shared" si="6"/>
        <v>1.2838</v>
      </c>
      <c r="D52" s="184">
        <v>1.9</v>
      </c>
      <c r="E52" s="193">
        <f t="shared" si="7"/>
        <v>21.546</v>
      </c>
    </row>
    <row r="53">
      <c r="A53" s="192">
        <v>0.2</v>
      </c>
      <c r="B53" s="184">
        <v>158.0</v>
      </c>
      <c r="C53" s="184">
        <f t="shared" si="6"/>
        <v>1.5484</v>
      </c>
      <c r="D53" s="184">
        <v>2.37</v>
      </c>
      <c r="E53" s="193">
        <f t="shared" si="7"/>
        <v>26.8758</v>
      </c>
    </row>
    <row r="54">
      <c r="A54" s="192">
        <v>0.25</v>
      </c>
      <c r="B54" s="184">
        <v>215.0</v>
      </c>
      <c r="C54" s="184">
        <f t="shared" si="6"/>
        <v>2.107</v>
      </c>
      <c r="D54" s="184">
        <v>3.23</v>
      </c>
      <c r="E54" s="193">
        <f t="shared" si="7"/>
        <v>36.6282</v>
      </c>
    </row>
    <row r="55">
      <c r="A55" s="192">
        <v>0.28</v>
      </c>
      <c r="B55" s="184">
        <v>250.0</v>
      </c>
      <c r="C55" s="184">
        <f t="shared" si="6"/>
        <v>2.45</v>
      </c>
      <c r="D55" s="184">
        <v>4.0</v>
      </c>
      <c r="E55" s="193">
        <f t="shared" si="7"/>
        <v>45.36</v>
      </c>
      <c r="F55" s="34"/>
    </row>
    <row r="56">
      <c r="A56" s="192">
        <v>0.29</v>
      </c>
      <c r="B56" s="184">
        <v>257.0</v>
      </c>
      <c r="C56" s="184">
        <f t="shared" si="6"/>
        <v>2.5186</v>
      </c>
      <c r="D56" s="184">
        <v>4.25</v>
      </c>
      <c r="E56" s="193">
        <f t="shared" si="7"/>
        <v>48.195</v>
      </c>
      <c r="F56" s="34" t="s">
        <v>173</v>
      </c>
    </row>
    <row r="57">
      <c r="A57" s="194">
        <v>0.3</v>
      </c>
      <c r="B57" s="195">
        <v>266.0</v>
      </c>
      <c r="C57" s="195">
        <f t="shared" si="6"/>
        <v>2.6068</v>
      </c>
      <c r="D57" s="195">
        <v>4.44</v>
      </c>
      <c r="E57" s="196">
        <f t="shared" si="7"/>
        <v>50.3496</v>
      </c>
    </row>
    <row r="58">
      <c r="A58" s="187"/>
      <c r="B58" s="34"/>
      <c r="C58" s="34"/>
      <c r="D58" s="34"/>
    </row>
    <row r="59">
      <c r="A59" s="187"/>
      <c r="B59" s="34"/>
      <c r="C59" s="34"/>
      <c r="D59" s="34"/>
    </row>
    <row r="60">
      <c r="A60" s="187"/>
      <c r="B60" s="34"/>
      <c r="C60" s="34"/>
      <c r="D60" s="34"/>
    </row>
    <row r="61">
      <c r="A61" s="187"/>
      <c r="B61" s="34"/>
      <c r="C61" s="34"/>
      <c r="D61" s="34"/>
    </row>
    <row r="62">
      <c r="A62" s="187"/>
      <c r="B62" s="34"/>
      <c r="C62" s="34"/>
      <c r="D62" s="34"/>
    </row>
    <row r="63">
      <c r="A63" s="187"/>
      <c r="B63" s="34"/>
      <c r="C63" s="34"/>
      <c r="D63" s="34"/>
    </row>
    <row r="64">
      <c r="A64" s="187"/>
      <c r="B64" s="34"/>
      <c r="C64" s="34"/>
      <c r="D64" s="34"/>
    </row>
    <row r="65">
      <c r="A65" s="187"/>
      <c r="B65" s="34"/>
      <c r="C65" s="34"/>
      <c r="D65" s="34"/>
    </row>
    <row r="66">
      <c r="A66" s="187"/>
      <c r="B66" s="34"/>
      <c r="C66" s="34"/>
      <c r="D66" s="34"/>
    </row>
    <row r="67">
      <c r="A67" s="187"/>
      <c r="B67" s="34"/>
      <c r="C67" s="34"/>
      <c r="D67" s="34"/>
    </row>
    <row r="68">
      <c r="A68" s="187"/>
      <c r="B68" s="34"/>
      <c r="C68" s="34"/>
      <c r="D68" s="34"/>
    </row>
    <row r="69">
      <c r="A69" s="187"/>
      <c r="B69" s="34"/>
      <c r="C69" s="34"/>
      <c r="D69" s="34"/>
    </row>
  </sheetData>
  <mergeCells count="118">
    <mergeCell ref="O4:P4"/>
    <mergeCell ref="Q4:R4"/>
    <mergeCell ref="O5:P5"/>
    <mergeCell ref="Q5:R5"/>
    <mergeCell ref="O6:P6"/>
    <mergeCell ref="Q6:R6"/>
    <mergeCell ref="Q7:R7"/>
    <mergeCell ref="O7:P7"/>
    <mergeCell ref="O8:P8"/>
    <mergeCell ref="O9:P9"/>
    <mergeCell ref="O11:P11"/>
    <mergeCell ref="Q11:R11"/>
    <mergeCell ref="O12:P12"/>
    <mergeCell ref="Q12:R12"/>
    <mergeCell ref="O16:P16"/>
    <mergeCell ref="O17:P17"/>
    <mergeCell ref="O18:P18"/>
    <mergeCell ref="M50:P61"/>
    <mergeCell ref="O13:P13"/>
    <mergeCell ref="Q13:R13"/>
    <mergeCell ref="O14:P14"/>
    <mergeCell ref="Q14:R14"/>
    <mergeCell ref="O15:P15"/>
    <mergeCell ref="Q15:R15"/>
    <mergeCell ref="Q16:R16"/>
    <mergeCell ref="Q17:R17"/>
    <mergeCell ref="Q18:R18"/>
    <mergeCell ref="T20:U20"/>
    <mergeCell ref="V20:W20"/>
    <mergeCell ref="T21:U21"/>
    <mergeCell ref="V21:W21"/>
    <mergeCell ref="V22:W22"/>
    <mergeCell ref="T22:U22"/>
    <mergeCell ref="R23:S23"/>
    <mergeCell ref="T23:U23"/>
    <mergeCell ref="V23:W23"/>
    <mergeCell ref="R24:S24"/>
    <mergeCell ref="T24:U24"/>
    <mergeCell ref="V24:W24"/>
    <mergeCell ref="T27:U27"/>
    <mergeCell ref="V27:W27"/>
    <mergeCell ref="R25:S25"/>
    <mergeCell ref="T25:U25"/>
    <mergeCell ref="V25:W25"/>
    <mergeCell ref="R26:S26"/>
    <mergeCell ref="T26:U26"/>
    <mergeCell ref="V26:W26"/>
    <mergeCell ref="R27:S27"/>
    <mergeCell ref="E5:F5"/>
    <mergeCell ref="G5:H5"/>
    <mergeCell ref="E6:F6"/>
    <mergeCell ref="G6:H6"/>
    <mergeCell ref="E7:F7"/>
    <mergeCell ref="G7:H7"/>
    <mergeCell ref="G8:H8"/>
    <mergeCell ref="E8:F8"/>
    <mergeCell ref="E9:F9"/>
    <mergeCell ref="E10:F10"/>
    <mergeCell ref="E11:F11"/>
    <mergeCell ref="G11:H11"/>
    <mergeCell ref="E12:F12"/>
    <mergeCell ref="G12:H12"/>
    <mergeCell ref="E13:F13"/>
    <mergeCell ref="G13:H13"/>
    <mergeCell ref="E14:F14"/>
    <mergeCell ref="G14:H14"/>
    <mergeCell ref="E15:F15"/>
    <mergeCell ref="G15:H15"/>
    <mergeCell ref="E16:F16"/>
    <mergeCell ref="J22:L22"/>
    <mergeCell ref="J23:L23"/>
    <mergeCell ref="F24:G24"/>
    <mergeCell ref="J24:L24"/>
    <mergeCell ref="G16:H16"/>
    <mergeCell ref="F20:G20"/>
    <mergeCell ref="J20:L20"/>
    <mergeCell ref="F21:G21"/>
    <mergeCell ref="J21:L21"/>
    <mergeCell ref="F22:G22"/>
    <mergeCell ref="F23:G23"/>
    <mergeCell ref="U2:W2"/>
    <mergeCell ref="X2:Y2"/>
    <mergeCell ref="E1:F1"/>
    <mergeCell ref="G1:H1"/>
    <mergeCell ref="M1:N1"/>
    <mergeCell ref="E2:F2"/>
    <mergeCell ref="G2:H2"/>
    <mergeCell ref="O2:P2"/>
    <mergeCell ref="Q2:R2"/>
    <mergeCell ref="E3:F3"/>
    <mergeCell ref="G3:H3"/>
    <mergeCell ref="O3:P3"/>
    <mergeCell ref="Q3:R3"/>
    <mergeCell ref="U3:W3"/>
    <mergeCell ref="X3:Y3"/>
    <mergeCell ref="G4:H4"/>
    <mergeCell ref="Q8:R8"/>
    <mergeCell ref="Q9:R9"/>
    <mergeCell ref="O10:P10"/>
    <mergeCell ref="Q10:R10"/>
    <mergeCell ref="U4:W4"/>
    <mergeCell ref="X4:Y4"/>
    <mergeCell ref="U5:W5"/>
    <mergeCell ref="X5:Y5"/>
    <mergeCell ref="U6:W6"/>
    <mergeCell ref="X6:Y6"/>
    <mergeCell ref="U7:W7"/>
    <mergeCell ref="G9:H9"/>
    <mergeCell ref="G10:H10"/>
    <mergeCell ref="U15:W15"/>
    <mergeCell ref="U16:W16"/>
    <mergeCell ref="U8:W8"/>
    <mergeCell ref="U9:W9"/>
    <mergeCell ref="U10:W10"/>
    <mergeCell ref="U11:W11"/>
    <mergeCell ref="U12:W12"/>
    <mergeCell ref="U13:W13"/>
    <mergeCell ref="U14:W14"/>
  </mergeCells>
  <hyperlinks>
    <hyperlink r:id="rId2" ref="T3"/>
    <hyperlink r:id="rId3" ref="T4"/>
    <hyperlink r:id="rId4" ref="T5"/>
    <hyperlink r:id="rId5" ref="T6"/>
    <hyperlink r:id="rId6" ref="T7"/>
    <hyperlink r:id="rId7" ref="T8"/>
    <hyperlink r:id="rId8" ref="T9"/>
    <hyperlink r:id="rId9" ref="T10"/>
    <hyperlink r:id="rId10" ref="T11"/>
    <hyperlink r:id="rId11" ref="T12"/>
    <hyperlink r:id="rId12" ref="T13"/>
    <hyperlink r:id="rId13" ref="T14"/>
    <hyperlink r:id="rId14" ref="T15"/>
    <hyperlink r:id="rId15" location="rpdCntId" ref="T16"/>
  </hyperlinks>
  <printOptions gridLines="1" horizontalCentered="1"/>
  <pageMargins bottom="0.75" footer="0.0" header="0.0" left="0.7" right="0.7" top="0.75"/>
  <pageSetup fitToHeight="0" cellComments="atEnd" orientation="portrait" pageOrder="overThenDown"/>
  <drawing r:id="rId16"/>
  <legacyDrawing r:id="rId1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3.75"/>
    <col customWidth="1" min="2" max="2" width="17.25"/>
    <col customWidth="1" min="4" max="4" width="14.63"/>
    <col customWidth="1" min="7" max="7" width="15.38"/>
    <col customWidth="1" min="8" max="8" width="17.13"/>
    <col customWidth="1" min="14" max="14" width="13.63"/>
    <col customWidth="1" min="21" max="21" width="17.63"/>
    <col customWidth="1" min="23" max="23" width="13.38"/>
  </cols>
  <sheetData>
    <row r="1">
      <c r="A1" s="34" t="s">
        <v>188</v>
      </c>
      <c r="B1" s="2"/>
      <c r="C1" s="3"/>
      <c r="I1" s="4" t="s">
        <v>1</v>
      </c>
      <c r="J1" s="5"/>
      <c r="K1" s="4" t="s">
        <v>2</v>
      </c>
      <c r="L1" s="6"/>
    </row>
    <row r="2">
      <c r="A2" s="7" t="s">
        <v>3</v>
      </c>
      <c r="B2" s="8" t="s">
        <v>4</v>
      </c>
      <c r="C2" s="8" t="s">
        <v>5</v>
      </c>
      <c r="D2" s="9" t="s">
        <v>6</v>
      </c>
      <c r="E2" s="4" t="s">
        <v>7</v>
      </c>
      <c r="F2" s="6"/>
      <c r="G2" s="4" t="s">
        <v>8</v>
      </c>
      <c r="H2" s="6"/>
      <c r="I2" s="9" t="s">
        <v>13</v>
      </c>
      <c r="J2" s="9" t="s">
        <v>14</v>
      </c>
      <c r="K2" s="9" t="s">
        <v>13</v>
      </c>
      <c r="L2" s="9" t="s">
        <v>14</v>
      </c>
      <c r="M2" s="4" t="s">
        <v>15</v>
      </c>
      <c r="N2" s="6"/>
      <c r="O2" s="4" t="s">
        <v>16</v>
      </c>
      <c r="P2" s="6"/>
      <c r="Q2" s="9" t="s">
        <v>17</v>
      </c>
      <c r="R2" s="10" t="s">
        <v>18</v>
      </c>
      <c r="S2" s="4" t="s">
        <v>19</v>
      </c>
      <c r="T2" s="11"/>
      <c r="U2" s="6"/>
      <c r="V2" s="12" t="s">
        <v>20</v>
      </c>
      <c r="W2" s="13"/>
      <c r="X2" s="14" t="s">
        <v>21</v>
      </c>
    </row>
    <row r="3">
      <c r="A3" s="15" t="s">
        <v>22</v>
      </c>
      <c r="B3" s="16" t="s">
        <v>23</v>
      </c>
      <c r="C3" s="17">
        <v>1.0</v>
      </c>
      <c r="D3" s="18">
        <v>11.1</v>
      </c>
      <c r="E3" s="19" t="s">
        <v>24</v>
      </c>
      <c r="F3" s="20"/>
      <c r="G3" s="21" t="s">
        <v>25</v>
      </c>
      <c r="H3" s="20"/>
      <c r="I3" s="22" t="s">
        <v>189</v>
      </c>
      <c r="J3" s="23"/>
      <c r="K3" s="23"/>
      <c r="L3" s="23"/>
      <c r="M3" s="21"/>
      <c r="N3" s="20"/>
      <c r="O3" s="19" t="s">
        <v>27</v>
      </c>
      <c r="P3" s="20"/>
      <c r="Q3" s="24"/>
      <c r="R3" s="25" t="s">
        <v>28</v>
      </c>
      <c r="S3" s="26" t="s">
        <v>29</v>
      </c>
      <c r="T3" s="27"/>
      <c r="U3" s="13"/>
      <c r="V3" s="28" t="s">
        <v>190</v>
      </c>
      <c r="W3" s="20"/>
      <c r="X3" s="29" t="s">
        <v>31</v>
      </c>
    </row>
    <row r="4">
      <c r="A4" s="15" t="s">
        <v>32</v>
      </c>
      <c r="B4" s="16" t="s">
        <v>33</v>
      </c>
      <c r="C4" s="17">
        <v>1.0</v>
      </c>
      <c r="D4" s="18">
        <v>11.1</v>
      </c>
      <c r="E4" s="30"/>
      <c r="F4" s="30"/>
      <c r="G4" s="19" t="s">
        <v>34</v>
      </c>
      <c r="H4" s="20"/>
      <c r="I4" s="23"/>
      <c r="J4" s="23"/>
      <c r="K4" s="23"/>
      <c r="L4" s="23"/>
      <c r="M4" s="19">
        <v>-9166.66</v>
      </c>
      <c r="N4" s="20"/>
      <c r="O4" s="19">
        <v>-101750.0</v>
      </c>
      <c r="P4" s="20"/>
      <c r="Q4" s="31">
        <f>O4/O18</f>
        <v>-0.6198979067</v>
      </c>
      <c r="R4" s="32" t="s">
        <v>35</v>
      </c>
      <c r="S4" s="33" t="s">
        <v>36</v>
      </c>
      <c r="U4" s="20"/>
      <c r="V4" s="34" t="s">
        <v>191</v>
      </c>
      <c r="W4" s="20"/>
      <c r="X4" s="35" t="s">
        <v>37</v>
      </c>
    </row>
    <row r="5">
      <c r="A5" s="36" t="s">
        <v>38</v>
      </c>
      <c r="B5" s="37" t="s">
        <v>39</v>
      </c>
      <c r="C5" s="38">
        <v>1.0</v>
      </c>
      <c r="D5" s="39">
        <v>5.0</v>
      </c>
      <c r="E5" s="40" t="s">
        <v>40</v>
      </c>
      <c r="F5" s="13"/>
      <c r="G5" s="39" t="s">
        <v>41</v>
      </c>
      <c r="H5" s="27"/>
      <c r="I5" s="40">
        <v>75.0</v>
      </c>
      <c r="J5" s="38">
        <v>0.0</v>
      </c>
      <c r="K5" s="41">
        <f>N22</f>
        <v>1</v>
      </c>
      <c r="L5" s="38">
        <v>0.0</v>
      </c>
      <c r="M5" s="43">
        <f t="shared" ref="M5:M17" si="1">(I5*K5+J5*L5)*C5</f>
        <v>75</v>
      </c>
      <c r="N5" s="13"/>
      <c r="O5" s="43">
        <f t="shared" ref="O5:O10" si="2">(M5*D5)</f>
        <v>375</v>
      </c>
      <c r="P5" s="13"/>
      <c r="Q5" s="44">
        <f>O5/O18</f>
        <v>0.00228463602</v>
      </c>
      <c r="R5" s="45" t="s">
        <v>42</v>
      </c>
      <c r="S5" s="46" t="s">
        <v>192</v>
      </c>
      <c r="T5" s="27"/>
      <c r="U5" s="13"/>
      <c r="V5" s="34" t="s">
        <v>193</v>
      </c>
      <c r="W5" s="20"/>
      <c r="X5" s="47" t="s">
        <v>44</v>
      </c>
    </row>
    <row r="6">
      <c r="A6" s="48" t="s">
        <v>45</v>
      </c>
      <c r="B6" s="49" t="s">
        <v>46</v>
      </c>
      <c r="C6" s="50">
        <v>1.0</v>
      </c>
      <c r="D6" s="51">
        <v>5.0</v>
      </c>
      <c r="E6" s="42" t="s">
        <v>47</v>
      </c>
      <c r="F6" s="20"/>
      <c r="G6" s="42" t="s">
        <v>25</v>
      </c>
      <c r="H6" s="20"/>
      <c r="I6" s="51">
        <v>2500.0</v>
      </c>
      <c r="J6" s="51">
        <v>0.0</v>
      </c>
      <c r="K6" s="52">
        <f>N22</f>
        <v>1</v>
      </c>
      <c r="L6" s="51">
        <v>0.0</v>
      </c>
      <c r="M6" s="42">
        <f t="shared" si="1"/>
        <v>2500</v>
      </c>
      <c r="N6" s="20"/>
      <c r="O6" s="42">
        <f t="shared" si="2"/>
        <v>12500</v>
      </c>
      <c r="P6" s="20"/>
      <c r="Q6" s="53">
        <f>O6/O18</f>
        <v>0.07615453399</v>
      </c>
      <c r="R6" s="54" t="s">
        <v>48</v>
      </c>
      <c r="S6" s="55" t="s">
        <v>194</v>
      </c>
      <c r="U6" s="20"/>
      <c r="V6" s="34" t="s">
        <v>195</v>
      </c>
      <c r="W6" s="20"/>
      <c r="X6" s="34"/>
    </row>
    <row r="7">
      <c r="A7" s="56" t="s">
        <v>50</v>
      </c>
      <c r="B7" s="49" t="s">
        <v>51</v>
      </c>
      <c r="C7" s="50">
        <v>1.0</v>
      </c>
      <c r="D7" s="51">
        <v>11.1</v>
      </c>
      <c r="E7" s="42" t="s">
        <v>52</v>
      </c>
      <c r="F7" s="20"/>
      <c r="G7" s="42" t="s">
        <v>53</v>
      </c>
      <c r="H7" s="20"/>
      <c r="I7" s="51">
        <v>730.0</v>
      </c>
      <c r="J7" s="51">
        <v>0.0</v>
      </c>
      <c r="K7" s="57">
        <f>N22</f>
        <v>1</v>
      </c>
      <c r="L7" s="51">
        <v>0.0</v>
      </c>
      <c r="M7" s="42">
        <f t="shared" si="1"/>
        <v>730</v>
      </c>
      <c r="N7" s="20"/>
      <c r="O7" s="42">
        <f t="shared" si="2"/>
        <v>8103</v>
      </c>
      <c r="P7" s="20"/>
      <c r="Q7" s="53">
        <f>O7/O18</f>
        <v>0.04936641511</v>
      </c>
      <c r="R7" s="58" t="s">
        <v>54</v>
      </c>
      <c r="S7" s="29" t="s">
        <v>196</v>
      </c>
      <c r="U7" s="20"/>
      <c r="V7" s="34" t="s">
        <v>197</v>
      </c>
    </row>
    <row r="8">
      <c r="A8" s="59" t="s">
        <v>56</v>
      </c>
      <c r="B8" s="49" t="s">
        <v>57</v>
      </c>
      <c r="C8" s="50">
        <v>1.0</v>
      </c>
      <c r="D8" s="51">
        <v>5.0</v>
      </c>
      <c r="E8" s="42" t="s">
        <v>58</v>
      </c>
      <c r="F8" s="20"/>
      <c r="G8" s="42" t="s">
        <v>25</v>
      </c>
      <c r="H8" s="20"/>
      <c r="I8" s="51">
        <v>20.0</v>
      </c>
      <c r="J8" s="51">
        <v>0.0</v>
      </c>
      <c r="K8" s="57">
        <f>N22</f>
        <v>1</v>
      </c>
      <c r="L8" s="51">
        <v>0.0</v>
      </c>
      <c r="M8" s="42">
        <f t="shared" si="1"/>
        <v>20</v>
      </c>
      <c r="N8" s="20"/>
      <c r="O8" s="42">
        <f t="shared" si="2"/>
        <v>100</v>
      </c>
      <c r="P8" s="20"/>
      <c r="Q8" s="53">
        <f>O8/O18</f>
        <v>0.0006092362719</v>
      </c>
      <c r="R8" s="60" t="s">
        <v>59</v>
      </c>
      <c r="S8" s="29" t="s">
        <v>198</v>
      </c>
      <c r="U8" s="20"/>
      <c r="V8" s="34"/>
    </row>
    <row r="9">
      <c r="A9" s="61" t="s">
        <v>61</v>
      </c>
      <c r="B9" s="62" t="s">
        <v>62</v>
      </c>
      <c r="C9" s="63">
        <v>1.0</v>
      </c>
      <c r="D9" s="64">
        <v>5.0</v>
      </c>
      <c r="E9" s="65" t="s">
        <v>63</v>
      </c>
      <c r="F9" s="66"/>
      <c r="G9" s="65" t="s">
        <v>25</v>
      </c>
      <c r="H9" s="66"/>
      <c r="I9" s="64">
        <v>100.0</v>
      </c>
      <c r="J9" s="64">
        <v>0.0</v>
      </c>
      <c r="K9" s="68">
        <f>N22</f>
        <v>1</v>
      </c>
      <c r="L9" s="64">
        <v>0.0</v>
      </c>
      <c r="M9" s="65">
        <f t="shared" si="1"/>
        <v>100</v>
      </c>
      <c r="N9" s="66"/>
      <c r="O9" s="65">
        <f t="shared" si="2"/>
        <v>500</v>
      </c>
      <c r="P9" s="66"/>
      <c r="Q9" s="69">
        <f>O9/O18</f>
        <v>0.00304618136</v>
      </c>
      <c r="R9" s="70" t="s">
        <v>64</v>
      </c>
      <c r="S9" s="71" t="s">
        <v>65</v>
      </c>
      <c r="T9" s="72"/>
      <c r="U9" s="66"/>
    </row>
    <row r="10">
      <c r="A10" s="73" t="s">
        <v>66</v>
      </c>
      <c r="B10" s="74" t="s">
        <v>67</v>
      </c>
      <c r="C10" s="75">
        <v>1.0</v>
      </c>
      <c r="D10" s="76">
        <v>3.3</v>
      </c>
      <c r="E10" s="77" t="s">
        <v>68</v>
      </c>
      <c r="F10" s="20"/>
      <c r="G10" s="77" t="s">
        <v>69</v>
      </c>
      <c r="H10" s="20"/>
      <c r="I10" s="78">
        <v>0.265</v>
      </c>
      <c r="J10" s="78">
        <v>0.0</v>
      </c>
      <c r="K10" s="79">
        <f>N22</f>
        <v>1</v>
      </c>
      <c r="L10" s="78">
        <v>0.0</v>
      </c>
      <c r="M10" s="77">
        <f t="shared" si="1"/>
        <v>0.265</v>
      </c>
      <c r="N10" s="20"/>
      <c r="O10" s="77">
        <f t="shared" si="2"/>
        <v>0.8745</v>
      </c>
      <c r="P10" s="20"/>
      <c r="Q10" s="81">
        <f>O10/O18</f>
        <v>0.000005327771198</v>
      </c>
      <c r="R10" s="82" t="s">
        <v>70</v>
      </c>
      <c r="S10" s="83" t="s">
        <v>71</v>
      </c>
      <c r="U10" s="20"/>
    </row>
    <row r="11">
      <c r="A11" s="73" t="s">
        <v>72</v>
      </c>
      <c r="B11" s="84" t="s">
        <v>73</v>
      </c>
      <c r="C11" s="85">
        <v>4.0</v>
      </c>
      <c r="D11" s="78">
        <v>5.0</v>
      </c>
      <c r="E11" s="77" t="s">
        <v>74</v>
      </c>
      <c r="F11" s="20"/>
      <c r="G11" s="77" t="s">
        <v>75</v>
      </c>
      <c r="H11" s="20"/>
      <c r="I11" s="78">
        <v>15.0</v>
      </c>
      <c r="J11" s="78">
        <v>0.0</v>
      </c>
      <c r="K11" s="79">
        <f>N22</f>
        <v>1</v>
      </c>
      <c r="L11" s="78">
        <v>0.0</v>
      </c>
      <c r="M11" s="77">
        <f t="shared" si="1"/>
        <v>60</v>
      </c>
      <c r="N11" s="20"/>
      <c r="O11" s="77">
        <f>(M11*D11) + 0.844 * K11</f>
        <v>300.844</v>
      </c>
      <c r="P11" s="20"/>
      <c r="Q11" s="81">
        <f>O11/O18</f>
        <v>0.00183285077</v>
      </c>
      <c r="R11" s="82" t="s">
        <v>76</v>
      </c>
      <c r="S11" s="83" t="s">
        <v>77</v>
      </c>
      <c r="U11" s="20"/>
    </row>
    <row r="12">
      <c r="A12" s="87" t="s">
        <v>78</v>
      </c>
      <c r="B12" s="88" t="s">
        <v>79</v>
      </c>
      <c r="C12" s="75">
        <v>1.0</v>
      </c>
      <c r="D12" s="78">
        <v>3.3</v>
      </c>
      <c r="E12" s="77" t="s">
        <v>80</v>
      </c>
      <c r="F12" s="20"/>
      <c r="G12" s="77" t="s">
        <v>81</v>
      </c>
      <c r="H12" s="20"/>
      <c r="I12" s="78">
        <v>20.0</v>
      </c>
      <c r="J12" s="78">
        <v>25.0</v>
      </c>
      <c r="K12" s="89">
        <f>N22 - 0.01</f>
        <v>0.99</v>
      </c>
      <c r="L12" s="78">
        <v>0.01</v>
      </c>
      <c r="M12" s="77">
        <f t="shared" si="1"/>
        <v>20.05</v>
      </c>
      <c r="N12" s="20"/>
      <c r="O12" s="77">
        <f>(M12*D12)+ 1.09 * K12</f>
        <v>67.2441</v>
      </c>
      <c r="P12" s="20"/>
      <c r="Q12" s="81">
        <f>O12/O18</f>
        <v>0.0004096754479</v>
      </c>
      <c r="R12" s="82" t="s">
        <v>82</v>
      </c>
      <c r="S12" s="83" t="s">
        <v>199</v>
      </c>
      <c r="U12" s="20"/>
    </row>
    <row r="13">
      <c r="A13" s="197" t="s">
        <v>200</v>
      </c>
      <c r="B13" s="198" t="s">
        <v>201</v>
      </c>
      <c r="C13" s="75">
        <v>1.0</v>
      </c>
      <c r="D13" s="78">
        <v>3.3</v>
      </c>
      <c r="E13" s="77" t="s">
        <v>202</v>
      </c>
      <c r="F13" s="20"/>
      <c r="G13" s="77" t="s">
        <v>25</v>
      </c>
      <c r="H13" s="20"/>
      <c r="I13" s="78">
        <v>8.6</v>
      </c>
      <c r="J13" s="78">
        <v>0.0</v>
      </c>
      <c r="K13" s="79">
        <f>N22</f>
        <v>1</v>
      </c>
      <c r="L13" s="78">
        <v>0.0</v>
      </c>
      <c r="M13" s="77">
        <f t="shared" si="1"/>
        <v>8.6</v>
      </c>
      <c r="N13" s="20"/>
      <c r="O13" s="77">
        <f t="shared" ref="O13:O17" si="3">(M13*D13)</f>
        <v>28.38</v>
      </c>
      <c r="P13" s="20"/>
      <c r="Q13" s="81">
        <f>O13/O18</f>
        <v>0.000172901254</v>
      </c>
      <c r="R13" s="199" t="s">
        <v>203</v>
      </c>
      <c r="S13" s="83" t="s">
        <v>204</v>
      </c>
      <c r="U13" s="20"/>
      <c r="V13" s="34"/>
      <c r="W13" s="34"/>
    </row>
    <row r="14">
      <c r="A14" s="73" t="s">
        <v>84</v>
      </c>
      <c r="B14" s="90" t="s">
        <v>85</v>
      </c>
      <c r="C14" s="75">
        <v>1.0</v>
      </c>
      <c r="D14" s="78">
        <v>3.3</v>
      </c>
      <c r="E14" s="77" t="s">
        <v>86</v>
      </c>
      <c r="F14" s="20"/>
      <c r="G14" s="77" t="s">
        <v>87</v>
      </c>
      <c r="H14" s="20"/>
      <c r="I14" s="78">
        <v>0.3</v>
      </c>
      <c r="J14" s="78">
        <v>0.0</v>
      </c>
      <c r="K14" s="79">
        <f>N22</f>
        <v>1</v>
      </c>
      <c r="L14" s="78">
        <v>0.0</v>
      </c>
      <c r="M14" s="77">
        <f t="shared" si="1"/>
        <v>0.3</v>
      </c>
      <c r="N14" s="20"/>
      <c r="O14" s="77">
        <f t="shared" si="3"/>
        <v>0.99</v>
      </c>
      <c r="P14" s="20"/>
      <c r="Q14" s="81">
        <f>O14/O18</f>
        <v>0.000006031439092</v>
      </c>
      <c r="R14" s="91" t="s">
        <v>88</v>
      </c>
      <c r="S14" s="83" t="s">
        <v>89</v>
      </c>
      <c r="U14" s="20"/>
    </row>
    <row r="15">
      <c r="A15" s="92" t="s">
        <v>90</v>
      </c>
      <c r="B15" s="93" t="s">
        <v>91</v>
      </c>
      <c r="C15" s="94">
        <v>1.0</v>
      </c>
      <c r="D15" s="95">
        <v>3.3</v>
      </c>
      <c r="E15" s="96" t="s">
        <v>92</v>
      </c>
      <c r="F15" s="66"/>
      <c r="G15" s="96" t="s">
        <v>93</v>
      </c>
      <c r="H15" s="66"/>
      <c r="I15" s="95">
        <v>3.03</v>
      </c>
      <c r="J15" s="95">
        <v>0.0</v>
      </c>
      <c r="K15" s="97">
        <f>N22</f>
        <v>1</v>
      </c>
      <c r="L15" s="95">
        <v>0.0</v>
      </c>
      <c r="M15" s="96">
        <f t="shared" si="1"/>
        <v>3.03</v>
      </c>
      <c r="N15" s="66"/>
      <c r="O15" s="96">
        <f t="shared" si="3"/>
        <v>9.999</v>
      </c>
      <c r="P15" s="66"/>
      <c r="Q15" s="99">
        <f>O15/O18</f>
        <v>0.00006091753483</v>
      </c>
      <c r="R15" s="100" t="s">
        <v>94</v>
      </c>
      <c r="S15" s="101" t="s">
        <v>205</v>
      </c>
      <c r="T15" s="72"/>
      <c r="U15" s="66"/>
    </row>
    <row r="16">
      <c r="A16" s="102" t="s">
        <v>206</v>
      </c>
      <c r="B16" s="103" t="s">
        <v>97</v>
      </c>
      <c r="C16" s="104">
        <v>4.0</v>
      </c>
      <c r="D16" s="105">
        <v>11.1</v>
      </c>
      <c r="E16" s="106" t="s">
        <v>98</v>
      </c>
      <c r="F16" s="20"/>
      <c r="G16" s="106" t="s">
        <v>25</v>
      </c>
      <c r="H16" s="20"/>
      <c r="I16" s="105">
        <v>3044.0</v>
      </c>
      <c r="J16" s="106">
        <v>1144.0</v>
      </c>
      <c r="K16" s="107">
        <f>N22 * N24</f>
        <v>1</v>
      </c>
      <c r="L16" s="105">
        <f>N22 * (1 - N24)</f>
        <v>0</v>
      </c>
      <c r="M16" s="106">
        <f t="shared" si="1"/>
        <v>12176</v>
      </c>
      <c r="N16" s="20"/>
      <c r="O16" s="106">
        <f t="shared" si="3"/>
        <v>135153.6</v>
      </c>
      <c r="P16" s="20"/>
      <c r="Q16" s="108">
        <f>O16/O18</f>
        <v>0.823404754</v>
      </c>
      <c r="R16" s="109" t="s">
        <v>99</v>
      </c>
      <c r="S16" s="47" t="s">
        <v>100</v>
      </c>
      <c r="U16" s="20"/>
      <c r="V16" s="34" t="s">
        <v>207</v>
      </c>
    </row>
    <row r="17">
      <c r="A17" s="110" t="s">
        <v>101</v>
      </c>
      <c r="B17" s="111" t="s">
        <v>102</v>
      </c>
      <c r="C17" s="112">
        <v>4.0</v>
      </c>
      <c r="D17" s="105">
        <v>5.0</v>
      </c>
      <c r="E17" s="113" t="s">
        <v>103</v>
      </c>
      <c r="F17" s="66"/>
      <c r="G17" s="113" t="s">
        <v>25</v>
      </c>
      <c r="H17" s="66"/>
      <c r="I17" s="114">
        <v>350.0</v>
      </c>
      <c r="J17" s="114">
        <v>3.0</v>
      </c>
      <c r="K17" s="115">
        <f>N22 * N26</f>
        <v>1</v>
      </c>
      <c r="L17" s="114">
        <f>N22*(1-N26)</f>
        <v>0</v>
      </c>
      <c r="M17" s="113">
        <f t="shared" si="1"/>
        <v>1400</v>
      </c>
      <c r="N17" s="66"/>
      <c r="O17" s="113">
        <f t="shared" si="3"/>
        <v>7000</v>
      </c>
      <c r="P17" s="66"/>
      <c r="Q17" s="116">
        <f>O17/O18</f>
        <v>0.04264653903</v>
      </c>
      <c r="R17" s="117" t="s">
        <v>104</v>
      </c>
      <c r="S17" s="118" t="s">
        <v>208</v>
      </c>
      <c r="T17" s="72"/>
      <c r="U17" s="66"/>
      <c r="V17" s="200" t="s">
        <v>209</v>
      </c>
    </row>
    <row r="18">
      <c r="A18" s="119"/>
      <c r="B18" s="120"/>
      <c r="C18" s="121"/>
      <c r="D18" s="122">
        <v>11.1</v>
      </c>
      <c r="M18" s="124">
        <f>sum(M5:N17)</f>
        <v>17093.245</v>
      </c>
      <c r="N18" s="6"/>
      <c r="O18" s="124">
        <f>SUM(O5:O17)</f>
        <v>164139.9316</v>
      </c>
      <c r="P18" s="6"/>
    </row>
    <row r="19">
      <c r="A19" s="125" t="s">
        <v>210</v>
      </c>
      <c r="C19" s="121"/>
      <c r="D19" s="126" t="s">
        <v>107</v>
      </c>
      <c r="E19" s="34" t="s">
        <v>211</v>
      </c>
      <c r="M19" s="127" t="s">
        <v>108</v>
      </c>
      <c r="N19" s="72"/>
      <c r="O19" s="127" t="s">
        <v>109</v>
      </c>
      <c r="P19" s="66"/>
    </row>
    <row r="20">
      <c r="A20" s="201" t="s">
        <v>212</v>
      </c>
      <c r="B20" s="128"/>
      <c r="C20" s="125"/>
      <c r="D20" s="34"/>
      <c r="E20" s="200" t="s">
        <v>213</v>
      </c>
    </row>
    <row r="21">
      <c r="A21" s="129" t="s">
        <v>110</v>
      </c>
      <c r="B21" s="130" t="s">
        <v>111</v>
      </c>
      <c r="C21" s="130" t="s">
        <v>112</v>
      </c>
      <c r="D21" s="131" t="s">
        <v>113</v>
      </c>
      <c r="E21" s="131" t="s">
        <v>114</v>
      </c>
      <c r="F21" s="132" t="s">
        <v>115</v>
      </c>
      <c r="G21" s="6"/>
      <c r="H21" s="131" t="s">
        <v>116</v>
      </c>
      <c r="I21" s="131" t="s">
        <v>117</v>
      </c>
      <c r="J21" s="132" t="s">
        <v>19</v>
      </c>
      <c r="K21" s="6"/>
      <c r="L21" s="34"/>
      <c r="N21" s="134" t="s">
        <v>118</v>
      </c>
      <c r="P21" s="135" t="s">
        <v>119</v>
      </c>
      <c r="Q21" s="136"/>
      <c r="R21" s="137" t="s">
        <v>120</v>
      </c>
      <c r="S21" s="6"/>
      <c r="T21" s="34"/>
    </row>
    <row r="22">
      <c r="A22" s="138" t="s">
        <v>121</v>
      </c>
      <c r="B22" s="139">
        <v>3.0</v>
      </c>
      <c r="C22" s="140" t="s">
        <v>122</v>
      </c>
      <c r="D22" s="139">
        <v>0.0</v>
      </c>
      <c r="E22" s="139">
        <v>12906.0</v>
      </c>
      <c r="F22" s="140" t="s">
        <v>25</v>
      </c>
      <c r="G22" s="20"/>
      <c r="H22" s="142">
        <f>I22*N22</f>
        <v>457</v>
      </c>
      <c r="I22" s="142">
        <v>457.0</v>
      </c>
      <c r="J22" s="143" t="s">
        <v>214</v>
      </c>
      <c r="K22" s="20"/>
      <c r="L22" s="34"/>
      <c r="N22" s="126">
        <v>1.0</v>
      </c>
      <c r="P22" s="144" t="s">
        <v>124</v>
      </c>
      <c r="Q22" s="145"/>
      <c r="R22" s="146">
        <f>O18 + H26</f>
        <v>168325.9316</v>
      </c>
      <c r="S22" s="20"/>
      <c r="T22" s="147"/>
    </row>
    <row r="23">
      <c r="A23" s="138" t="s">
        <v>125</v>
      </c>
      <c r="B23" s="139">
        <v>1.0</v>
      </c>
      <c r="C23" s="140">
        <v>5.0</v>
      </c>
      <c r="D23" s="139">
        <v>6.1</v>
      </c>
      <c r="E23" s="139">
        <v>1400.0</v>
      </c>
      <c r="F23" s="140">
        <v>5000.0</v>
      </c>
      <c r="G23" s="20"/>
      <c r="H23" s="148">
        <f>1235*N26*N22 + 3/350*1235*(1-N26)*N22</f>
        <v>1235</v>
      </c>
      <c r="I23" s="140">
        <v>1235.0</v>
      </c>
      <c r="J23" s="149" t="s">
        <v>126</v>
      </c>
      <c r="K23" s="20"/>
      <c r="L23" s="34"/>
      <c r="N23" s="150" t="s">
        <v>127</v>
      </c>
      <c r="P23" s="144" t="s">
        <v>128</v>
      </c>
      <c r="Q23" s="145"/>
      <c r="R23" s="151">
        <v>101750.0</v>
      </c>
      <c r="S23" s="20"/>
      <c r="T23" s="152"/>
    </row>
    <row r="24">
      <c r="A24" s="138" t="s">
        <v>129</v>
      </c>
      <c r="B24" s="139">
        <v>5.0</v>
      </c>
      <c r="C24" s="140">
        <v>3.3</v>
      </c>
      <c r="D24" s="139">
        <v>1.7</v>
      </c>
      <c r="E24" s="139">
        <v>32.0</v>
      </c>
      <c r="F24" s="140">
        <v>800.0</v>
      </c>
      <c r="G24" s="20"/>
      <c r="H24" s="141">
        <v>64.0</v>
      </c>
      <c r="I24" s="141">
        <f>54/0.85</f>
        <v>63.52941176</v>
      </c>
      <c r="J24" s="149" t="s">
        <v>130</v>
      </c>
      <c r="K24" s="20"/>
      <c r="L24" s="34"/>
      <c r="N24" s="126">
        <v>1.0</v>
      </c>
      <c r="P24" s="144" t="s">
        <v>131</v>
      </c>
      <c r="R24" s="153" t="str">
        <f>If(R22&gt;R23, "Out of Battery", "Not out of Battery")</f>
        <v>Out of Battery</v>
      </c>
      <c r="S24" s="20"/>
      <c r="T24" s="152"/>
    </row>
    <row r="25">
      <c r="A25" s="154" t="s">
        <v>132</v>
      </c>
      <c r="B25" s="155">
        <v>5.0</v>
      </c>
      <c r="C25" s="156">
        <v>5.0</v>
      </c>
      <c r="D25" s="155">
        <v>6.1</v>
      </c>
      <c r="E25" s="156">
        <v>2755.0</v>
      </c>
      <c r="F25" s="155">
        <v>5000.0</v>
      </c>
      <c r="G25" s="72"/>
      <c r="H25" s="157">
        <f>I25*N22</f>
        <v>2430</v>
      </c>
      <c r="I25" s="155">
        <v>2430.0</v>
      </c>
      <c r="J25" s="158" t="s">
        <v>133</v>
      </c>
      <c r="K25" s="66"/>
      <c r="N25" s="150" t="s">
        <v>134</v>
      </c>
      <c r="P25" s="144" t="s">
        <v>135</v>
      </c>
      <c r="R25" s="159">
        <f t="shared" ref="R25:R26" si="4">O16</f>
        <v>135153.6</v>
      </c>
      <c r="S25" s="20"/>
      <c r="T25" s="160">
        <f>R25/R22</f>
        <v>0.8029279786</v>
      </c>
      <c r="U25" s="20"/>
    </row>
    <row r="26">
      <c r="A26" s="161"/>
      <c r="H26" s="148">
        <f>SUM(H22:H25)</f>
        <v>4186</v>
      </c>
      <c r="I26" s="28"/>
      <c r="N26" s="150">
        <v>1.0</v>
      </c>
      <c r="O26" s="34"/>
      <c r="P26" s="144" t="s">
        <v>136</v>
      </c>
      <c r="R26" s="159">
        <f t="shared" si="4"/>
        <v>7000</v>
      </c>
      <c r="S26" s="20"/>
      <c r="T26" s="160">
        <f>R26/R22</f>
        <v>0.04158598698</v>
      </c>
      <c r="U26" s="20"/>
    </row>
    <row r="27">
      <c r="H27" s="162" t="s">
        <v>137</v>
      </c>
      <c r="N27" s="163"/>
      <c r="O27" s="34"/>
      <c r="P27" s="144" t="s">
        <v>138</v>
      </c>
      <c r="R27" s="164">
        <f>SUM(O5:O15)</f>
        <v>21986.3316</v>
      </c>
      <c r="S27" s="20"/>
      <c r="T27" s="160">
        <f>R27/R22</f>
        <v>0.1306176142</v>
      </c>
      <c r="U27" s="20"/>
    </row>
    <row r="28">
      <c r="H28" s="163"/>
      <c r="P28" s="144" t="s">
        <v>139</v>
      </c>
      <c r="R28" s="159">
        <f>H26</f>
        <v>4186</v>
      </c>
      <c r="S28" s="20"/>
      <c r="T28" s="160">
        <f>R28/R22</f>
        <v>0.02486842021</v>
      </c>
      <c r="U28" s="20"/>
    </row>
    <row r="30">
      <c r="A30" s="165" t="s">
        <v>140</v>
      </c>
      <c r="B30" s="166"/>
      <c r="C30" s="166"/>
      <c r="D30" s="202" t="s">
        <v>141</v>
      </c>
      <c r="E30" s="203" t="s">
        <v>142</v>
      </c>
      <c r="F30" s="204" t="s">
        <v>143</v>
      </c>
      <c r="H30" s="34" t="s">
        <v>144</v>
      </c>
    </row>
    <row r="31">
      <c r="A31" s="167" t="s">
        <v>145</v>
      </c>
      <c r="B31" s="167" t="s">
        <v>146</v>
      </c>
      <c r="C31" s="167" t="s">
        <v>147</v>
      </c>
      <c r="D31" s="205">
        <v>0.0</v>
      </c>
      <c r="E31" s="206">
        <v>0.0</v>
      </c>
      <c r="F31" s="207">
        <v>0.0</v>
      </c>
      <c r="G31" s="152"/>
      <c r="H31" s="152"/>
    </row>
    <row r="32">
      <c r="A32" s="169" t="s">
        <v>148</v>
      </c>
      <c r="B32" s="170" t="s">
        <v>149</v>
      </c>
      <c r="C32" s="171" t="s">
        <v>150</v>
      </c>
      <c r="D32" s="208">
        <v>0.1</v>
      </c>
      <c r="E32" s="209">
        <v>0.1</v>
      </c>
      <c r="F32" s="210">
        <v>0.1</v>
      </c>
      <c r="G32" s="152"/>
      <c r="H32" s="152"/>
    </row>
    <row r="33">
      <c r="A33" s="172">
        <v>0.0</v>
      </c>
      <c r="B33" s="173">
        <v>12000.0</v>
      </c>
      <c r="C33" s="174">
        <f>2*3.14159*A33/(B33*A35)/B41</f>
        <v>0</v>
      </c>
      <c r="D33" s="208">
        <v>0.2</v>
      </c>
      <c r="E33" s="209">
        <v>0.7</v>
      </c>
      <c r="F33" s="210">
        <v>0.7</v>
      </c>
      <c r="G33" s="152"/>
      <c r="H33" s="152"/>
    </row>
    <row r="34">
      <c r="A34" s="171" t="s">
        <v>151</v>
      </c>
      <c r="B34" s="170" t="s">
        <v>152</v>
      </c>
      <c r="C34" s="171" t="s">
        <v>153</v>
      </c>
      <c r="D34" s="208">
        <v>0.3</v>
      </c>
      <c r="E34" s="209">
        <v>2.5</v>
      </c>
      <c r="F34" s="210">
        <v>2.2</v>
      </c>
      <c r="G34" s="152"/>
      <c r="H34" s="152"/>
    </row>
    <row r="35">
      <c r="A35" s="167">
        <v>0.1</v>
      </c>
      <c r="B35" s="175">
        <f>1.84*10^-3</f>
        <v>0.00184</v>
      </c>
      <c r="C35" s="176">
        <f>B35+B37*C33+B39*C33^2</f>
        <v>0.00184</v>
      </c>
      <c r="D35" s="208">
        <v>0.4</v>
      </c>
      <c r="E35" s="209">
        <v>5.7</v>
      </c>
      <c r="F35" s="210">
        <v>5.3</v>
      </c>
      <c r="G35" s="152"/>
      <c r="H35" s="152"/>
    </row>
    <row r="36">
      <c r="A36" s="177"/>
      <c r="B36" s="170" t="s">
        <v>154</v>
      </c>
      <c r="C36" s="171" t="s">
        <v>155</v>
      </c>
      <c r="D36" s="208">
        <v>0.5</v>
      </c>
      <c r="E36" s="209">
        <v>11.1</v>
      </c>
      <c r="F36" s="210">
        <v>10.4</v>
      </c>
      <c r="G36" s="152"/>
      <c r="H36" s="152"/>
    </row>
    <row r="37">
      <c r="A37" s="177"/>
      <c r="B37" s="175">
        <f>3.39*10^-3</f>
        <v>0.00339</v>
      </c>
      <c r="C37" s="178">
        <f>B33*A35/9.549</f>
        <v>125.6676092</v>
      </c>
      <c r="D37" s="208">
        <v>0.6</v>
      </c>
      <c r="E37" s="209">
        <v>19.0</v>
      </c>
      <c r="F37" s="210">
        <v>18.0</v>
      </c>
      <c r="G37" s="152" t="s">
        <v>156</v>
      </c>
      <c r="H37" s="152" t="s">
        <v>156</v>
      </c>
    </row>
    <row r="38">
      <c r="A38" s="177"/>
      <c r="B38" s="170" t="s">
        <v>157</v>
      </c>
      <c r="C38" s="171" t="s">
        <v>158</v>
      </c>
      <c r="D38" s="208">
        <v>0.7</v>
      </c>
      <c r="E38" s="209">
        <v>29.9</v>
      </c>
      <c r="F38" s="210">
        <v>28.5</v>
      </c>
      <c r="G38" s="152"/>
      <c r="H38" s="152"/>
    </row>
    <row r="39">
      <c r="A39" s="177"/>
      <c r="B39" s="175">
        <f>-1.31*10^-2</f>
        <v>-0.0131</v>
      </c>
      <c r="C39" s="179">
        <f>C37^3*C35*B41^5*B43/4/3.14159/3.14159/0.85</f>
        <v>0.08321989651</v>
      </c>
      <c r="D39" s="208">
        <v>0.765</v>
      </c>
      <c r="E39" s="209">
        <v>38.9</v>
      </c>
      <c r="F39" s="210">
        <v>38.0</v>
      </c>
      <c r="G39" s="152" t="s">
        <v>159</v>
      </c>
      <c r="H39" s="152" t="s">
        <v>159</v>
      </c>
    </row>
    <row r="40">
      <c r="A40" s="177"/>
      <c r="B40" s="170" t="s">
        <v>160</v>
      </c>
      <c r="C40" s="171" t="s">
        <v>161</v>
      </c>
      <c r="D40" s="208">
        <v>0.8</v>
      </c>
      <c r="E40" s="209">
        <v>44.4</v>
      </c>
      <c r="F40" s="210">
        <v>42.6</v>
      </c>
      <c r="G40" s="152"/>
      <c r="H40" s="152"/>
    </row>
    <row r="41">
      <c r="A41" s="177"/>
      <c r="B41" s="172">
        <v>0.2286</v>
      </c>
      <c r="C41" s="180">
        <f>C39/11.1</f>
        <v>0.007497287974</v>
      </c>
      <c r="D41" s="208">
        <v>0.9</v>
      </c>
      <c r="E41" s="209">
        <v>63.0</v>
      </c>
      <c r="F41" s="210">
        <v>60.7</v>
      </c>
      <c r="G41" s="181"/>
      <c r="H41" s="181"/>
    </row>
    <row r="42">
      <c r="A42" s="182"/>
      <c r="B42" s="170" t="s">
        <v>162</v>
      </c>
      <c r="C42" s="171" t="s">
        <v>163</v>
      </c>
      <c r="D42" s="211">
        <v>1.0</v>
      </c>
      <c r="E42" s="212">
        <v>86.1</v>
      </c>
      <c r="F42" s="213">
        <v>83.2</v>
      </c>
      <c r="G42" s="152" t="s">
        <v>164</v>
      </c>
      <c r="H42" s="152" t="s">
        <v>164</v>
      </c>
    </row>
    <row r="43">
      <c r="A43" s="182"/>
      <c r="B43" s="172">
        <v>1.225</v>
      </c>
      <c r="C43" s="183">
        <f>A35*B33</f>
        <v>1200</v>
      </c>
    </row>
    <row r="46">
      <c r="A46" s="184" t="s">
        <v>165</v>
      </c>
      <c r="B46" s="184"/>
      <c r="C46" s="185"/>
      <c r="D46" s="185"/>
      <c r="E46" s="185"/>
    </row>
    <row r="47">
      <c r="A47" s="189" t="s">
        <v>167</v>
      </c>
      <c r="B47" s="190" t="s">
        <v>168</v>
      </c>
      <c r="C47" s="190" t="s">
        <v>169</v>
      </c>
      <c r="D47" s="190" t="s">
        <v>170</v>
      </c>
      <c r="E47" s="191" t="s">
        <v>171</v>
      </c>
    </row>
    <row r="48">
      <c r="A48" s="192">
        <v>0.0</v>
      </c>
      <c r="B48" s="184">
        <v>0.0</v>
      </c>
      <c r="C48" s="184">
        <f t="shared" ref="C48:C70" si="5">B48*9.8/1000</f>
        <v>0</v>
      </c>
      <c r="D48" s="184">
        <v>0.04</v>
      </c>
      <c r="E48" s="193">
        <f t="shared" ref="E48:E70" si="6">11.34 * D48</f>
        <v>0.4536</v>
      </c>
    </row>
    <row r="49">
      <c r="A49" s="192">
        <v>0.05</v>
      </c>
      <c r="B49" s="184">
        <v>1.0</v>
      </c>
      <c r="C49" s="184">
        <f t="shared" si="5"/>
        <v>0.0098</v>
      </c>
      <c r="D49" s="184">
        <v>0.055</v>
      </c>
      <c r="E49" s="193">
        <f t="shared" si="6"/>
        <v>0.6237</v>
      </c>
      <c r="K49" s="34"/>
      <c r="L49" s="34"/>
    </row>
    <row r="50">
      <c r="A50" s="192">
        <v>0.1</v>
      </c>
      <c r="B50" s="184">
        <v>10.0</v>
      </c>
      <c r="C50" s="184">
        <f t="shared" si="5"/>
        <v>0.098</v>
      </c>
      <c r="D50" s="184">
        <v>0.097</v>
      </c>
      <c r="E50" s="193">
        <f t="shared" si="6"/>
        <v>1.09998</v>
      </c>
      <c r="K50" s="34"/>
      <c r="L50" s="34"/>
    </row>
    <row r="51">
      <c r="A51" s="192">
        <v>0.15</v>
      </c>
      <c r="B51" s="184">
        <v>26.0</v>
      </c>
      <c r="C51" s="184">
        <f t="shared" si="5"/>
        <v>0.2548</v>
      </c>
      <c r="D51" s="184">
        <v>0.176</v>
      </c>
      <c r="E51" s="193">
        <f t="shared" si="6"/>
        <v>1.99584</v>
      </c>
      <c r="K51" s="34"/>
    </row>
    <row r="52">
      <c r="A52" s="192">
        <v>0.2</v>
      </c>
      <c r="B52" s="184">
        <v>43.0</v>
      </c>
      <c r="C52" s="184">
        <f t="shared" si="5"/>
        <v>0.4214</v>
      </c>
      <c r="D52" s="184">
        <v>0.293</v>
      </c>
      <c r="E52" s="193">
        <f t="shared" si="6"/>
        <v>3.32262</v>
      </c>
    </row>
    <row r="53">
      <c r="A53" s="192">
        <v>0.25</v>
      </c>
      <c r="B53" s="184">
        <v>66.0</v>
      </c>
      <c r="C53" s="184">
        <f t="shared" si="5"/>
        <v>0.6468</v>
      </c>
      <c r="D53" s="184">
        <v>0.478</v>
      </c>
      <c r="E53" s="193">
        <f t="shared" si="6"/>
        <v>5.42052</v>
      </c>
    </row>
    <row r="54">
      <c r="A54" s="192">
        <v>0.3</v>
      </c>
      <c r="B54" s="184">
        <v>94.0</v>
      </c>
      <c r="C54" s="184">
        <f t="shared" si="5"/>
        <v>0.9212</v>
      </c>
      <c r="D54" s="184">
        <v>0.708</v>
      </c>
      <c r="E54" s="193">
        <f t="shared" si="6"/>
        <v>8.02872</v>
      </c>
    </row>
    <row r="55">
      <c r="A55" s="192">
        <v>0.35</v>
      </c>
      <c r="B55" s="184">
        <v>120.0</v>
      </c>
      <c r="C55" s="184">
        <f t="shared" si="5"/>
        <v>1.176</v>
      </c>
      <c r="D55" s="184">
        <v>1.01</v>
      </c>
      <c r="E55" s="193">
        <f t="shared" si="6"/>
        <v>11.4534</v>
      </c>
    </row>
    <row r="56">
      <c r="A56" s="192">
        <v>0.37</v>
      </c>
      <c r="B56" s="184">
        <v>128.0</v>
      </c>
      <c r="C56" s="184">
        <f t="shared" si="5"/>
        <v>1.2544</v>
      </c>
      <c r="D56" s="184">
        <v>1.12</v>
      </c>
      <c r="E56" s="193">
        <f t="shared" si="6"/>
        <v>12.7008</v>
      </c>
      <c r="F56" s="34" t="s">
        <v>172</v>
      </c>
    </row>
    <row r="57">
      <c r="A57" s="192">
        <v>0.4</v>
      </c>
      <c r="B57" s="184">
        <v>149.0</v>
      </c>
      <c r="C57" s="184">
        <f t="shared" si="5"/>
        <v>1.4602</v>
      </c>
      <c r="D57" s="184">
        <v>1.33</v>
      </c>
      <c r="E57" s="193">
        <f t="shared" si="6"/>
        <v>15.0822</v>
      </c>
    </row>
    <row r="58">
      <c r="A58" s="192">
        <v>0.45</v>
      </c>
      <c r="B58" s="184">
        <v>176.0</v>
      </c>
      <c r="C58" s="184">
        <f t="shared" si="5"/>
        <v>1.7248</v>
      </c>
      <c r="D58" s="184">
        <v>1.69</v>
      </c>
      <c r="E58" s="193">
        <f t="shared" si="6"/>
        <v>19.1646</v>
      </c>
    </row>
    <row r="59">
      <c r="A59" s="192">
        <v>0.5</v>
      </c>
      <c r="B59" s="184">
        <v>208.0</v>
      </c>
      <c r="C59" s="184">
        <f t="shared" si="5"/>
        <v>2.0384</v>
      </c>
      <c r="D59" s="184">
        <v>2.17</v>
      </c>
      <c r="E59" s="193">
        <f t="shared" si="6"/>
        <v>24.6078</v>
      </c>
    </row>
    <row r="60">
      <c r="A60" s="192">
        <v>0.55</v>
      </c>
      <c r="B60" s="184">
        <v>238.0</v>
      </c>
      <c r="C60" s="184">
        <f t="shared" si="5"/>
        <v>2.3324</v>
      </c>
      <c r="D60" s="184">
        <v>2.67</v>
      </c>
      <c r="E60" s="193">
        <f t="shared" si="6"/>
        <v>30.2778</v>
      </c>
    </row>
    <row r="61">
      <c r="A61" s="192">
        <v>0.58</v>
      </c>
      <c r="B61" s="184">
        <v>251.0</v>
      </c>
      <c r="C61" s="184">
        <f t="shared" si="5"/>
        <v>2.4598</v>
      </c>
      <c r="D61" s="184">
        <v>2.98</v>
      </c>
      <c r="E61" s="193">
        <f t="shared" si="6"/>
        <v>33.7932</v>
      </c>
      <c r="F61" s="34" t="s">
        <v>215</v>
      </c>
    </row>
    <row r="62">
      <c r="A62" s="192">
        <v>0.6</v>
      </c>
      <c r="B62" s="184">
        <v>263.0</v>
      </c>
      <c r="C62" s="184">
        <f t="shared" si="5"/>
        <v>2.5774</v>
      </c>
      <c r="D62" s="184">
        <v>3.16</v>
      </c>
      <c r="E62" s="193">
        <f t="shared" si="6"/>
        <v>35.8344</v>
      </c>
    </row>
    <row r="63">
      <c r="A63" s="192">
        <v>0.65</v>
      </c>
      <c r="B63" s="184">
        <v>294.0</v>
      </c>
      <c r="C63" s="184">
        <f t="shared" si="5"/>
        <v>2.8812</v>
      </c>
      <c r="D63" s="184">
        <v>3.8</v>
      </c>
      <c r="E63" s="193">
        <f t="shared" si="6"/>
        <v>43.092</v>
      </c>
    </row>
    <row r="64">
      <c r="A64" s="192">
        <v>0.7</v>
      </c>
      <c r="B64" s="184">
        <v>305.0</v>
      </c>
      <c r="C64" s="184">
        <f t="shared" si="5"/>
        <v>2.989</v>
      </c>
      <c r="D64" s="184">
        <v>4.47</v>
      </c>
      <c r="E64" s="193">
        <f t="shared" si="6"/>
        <v>50.6898</v>
      </c>
    </row>
    <row r="65">
      <c r="A65" s="192">
        <v>0.75</v>
      </c>
      <c r="B65" s="184">
        <v>345.0</v>
      </c>
      <c r="C65" s="184">
        <f t="shared" si="5"/>
        <v>3.381</v>
      </c>
      <c r="D65" s="184">
        <v>5.24</v>
      </c>
      <c r="E65" s="193">
        <f t="shared" si="6"/>
        <v>59.4216</v>
      </c>
    </row>
    <row r="66">
      <c r="A66" s="192">
        <v>0.8</v>
      </c>
      <c r="B66" s="184">
        <v>371.0</v>
      </c>
      <c r="C66" s="184">
        <f t="shared" si="5"/>
        <v>3.6358</v>
      </c>
      <c r="D66" s="184">
        <v>5.92</v>
      </c>
      <c r="E66" s="193">
        <f t="shared" si="6"/>
        <v>67.1328</v>
      </c>
    </row>
    <row r="67">
      <c r="A67" s="192">
        <v>0.85</v>
      </c>
      <c r="B67" s="184">
        <v>385.0</v>
      </c>
      <c r="C67" s="184">
        <f t="shared" si="5"/>
        <v>3.773</v>
      </c>
      <c r="D67" s="184">
        <v>6.55</v>
      </c>
      <c r="E67" s="193">
        <f t="shared" si="6"/>
        <v>74.277</v>
      </c>
    </row>
    <row r="68">
      <c r="A68" s="192">
        <v>0.9</v>
      </c>
      <c r="B68" s="184">
        <v>415.0</v>
      </c>
      <c r="C68" s="184">
        <f t="shared" si="5"/>
        <v>4.067</v>
      </c>
      <c r="D68" s="184">
        <v>7.47</v>
      </c>
      <c r="E68" s="193">
        <f t="shared" si="6"/>
        <v>84.7098</v>
      </c>
    </row>
    <row r="69">
      <c r="A69" s="192">
        <v>0.95</v>
      </c>
      <c r="B69" s="184">
        <v>430.0</v>
      </c>
      <c r="C69" s="184">
        <f t="shared" si="5"/>
        <v>4.214</v>
      </c>
      <c r="D69" s="184">
        <v>7.84</v>
      </c>
      <c r="E69" s="193">
        <f t="shared" si="6"/>
        <v>88.9056</v>
      </c>
    </row>
    <row r="70">
      <c r="A70" s="194">
        <v>1.0</v>
      </c>
      <c r="B70" s="195">
        <v>452.0</v>
      </c>
      <c r="C70" s="195">
        <f t="shared" si="5"/>
        <v>4.4296</v>
      </c>
      <c r="D70" s="195">
        <v>8.6</v>
      </c>
      <c r="E70" s="196">
        <f t="shared" si="6"/>
        <v>97.524</v>
      </c>
    </row>
    <row r="72">
      <c r="A72" s="189" t="s">
        <v>167</v>
      </c>
      <c r="B72" s="190" t="s">
        <v>168</v>
      </c>
      <c r="C72" s="190" t="s">
        <v>169</v>
      </c>
      <c r="D72" s="190" t="s">
        <v>170</v>
      </c>
      <c r="E72" s="191" t="s">
        <v>171</v>
      </c>
    </row>
    <row r="73">
      <c r="A73" s="192">
        <v>0.0</v>
      </c>
      <c r="B73" s="184">
        <v>0.0</v>
      </c>
      <c r="C73" s="184">
        <f t="shared" ref="C73:C83" si="7">B73*9.8/1000</f>
        <v>0</v>
      </c>
      <c r="D73" s="184">
        <v>0.046</v>
      </c>
      <c r="E73" s="193">
        <f t="shared" ref="E73:E83" si="8">11.34 * D73</f>
        <v>0.52164</v>
      </c>
    </row>
    <row r="74">
      <c r="A74" s="192">
        <v>0.05</v>
      </c>
      <c r="B74" s="184">
        <v>0.0</v>
      </c>
      <c r="C74" s="184">
        <f t="shared" si="7"/>
        <v>0</v>
      </c>
      <c r="D74" s="184">
        <v>0.046</v>
      </c>
      <c r="E74" s="193">
        <f t="shared" si="8"/>
        <v>0.52164</v>
      </c>
    </row>
    <row r="75">
      <c r="A75" s="192">
        <v>0.1</v>
      </c>
      <c r="B75" s="184">
        <v>74.0</v>
      </c>
      <c r="C75" s="184">
        <f t="shared" si="7"/>
        <v>0.7252</v>
      </c>
      <c r="D75" s="184">
        <v>0.986</v>
      </c>
      <c r="E75" s="193">
        <f t="shared" si="8"/>
        <v>11.18124</v>
      </c>
    </row>
    <row r="76">
      <c r="A76" s="192">
        <v>0.15</v>
      </c>
      <c r="B76" s="184">
        <v>114.0</v>
      </c>
      <c r="C76" s="184">
        <f t="shared" si="7"/>
        <v>1.1172</v>
      </c>
      <c r="D76" s="184">
        <v>1.61</v>
      </c>
      <c r="E76" s="193">
        <f t="shared" si="8"/>
        <v>18.2574</v>
      </c>
    </row>
    <row r="77">
      <c r="A77" s="192">
        <v>0.16</v>
      </c>
      <c r="B77" s="184">
        <v>125.0</v>
      </c>
      <c r="C77" s="184">
        <f t="shared" si="7"/>
        <v>1.225</v>
      </c>
      <c r="D77" s="184">
        <v>1.75</v>
      </c>
      <c r="E77" s="193">
        <f t="shared" si="8"/>
        <v>19.845</v>
      </c>
    </row>
    <row r="78">
      <c r="A78" s="192">
        <v>0.17</v>
      </c>
      <c r="B78" s="184">
        <v>131.0</v>
      </c>
      <c r="C78" s="184">
        <f t="shared" si="7"/>
        <v>1.2838</v>
      </c>
      <c r="D78" s="184">
        <v>1.9</v>
      </c>
      <c r="E78" s="193">
        <f t="shared" si="8"/>
        <v>21.546</v>
      </c>
    </row>
    <row r="79">
      <c r="A79" s="192">
        <v>0.2</v>
      </c>
      <c r="B79" s="184">
        <v>158.0</v>
      </c>
      <c r="C79" s="184">
        <f t="shared" si="7"/>
        <v>1.5484</v>
      </c>
      <c r="D79" s="184">
        <v>2.37</v>
      </c>
      <c r="E79" s="193">
        <f t="shared" si="8"/>
        <v>26.8758</v>
      </c>
    </row>
    <row r="80">
      <c r="A80" s="192">
        <v>0.25</v>
      </c>
      <c r="B80" s="184">
        <v>215.0</v>
      </c>
      <c r="C80" s="184">
        <f t="shared" si="7"/>
        <v>2.107</v>
      </c>
      <c r="D80" s="184">
        <v>3.23</v>
      </c>
      <c r="E80" s="193">
        <f t="shared" si="8"/>
        <v>36.6282</v>
      </c>
    </row>
    <row r="81">
      <c r="A81" s="192">
        <v>0.28</v>
      </c>
      <c r="B81" s="184">
        <v>250.0</v>
      </c>
      <c r="C81" s="184">
        <f t="shared" si="7"/>
        <v>2.45</v>
      </c>
      <c r="D81" s="184">
        <v>4.0</v>
      </c>
      <c r="E81" s="193">
        <f t="shared" si="8"/>
        <v>45.36</v>
      </c>
    </row>
    <row r="82">
      <c r="A82" s="192">
        <v>0.29</v>
      </c>
      <c r="B82" s="184">
        <v>257.0</v>
      </c>
      <c r="C82" s="184">
        <f t="shared" si="7"/>
        <v>2.5186</v>
      </c>
      <c r="D82" s="184">
        <v>4.25</v>
      </c>
      <c r="E82" s="193">
        <f t="shared" si="8"/>
        <v>48.195</v>
      </c>
    </row>
    <row r="83">
      <c r="A83" s="194">
        <v>0.3</v>
      </c>
      <c r="B83" s="195">
        <v>266.0</v>
      </c>
      <c r="C83" s="195">
        <f t="shared" si="7"/>
        <v>2.6068</v>
      </c>
      <c r="D83" s="195">
        <v>4.44</v>
      </c>
      <c r="E83" s="196">
        <f t="shared" si="8"/>
        <v>50.3496</v>
      </c>
    </row>
    <row r="85">
      <c r="A85" s="214"/>
    </row>
    <row r="86">
      <c r="A86" s="214"/>
    </row>
    <row r="87">
      <c r="A87" s="214"/>
    </row>
    <row r="88">
      <c r="A88" s="214"/>
    </row>
    <row r="89">
      <c r="A89" s="214"/>
    </row>
    <row r="90">
      <c r="A90" s="214"/>
    </row>
    <row r="91">
      <c r="A91" s="214"/>
    </row>
    <row r="92">
      <c r="A92" s="214"/>
    </row>
    <row r="93">
      <c r="A93" s="214"/>
    </row>
    <row r="94">
      <c r="A94" s="214"/>
    </row>
    <row r="95">
      <c r="A95" s="214"/>
    </row>
    <row r="96">
      <c r="A96" s="214"/>
    </row>
    <row r="97">
      <c r="A97" s="214"/>
    </row>
    <row r="98">
      <c r="A98" s="214"/>
    </row>
    <row r="99">
      <c r="A99" s="214"/>
    </row>
    <row r="100">
      <c r="A100" s="214"/>
    </row>
    <row r="101">
      <c r="A101" s="214"/>
    </row>
    <row r="102">
      <c r="A102" s="214"/>
    </row>
    <row r="103">
      <c r="A103" s="214"/>
    </row>
    <row r="104">
      <c r="A104" s="214"/>
    </row>
    <row r="105">
      <c r="A105" s="214"/>
    </row>
    <row r="106">
      <c r="A106" s="214"/>
    </row>
    <row r="107">
      <c r="A107" s="215"/>
    </row>
  </sheetData>
  <mergeCells count="123">
    <mergeCell ref="M4:N4"/>
    <mergeCell ref="O4:P4"/>
    <mergeCell ref="M5:N5"/>
    <mergeCell ref="O5:P5"/>
    <mergeCell ref="M6:N6"/>
    <mergeCell ref="O6:P6"/>
    <mergeCell ref="O7:P7"/>
    <mergeCell ref="M7:N7"/>
    <mergeCell ref="M8:N8"/>
    <mergeCell ref="M9:N9"/>
    <mergeCell ref="M11:N11"/>
    <mergeCell ref="O11:P11"/>
    <mergeCell ref="M12:N12"/>
    <mergeCell ref="O12:P12"/>
    <mergeCell ref="M16:N16"/>
    <mergeCell ref="M17:N17"/>
    <mergeCell ref="M18:N18"/>
    <mergeCell ref="M19:N19"/>
    <mergeCell ref="K51:N62"/>
    <mergeCell ref="M13:N13"/>
    <mergeCell ref="O13:P13"/>
    <mergeCell ref="M14:N14"/>
    <mergeCell ref="O14:P14"/>
    <mergeCell ref="M15:N15"/>
    <mergeCell ref="O15:P15"/>
    <mergeCell ref="O16:P16"/>
    <mergeCell ref="O17:P17"/>
    <mergeCell ref="O18:P18"/>
    <mergeCell ref="O19:P19"/>
    <mergeCell ref="R21:S21"/>
    <mergeCell ref="T21:U21"/>
    <mergeCell ref="R22:S22"/>
    <mergeCell ref="T22:U22"/>
    <mergeCell ref="R23:S23"/>
    <mergeCell ref="T23:U23"/>
    <mergeCell ref="P24:Q24"/>
    <mergeCell ref="R24:S24"/>
    <mergeCell ref="T24:U24"/>
    <mergeCell ref="R25:S25"/>
    <mergeCell ref="T25:U25"/>
    <mergeCell ref="P28:Q28"/>
    <mergeCell ref="R28:S28"/>
    <mergeCell ref="T28:U28"/>
    <mergeCell ref="P25:Q25"/>
    <mergeCell ref="P26:Q26"/>
    <mergeCell ref="R26:S26"/>
    <mergeCell ref="T26:U26"/>
    <mergeCell ref="P27:Q27"/>
    <mergeCell ref="R27:S27"/>
    <mergeCell ref="T27:U27"/>
    <mergeCell ref="E5:F5"/>
    <mergeCell ref="G5:H5"/>
    <mergeCell ref="E6:F6"/>
    <mergeCell ref="G6:H6"/>
    <mergeCell ref="E7:F7"/>
    <mergeCell ref="G7:H7"/>
    <mergeCell ref="G8:H8"/>
    <mergeCell ref="E8:F8"/>
    <mergeCell ref="E9:F9"/>
    <mergeCell ref="E10:F10"/>
    <mergeCell ref="E11:F11"/>
    <mergeCell ref="G11:H11"/>
    <mergeCell ref="E12:F12"/>
    <mergeCell ref="G12:H12"/>
    <mergeCell ref="E13:F13"/>
    <mergeCell ref="G13:H13"/>
    <mergeCell ref="E14:F14"/>
    <mergeCell ref="G14:H14"/>
    <mergeCell ref="E15:F15"/>
    <mergeCell ref="G15:H15"/>
    <mergeCell ref="G16:H16"/>
    <mergeCell ref="G17:H17"/>
    <mergeCell ref="F23:G23"/>
    <mergeCell ref="F24:G24"/>
    <mergeCell ref="F25:G25"/>
    <mergeCell ref="J24:K24"/>
    <mergeCell ref="J25:K25"/>
    <mergeCell ref="E16:F16"/>
    <mergeCell ref="E17:F17"/>
    <mergeCell ref="F21:G21"/>
    <mergeCell ref="J21:K21"/>
    <mergeCell ref="F22:G22"/>
    <mergeCell ref="J22:K22"/>
    <mergeCell ref="J23:K23"/>
    <mergeCell ref="S2:U2"/>
    <mergeCell ref="V2:W2"/>
    <mergeCell ref="E1:F1"/>
    <mergeCell ref="G1:H1"/>
    <mergeCell ref="K1:L1"/>
    <mergeCell ref="E2:F2"/>
    <mergeCell ref="G2:H2"/>
    <mergeCell ref="M2:N2"/>
    <mergeCell ref="O2:P2"/>
    <mergeCell ref="E3:F3"/>
    <mergeCell ref="G3:H3"/>
    <mergeCell ref="M3:N3"/>
    <mergeCell ref="O3:P3"/>
    <mergeCell ref="S3:U3"/>
    <mergeCell ref="V3:W3"/>
    <mergeCell ref="G4:H4"/>
    <mergeCell ref="O8:P8"/>
    <mergeCell ref="O9:P9"/>
    <mergeCell ref="M10:N10"/>
    <mergeCell ref="O10:P10"/>
    <mergeCell ref="S4:U4"/>
    <mergeCell ref="V4:W4"/>
    <mergeCell ref="S5:U5"/>
    <mergeCell ref="V5:W5"/>
    <mergeCell ref="S6:U6"/>
    <mergeCell ref="V6:W6"/>
    <mergeCell ref="S7:U7"/>
    <mergeCell ref="G9:H9"/>
    <mergeCell ref="G10:H10"/>
    <mergeCell ref="S15:U15"/>
    <mergeCell ref="S16:U16"/>
    <mergeCell ref="S17:U17"/>
    <mergeCell ref="S8:U8"/>
    <mergeCell ref="S9:U9"/>
    <mergeCell ref="S10:U10"/>
    <mergeCell ref="S11:U11"/>
    <mergeCell ref="S12:U12"/>
    <mergeCell ref="S13:U13"/>
    <mergeCell ref="S14:U14"/>
  </mergeCells>
  <hyperlinks>
    <hyperlink r:id="rId2" ref="R3"/>
    <hyperlink r:id="rId3" ref="R4"/>
    <hyperlink r:id="rId4" ref="R5"/>
    <hyperlink r:id="rId5" ref="R6"/>
    <hyperlink r:id="rId6" ref="R7"/>
    <hyperlink r:id="rId7" ref="R8"/>
    <hyperlink r:id="rId8" ref="R9"/>
    <hyperlink r:id="rId9" ref="R10"/>
    <hyperlink r:id="rId10" ref="R11"/>
    <hyperlink r:id="rId11" ref="R12"/>
    <hyperlink r:id="rId12" ref="R13"/>
    <hyperlink r:id="rId13" ref="R14"/>
    <hyperlink r:id="rId14" ref="R15"/>
    <hyperlink r:id="rId15" ref="R16"/>
    <hyperlink r:id="rId16" location="rpdCntId" ref="R17"/>
    <hyperlink r:id="rId17" ref="V17"/>
    <hyperlink r:id="rId18" ref="A20"/>
    <hyperlink r:id="rId19" ref="E20"/>
  </hyperlinks>
  <printOptions gridLines="1" horizontalCentered="1"/>
  <pageMargins bottom="0.75" footer="0.0" header="0.0" left="0.7" right="0.7" top="0.75"/>
  <pageSetup fitToHeight="0" cellComments="atEnd" orientation="portrait" pageOrder="overThenDown"/>
  <drawing r:id="rId20"/>
  <legacyDrawing r:id="rId2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3.75"/>
    <col customWidth="1" min="2" max="2" width="17.25"/>
    <col customWidth="1" min="4" max="4" width="14.63"/>
    <col customWidth="1" min="7" max="7" width="15.38"/>
    <col customWidth="1" min="8" max="8" width="17.13"/>
    <col customWidth="1" min="14" max="14" width="13.63"/>
    <col customWidth="1" min="21" max="21" width="17.63"/>
    <col customWidth="1" min="23" max="23" width="13.38"/>
  </cols>
  <sheetData>
    <row r="1">
      <c r="A1" s="34" t="s">
        <v>216</v>
      </c>
      <c r="B1" s="2"/>
      <c r="C1" s="3"/>
      <c r="I1" s="4" t="s">
        <v>1</v>
      </c>
      <c r="J1" s="5"/>
      <c r="K1" s="4" t="s">
        <v>2</v>
      </c>
      <c r="L1" s="6"/>
    </row>
    <row r="2">
      <c r="A2" s="7" t="s">
        <v>3</v>
      </c>
      <c r="B2" s="8" t="s">
        <v>4</v>
      </c>
      <c r="C2" s="8" t="s">
        <v>5</v>
      </c>
      <c r="D2" s="9" t="s">
        <v>6</v>
      </c>
      <c r="E2" s="4" t="s">
        <v>7</v>
      </c>
      <c r="F2" s="6"/>
      <c r="G2" s="4" t="s">
        <v>8</v>
      </c>
      <c r="H2" s="6"/>
      <c r="I2" s="9" t="s">
        <v>13</v>
      </c>
      <c r="J2" s="9" t="s">
        <v>14</v>
      </c>
      <c r="K2" s="9" t="s">
        <v>13</v>
      </c>
      <c r="L2" s="9" t="s">
        <v>14</v>
      </c>
      <c r="M2" s="4" t="s">
        <v>15</v>
      </c>
      <c r="N2" s="6"/>
      <c r="O2" s="4" t="s">
        <v>16</v>
      </c>
      <c r="P2" s="6"/>
      <c r="Q2" s="9" t="s">
        <v>17</v>
      </c>
      <c r="R2" s="10" t="s">
        <v>18</v>
      </c>
      <c r="S2" s="4" t="s">
        <v>19</v>
      </c>
      <c r="T2" s="11"/>
      <c r="U2" s="6"/>
      <c r="V2" s="12" t="s">
        <v>20</v>
      </c>
      <c r="W2" s="13"/>
      <c r="X2" s="14" t="s">
        <v>21</v>
      </c>
    </row>
    <row r="3">
      <c r="A3" s="15" t="s">
        <v>22</v>
      </c>
      <c r="B3" s="16" t="s">
        <v>23</v>
      </c>
      <c r="C3" s="17">
        <v>1.0</v>
      </c>
      <c r="D3" s="18">
        <v>11.1</v>
      </c>
      <c r="E3" s="19" t="s">
        <v>24</v>
      </c>
      <c r="F3" s="20"/>
      <c r="G3" s="21" t="s">
        <v>25</v>
      </c>
      <c r="H3" s="20"/>
      <c r="I3" s="22" t="s">
        <v>189</v>
      </c>
      <c r="J3" s="23"/>
      <c r="K3" s="23"/>
      <c r="L3" s="23"/>
      <c r="M3" s="21"/>
      <c r="N3" s="20"/>
      <c r="O3" s="19" t="s">
        <v>27</v>
      </c>
      <c r="P3" s="20"/>
      <c r="Q3" s="24"/>
      <c r="R3" s="25" t="s">
        <v>28</v>
      </c>
      <c r="S3" s="26" t="s">
        <v>29</v>
      </c>
      <c r="T3" s="27"/>
      <c r="U3" s="13"/>
      <c r="V3" s="28" t="s">
        <v>217</v>
      </c>
      <c r="W3" s="20"/>
      <c r="X3" s="29" t="s">
        <v>31</v>
      </c>
    </row>
    <row r="4">
      <c r="A4" s="15" t="s">
        <v>32</v>
      </c>
      <c r="B4" s="16" t="s">
        <v>33</v>
      </c>
      <c r="C4" s="17">
        <v>1.0</v>
      </c>
      <c r="D4" s="18">
        <v>11.1</v>
      </c>
      <c r="E4" s="30"/>
      <c r="F4" s="30"/>
      <c r="G4" s="19" t="s">
        <v>34</v>
      </c>
      <c r="H4" s="20"/>
      <c r="I4" s="23"/>
      <c r="J4" s="23"/>
      <c r="K4" s="23"/>
      <c r="L4" s="23"/>
      <c r="M4" s="19">
        <v>-9166.66</v>
      </c>
      <c r="N4" s="20"/>
      <c r="O4" s="19">
        <v>-101750.0</v>
      </c>
      <c r="P4" s="20"/>
      <c r="Q4" s="31">
        <f>O4/O27</f>
        <v>-1.561257686</v>
      </c>
      <c r="R4" s="32" t="s">
        <v>35</v>
      </c>
      <c r="S4" s="33" t="s">
        <v>36</v>
      </c>
      <c r="U4" s="20"/>
      <c r="V4" s="34" t="s">
        <v>218</v>
      </c>
      <c r="W4" s="20"/>
      <c r="X4" s="35" t="s">
        <v>37</v>
      </c>
    </row>
    <row r="5">
      <c r="A5" s="36" t="s">
        <v>219</v>
      </c>
      <c r="B5" s="37" t="s">
        <v>39</v>
      </c>
      <c r="C5" s="38">
        <v>1.0</v>
      </c>
      <c r="D5" s="39">
        <v>3.3</v>
      </c>
      <c r="E5" s="40" t="s">
        <v>40</v>
      </c>
      <c r="F5" s="13"/>
      <c r="G5" s="39" t="s">
        <v>41</v>
      </c>
      <c r="H5" s="27"/>
      <c r="I5" s="40">
        <v>55.5</v>
      </c>
      <c r="J5" s="38">
        <v>0.0</v>
      </c>
      <c r="K5" s="41">
        <f>N31</f>
        <v>0.5</v>
      </c>
      <c r="L5" s="38">
        <v>0.0</v>
      </c>
      <c r="M5" s="43">
        <f t="shared" ref="M5:M26" si="1">(I5*K5+J5*L5)*C5</f>
        <v>27.75</v>
      </c>
      <c r="N5" s="13"/>
      <c r="O5" s="43">
        <f t="shared" ref="O5:O18" si="2">(M5*D5)</f>
        <v>91.575</v>
      </c>
      <c r="P5" s="13"/>
      <c r="Q5" s="44">
        <f>O5/O27</f>
        <v>0.001405131918</v>
      </c>
      <c r="R5" s="45" t="s">
        <v>42</v>
      </c>
      <c r="S5" s="46" t="s">
        <v>192</v>
      </c>
      <c r="T5" s="27"/>
      <c r="U5" s="13"/>
      <c r="V5" s="34" t="s">
        <v>220</v>
      </c>
      <c r="W5" s="20"/>
      <c r="X5" s="47" t="s">
        <v>44</v>
      </c>
    </row>
    <row r="6">
      <c r="A6" s="48" t="s">
        <v>221</v>
      </c>
      <c r="B6" s="49" t="s">
        <v>46</v>
      </c>
      <c r="C6" s="50">
        <v>1.0</v>
      </c>
      <c r="D6" s="51">
        <v>5.0</v>
      </c>
      <c r="E6" s="42" t="s">
        <v>47</v>
      </c>
      <c r="F6" s="20"/>
      <c r="G6" s="42" t="s">
        <v>25</v>
      </c>
      <c r="H6" s="20"/>
      <c r="I6" s="51">
        <v>400.0</v>
      </c>
      <c r="J6" s="51">
        <v>0.0</v>
      </c>
      <c r="K6" s="52">
        <f>N31</f>
        <v>0.5</v>
      </c>
      <c r="L6" s="51">
        <v>0.0</v>
      </c>
      <c r="M6" s="42">
        <f t="shared" si="1"/>
        <v>200</v>
      </c>
      <c r="N6" s="20"/>
      <c r="O6" s="42">
        <f t="shared" si="2"/>
        <v>1000</v>
      </c>
      <c r="P6" s="20"/>
      <c r="Q6" s="53">
        <f>O6/O27</f>
        <v>0.01534405589</v>
      </c>
      <c r="R6" s="54" t="s">
        <v>48</v>
      </c>
      <c r="S6" s="55" t="s">
        <v>194</v>
      </c>
      <c r="U6" s="20"/>
      <c r="V6" s="34" t="s">
        <v>222</v>
      </c>
      <c r="W6" s="20"/>
      <c r="X6" s="34"/>
    </row>
    <row r="7">
      <c r="A7" s="48" t="s">
        <v>223</v>
      </c>
      <c r="B7" s="49" t="s">
        <v>224</v>
      </c>
      <c r="C7" s="50">
        <v>1.0</v>
      </c>
      <c r="D7" s="51">
        <v>3.3</v>
      </c>
      <c r="E7" s="42" t="s">
        <v>225</v>
      </c>
      <c r="F7" s="20"/>
      <c r="G7" s="42" t="s">
        <v>25</v>
      </c>
      <c r="H7" s="20"/>
      <c r="I7" s="51">
        <v>250.0</v>
      </c>
      <c r="J7" s="51">
        <v>0.0</v>
      </c>
      <c r="K7" s="52">
        <f>N31</f>
        <v>0.5</v>
      </c>
      <c r="L7" s="51">
        <v>0.0</v>
      </c>
      <c r="M7" s="42">
        <f t="shared" si="1"/>
        <v>125</v>
      </c>
      <c r="N7" s="20"/>
      <c r="O7" s="42">
        <f t="shared" si="2"/>
        <v>412.5</v>
      </c>
      <c r="P7" s="20"/>
      <c r="Q7" s="53">
        <f>O7/O27</f>
        <v>0.006329423053</v>
      </c>
      <c r="R7" s="54" t="s">
        <v>48</v>
      </c>
      <c r="S7" s="55" t="s">
        <v>226</v>
      </c>
      <c r="U7" s="20"/>
      <c r="V7" s="34"/>
      <c r="W7" s="20"/>
    </row>
    <row r="8">
      <c r="A8" s="48" t="s">
        <v>223</v>
      </c>
      <c r="B8" s="49" t="s">
        <v>227</v>
      </c>
      <c r="C8" s="50">
        <v>1.0</v>
      </c>
      <c r="D8" s="51">
        <v>1.8</v>
      </c>
      <c r="E8" s="42" t="s">
        <v>228</v>
      </c>
      <c r="F8" s="20"/>
      <c r="G8" s="42" t="s">
        <v>25</v>
      </c>
      <c r="H8" s="20"/>
      <c r="I8" s="51">
        <v>250.0</v>
      </c>
      <c r="J8" s="51">
        <v>0.0</v>
      </c>
      <c r="K8" s="52">
        <f>N31</f>
        <v>0.5</v>
      </c>
      <c r="L8" s="51">
        <v>0.0</v>
      </c>
      <c r="M8" s="42">
        <f t="shared" si="1"/>
        <v>125</v>
      </c>
      <c r="N8" s="20"/>
      <c r="O8" s="42">
        <f t="shared" si="2"/>
        <v>225</v>
      </c>
      <c r="P8" s="20"/>
      <c r="Q8" s="53">
        <f>O8/O27</f>
        <v>0.003452412575</v>
      </c>
      <c r="R8" s="54" t="s">
        <v>48</v>
      </c>
      <c r="S8" s="55" t="s">
        <v>226</v>
      </c>
      <c r="U8" s="20"/>
      <c r="V8" s="34"/>
      <c r="W8" s="20"/>
    </row>
    <row r="9">
      <c r="A9" s="48" t="s">
        <v>223</v>
      </c>
      <c r="B9" s="49" t="s">
        <v>229</v>
      </c>
      <c r="C9" s="50">
        <v>1.0</v>
      </c>
      <c r="D9" s="51">
        <v>3.3</v>
      </c>
      <c r="E9" s="42" t="s">
        <v>230</v>
      </c>
      <c r="F9" s="20"/>
      <c r="G9" s="42" t="s">
        <v>25</v>
      </c>
      <c r="H9" s="20"/>
      <c r="I9" s="51">
        <v>25.0</v>
      </c>
      <c r="J9" s="51">
        <v>0.0</v>
      </c>
      <c r="K9" s="52">
        <f>N31</f>
        <v>0.5</v>
      </c>
      <c r="L9" s="51">
        <v>0.0</v>
      </c>
      <c r="M9" s="42">
        <f t="shared" si="1"/>
        <v>12.5</v>
      </c>
      <c r="N9" s="20"/>
      <c r="O9" s="42">
        <f t="shared" si="2"/>
        <v>41.25</v>
      </c>
      <c r="P9" s="20"/>
      <c r="Q9" s="53">
        <f>O9/O27</f>
        <v>0.0006329423053</v>
      </c>
      <c r="R9" s="54" t="s">
        <v>48</v>
      </c>
      <c r="S9" s="55" t="s">
        <v>226</v>
      </c>
      <c r="U9" s="20"/>
      <c r="W9" s="20"/>
    </row>
    <row r="10">
      <c r="A10" s="48" t="s">
        <v>223</v>
      </c>
      <c r="B10" s="49" t="s">
        <v>231</v>
      </c>
      <c r="C10" s="50">
        <v>1.0</v>
      </c>
      <c r="D10" s="51">
        <v>3.3</v>
      </c>
      <c r="E10" s="42" t="s">
        <v>232</v>
      </c>
      <c r="F10" s="20"/>
      <c r="G10" s="42" t="s">
        <v>233</v>
      </c>
      <c r="H10" s="20"/>
      <c r="I10" s="51">
        <v>50.0</v>
      </c>
      <c r="J10" s="51">
        <v>0.0</v>
      </c>
      <c r="K10" s="52">
        <f>N31</f>
        <v>0.5</v>
      </c>
      <c r="L10" s="51">
        <v>0.0</v>
      </c>
      <c r="M10" s="42">
        <f t="shared" si="1"/>
        <v>25</v>
      </c>
      <c r="N10" s="20"/>
      <c r="O10" s="42">
        <f t="shared" si="2"/>
        <v>82.5</v>
      </c>
      <c r="P10" s="20"/>
      <c r="Q10" s="53">
        <f>O10/O27</f>
        <v>0.001265884611</v>
      </c>
      <c r="R10" s="54" t="s">
        <v>48</v>
      </c>
      <c r="S10" s="55" t="s">
        <v>234</v>
      </c>
      <c r="U10" s="20"/>
      <c r="V10" s="34"/>
      <c r="W10" s="20"/>
    </row>
    <row r="11">
      <c r="A11" s="48" t="s">
        <v>223</v>
      </c>
      <c r="B11" s="49" t="s">
        <v>235</v>
      </c>
      <c r="C11" s="50">
        <v>1.0</v>
      </c>
      <c r="D11" s="51">
        <v>3.3</v>
      </c>
      <c r="E11" s="42" t="s">
        <v>232</v>
      </c>
      <c r="F11" s="20"/>
      <c r="G11" s="42" t="s">
        <v>233</v>
      </c>
      <c r="H11" s="20"/>
      <c r="I11" s="51">
        <v>50.0</v>
      </c>
      <c r="J11" s="51">
        <v>0.0</v>
      </c>
      <c r="K11" s="52">
        <f>N31</f>
        <v>0.5</v>
      </c>
      <c r="L11" s="51">
        <v>0.0</v>
      </c>
      <c r="M11" s="42">
        <f t="shared" si="1"/>
        <v>25</v>
      </c>
      <c r="N11" s="20"/>
      <c r="O11" s="42">
        <f t="shared" si="2"/>
        <v>82.5</v>
      </c>
      <c r="P11" s="20"/>
      <c r="Q11" s="53">
        <f>O11/O27</f>
        <v>0.001265884611</v>
      </c>
      <c r="R11" s="54" t="s">
        <v>48</v>
      </c>
      <c r="S11" s="55" t="s">
        <v>236</v>
      </c>
      <c r="U11" s="20"/>
      <c r="V11" s="34"/>
      <c r="W11" s="20"/>
    </row>
    <row r="12">
      <c r="A12" s="216" t="s">
        <v>237</v>
      </c>
      <c r="B12" s="217" t="s">
        <v>238</v>
      </c>
      <c r="C12" s="50">
        <v>1.0</v>
      </c>
      <c r="D12" s="51">
        <v>3.3</v>
      </c>
      <c r="E12" s="42" t="s">
        <v>239</v>
      </c>
      <c r="F12" s="20"/>
      <c r="G12" s="42" t="s">
        <v>69</v>
      </c>
      <c r="H12" s="20"/>
      <c r="I12" s="51">
        <v>20.0</v>
      </c>
      <c r="J12" s="51">
        <v>0.0</v>
      </c>
      <c r="K12" s="52">
        <f>N31</f>
        <v>0.5</v>
      </c>
      <c r="L12" s="51">
        <v>0.0</v>
      </c>
      <c r="M12" s="42">
        <f t="shared" si="1"/>
        <v>10</v>
      </c>
      <c r="N12" s="20"/>
      <c r="O12" s="42">
        <f t="shared" si="2"/>
        <v>33</v>
      </c>
      <c r="P12" s="20"/>
      <c r="Q12" s="53">
        <f>O12/O27</f>
        <v>0.0005063538443</v>
      </c>
      <c r="R12" s="218" t="s">
        <v>240</v>
      </c>
      <c r="S12" s="219" t="s">
        <v>241</v>
      </c>
      <c r="U12" s="20"/>
      <c r="V12" s="34"/>
      <c r="W12" s="20"/>
    </row>
    <row r="13">
      <c r="A13" s="220" t="s">
        <v>242</v>
      </c>
      <c r="B13" s="221" t="s">
        <v>243</v>
      </c>
      <c r="C13" s="50">
        <v>1.0</v>
      </c>
      <c r="D13" s="51">
        <v>3.3</v>
      </c>
      <c r="E13" s="42" t="s">
        <v>244</v>
      </c>
      <c r="F13" s="20"/>
      <c r="G13" s="42" t="s">
        <v>69</v>
      </c>
      <c r="H13" s="20"/>
      <c r="I13" s="51">
        <v>1.7</v>
      </c>
      <c r="J13" s="51">
        <v>0.0</v>
      </c>
      <c r="K13" s="52">
        <f>N31</f>
        <v>0.5</v>
      </c>
      <c r="L13" s="51">
        <v>0.0</v>
      </c>
      <c r="M13" s="42">
        <f t="shared" si="1"/>
        <v>0.85</v>
      </c>
      <c r="N13" s="20"/>
      <c r="O13" s="42">
        <f t="shared" si="2"/>
        <v>2.805</v>
      </c>
      <c r="P13" s="20"/>
      <c r="Q13" s="53">
        <f>O13/O27</f>
        <v>0.00004304007676</v>
      </c>
      <c r="R13" s="218" t="s">
        <v>245</v>
      </c>
      <c r="S13" s="219" t="s">
        <v>246</v>
      </c>
      <c r="U13" s="20"/>
    </row>
    <row r="14">
      <c r="A14" s="56" t="s">
        <v>50</v>
      </c>
      <c r="B14" s="49" t="s">
        <v>247</v>
      </c>
      <c r="C14" s="50">
        <v>1.0</v>
      </c>
      <c r="D14" s="51">
        <v>11.1</v>
      </c>
      <c r="E14" s="42" t="s">
        <v>52</v>
      </c>
      <c r="F14" s="20"/>
      <c r="G14" s="42" t="s">
        <v>53</v>
      </c>
      <c r="H14" s="20"/>
      <c r="I14" s="51">
        <v>280.0</v>
      </c>
      <c r="J14" s="51">
        <v>0.0</v>
      </c>
      <c r="K14" s="57">
        <f>N31</f>
        <v>0.5</v>
      </c>
      <c r="L14" s="51">
        <v>0.0</v>
      </c>
      <c r="M14" s="42">
        <f t="shared" si="1"/>
        <v>140</v>
      </c>
      <c r="N14" s="20"/>
      <c r="O14" s="42">
        <f t="shared" si="2"/>
        <v>1554</v>
      </c>
      <c r="P14" s="20"/>
      <c r="Q14" s="53">
        <f>O14/O27</f>
        <v>0.02384466285</v>
      </c>
      <c r="R14" s="58" t="s">
        <v>54</v>
      </c>
      <c r="S14" s="29" t="s">
        <v>196</v>
      </c>
      <c r="U14" s="20"/>
      <c r="V14" s="34"/>
    </row>
    <row r="15">
      <c r="A15" s="59" t="s">
        <v>223</v>
      </c>
      <c r="B15" s="49" t="s">
        <v>248</v>
      </c>
      <c r="C15" s="50">
        <v>1.0</v>
      </c>
      <c r="D15" s="51">
        <v>5.0</v>
      </c>
      <c r="E15" s="42" t="s">
        <v>249</v>
      </c>
      <c r="F15" s="20"/>
      <c r="G15" s="42" t="s">
        <v>25</v>
      </c>
      <c r="H15" s="20"/>
      <c r="I15" s="51">
        <v>135.0</v>
      </c>
      <c r="J15" s="51">
        <v>0.0</v>
      </c>
      <c r="K15" s="57">
        <f>N31</f>
        <v>0.5</v>
      </c>
      <c r="L15" s="51">
        <v>0.0</v>
      </c>
      <c r="M15" s="42">
        <f t="shared" si="1"/>
        <v>67.5</v>
      </c>
      <c r="N15" s="20"/>
      <c r="O15" s="42">
        <f t="shared" si="2"/>
        <v>337.5</v>
      </c>
      <c r="P15" s="20"/>
      <c r="Q15" s="53">
        <f>O15/O27</f>
        <v>0.005178618862</v>
      </c>
      <c r="R15" s="58" t="s">
        <v>54</v>
      </c>
      <c r="S15" s="29" t="s">
        <v>250</v>
      </c>
      <c r="U15" s="20"/>
      <c r="V15" s="34"/>
    </row>
    <row r="16">
      <c r="A16" s="59" t="s">
        <v>56</v>
      </c>
      <c r="B16" s="49" t="s">
        <v>57</v>
      </c>
      <c r="C16" s="50">
        <v>1.0</v>
      </c>
      <c r="D16" s="51">
        <v>5.0</v>
      </c>
      <c r="E16" s="42" t="s">
        <v>58</v>
      </c>
      <c r="F16" s="20"/>
      <c r="G16" s="42" t="s">
        <v>25</v>
      </c>
      <c r="H16" s="20"/>
      <c r="I16" s="51">
        <v>20.0</v>
      </c>
      <c r="J16" s="51">
        <v>0.0</v>
      </c>
      <c r="K16" s="57">
        <f>N31</f>
        <v>0.5</v>
      </c>
      <c r="L16" s="51">
        <v>0.0</v>
      </c>
      <c r="M16" s="42">
        <f t="shared" si="1"/>
        <v>10</v>
      </c>
      <c r="N16" s="20"/>
      <c r="O16" s="42">
        <f t="shared" si="2"/>
        <v>50</v>
      </c>
      <c r="P16" s="20"/>
      <c r="Q16" s="53">
        <f>O16/O27</f>
        <v>0.0007672027943</v>
      </c>
      <c r="R16" s="60" t="s">
        <v>59</v>
      </c>
      <c r="S16" s="29" t="s">
        <v>198</v>
      </c>
      <c r="U16" s="20"/>
      <c r="V16" s="34"/>
    </row>
    <row r="17">
      <c r="A17" s="61" t="s">
        <v>61</v>
      </c>
      <c r="B17" s="62" t="s">
        <v>62</v>
      </c>
      <c r="C17" s="63">
        <v>1.0</v>
      </c>
      <c r="D17" s="64">
        <v>5.0</v>
      </c>
      <c r="E17" s="65" t="s">
        <v>63</v>
      </c>
      <c r="F17" s="66"/>
      <c r="G17" s="65" t="s">
        <v>25</v>
      </c>
      <c r="H17" s="66"/>
      <c r="I17" s="64">
        <v>100.0</v>
      </c>
      <c r="J17" s="64">
        <v>0.0</v>
      </c>
      <c r="K17" s="68">
        <f>N31</f>
        <v>0.5</v>
      </c>
      <c r="L17" s="64">
        <v>0.0</v>
      </c>
      <c r="M17" s="65">
        <f t="shared" si="1"/>
        <v>50</v>
      </c>
      <c r="N17" s="66"/>
      <c r="O17" s="65">
        <f t="shared" si="2"/>
        <v>250</v>
      </c>
      <c r="P17" s="66"/>
      <c r="Q17" s="69">
        <f>O17/O27</f>
        <v>0.003836013972</v>
      </c>
      <c r="R17" s="70" t="s">
        <v>64</v>
      </c>
      <c r="S17" s="71" t="s">
        <v>65</v>
      </c>
      <c r="T17" s="72"/>
      <c r="U17" s="66"/>
    </row>
    <row r="18">
      <c r="A18" s="73" t="s">
        <v>66</v>
      </c>
      <c r="B18" s="74" t="s">
        <v>251</v>
      </c>
      <c r="C18" s="75">
        <v>1.0</v>
      </c>
      <c r="D18" s="78">
        <v>3.3</v>
      </c>
      <c r="E18" s="77" t="s">
        <v>68</v>
      </c>
      <c r="F18" s="20"/>
      <c r="G18" s="77" t="s">
        <v>69</v>
      </c>
      <c r="H18" s="20"/>
      <c r="I18" s="78">
        <v>0.265</v>
      </c>
      <c r="J18" s="78">
        <v>0.0</v>
      </c>
      <c r="K18" s="79">
        <f>N31</f>
        <v>0.5</v>
      </c>
      <c r="L18" s="78">
        <v>0.0</v>
      </c>
      <c r="M18" s="77">
        <f t="shared" si="1"/>
        <v>0.1325</v>
      </c>
      <c r="N18" s="20"/>
      <c r="O18" s="77">
        <f t="shared" si="2"/>
        <v>0.43725</v>
      </c>
      <c r="P18" s="20"/>
      <c r="Q18" s="81">
        <f>O18/O27</f>
        <v>0.000006709188437</v>
      </c>
      <c r="R18" s="82" t="s">
        <v>70</v>
      </c>
      <c r="S18" s="83" t="s">
        <v>71</v>
      </c>
      <c r="U18" s="20"/>
    </row>
    <row r="19">
      <c r="A19" s="73" t="s">
        <v>72</v>
      </c>
      <c r="B19" s="84" t="s">
        <v>73</v>
      </c>
      <c r="C19" s="85">
        <v>4.0</v>
      </c>
      <c r="D19" s="78">
        <v>5.0</v>
      </c>
      <c r="E19" s="77" t="s">
        <v>74</v>
      </c>
      <c r="F19" s="20"/>
      <c r="G19" s="77" t="s">
        <v>75</v>
      </c>
      <c r="H19" s="20"/>
      <c r="I19" s="78">
        <v>15.0</v>
      </c>
      <c r="J19" s="78">
        <v>0.0</v>
      </c>
      <c r="K19" s="79">
        <f>N31</f>
        <v>0.5</v>
      </c>
      <c r="L19" s="78">
        <v>0.0</v>
      </c>
      <c r="M19" s="77">
        <f t="shared" si="1"/>
        <v>30</v>
      </c>
      <c r="N19" s="20"/>
      <c r="O19" s="77">
        <f>(M19*D19) + 0.844 * K19</f>
        <v>150.422</v>
      </c>
      <c r="P19" s="20"/>
      <c r="Q19" s="81">
        <f>O19/O27</f>
        <v>0.002308083575</v>
      </c>
      <c r="R19" s="82" t="s">
        <v>76</v>
      </c>
      <c r="S19" s="83" t="s">
        <v>77</v>
      </c>
      <c r="U19" s="20"/>
    </row>
    <row r="20">
      <c r="A20" s="87" t="s">
        <v>78</v>
      </c>
      <c r="B20" s="88" t="s">
        <v>79</v>
      </c>
      <c r="C20" s="75">
        <v>1.0</v>
      </c>
      <c r="D20" s="78">
        <v>3.3</v>
      </c>
      <c r="E20" s="77" t="s">
        <v>80</v>
      </c>
      <c r="F20" s="20"/>
      <c r="G20" s="77" t="s">
        <v>81</v>
      </c>
      <c r="H20" s="20"/>
      <c r="I20" s="78">
        <v>20.0</v>
      </c>
      <c r="J20" s="78">
        <v>25.0</v>
      </c>
      <c r="K20" s="89">
        <f>N31 - 0.01</f>
        <v>0.49</v>
      </c>
      <c r="L20" s="78">
        <v>0.01</v>
      </c>
      <c r="M20" s="77">
        <f t="shared" si="1"/>
        <v>10.05</v>
      </c>
      <c r="N20" s="20"/>
      <c r="O20" s="77">
        <f>(M20*D20)+ 1.09 * K20</f>
        <v>33.6991</v>
      </c>
      <c r="P20" s="20"/>
      <c r="Q20" s="81">
        <f>O20/O27</f>
        <v>0.0005170808737</v>
      </c>
      <c r="R20" s="82" t="s">
        <v>82</v>
      </c>
      <c r="S20" s="83" t="s">
        <v>199</v>
      </c>
      <c r="U20" s="20"/>
    </row>
    <row r="21">
      <c r="A21" s="197" t="s">
        <v>200</v>
      </c>
      <c r="B21" s="198" t="s">
        <v>201</v>
      </c>
      <c r="C21" s="75">
        <v>1.0</v>
      </c>
      <c r="D21" s="78">
        <v>3.3</v>
      </c>
      <c r="E21" s="77" t="s">
        <v>202</v>
      </c>
      <c r="F21" s="20"/>
      <c r="G21" s="77" t="s">
        <v>25</v>
      </c>
      <c r="H21" s="20"/>
      <c r="I21" s="78">
        <v>8.6</v>
      </c>
      <c r="J21" s="78">
        <v>0.0</v>
      </c>
      <c r="K21" s="79">
        <f>N31</f>
        <v>0.5</v>
      </c>
      <c r="L21" s="78">
        <v>0.0</v>
      </c>
      <c r="M21" s="77">
        <f t="shared" si="1"/>
        <v>4.3</v>
      </c>
      <c r="N21" s="20"/>
      <c r="O21" s="77">
        <f t="shared" ref="O21:O26" si="3">(M21*D21)</f>
        <v>14.19</v>
      </c>
      <c r="P21" s="20"/>
      <c r="Q21" s="81">
        <f>O21/O27</f>
        <v>0.000217732153</v>
      </c>
      <c r="R21" s="199" t="s">
        <v>203</v>
      </c>
      <c r="S21" s="83" t="s">
        <v>204</v>
      </c>
      <c r="U21" s="20"/>
      <c r="V21" s="34"/>
      <c r="W21" s="34"/>
    </row>
    <row r="22">
      <c r="A22" s="73" t="s">
        <v>84</v>
      </c>
      <c r="B22" s="90" t="s">
        <v>85</v>
      </c>
      <c r="C22" s="75">
        <v>1.0</v>
      </c>
      <c r="D22" s="78">
        <v>1.8</v>
      </c>
      <c r="E22" s="77" t="s">
        <v>86</v>
      </c>
      <c r="F22" s="20"/>
      <c r="G22" s="77" t="s">
        <v>87</v>
      </c>
      <c r="H22" s="20"/>
      <c r="I22" s="78">
        <v>3.11</v>
      </c>
      <c r="J22" s="78">
        <v>0.0</v>
      </c>
      <c r="K22" s="79">
        <f>N31</f>
        <v>0.5</v>
      </c>
      <c r="L22" s="78">
        <v>0.0</v>
      </c>
      <c r="M22" s="77">
        <f t="shared" si="1"/>
        <v>1.555</v>
      </c>
      <c r="N22" s="20"/>
      <c r="O22" s="77">
        <f t="shared" si="3"/>
        <v>2.799</v>
      </c>
      <c r="P22" s="20"/>
      <c r="Q22" s="81">
        <f>O22/O27</f>
        <v>0.00004294801243</v>
      </c>
      <c r="R22" s="91" t="s">
        <v>88</v>
      </c>
      <c r="S22" s="83" t="s">
        <v>89</v>
      </c>
      <c r="U22" s="20"/>
    </row>
    <row r="23">
      <c r="A23" s="222" t="s">
        <v>252</v>
      </c>
      <c r="B23" s="223" t="s">
        <v>253</v>
      </c>
      <c r="C23" s="85">
        <v>2.0</v>
      </c>
      <c r="D23" s="78">
        <v>1.8</v>
      </c>
      <c r="E23" s="77" t="s">
        <v>254</v>
      </c>
      <c r="F23" s="20"/>
      <c r="G23" s="77" t="s">
        <v>255</v>
      </c>
      <c r="H23" s="20"/>
      <c r="I23" s="78">
        <v>14.8</v>
      </c>
      <c r="J23" s="78">
        <v>0.0</v>
      </c>
      <c r="K23" s="79">
        <f>N31</f>
        <v>0.5</v>
      </c>
      <c r="L23" s="78">
        <v>0.0</v>
      </c>
      <c r="M23" s="77">
        <f t="shared" si="1"/>
        <v>14.8</v>
      </c>
      <c r="N23" s="20"/>
      <c r="O23" s="77">
        <f t="shared" si="3"/>
        <v>26.64</v>
      </c>
      <c r="P23" s="20"/>
      <c r="Q23" s="81">
        <f>O23/O27</f>
        <v>0.0004087656488</v>
      </c>
      <c r="R23" s="91" t="s">
        <v>256</v>
      </c>
      <c r="S23" s="224" t="s">
        <v>257</v>
      </c>
      <c r="U23" s="20"/>
    </row>
    <row r="24">
      <c r="A24" s="92" t="s">
        <v>90</v>
      </c>
      <c r="B24" s="93" t="s">
        <v>91</v>
      </c>
      <c r="C24" s="94">
        <v>1.0</v>
      </c>
      <c r="D24" s="95">
        <v>3.3</v>
      </c>
      <c r="E24" s="96" t="s">
        <v>92</v>
      </c>
      <c r="F24" s="66"/>
      <c r="G24" s="96" t="s">
        <v>93</v>
      </c>
      <c r="H24" s="66"/>
      <c r="I24" s="95">
        <v>3.03</v>
      </c>
      <c r="J24" s="95">
        <v>0.0</v>
      </c>
      <c r="K24" s="97">
        <f>N31</f>
        <v>0.5</v>
      </c>
      <c r="L24" s="95">
        <v>0.0</v>
      </c>
      <c r="M24" s="96">
        <f t="shared" si="1"/>
        <v>1.515</v>
      </c>
      <c r="N24" s="66"/>
      <c r="O24" s="96">
        <f t="shared" si="3"/>
        <v>4.9995</v>
      </c>
      <c r="P24" s="66"/>
      <c r="Q24" s="99">
        <f>O24/O27</f>
        <v>0.00007671260741</v>
      </c>
      <c r="R24" s="100" t="s">
        <v>94</v>
      </c>
      <c r="S24" s="101" t="s">
        <v>205</v>
      </c>
      <c r="T24" s="72"/>
      <c r="U24" s="66"/>
    </row>
    <row r="25">
      <c r="A25" s="102" t="s">
        <v>206</v>
      </c>
      <c r="B25" s="103" t="s">
        <v>97</v>
      </c>
      <c r="C25" s="104">
        <v>4.0</v>
      </c>
      <c r="D25" s="105">
        <v>11.1</v>
      </c>
      <c r="E25" s="106" t="s">
        <v>98</v>
      </c>
      <c r="F25" s="20"/>
      <c r="G25" s="106" t="s">
        <v>25</v>
      </c>
      <c r="H25" s="20"/>
      <c r="I25" s="105">
        <v>2580.0</v>
      </c>
      <c r="J25" s="106">
        <v>871.0</v>
      </c>
      <c r="K25" s="107">
        <f>N31 * N33</f>
        <v>0.5</v>
      </c>
      <c r="L25" s="105">
        <f>N31 * (1 - N33)</f>
        <v>0</v>
      </c>
      <c r="M25" s="106">
        <f t="shared" si="1"/>
        <v>5160</v>
      </c>
      <c r="N25" s="20"/>
      <c r="O25" s="106">
        <f t="shared" si="3"/>
        <v>57276</v>
      </c>
      <c r="P25" s="20"/>
      <c r="Q25" s="108">
        <f>O25/O27</f>
        <v>0.878846145</v>
      </c>
      <c r="R25" s="109" t="s">
        <v>99</v>
      </c>
      <c r="S25" s="47" t="s">
        <v>100</v>
      </c>
      <c r="U25" s="20"/>
      <c r="V25" s="34" t="s">
        <v>207</v>
      </c>
    </row>
    <row r="26">
      <c r="A26" s="110" t="s">
        <v>101</v>
      </c>
      <c r="B26" s="111" t="s">
        <v>102</v>
      </c>
      <c r="C26" s="112">
        <v>4.0</v>
      </c>
      <c r="D26" s="105">
        <v>5.0</v>
      </c>
      <c r="E26" s="113" t="s">
        <v>103</v>
      </c>
      <c r="F26" s="66"/>
      <c r="G26" s="113" t="s">
        <v>25</v>
      </c>
      <c r="H26" s="66"/>
      <c r="I26" s="114">
        <v>350.0</v>
      </c>
      <c r="J26" s="114">
        <v>3.0</v>
      </c>
      <c r="K26" s="115">
        <f>N31 * N35</f>
        <v>0.5</v>
      </c>
      <c r="L26" s="114">
        <f>N31*(1-N35)</f>
        <v>0</v>
      </c>
      <c r="M26" s="113">
        <f t="shared" si="1"/>
        <v>700</v>
      </c>
      <c r="N26" s="66"/>
      <c r="O26" s="113">
        <f t="shared" si="3"/>
        <v>3500</v>
      </c>
      <c r="P26" s="66"/>
      <c r="Q26" s="116">
        <f>O26/O27</f>
        <v>0.0537041956</v>
      </c>
      <c r="R26" s="117" t="s">
        <v>104</v>
      </c>
      <c r="S26" s="118" t="s">
        <v>208</v>
      </c>
      <c r="T26" s="72"/>
      <c r="U26" s="66"/>
      <c r="V26" s="200" t="s">
        <v>209</v>
      </c>
    </row>
    <row r="27">
      <c r="A27" s="119"/>
      <c r="B27" s="120"/>
      <c r="C27" s="121"/>
      <c r="D27" s="122">
        <v>11.1</v>
      </c>
      <c r="M27" s="124">
        <f>sum(M5:N26)</f>
        <v>6740.9525</v>
      </c>
      <c r="N27" s="6"/>
      <c r="O27" s="124">
        <f>SUM(O5:O26)</f>
        <v>65171.81685</v>
      </c>
      <c r="P27" s="6"/>
    </row>
    <row r="28">
      <c r="A28" s="125" t="s">
        <v>210</v>
      </c>
      <c r="C28" s="121"/>
      <c r="D28" s="126" t="s">
        <v>107</v>
      </c>
      <c r="E28" s="34" t="s">
        <v>211</v>
      </c>
      <c r="M28" s="127" t="s">
        <v>108</v>
      </c>
      <c r="N28" s="72"/>
      <c r="O28" s="127" t="s">
        <v>109</v>
      </c>
      <c r="P28" s="66"/>
    </row>
    <row r="29">
      <c r="A29" s="201" t="s">
        <v>212</v>
      </c>
      <c r="B29" s="128"/>
      <c r="C29" s="125"/>
      <c r="D29" s="34"/>
      <c r="E29" s="200" t="s">
        <v>213</v>
      </c>
    </row>
    <row r="30">
      <c r="A30" s="129" t="s">
        <v>110</v>
      </c>
      <c r="B30" s="130" t="s">
        <v>111</v>
      </c>
      <c r="C30" s="130" t="s">
        <v>112</v>
      </c>
      <c r="D30" s="131" t="s">
        <v>113</v>
      </c>
      <c r="E30" s="131" t="s">
        <v>114</v>
      </c>
      <c r="F30" s="132" t="s">
        <v>115</v>
      </c>
      <c r="G30" s="6"/>
      <c r="H30" s="131" t="s">
        <v>116</v>
      </c>
      <c r="I30" s="131" t="s">
        <v>117</v>
      </c>
      <c r="J30" s="132" t="s">
        <v>19</v>
      </c>
      <c r="K30" s="6"/>
      <c r="L30" s="34"/>
      <c r="N30" s="134" t="s">
        <v>118</v>
      </c>
      <c r="P30" s="135" t="s">
        <v>119</v>
      </c>
      <c r="Q30" s="136"/>
      <c r="R30" s="137" t="s">
        <v>120</v>
      </c>
      <c r="S30" s="6"/>
      <c r="T30" s="34"/>
    </row>
    <row r="31">
      <c r="A31" s="138" t="s">
        <v>121</v>
      </c>
      <c r="B31" s="139">
        <v>3.0</v>
      </c>
      <c r="C31" s="140" t="s">
        <v>122</v>
      </c>
      <c r="D31" s="139">
        <v>0.0</v>
      </c>
      <c r="E31" s="139">
        <v>14949.0</v>
      </c>
      <c r="F31" s="140" t="s">
        <v>25</v>
      </c>
      <c r="G31" s="20"/>
      <c r="H31" s="142">
        <f>I31*N31</f>
        <v>813</v>
      </c>
      <c r="I31" s="142">
        <v>1626.0</v>
      </c>
      <c r="J31" s="143" t="s">
        <v>258</v>
      </c>
      <c r="K31" s="20"/>
      <c r="L31" s="34"/>
      <c r="N31" s="126">
        <v>0.5</v>
      </c>
      <c r="P31" s="144" t="s">
        <v>124</v>
      </c>
      <c r="Q31" s="145"/>
      <c r="R31" s="146">
        <f>SUM(O5:O26) + H36</f>
        <v>71521.81685</v>
      </c>
      <c r="S31" s="20"/>
      <c r="T31" s="147"/>
    </row>
    <row r="32">
      <c r="A32" s="138" t="s">
        <v>125</v>
      </c>
      <c r="B32" s="139">
        <v>4.0</v>
      </c>
      <c r="C32" s="140">
        <v>5.0</v>
      </c>
      <c r="D32" s="139">
        <v>6.1</v>
      </c>
      <c r="E32" s="139">
        <v>1400.0</v>
      </c>
      <c r="F32" s="140">
        <v>5000.0</v>
      </c>
      <c r="G32" s="20"/>
      <c r="H32" s="148">
        <f>1235*N35*N31 + 3/350*1235*(1-N35)*N31</f>
        <v>617.5</v>
      </c>
      <c r="I32" s="140">
        <v>1235.0</v>
      </c>
      <c r="J32" s="149" t="s">
        <v>126</v>
      </c>
      <c r="K32" s="20"/>
      <c r="L32" s="34"/>
      <c r="N32" s="150" t="s">
        <v>127</v>
      </c>
      <c r="P32" s="144" t="s">
        <v>128</v>
      </c>
      <c r="Q32" s="145"/>
      <c r="R32" s="151">
        <v>101750.0</v>
      </c>
      <c r="S32" s="20"/>
      <c r="T32" s="152"/>
    </row>
    <row r="33">
      <c r="A33" s="138" t="s">
        <v>129</v>
      </c>
      <c r="B33" s="139">
        <v>12.0</v>
      </c>
      <c r="C33" s="140">
        <v>3.3</v>
      </c>
      <c r="D33" s="139">
        <v>7.6</v>
      </c>
      <c r="E33" s="139">
        <v>484.0</v>
      </c>
      <c r="F33" s="140">
        <v>800.0</v>
      </c>
      <c r="G33" s="20"/>
      <c r="H33" s="141">
        <f>D33*E33*N31</f>
        <v>1839.2</v>
      </c>
      <c r="I33" s="142">
        <v>3678.0</v>
      </c>
      <c r="J33" s="149" t="s">
        <v>259</v>
      </c>
      <c r="K33" s="20"/>
      <c r="L33" s="34"/>
      <c r="N33" s="126">
        <v>1.0</v>
      </c>
      <c r="P33" s="144" t="s">
        <v>131</v>
      </c>
      <c r="R33" s="153" t="str">
        <f>If(R31&gt;R32, "Out of Battery", "Not out of Battery")</f>
        <v>Not out of Battery</v>
      </c>
      <c r="S33" s="20"/>
      <c r="T33" s="152"/>
    </row>
    <row r="34">
      <c r="A34" s="142" t="s">
        <v>260</v>
      </c>
      <c r="B34" s="140">
        <v>3.0</v>
      </c>
      <c r="C34" s="139">
        <v>1.8</v>
      </c>
      <c r="D34" s="140">
        <v>9.3</v>
      </c>
      <c r="E34" s="139">
        <v>282.0</v>
      </c>
      <c r="F34" s="140">
        <v>800.0</v>
      </c>
      <c r="H34" s="148">
        <f>D34*E34*N31</f>
        <v>1311.3</v>
      </c>
      <c r="I34" s="140">
        <v>2622.0</v>
      </c>
      <c r="J34" s="149" t="s">
        <v>261</v>
      </c>
      <c r="K34" s="20"/>
      <c r="N34" s="150" t="s">
        <v>134</v>
      </c>
      <c r="P34" s="144" t="s">
        <v>135</v>
      </c>
      <c r="R34" s="159">
        <f>Sum(O25)</f>
        <v>57276</v>
      </c>
      <c r="S34" s="20"/>
      <c r="T34" s="160">
        <f>R34/R31</f>
        <v>0.8008185827</v>
      </c>
      <c r="U34" s="20"/>
    </row>
    <row r="35">
      <c r="A35" s="154" t="s">
        <v>132</v>
      </c>
      <c r="B35" s="155">
        <v>1.0</v>
      </c>
      <c r="C35" s="156">
        <v>5.0</v>
      </c>
      <c r="D35" s="155">
        <v>6.1</v>
      </c>
      <c r="E35" s="156">
        <v>580.0</v>
      </c>
      <c r="F35" s="155">
        <v>800.0</v>
      </c>
      <c r="G35" s="72"/>
      <c r="H35" s="157">
        <f>D35*E35*N31</f>
        <v>1769</v>
      </c>
      <c r="I35" s="155">
        <v>3538.0</v>
      </c>
      <c r="J35" s="158" t="s">
        <v>262</v>
      </c>
      <c r="K35" s="66"/>
      <c r="N35" s="150">
        <v>1.0</v>
      </c>
      <c r="O35" s="34"/>
      <c r="P35" s="144" t="s">
        <v>136</v>
      </c>
      <c r="R35" s="159">
        <f>O26</f>
        <v>3500</v>
      </c>
      <c r="S35" s="20"/>
      <c r="T35" s="160">
        <f>R35/R31</f>
        <v>0.04893611704</v>
      </c>
      <c r="U35" s="20"/>
    </row>
    <row r="36">
      <c r="A36" s="161"/>
      <c r="H36" s="148">
        <f>SUM(H31:H35)</f>
        <v>6350</v>
      </c>
      <c r="I36" s="28"/>
      <c r="N36" s="163"/>
      <c r="O36" s="34"/>
      <c r="P36" s="144" t="s">
        <v>138</v>
      </c>
      <c r="R36" s="164">
        <f>SUM(O5:O24)</f>
        <v>4395.81685</v>
      </c>
      <c r="S36" s="20"/>
      <c r="T36" s="160">
        <f>R36/R31</f>
        <v>0.06146120224</v>
      </c>
      <c r="U36" s="20"/>
    </row>
    <row r="37">
      <c r="H37" s="162" t="s">
        <v>137</v>
      </c>
      <c r="P37" s="144" t="s">
        <v>139</v>
      </c>
      <c r="R37" s="159">
        <f>R31-R34-R35-R36</f>
        <v>6350</v>
      </c>
      <c r="S37" s="20"/>
      <c r="T37" s="160">
        <f>R37/R31</f>
        <v>0.08878409805</v>
      </c>
      <c r="U37" s="20"/>
    </row>
    <row r="39">
      <c r="A39" s="165" t="s">
        <v>140</v>
      </c>
      <c r="B39" s="166"/>
      <c r="C39" s="166"/>
      <c r="D39" s="34" t="s">
        <v>141</v>
      </c>
      <c r="E39" s="34" t="s">
        <v>142</v>
      </c>
      <c r="F39" s="34" t="s">
        <v>143</v>
      </c>
      <c r="G39" s="34" t="s">
        <v>144</v>
      </c>
    </row>
    <row r="40">
      <c r="A40" s="167" t="s">
        <v>145</v>
      </c>
      <c r="B40" s="167" t="s">
        <v>146</v>
      </c>
      <c r="C40" s="167" t="s">
        <v>147</v>
      </c>
      <c r="D40" s="168">
        <v>0.0</v>
      </c>
      <c r="E40" s="152">
        <v>0.0</v>
      </c>
      <c r="F40" s="152">
        <v>0.0</v>
      </c>
      <c r="G40" s="152"/>
    </row>
    <row r="41">
      <c r="A41" s="169" t="s">
        <v>148</v>
      </c>
      <c r="B41" s="170" t="s">
        <v>149</v>
      </c>
      <c r="C41" s="171" t="s">
        <v>150</v>
      </c>
      <c r="D41" s="168">
        <v>0.1</v>
      </c>
      <c r="E41" s="152">
        <v>0.1</v>
      </c>
      <c r="F41" s="152">
        <v>0.1</v>
      </c>
      <c r="G41" s="152"/>
    </row>
    <row r="42">
      <c r="A42" s="172">
        <v>0.0</v>
      </c>
      <c r="B42" s="173">
        <v>12000.0</v>
      </c>
      <c r="C42" s="174">
        <f>2*3.14159*A42/(B42*A44)/B50</f>
        <v>0</v>
      </c>
      <c r="D42" s="168">
        <v>0.2</v>
      </c>
      <c r="E42" s="152">
        <v>0.7</v>
      </c>
      <c r="F42" s="152">
        <v>0.7</v>
      </c>
      <c r="G42" s="152"/>
    </row>
    <row r="43">
      <c r="A43" s="171" t="s">
        <v>151</v>
      </c>
      <c r="B43" s="170" t="s">
        <v>152</v>
      </c>
      <c r="C43" s="171" t="s">
        <v>153</v>
      </c>
      <c r="D43" s="168">
        <v>0.3</v>
      </c>
      <c r="E43" s="152">
        <v>2.5</v>
      </c>
      <c r="F43" s="152">
        <v>2.2</v>
      </c>
      <c r="G43" s="152"/>
    </row>
    <row r="44">
      <c r="A44" s="167">
        <v>1.0</v>
      </c>
      <c r="B44" s="175">
        <f>1.84*10^-3</f>
        <v>0.00184</v>
      </c>
      <c r="C44" s="176">
        <f>B44+B46*C42+B48*C42^2</f>
        <v>0.00184</v>
      </c>
      <c r="D44" s="168">
        <v>0.4</v>
      </c>
      <c r="E44" s="152">
        <v>5.7</v>
      </c>
      <c r="F44" s="152">
        <v>5.3</v>
      </c>
      <c r="G44" s="152"/>
    </row>
    <row r="45">
      <c r="A45" s="177"/>
      <c r="B45" s="170" t="s">
        <v>154</v>
      </c>
      <c r="C45" s="171" t="s">
        <v>155</v>
      </c>
      <c r="D45" s="168">
        <v>0.5</v>
      </c>
      <c r="E45" s="152">
        <v>11.1</v>
      </c>
      <c r="F45" s="152">
        <v>10.4</v>
      </c>
      <c r="G45" s="152"/>
    </row>
    <row r="46">
      <c r="A46" s="177"/>
      <c r="B46" s="175">
        <f>3.39*10^-3</f>
        <v>0.00339</v>
      </c>
      <c r="C46" s="178">
        <f>B42*A44/9.549</f>
        <v>1256.676092</v>
      </c>
      <c r="D46" s="168">
        <v>0.6</v>
      </c>
      <c r="E46" s="152">
        <v>19.0</v>
      </c>
      <c r="F46" s="152">
        <v>18.0</v>
      </c>
      <c r="G46" s="152" t="s">
        <v>156</v>
      </c>
    </row>
    <row r="47">
      <c r="A47" s="177"/>
      <c r="B47" s="170" t="s">
        <v>157</v>
      </c>
      <c r="C47" s="171" t="s">
        <v>158</v>
      </c>
      <c r="D47" s="168">
        <v>0.7</v>
      </c>
      <c r="E47" s="152">
        <v>29.9</v>
      </c>
      <c r="F47" s="152">
        <v>28.5</v>
      </c>
      <c r="G47" s="152"/>
    </row>
    <row r="48">
      <c r="A48" s="177"/>
      <c r="B48" s="175">
        <f>-1.31*10^-2</f>
        <v>-0.0131</v>
      </c>
      <c r="C48" s="179">
        <f>C46^3*C44*B50^5*B52/4/3.14159/3.14159/0.85</f>
        <v>83.21989651</v>
      </c>
      <c r="D48" s="168">
        <v>0.765</v>
      </c>
      <c r="E48" s="152">
        <v>38.9</v>
      </c>
      <c r="F48" s="152">
        <v>38.0</v>
      </c>
      <c r="G48" s="152" t="s">
        <v>159</v>
      </c>
    </row>
    <row r="49">
      <c r="A49" s="177"/>
      <c r="B49" s="170" t="s">
        <v>160</v>
      </c>
      <c r="C49" s="171" t="s">
        <v>161</v>
      </c>
      <c r="D49" s="168">
        <v>0.8</v>
      </c>
      <c r="E49" s="152">
        <v>44.4</v>
      </c>
      <c r="F49" s="152">
        <v>42.6</v>
      </c>
      <c r="G49" s="152"/>
    </row>
    <row r="50">
      <c r="A50" s="177"/>
      <c r="B50" s="172">
        <v>0.2286</v>
      </c>
      <c r="C50" s="180">
        <f>C48/11.1</f>
        <v>7.497287974</v>
      </c>
      <c r="D50" s="168">
        <v>0.9</v>
      </c>
      <c r="E50" s="152">
        <v>63.0</v>
      </c>
      <c r="F50" s="152">
        <v>60.7</v>
      </c>
      <c r="G50" s="181"/>
    </row>
    <row r="51">
      <c r="A51" s="182"/>
      <c r="B51" s="170" t="s">
        <v>162</v>
      </c>
      <c r="C51" s="171" t="s">
        <v>163</v>
      </c>
      <c r="D51" s="168">
        <v>1.0</v>
      </c>
      <c r="E51" s="152">
        <v>86.1</v>
      </c>
      <c r="F51" s="152">
        <v>83.2</v>
      </c>
      <c r="G51" s="152" t="s">
        <v>164</v>
      </c>
    </row>
    <row r="52">
      <c r="A52" s="182"/>
      <c r="B52" s="172">
        <v>1.225</v>
      </c>
      <c r="C52" s="183">
        <f>A44*B42</f>
        <v>12000</v>
      </c>
    </row>
    <row r="55">
      <c r="A55" s="184" t="s">
        <v>165</v>
      </c>
      <c r="B55" s="185"/>
      <c r="C55" s="185"/>
      <c r="D55" s="185"/>
    </row>
    <row r="56">
      <c r="A56" s="184" t="s">
        <v>167</v>
      </c>
      <c r="B56" s="184" t="s">
        <v>169</v>
      </c>
      <c r="C56" s="184" t="s">
        <v>263</v>
      </c>
      <c r="D56" s="184" t="s">
        <v>264</v>
      </c>
      <c r="E56" s="34"/>
    </row>
    <row r="57">
      <c r="A57" s="186">
        <v>0.0</v>
      </c>
      <c r="B57" s="184">
        <v>0.0</v>
      </c>
      <c r="C57" s="184">
        <v>0.038</v>
      </c>
      <c r="D57" s="185">
        <f t="shared" ref="D57:D67" si="4">11.4 * C57</f>
        <v>0.4332</v>
      </c>
    </row>
    <row r="58">
      <c r="A58" s="186">
        <v>0.02</v>
      </c>
      <c r="B58" s="184">
        <v>0.01</v>
      </c>
      <c r="C58" s="184">
        <v>0.053</v>
      </c>
      <c r="D58" s="185">
        <f t="shared" si="4"/>
        <v>0.6042</v>
      </c>
      <c r="K58" s="34"/>
      <c r="L58" s="34"/>
    </row>
    <row r="59">
      <c r="A59" s="186">
        <v>0.04</v>
      </c>
      <c r="B59" s="184">
        <v>0.16</v>
      </c>
      <c r="C59" s="184">
        <v>0.13</v>
      </c>
      <c r="D59" s="185">
        <f t="shared" si="4"/>
        <v>1.482</v>
      </c>
      <c r="K59" s="34"/>
      <c r="L59" s="34"/>
    </row>
    <row r="60">
      <c r="A60" s="186">
        <v>0.06</v>
      </c>
      <c r="B60" s="184">
        <v>0.4</v>
      </c>
      <c r="C60" s="184">
        <v>0.267</v>
      </c>
      <c r="D60" s="185">
        <f t="shared" si="4"/>
        <v>3.0438</v>
      </c>
      <c r="K60" s="34"/>
    </row>
    <row r="61">
      <c r="A61" s="186">
        <v>0.08</v>
      </c>
      <c r="B61" s="184">
        <v>0.75</v>
      </c>
      <c r="C61" s="184">
        <v>0.508</v>
      </c>
      <c r="D61" s="185">
        <f t="shared" si="4"/>
        <v>5.7912</v>
      </c>
    </row>
    <row r="62">
      <c r="A62" s="186">
        <v>0.1</v>
      </c>
      <c r="B62" s="184">
        <v>1.19</v>
      </c>
      <c r="C62" s="184">
        <v>0.871</v>
      </c>
      <c r="D62" s="185">
        <f t="shared" si="4"/>
        <v>9.9294</v>
      </c>
    </row>
    <row r="63">
      <c r="A63" s="186">
        <v>0.12</v>
      </c>
      <c r="B63" s="184">
        <v>1.6</v>
      </c>
      <c r="C63" s="184">
        <v>1.335</v>
      </c>
      <c r="D63" s="185">
        <f t="shared" si="4"/>
        <v>15.219</v>
      </c>
    </row>
    <row r="64">
      <c r="A64" s="186">
        <v>0.14</v>
      </c>
      <c r="B64" s="184">
        <v>2.04</v>
      </c>
      <c r="C64" s="184">
        <v>1.89</v>
      </c>
      <c r="D64" s="185">
        <f t="shared" si="4"/>
        <v>21.546</v>
      </c>
    </row>
    <row r="65">
      <c r="A65" s="186">
        <v>0.16</v>
      </c>
      <c r="B65" s="184">
        <v>2.49</v>
      </c>
      <c r="C65" s="184">
        <v>2.58</v>
      </c>
      <c r="D65" s="185">
        <f t="shared" si="4"/>
        <v>29.412</v>
      </c>
    </row>
    <row r="66">
      <c r="A66" s="186">
        <v>0.18</v>
      </c>
      <c r="B66" s="184">
        <v>2.96</v>
      </c>
      <c r="C66" s="184">
        <v>3.14</v>
      </c>
      <c r="D66" s="185">
        <f t="shared" si="4"/>
        <v>35.796</v>
      </c>
    </row>
    <row r="67">
      <c r="A67" s="186">
        <v>0.2</v>
      </c>
      <c r="B67" s="184">
        <v>3.34</v>
      </c>
      <c r="C67" s="184">
        <v>4.27</v>
      </c>
      <c r="D67" s="185">
        <f t="shared" si="4"/>
        <v>48.678</v>
      </c>
    </row>
    <row r="68">
      <c r="A68" s="186">
        <v>0.22</v>
      </c>
      <c r="B68" s="184">
        <v>3.74</v>
      </c>
      <c r="C68" s="184"/>
      <c r="D68" s="185"/>
    </row>
    <row r="69">
      <c r="A69" s="186">
        <v>0.24</v>
      </c>
      <c r="B69" s="184">
        <v>4.51</v>
      </c>
      <c r="C69" s="184"/>
      <c r="D69" s="185"/>
    </row>
    <row r="70">
      <c r="A70" s="186">
        <v>0.26</v>
      </c>
      <c r="B70" s="184">
        <v>5.1</v>
      </c>
      <c r="C70" s="184"/>
      <c r="D70" s="185"/>
    </row>
    <row r="71">
      <c r="A71" s="186">
        <v>0.28</v>
      </c>
      <c r="B71" s="184">
        <v>4.8</v>
      </c>
      <c r="C71" s="184"/>
      <c r="D71" s="185"/>
    </row>
    <row r="72">
      <c r="A72" s="186">
        <v>0.3</v>
      </c>
      <c r="B72" s="184">
        <v>4.7</v>
      </c>
      <c r="C72" s="184">
        <v>8.7</v>
      </c>
      <c r="D72" s="185">
        <f t="shared" ref="D72:D73" si="5">11.4 * C72</f>
        <v>99.18</v>
      </c>
    </row>
    <row r="73">
      <c r="A73" s="186">
        <v>0.4</v>
      </c>
      <c r="B73" s="184">
        <v>4.95</v>
      </c>
      <c r="C73" s="184">
        <v>9.57</v>
      </c>
      <c r="D73" s="185">
        <f t="shared" si="5"/>
        <v>109.098</v>
      </c>
    </row>
  </sheetData>
  <mergeCells count="175">
    <mergeCell ref="E5:F5"/>
    <mergeCell ref="G5:H5"/>
    <mergeCell ref="E6:F6"/>
    <mergeCell ref="G6:H6"/>
    <mergeCell ref="E7:F7"/>
    <mergeCell ref="G7:H7"/>
    <mergeCell ref="G8:H8"/>
    <mergeCell ref="E8:F8"/>
    <mergeCell ref="E9:F9"/>
    <mergeCell ref="E10:F10"/>
    <mergeCell ref="E11:F11"/>
    <mergeCell ref="E12:F12"/>
    <mergeCell ref="E13:F13"/>
    <mergeCell ref="E14:F14"/>
    <mergeCell ref="G9:H9"/>
    <mergeCell ref="G10:H10"/>
    <mergeCell ref="G11:H11"/>
    <mergeCell ref="G12:H12"/>
    <mergeCell ref="G13:H13"/>
    <mergeCell ref="G14:H14"/>
    <mergeCell ref="G15:H15"/>
    <mergeCell ref="E22:F22"/>
    <mergeCell ref="E23:F23"/>
    <mergeCell ref="E24:F24"/>
    <mergeCell ref="E25:F25"/>
    <mergeCell ref="E26:F26"/>
    <mergeCell ref="E15:F15"/>
    <mergeCell ref="E16:F16"/>
    <mergeCell ref="E17:F17"/>
    <mergeCell ref="E18:F18"/>
    <mergeCell ref="E19:F19"/>
    <mergeCell ref="E20:F20"/>
    <mergeCell ref="E21:F21"/>
    <mergeCell ref="G16:H16"/>
    <mergeCell ref="G17:H17"/>
    <mergeCell ref="G18:H18"/>
    <mergeCell ref="G19:H19"/>
    <mergeCell ref="G20:H20"/>
    <mergeCell ref="G21:H21"/>
    <mergeCell ref="G22:H22"/>
    <mergeCell ref="F33:G33"/>
    <mergeCell ref="F34:G34"/>
    <mergeCell ref="F35:G35"/>
    <mergeCell ref="G23:H23"/>
    <mergeCell ref="G24:H24"/>
    <mergeCell ref="G25:H25"/>
    <mergeCell ref="G26:H26"/>
    <mergeCell ref="F30:G30"/>
    <mergeCell ref="F31:G31"/>
    <mergeCell ref="F32:G32"/>
    <mergeCell ref="S4:U4"/>
    <mergeCell ref="V4:W4"/>
    <mergeCell ref="S5:U5"/>
    <mergeCell ref="V5:W5"/>
    <mergeCell ref="S6:U6"/>
    <mergeCell ref="V6:W6"/>
    <mergeCell ref="V7:W7"/>
    <mergeCell ref="S7:U7"/>
    <mergeCell ref="S8:U8"/>
    <mergeCell ref="V8:W9"/>
    <mergeCell ref="S9:U9"/>
    <mergeCell ref="S10:U10"/>
    <mergeCell ref="V10:W10"/>
    <mergeCell ref="V11:W11"/>
    <mergeCell ref="O15:P15"/>
    <mergeCell ref="O16:P16"/>
    <mergeCell ref="K60:N69"/>
    <mergeCell ref="O8:P8"/>
    <mergeCell ref="O9:P9"/>
    <mergeCell ref="O10:P10"/>
    <mergeCell ref="O11:P11"/>
    <mergeCell ref="O12:P12"/>
    <mergeCell ref="O13:P13"/>
    <mergeCell ref="O14:P14"/>
    <mergeCell ref="M14:N14"/>
    <mergeCell ref="M15:N15"/>
    <mergeCell ref="M16:N16"/>
    <mergeCell ref="M17:N17"/>
    <mergeCell ref="O17:P17"/>
    <mergeCell ref="M18:N18"/>
    <mergeCell ref="O18:P18"/>
    <mergeCell ref="M19:N19"/>
    <mergeCell ref="O19:P19"/>
    <mergeCell ref="M20:N20"/>
    <mergeCell ref="O20:P20"/>
    <mergeCell ref="M21:N21"/>
    <mergeCell ref="O21:P21"/>
    <mergeCell ref="O22:P22"/>
    <mergeCell ref="J30:K30"/>
    <mergeCell ref="J31:K31"/>
    <mergeCell ref="J32:K32"/>
    <mergeCell ref="J33:K33"/>
    <mergeCell ref="J34:K34"/>
    <mergeCell ref="J35:K35"/>
    <mergeCell ref="M22:N22"/>
    <mergeCell ref="M23:N23"/>
    <mergeCell ref="M24:N24"/>
    <mergeCell ref="M25:N25"/>
    <mergeCell ref="M26:N26"/>
    <mergeCell ref="M27:N27"/>
    <mergeCell ref="M28:N28"/>
    <mergeCell ref="O23:P23"/>
    <mergeCell ref="O24:P24"/>
    <mergeCell ref="O25:P25"/>
    <mergeCell ref="O26:P26"/>
    <mergeCell ref="O27:P27"/>
    <mergeCell ref="O28:P28"/>
    <mergeCell ref="T30:U30"/>
    <mergeCell ref="P33:Q33"/>
    <mergeCell ref="P34:Q34"/>
    <mergeCell ref="P35:Q35"/>
    <mergeCell ref="P36:Q36"/>
    <mergeCell ref="P37:Q37"/>
    <mergeCell ref="R34:S34"/>
    <mergeCell ref="T34:U34"/>
    <mergeCell ref="R35:S35"/>
    <mergeCell ref="T35:U35"/>
    <mergeCell ref="R36:S36"/>
    <mergeCell ref="T36:U36"/>
    <mergeCell ref="R37:S37"/>
    <mergeCell ref="T37:U37"/>
    <mergeCell ref="R30:S30"/>
    <mergeCell ref="R31:S31"/>
    <mergeCell ref="T31:U31"/>
    <mergeCell ref="R32:S32"/>
    <mergeCell ref="T32:U32"/>
    <mergeCell ref="R33:S33"/>
    <mergeCell ref="T33:U33"/>
    <mergeCell ref="S2:U2"/>
    <mergeCell ref="V2:W2"/>
    <mergeCell ref="E1:F1"/>
    <mergeCell ref="G1:H1"/>
    <mergeCell ref="K1:L1"/>
    <mergeCell ref="E2:F2"/>
    <mergeCell ref="G2:H2"/>
    <mergeCell ref="M2:N2"/>
    <mergeCell ref="O2:P2"/>
    <mergeCell ref="E3:F3"/>
    <mergeCell ref="G3:H3"/>
    <mergeCell ref="M3:N3"/>
    <mergeCell ref="O3:P3"/>
    <mergeCell ref="S3:U3"/>
    <mergeCell ref="V3:W3"/>
    <mergeCell ref="G4:H4"/>
    <mergeCell ref="M4:N4"/>
    <mergeCell ref="O4:P4"/>
    <mergeCell ref="M5:N5"/>
    <mergeCell ref="O5:P5"/>
    <mergeCell ref="M6:N6"/>
    <mergeCell ref="O6:P6"/>
    <mergeCell ref="O7:P7"/>
    <mergeCell ref="M7:N7"/>
    <mergeCell ref="M8:N8"/>
    <mergeCell ref="M9:N9"/>
    <mergeCell ref="M10:N10"/>
    <mergeCell ref="M11:N11"/>
    <mergeCell ref="M12:N12"/>
    <mergeCell ref="M13:N13"/>
    <mergeCell ref="S11:U11"/>
    <mergeCell ref="S12:U12"/>
    <mergeCell ref="V12:W12"/>
    <mergeCell ref="S13:U13"/>
    <mergeCell ref="S14:U14"/>
    <mergeCell ref="S15:U15"/>
    <mergeCell ref="S16:U16"/>
    <mergeCell ref="S24:U24"/>
    <mergeCell ref="S25:U25"/>
    <mergeCell ref="S26:U26"/>
    <mergeCell ref="S17:U17"/>
    <mergeCell ref="S18:U18"/>
    <mergeCell ref="S19:U19"/>
    <mergeCell ref="S20:U20"/>
    <mergeCell ref="S21:U21"/>
    <mergeCell ref="S22:U22"/>
    <mergeCell ref="S23:U23"/>
  </mergeCells>
  <hyperlinks>
    <hyperlink r:id="rId1" ref="R3"/>
    <hyperlink r:id="rId2" ref="R4"/>
    <hyperlink r:id="rId3" ref="R5"/>
    <hyperlink r:id="rId4" ref="R6"/>
    <hyperlink r:id="rId5" ref="R7"/>
    <hyperlink r:id="rId6" ref="R8"/>
    <hyperlink r:id="rId7" ref="R9"/>
    <hyperlink r:id="rId8" ref="R10"/>
    <hyperlink r:id="rId9" ref="R11"/>
    <hyperlink r:id="rId10" ref="R12"/>
    <hyperlink r:id="rId11" ref="R13"/>
    <hyperlink r:id="rId12" ref="R14"/>
    <hyperlink r:id="rId13" ref="R15"/>
    <hyperlink r:id="rId14" ref="R16"/>
    <hyperlink r:id="rId15" ref="R17"/>
    <hyperlink r:id="rId16" ref="R18"/>
    <hyperlink r:id="rId17" ref="R19"/>
    <hyperlink r:id="rId18" ref="R20"/>
    <hyperlink r:id="rId19" ref="R21"/>
    <hyperlink r:id="rId20" ref="R22"/>
    <hyperlink r:id="rId21" ref="R23"/>
    <hyperlink r:id="rId22" ref="R24"/>
    <hyperlink r:id="rId23" ref="R25"/>
    <hyperlink r:id="rId24" location="rpdCntId" ref="R26"/>
    <hyperlink r:id="rId25" ref="V26"/>
    <hyperlink r:id="rId26" ref="A29"/>
    <hyperlink r:id="rId27" ref="E29"/>
  </hyperlinks>
  <printOptions gridLines="1" horizontalCentered="1"/>
  <pageMargins bottom="0.75" footer="0.0" header="0.0" left="0.7" right="0.7" top="0.75"/>
  <pageSetup fitToHeight="0" cellComments="atEnd" orientation="portrait" pageOrder="overThenDown"/>
  <drawing r:id="rId2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3.75"/>
    <col customWidth="1" min="2" max="2" width="17.25"/>
    <col customWidth="1" min="4" max="4" width="14.63"/>
    <col customWidth="1" min="7" max="7" width="15.38"/>
    <col customWidth="1" min="8" max="8" width="17.13"/>
    <col customWidth="1" min="14" max="14" width="13.63"/>
    <col customWidth="1" min="21" max="21" width="17.63"/>
    <col customWidth="1" min="23" max="23" width="13.38"/>
  </cols>
  <sheetData>
    <row r="1">
      <c r="A1" s="34" t="s">
        <v>265</v>
      </c>
      <c r="B1" s="2"/>
      <c r="C1" s="3"/>
      <c r="I1" s="4" t="s">
        <v>1</v>
      </c>
      <c r="J1" s="5"/>
      <c r="K1" s="4" t="s">
        <v>2</v>
      </c>
      <c r="L1" s="6"/>
    </row>
    <row r="2">
      <c r="A2" s="7" t="s">
        <v>3</v>
      </c>
      <c r="B2" s="8" t="s">
        <v>4</v>
      </c>
      <c r="C2" s="8" t="s">
        <v>5</v>
      </c>
      <c r="D2" s="9" t="s">
        <v>6</v>
      </c>
      <c r="E2" s="4" t="s">
        <v>7</v>
      </c>
      <c r="F2" s="6"/>
      <c r="G2" s="4" t="s">
        <v>8</v>
      </c>
      <c r="H2" s="6"/>
      <c r="I2" s="9" t="s">
        <v>13</v>
      </c>
      <c r="J2" s="9" t="s">
        <v>14</v>
      </c>
      <c r="K2" s="9" t="s">
        <v>13</v>
      </c>
      <c r="L2" s="9" t="s">
        <v>14</v>
      </c>
      <c r="M2" s="4" t="s">
        <v>15</v>
      </c>
      <c r="N2" s="6"/>
      <c r="O2" s="4" t="s">
        <v>16</v>
      </c>
      <c r="P2" s="6"/>
      <c r="Q2" s="9" t="s">
        <v>17</v>
      </c>
      <c r="R2" s="10" t="s">
        <v>18</v>
      </c>
      <c r="S2" s="4" t="s">
        <v>19</v>
      </c>
      <c r="T2" s="11"/>
      <c r="U2" s="6"/>
      <c r="V2" s="12" t="s">
        <v>20</v>
      </c>
      <c r="W2" s="13"/>
      <c r="X2" s="14" t="s">
        <v>21</v>
      </c>
    </row>
    <row r="3">
      <c r="A3" s="15" t="s">
        <v>22</v>
      </c>
      <c r="B3" s="16" t="s">
        <v>23</v>
      </c>
      <c r="C3" s="17">
        <v>1.0</v>
      </c>
      <c r="D3" s="18">
        <v>11.1</v>
      </c>
      <c r="E3" s="19" t="s">
        <v>24</v>
      </c>
      <c r="F3" s="20"/>
      <c r="G3" s="21" t="s">
        <v>25</v>
      </c>
      <c r="H3" s="20"/>
      <c r="I3" s="22" t="s">
        <v>189</v>
      </c>
      <c r="J3" s="23"/>
      <c r="K3" s="23"/>
      <c r="L3" s="23"/>
      <c r="M3" s="21"/>
      <c r="N3" s="20"/>
      <c r="O3" s="19" t="s">
        <v>27</v>
      </c>
      <c r="P3" s="20"/>
      <c r="Q3" s="24"/>
      <c r="R3" s="25" t="s">
        <v>28</v>
      </c>
      <c r="S3" s="26" t="s">
        <v>29</v>
      </c>
      <c r="T3" s="27"/>
      <c r="U3" s="13"/>
      <c r="V3" s="28" t="s">
        <v>266</v>
      </c>
      <c r="W3" s="20"/>
      <c r="X3" s="29" t="s">
        <v>31</v>
      </c>
    </row>
    <row r="4">
      <c r="A4" s="15" t="s">
        <v>32</v>
      </c>
      <c r="B4" s="16" t="s">
        <v>33</v>
      </c>
      <c r="C4" s="17">
        <v>1.0</v>
      </c>
      <c r="D4" s="18">
        <v>11.1</v>
      </c>
      <c r="E4" s="30"/>
      <c r="F4" s="30"/>
      <c r="G4" s="19" t="s">
        <v>34</v>
      </c>
      <c r="H4" s="20"/>
      <c r="I4" s="23"/>
      <c r="J4" s="23"/>
      <c r="K4" s="23"/>
      <c r="L4" s="23"/>
      <c r="M4" s="19">
        <v>-9166.66</v>
      </c>
      <c r="N4" s="20"/>
      <c r="O4" s="19">
        <v>-101750.0</v>
      </c>
      <c r="P4" s="20"/>
      <c r="Q4" s="31">
        <f>O4/O28</f>
        <v>-1.143641137</v>
      </c>
      <c r="R4" s="32" t="s">
        <v>35</v>
      </c>
      <c r="S4" s="33" t="s">
        <v>36</v>
      </c>
      <c r="U4" s="20"/>
      <c r="V4" s="34" t="s">
        <v>267</v>
      </c>
      <c r="W4" s="20"/>
      <c r="X4" s="35" t="s">
        <v>37</v>
      </c>
    </row>
    <row r="5">
      <c r="A5" s="36" t="s">
        <v>219</v>
      </c>
      <c r="B5" s="37" t="s">
        <v>39</v>
      </c>
      <c r="C5" s="38">
        <v>1.0</v>
      </c>
      <c r="D5" s="39">
        <v>3.3</v>
      </c>
      <c r="E5" s="40" t="s">
        <v>40</v>
      </c>
      <c r="F5" s="13"/>
      <c r="G5" s="39" t="s">
        <v>41</v>
      </c>
      <c r="H5" s="27"/>
      <c r="I5" s="40">
        <v>55.5</v>
      </c>
      <c r="J5" s="38">
        <v>0.0</v>
      </c>
      <c r="K5" s="41">
        <f>N32</f>
        <v>0.5</v>
      </c>
      <c r="L5" s="38">
        <v>0.0</v>
      </c>
      <c r="M5" s="43">
        <f t="shared" ref="M5:M27" si="1">(I5*K5+J5*L5)*C5</f>
        <v>27.75</v>
      </c>
      <c r="N5" s="13"/>
      <c r="O5" s="43">
        <f t="shared" ref="O5:O18" si="2">(M5*D5)</f>
        <v>91.575</v>
      </c>
      <c r="P5" s="13"/>
      <c r="Q5" s="44">
        <f>O5/O28</f>
        <v>0.001029277024</v>
      </c>
      <c r="R5" s="45" t="s">
        <v>42</v>
      </c>
      <c r="S5" s="46" t="s">
        <v>192</v>
      </c>
      <c r="T5" s="27"/>
      <c r="U5" s="13"/>
      <c r="V5" s="34" t="s">
        <v>268</v>
      </c>
      <c r="W5" s="20"/>
      <c r="X5" s="47" t="s">
        <v>44</v>
      </c>
    </row>
    <row r="6">
      <c r="A6" s="48" t="s">
        <v>221</v>
      </c>
      <c r="B6" s="49" t="s">
        <v>46</v>
      </c>
      <c r="C6" s="50">
        <v>1.0</v>
      </c>
      <c r="D6" s="51">
        <v>5.0</v>
      </c>
      <c r="E6" s="42" t="s">
        <v>47</v>
      </c>
      <c r="F6" s="20"/>
      <c r="G6" s="42" t="s">
        <v>25</v>
      </c>
      <c r="H6" s="20"/>
      <c r="I6" s="51">
        <v>400.0</v>
      </c>
      <c r="J6" s="51">
        <v>0.0</v>
      </c>
      <c r="K6" s="52">
        <f>N32</f>
        <v>0.5</v>
      </c>
      <c r="L6" s="51">
        <v>0.0</v>
      </c>
      <c r="M6" s="42">
        <f t="shared" si="1"/>
        <v>200</v>
      </c>
      <c r="N6" s="20"/>
      <c r="O6" s="42">
        <f t="shared" si="2"/>
        <v>1000</v>
      </c>
      <c r="P6" s="20"/>
      <c r="Q6" s="53">
        <f>O6/O28</f>
        <v>0.01123971634</v>
      </c>
      <c r="R6" s="54" t="s">
        <v>48</v>
      </c>
      <c r="S6" s="55" t="s">
        <v>194</v>
      </c>
      <c r="U6" s="20"/>
      <c r="V6" s="34" t="s">
        <v>269</v>
      </c>
      <c r="W6" s="20"/>
      <c r="X6" s="34"/>
    </row>
    <row r="7">
      <c r="A7" s="48" t="s">
        <v>223</v>
      </c>
      <c r="B7" s="49" t="s">
        <v>224</v>
      </c>
      <c r="C7" s="50">
        <v>1.0</v>
      </c>
      <c r="D7" s="51">
        <v>3.3</v>
      </c>
      <c r="E7" s="42" t="s">
        <v>225</v>
      </c>
      <c r="F7" s="20"/>
      <c r="G7" s="42" t="s">
        <v>25</v>
      </c>
      <c r="H7" s="20"/>
      <c r="I7" s="51">
        <v>250.0</v>
      </c>
      <c r="J7" s="51">
        <v>0.0</v>
      </c>
      <c r="K7" s="52">
        <f>N32</f>
        <v>0.5</v>
      </c>
      <c r="L7" s="51">
        <v>0.0</v>
      </c>
      <c r="M7" s="42">
        <f t="shared" si="1"/>
        <v>125</v>
      </c>
      <c r="N7" s="20"/>
      <c r="O7" s="42">
        <f t="shared" si="2"/>
        <v>412.5</v>
      </c>
      <c r="P7" s="20"/>
      <c r="Q7" s="53">
        <f>O7/O28</f>
        <v>0.00463638299</v>
      </c>
      <c r="R7" s="54" t="s">
        <v>48</v>
      </c>
      <c r="S7" s="55" t="s">
        <v>226</v>
      </c>
      <c r="U7" s="20"/>
      <c r="V7" s="34"/>
      <c r="W7" s="20"/>
    </row>
    <row r="8">
      <c r="A8" s="48" t="s">
        <v>223</v>
      </c>
      <c r="B8" s="49" t="s">
        <v>227</v>
      </c>
      <c r="C8" s="50">
        <v>1.0</v>
      </c>
      <c r="D8" s="51">
        <v>1.8</v>
      </c>
      <c r="E8" s="42" t="s">
        <v>228</v>
      </c>
      <c r="F8" s="20"/>
      <c r="G8" s="42" t="s">
        <v>25</v>
      </c>
      <c r="H8" s="20"/>
      <c r="I8" s="51">
        <v>250.0</v>
      </c>
      <c r="J8" s="51">
        <v>0.0</v>
      </c>
      <c r="K8" s="52">
        <f>N32</f>
        <v>0.5</v>
      </c>
      <c r="L8" s="51">
        <v>0.0</v>
      </c>
      <c r="M8" s="42">
        <f t="shared" si="1"/>
        <v>125</v>
      </c>
      <c r="N8" s="20"/>
      <c r="O8" s="42">
        <f t="shared" si="2"/>
        <v>225</v>
      </c>
      <c r="P8" s="20"/>
      <c r="Q8" s="53">
        <f>O8/O28</f>
        <v>0.002528936176</v>
      </c>
      <c r="R8" s="54" t="s">
        <v>48</v>
      </c>
      <c r="S8" s="55" t="s">
        <v>226</v>
      </c>
      <c r="U8" s="20"/>
      <c r="V8" s="34"/>
      <c r="W8" s="20"/>
    </row>
    <row r="9">
      <c r="A9" s="48" t="s">
        <v>223</v>
      </c>
      <c r="B9" s="49" t="s">
        <v>229</v>
      </c>
      <c r="C9" s="50">
        <v>1.0</v>
      </c>
      <c r="D9" s="51">
        <v>3.3</v>
      </c>
      <c r="E9" s="42" t="s">
        <v>230</v>
      </c>
      <c r="F9" s="20"/>
      <c r="G9" s="42" t="s">
        <v>25</v>
      </c>
      <c r="H9" s="20"/>
      <c r="I9" s="51">
        <v>25.0</v>
      </c>
      <c r="J9" s="51">
        <v>0.0</v>
      </c>
      <c r="K9" s="52">
        <f>N32</f>
        <v>0.5</v>
      </c>
      <c r="L9" s="51">
        <v>0.0</v>
      </c>
      <c r="M9" s="42">
        <f t="shared" si="1"/>
        <v>12.5</v>
      </c>
      <c r="N9" s="20"/>
      <c r="O9" s="42">
        <f t="shared" si="2"/>
        <v>41.25</v>
      </c>
      <c r="P9" s="20"/>
      <c r="Q9" s="53">
        <f>O9/O28</f>
        <v>0.000463638299</v>
      </c>
      <c r="R9" s="54" t="s">
        <v>48</v>
      </c>
      <c r="S9" s="55" t="s">
        <v>226</v>
      </c>
      <c r="U9" s="20"/>
      <c r="W9" s="20"/>
    </row>
    <row r="10">
      <c r="A10" s="48" t="s">
        <v>223</v>
      </c>
      <c r="B10" s="49" t="s">
        <v>231</v>
      </c>
      <c r="C10" s="50">
        <v>1.0</v>
      </c>
      <c r="D10" s="51">
        <v>3.3</v>
      </c>
      <c r="E10" s="42" t="s">
        <v>232</v>
      </c>
      <c r="F10" s="20"/>
      <c r="G10" s="42" t="s">
        <v>233</v>
      </c>
      <c r="H10" s="20"/>
      <c r="I10" s="51">
        <v>50.0</v>
      </c>
      <c r="J10" s="51">
        <v>0.0</v>
      </c>
      <c r="K10" s="52">
        <f>N32</f>
        <v>0.5</v>
      </c>
      <c r="L10" s="51">
        <v>0.0</v>
      </c>
      <c r="M10" s="42">
        <f t="shared" si="1"/>
        <v>25</v>
      </c>
      <c r="N10" s="20"/>
      <c r="O10" s="42">
        <f t="shared" si="2"/>
        <v>82.5</v>
      </c>
      <c r="P10" s="20"/>
      <c r="Q10" s="53">
        <f>O10/O28</f>
        <v>0.000927276598</v>
      </c>
      <c r="R10" s="54" t="s">
        <v>48</v>
      </c>
      <c r="S10" s="55" t="s">
        <v>234</v>
      </c>
      <c r="U10" s="20"/>
      <c r="V10" s="34"/>
      <c r="W10" s="20"/>
    </row>
    <row r="11">
      <c r="A11" s="48" t="s">
        <v>223</v>
      </c>
      <c r="B11" s="49" t="s">
        <v>235</v>
      </c>
      <c r="C11" s="50">
        <v>1.0</v>
      </c>
      <c r="D11" s="51">
        <v>3.3</v>
      </c>
      <c r="E11" s="42" t="s">
        <v>232</v>
      </c>
      <c r="F11" s="20"/>
      <c r="G11" s="42" t="s">
        <v>233</v>
      </c>
      <c r="H11" s="20"/>
      <c r="I11" s="51">
        <v>50.0</v>
      </c>
      <c r="J11" s="51">
        <v>0.0</v>
      </c>
      <c r="K11" s="52">
        <f>N32</f>
        <v>0.5</v>
      </c>
      <c r="L11" s="51">
        <v>0.0</v>
      </c>
      <c r="M11" s="42">
        <f t="shared" si="1"/>
        <v>25</v>
      </c>
      <c r="N11" s="20"/>
      <c r="O11" s="42">
        <f t="shared" si="2"/>
        <v>82.5</v>
      </c>
      <c r="P11" s="20"/>
      <c r="Q11" s="53">
        <f>O11/O28</f>
        <v>0.000927276598</v>
      </c>
      <c r="R11" s="54" t="s">
        <v>48</v>
      </c>
      <c r="S11" s="55" t="s">
        <v>236</v>
      </c>
      <c r="U11" s="20"/>
      <c r="V11" s="34"/>
      <c r="W11" s="20"/>
    </row>
    <row r="12">
      <c r="A12" s="216" t="s">
        <v>237</v>
      </c>
      <c r="B12" s="217" t="s">
        <v>238</v>
      </c>
      <c r="C12" s="50">
        <v>1.0</v>
      </c>
      <c r="D12" s="51">
        <v>3.3</v>
      </c>
      <c r="E12" s="42" t="s">
        <v>239</v>
      </c>
      <c r="F12" s="20"/>
      <c r="G12" s="42" t="s">
        <v>69</v>
      </c>
      <c r="H12" s="20"/>
      <c r="I12" s="51">
        <v>20.0</v>
      </c>
      <c r="J12" s="51">
        <v>0.0</v>
      </c>
      <c r="K12" s="52">
        <f>N32</f>
        <v>0.5</v>
      </c>
      <c r="L12" s="51">
        <v>0.0</v>
      </c>
      <c r="M12" s="42">
        <f t="shared" si="1"/>
        <v>10</v>
      </c>
      <c r="N12" s="20"/>
      <c r="O12" s="42">
        <f t="shared" si="2"/>
        <v>33</v>
      </c>
      <c r="P12" s="20"/>
      <c r="Q12" s="53">
        <f>O12/O28</f>
        <v>0.0003709106392</v>
      </c>
      <c r="R12" s="218" t="s">
        <v>240</v>
      </c>
      <c r="S12" s="219" t="s">
        <v>241</v>
      </c>
      <c r="U12" s="20"/>
      <c r="V12" s="34"/>
      <c r="W12" s="20"/>
    </row>
    <row r="13">
      <c r="A13" s="220" t="s">
        <v>242</v>
      </c>
      <c r="B13" s="221" t="s">
        <v>243</v>
      </c>
      <c r="C13" s="50">
        <v>1.0</v>
      </c>
      <c r="D13" s="51">
        <v>3.3</v>
      </c>
      <c r="E13" s="42" t="s">
        <v>244</v>
      </c>
      <c r="F13" s="20"/>
      <c r="G13" s="42" t="s">
        <v>69</v>
      </c>
      <c r="H13" s="20"/>
      <c r="I13" s="51">
        <v>1.7</v>
      </c>
      <c r="J13" s="51">
        <v>0.0</v>
      </c>
      <c r="K13" s="52">
        <f>N32</f>
        <v>0.5</v>
      </c>
      <c r="L13" s="51">
        <v>0.0</v>
      </c>
      <c r="M13" s="42">
        <f t="shared" si="1"/>
        <v>0.85</v>
      </c>
      <c r="N13" s="20"/>
      <c r="O13" s="42">
        <f t="shared" si="2"/>
        <v>2.805</v>
      </c>
      <c r="P13" s="20"/>
      <c r="Q13" s="53">
        <f>O13/O28</f>
        <v>0.00003152740433</v>
      </c>
      <c r="R13" s="218" t="s">
        <v>245</v>
      </c>
      <c r="S13" s="219" t="s">
        <v>246</v>
      </c>
      <c r="U13" s="20"/>
    </row>
    <row r="14">
      <c r="A14" s="56" t="s">
        <v>50</v>
      </c>
      <c r="B14" s="49" t="s">
        <v>247</v>
      </c>
      <c r="C14" s="50">
        <v>1.0</v>
      </c>
      <c r="D14" s="51">
        <v>11.1</v>
      </c>
      <c r="E14" s="42" t="s">
        <v>52</v>
      </c>
      <c r="F14" s="20"/>
      <c r="G14" s="42" t="s">
        <v>53</v>
      </c>
      <c r="H14" s="20"/>
      <c r="I14" s="51">
        <v>280.0</v>
      </c>
      <c r="J14" s="51">
        <v>0.0</v>
      </c>
      <c r="K14" s="57">
        <f>N32</f>
        <v>0.5</v>
      </c>
      <c r="L14" s="51">
        <v>0.0</v>
      </c>
      <c r="M14" s="42">
        <f t="shared" si="1"/>
        <v>140</v>
      </c>
      <c r="N14" s="20"/>
      <c r="O14" s="42">
        <f t="shared" si="2"/>
        <v>1554</v>
      </c>
      <c r="P14" s="20"/>
      <c r="Q14" s="53">
        <f>O14/O28</f>
        <v>0.01746651919</v>
      </c>
      <c r="R14" s="58" t="s">
        <v>54</v>
      </c>
      <c r="S14" s="29" t="s">
        <v>196</v>
      </c>
      <c r="U14" s="20"/>
      <c r="V14" s="34"/>
    </row>
    <row r="15">
      <c r="A15" s="59" t="s">
        <v>223</v>
      </c>
      <c r="B15" s="49" t="s">
        <v>248</v>
      </c>
      <c r="C15" s="50">
        <v>1.0</v>
      </c>
      <c r="D15" s="51">
        <v>5.0</v>
      </c>
      <c r="E15" s="42" t="s">
        <v>249</v>
      </c>
      <c r="F15" s="20"/>
      <c r="G15" s="42" t="s">
        <v>25</v>
      </c>
      <c r="H15" s="20"/>
      <c r="I15" s="51">
        <v>135.0</v>
      </c>
      <c r="J15" s="51">
        <v>0.0</v>
      </c>
      <c r="K15" s="57">
        <f>N32</f>
        <v>0.5</v>
      </c>
      <c r="L15" s="51">
        <v>0.0</v>
      </c>
      <c r="M15" s="42">
        <f t="shared" si="1"/>
        <v>67.5</v>
      </c>
      <c r="N15" s="20"/>
      <c r="O15" s="42">
        <f t="shared" si="2"/>
        <v>337.5</v>
      </c>
      <c r="P15" s="20"/>
      <c r="Q15" s="53">
        <f>O15/O28</f>
        <v>0.003793404264</v>
      </c>
      <c r="R15" s="58" t="s">
        <v>54</v>
      </c>
      <c r="S15" s="29" t="s">
        <v>250</v>
      </c>
      <c r="U15" s="20"/>
      <c r="V15" s="34"/>
    </row>
    <row r="16">
      <c r="A16" s="59" t="s">
        <v>56</v>
      </c>
      <c r="B16" s="49" t="s">
        <v>57</v>
      </c>
      <c r="C16" s="50">
        <v>1.0</v>
      </c>
      <c r="D16" s="51">
        <v>5.0</v>
      </c>
      <c r="E16" s="42" t="s">
        <v>58</v>
      </c>
      <c r="F16" s="20"/>
      <c r="G16" s="42" t="s">
        <v>25</v>
      </c>
      <c r="H16" s="20"/>
      <c r="I16" s="51">
        <v>20.0</v>
      </c>
      <c r="J16" s="51">
        <v>0.0</v>
      </c>
      <c r="K16" s="57">
        <f>N32</f>
        <v>0.5</v>
      </c>
      <c r="L16" s="51">
        <v>0.0</v>
      </c>
      <c r="M16" s="42">
        <f t="shared" si="1"/>
        <v>10</v>
      </c>
      <c r="N16" s="20"/>
      <c r="O16" s="42">
        <f t="shared" si="2"/>
        <v>50</v>
      </c>
      <c r="P16" s="20"/>
      <c r="Q16" s="53">
        <f>O16/O28</f>
        <v>0.0005619858169</v>
      </c>
      <c r="R16" s="60" t="s">
        <v>59</v>
      </c>
      <c r="S16" s="29" t="s">
        <v>198</v>
      </c>
      <c r="U16" s="20"/>
      <c r="V16" s="34"/>
    </row>
    <row r="17">
      <c r="A17" s="61" t="s">
        <v>61</v>
      </c>
      <c r="B17" s="62" t="s">
        <v>62</v>
      </c>
      <c r="C17" s="63">
        <v>1.0</v>
      </c>
      <c r="D17" s="64">
        <v>5.0</v>
      </c>
      <c r="E17" s="65" t="s">
        <v>63</v>
      </c>
      <c r="F17" s="66"/>
      <c r="G17" s="65" t="s">
        <v>25</v>
      </c>
      <c r="H17" s="66"/>
      <c r="I17" s="64">
        <v>100.0</v>
      </c>
      <c r="J17" s="64">
        <v>0.0</v>
      </c>
      <c r="K17" s="68">
        <f>N32</f>
        <v>0.5</v>
      </c>
      <c r="L17" s="64">
        <v>0.0</v>
      </c>
      <c r="M17" s="65">
        <f t="shared" si="1"/>
        <v>50</v>
      </c>
      <c r="N17" s="66"/>
      <c r="O17" s="65">
        <f t="shared" si="2"/>
        <v>250</v>
      </c>
      <c r="P17" s="66"/>
      <c r="Q17" s="69">
        <f>O17/O28</f>
        <v>0.002809929085</v>
      </c>
      <c r="R17" s="70" t="s">
        <v>64</v>
      </c>
      <c r="S17" s="71" t="s">
        <v>65</v>
      </c>
      <c r="T17" s="72"/>
      <c r="U17" s="66"/>
    </row>
    <row r="18">
      <c r="A18" s="73" t="s">
        <v>66</v>
      </c>
      <c r="B18" s="74" t="s">
        <v>251</v>
      </c>
      <c r="C18" s="75">
        <v>1.0</v>
      </c>
      <c r="D18" s="78">
        <v>3.3</v>
      </c>
      <c r="E18" s="77" t="s">
        <v>68</v>
      </c>
      <c r="F18" s="20"/>
      <c r="G18" s="77" t="s">
        <v>69</v>
      </c>
      <c r="H18" s="20"/>
      <c r="I18" s="78">
        <v>0.265</v>
      </c>
      <c r="J18" s="78">
        <v>0.0</v>
      </c>
      <c r="K18" s="79">
        <f>N32</f>
        <v>0.5</v>
      </c>
      <c r="L18" s="78">
        <v>0.0</v>
      </c>
      <c r="M18" s="77">
        <f t="shared" si="1"/>
        <v>0.1325</v>
      </c>
      <c r="N18" s="20"/>
      <c r="O18" s="77">
        <f t="shared" si="2"/>
        <v>0.43725</v>
      </c>
      <c r="P18" s="20"/>
      <c r="Q18" s="81">
        <f>O18/O28</f>
        <v>0.000004914565969</v>
      </c>
      <c r="R18" s="82" t="s">
        <v>70</v>
      </c>
      <c r="S18" s="83" t="s">
        <v>71</v>
      </c>
      <c r="U18" s="20"/>
    </row>
    <row r="19">
      <c r="A19" s="73" t="s">
        <v>72</v>
      </c>
      <c r="B19" s="84" t="s">
        <v>73</v>
      </c>
      <c r="C19" s="85">
        <v>4.0</v>
      </c>
      <c r="D19" s="78">
        <v>5.0</v>
      </c>
      <c r="E19" s="77" t="s">
        <v>74</v>
      </c>
      <c r="F19" s="20"/>
      <c r="G19" s="77" t="s">
        <v>75</v>
      </c>
      <c r="H19" s="20"/>
      <c r="I19" s="78">
        <v>15.0</v>
      </c>
      <c r="J19" s="78">
        <v>0.0</v>
      </c>
      <c r="K19" s="79">
        <f>N32</f>
        <v>0.5</v>
      </c>
      <c r="L19" s="78">
        <v>0.0</v>
      </c>
      <c r="M19" s="77">
        <f t="shared" si="1"/>
        <v>30</v>
      </c>
      <c r="N19" s="20"/>
      <c r="O19" s="77">
        <f>(M19*D19) + 0.844 * K19</f>
        <v>150.422</v>
      </c>
      <c r="P19" s="20"/>
      <c r="Q19" s="81">
        <f>O19/O28</f>
        <v>0.001690700611</v>
      </c>
      <c r="R19" s="82" t="s">
        <v>76</v>
      </c>
      <c r="S19" s="83" t="s">
        <v>77</v>
      </c>
      <c r="U19" s="20"/>
    </row>
    <row r="20">
      <c r="A20" s="87" t="s">
        <v>78</v>
      </c>
      <c r="B20" s="88" t="s">
        <v>79</v>
      </c>
      <c r="C20" s="75">
        <v>1.0</v>
      </c>
      <c r="D20" s="78">
        <v>3.3</v>
      </c>
      <c r="E20" s="77" t="s">
        <v>80</v>
      </c>
      <c r="F20" s="20"/>
      <c r="G20" s="77" t="s">
        <v>81</v>
      </c>
      <c r="H20" s="20"/>
      <c r="I20" s="78">
        <v>20.0</v>
      </c>
      <c r="J20" s="78">
        <v>25.0</v>
      </c>
      <c r="K20" s="89">
        <f>N32 - 0.01</f>
        <v>0.49</v>
      </c>
      <c r="L20" s="78">
        <v>0.01</v>
      </c>
      <c r="M20" s="77">
        <f t="shared" si="1"/>
        <v>10.05</v>
      </c>
      <c r="N20" s="20"/>
      <c r="O20" s="77">
        <f>(M20*D20)+ 1.09 * K20</f>
        <v>33.6991</v>
      </c>
      <c r="P20" s="20"/>
      <c r="Q20" s="81">
        <f>O20/O28</f>
        <v>0.0003787683249</v>
      </c>
      <c r="R20" s="82" t="s">
        <v>82</v>
      </c>
      <c r="S20" s="83" t="s">
        <v>199</v>
      </c>
      <c r="U20" s="20"/>
    </row>
    <row r="21">
      <c r="A21" s="197" t="s">
        <v>200</v>
      </c>
      <c r="B21" s="198" t="s">
        <v>201</v>
      </c>
      <c r="C21" s="75">
        <v>1.0</v>
      </c>
      <c r="D21" s="78">
        <v>3.3</v>
      </c>
      <c r="E21" s="77" t="s">
        <v>202</v>
      </c>
      <c r="F21" s="20"/>
      <c r="G21" s="77" t="s">
        <v>25</v>
      </c>
      <c r="H21" s="20"/>
      <c r="I21" s="78">
        <v>8.6</v>
      </c>
      <c r="J21" s="78">
        <v>0.0</v>
      </c>
      <c r="K21" s="79">
        <f>N32</f>
        <v>0.5</v>
      </c>
      <c r="L21" s="78">
        <v>0.0</v>
      </c>
      <c r="M21" s="77">
        <f t="shared" si="1"/>
        <v>4.3</v>
      </c>
      <c r="N21" s="20"/>
      <c r="O21" s="77">
        <f t="shared" ref="O21:O27" si="3">(M21*D21)</f>
        <v>14.19</v>
      </c>
      <c r="P21" s="20"/>
      <c r="Q21" s="81">
        <f>O21/O28</f>
        <v>0.0001594915748</v>
      </c>
      <c r="R21" s="199" t="s">
        <v>203</v>
      </c>
      <c r="S21" s="83" t="s">
        <v>204</v>
      </c>
      <c r="U21" s="20"/>
      <c r="V21" s="34"/>
      <c r="W21" s="34"/>
    </row>
    <row r="22">
      <c r="A22" s="73" t="s">
        <v>84</v>
      </c>
      <c r="B22" s="90" t="s">
        <v>85</v>
      </c>
      <c r="C22" s="75">
        <v>1.0</v>
      </c>
      <c r="D22" s="78">
        <v>1.8</v>
      </c>
      <c r="E22" s="77" t="s">
        <v>86</v>
      </c>
      <c r="F22" s="20"/>
      <c r="G22" s="77" t="s">
        <v>87</v>
      </c>
      <c r="H22" s="20"/>
      <c r="I22" s="78">
        <v>3.11</v>
      </c>
      <c r="J22" s="78">
        <v>0.0</v>
      </c>
      <c r="K22" s="79">
        <f>N32</f>
        <v>0.5</v>
      </c>
      <c r="L22" s="78">
        <v>0.0</v>
      </c>
      <c r="M22" s="77">
        <f t="shared" si="1"/>
        <v>1.555</v>
      </c>
      <c r="N22" s="20"/>
      <c r="O22" s="77">
        <f t="shared" si="3"/>
        <v>2.799</v>
      </c>
      <c r="P22" s="20"/>
      <c r="Q22" s="81">
        <f>O22/O28</f>
        <v>0.00003145996603</v>
      </c>
      <c r="R22" s="91" t="s">
        <v>88</v>
      </c>
      <c r="S22" s="83" t="s">
        <v>89</v>
      </c>
      <c r="U22" s="20"/>
    </row>
    <row r="23">
      <c r="A23" s="222" t="s">
        <v>252</v>
      </c>
      <c r="B23" s="223" t="s">
        <v>253</v>
      </c>
      <c r="C23" s="85">
        <v>2.0</v>
      </c>
      <c r="D23" s="78">
        <v>1.8</v>
      </c>
      <c r="E23" s="77" t="s">
        <v>254</v>
      </c>
      <c r="F23" s="20"/>
      <c r="G23" s="77" t="s">
        <v>255</v>
      </c>
      <c r="H23" s="20"/>
      <c r="I23" s="78">
        <v>14.8</v>
      </c>
      <c r="J23" s="78">
        <v>0.0</v>
      </c>
      <c r="K23" s="79">
        <f>N32</f>
        <v>0.5</v>
      </c>
      <c r="L23" s="78">
        <v>0.0</v>
      </c>
      <c r="M23" s="77">
        <f t="shared" si="1"/>
        <v>14.8</v>
      </c>
      <c r="N23" s="20"/>
      <c r="O23" s="77">
        <f t="shared" si="3"/>
        <v>26.64</v>
      </c>
      <c r="P23" s="20"/>
      <c r="Q23" s="81">
        <f>O23/O28</f>
        <v>0.0002994260433</v>
      </c>
      <c r="R23" s="91" t="s">
        <v>256</v>
      </c>
      <c r="S23" s="224" t="s">
        <v>257</v>
      </c>
      <c r="U23" s="20"/>
    </row>
    <row r="24">
      <c r="A24" s="92" t="s">
        <v>90</v>
      </c>
      <c r="B24" s="93" t="s">
        <v>91</v>
      </c>
      <c r="C24" s="94">
        <v>1.0</v>
      </c>
      <c r="D24" s="95">
        <v>3.3</v>
      </c>
      <c r="E24" s="96" t="s">
        <v>92</v>
      </c>
      <c r="F24" s="66"/>
      <c r="G24" s="96" t="s">
        <v>93</v>
      </c>
      <c r="H24" s="66"/>
      <c r="I24" s="95">
        <v>3.03</v>
      </c>
      <c r="J24" s="95">
        <v>0.0</v>
      </c>
      <c r="K24" s="97">
        <f>N32</f>
        <v>0.5</v>
      </c>
      <c r="L24" s="95">
        <v>0.0</v>
      </c>
      <c r="M24" s="96">
        <f t="shared" si="1"/>
        <v>1.515</v>
      </c>
      <c r="N24" s="66"/>
      <c r="O24" s="96">
        <f t="shared" si="3"/>
        <v>4.9995</v>
      </c>
      <c r="P24" s="66"/>
      <c r="Q24" s="99">
        <f>O24/O28</f>
        <v>0.00005619296184</v>
      </c>
      <c r="R24" s="100" t="s">
        <v>94</v>
      </c>
      <c r="S24" s="101" t="s">
        <v>205</v>
      </c>
      <c r="T24" s="72"/>
      <c r="U24" s="66"/>
      <c r="V24" s="34" t="s">
        <v>270</v>
      </c>
    </row>
    <row r="25">
      <c r="A25" s="225" t="s">
        <v>271</v>
      </c>
      <c r="B25" s="226" t="s">
        <v>272</v>
      </c>
      <c r="C25" s="104">
        <v>4.0</v>
      </c>
      <c r="D25" s="105">
        <v>11.1</v>
      </c>
      <c r="E25" s="106" t="s">
        <v>273</v>
      </c>
      <c r="F25" s="20"/>
      <c r="G25" s="106" t="s">
        <v>25</v>
      </c>
      <c r="H25" s="20"/>
      <c r="I25" s="105">
        <v>174.0</v>
      </c>
      <c r="J25" s="105">
        <v>85.3</v>
      </c>
      <c r="K25" s="107">
        <f>N32 * N34</f>
        <v>0.5</v>
      </c>
      <c r="L25" s="105">
        <f>N32 * (1 - N34)</f>
        <v>0</v>
      </c>
      <c r="M25" s="106">
        <f t="shared" si="1"/>
        <v>348</v>
      </c>
      <c r="N25" s="20"/>
      <c r="O25" s="106">
        <f t="shared" si="3"/>
        <v>3862.8</v>
      </c>
      <c r="P25" s="20"/>
      <c r="Q25" s="108">
        <f>O25/O28</f>
        <v>0.04341677627</v>
      </c>
      <c r="R25" s="227" t="s">
        <v>274</v>
      </c>
      <c r="S25" s="228" t="s">
        <v>275</v>
      </c>
      <c r="U25" s="20"/>
      <c r="V25" s="200" t="s">
        <v>276</v>
      </c>
    </row>
    <row r="26">
      <c r="A26" s="102" t="s">
        <v>206</v>
      </c>
      <c r="B26" s="103" t="s">
        <v>97</v>
      </c>
      <c r="C26" s="104">
        <v>4.0</v>
      </c>
      <c r="D26" s="105">
        <v>11.1</v>
      </c>
      <c r="E26" s="106" t="s">
        <v>98</v>
      </c>
      <c r="F26" s="20"/>
      <c r="G26" s="106" t="s">
        <v>25</v>
      </c>
      <c r="H26" s="20"/>
      <c r="I26" s="105">
        <v>3478.0</v>
      </c>
      <c r="J26" s="106">
        <v>1706.0</v>
      </c>
      <c r="K26" s="107">
        <f>N32 * N34</f>
        <v>0.5</v>
      </c>
      <c r="L26" s="105">
        <f>N32 * (1 - N34)</f>
        <v>0</v>
      </c>
      <c r="M26" s="106">
        <f t="shared" si="1"/>
        <v>6956</v>
      </c>
      <c r="N26" s="20"/>
      <c r="O26" s="106">
        <f t="shared" si="3"/>
        <v>77211.6</v>
      </c>
      <c r="P26" s="20"/>
      <c r="Q26" s="108">
        <f>O26/O28</f>
        <v>0.8678364821</v>
      </c>
      <c r="R26" s="109" t="s">
        <v>99</v>
      </c>
      <c r="S26" s="47" t="s">
        <v>100</v>
      </c>
      <c r="U26" s="20"/>
      <c r="V26" s="34" t="s">
        <v>207</v>
      </c>
    </row>
    <row r="27">
      <c r="A27" s="110" t="s">
        <v>101</v>
      </c>
      <c r="B27" s="111" t="s">
        <v>102</v>
      </c>
      <c r="C27" s="112">
        <v>4.0</v>
      </c>
      <c r="D27" s="105">
        <v>5.0</v>
      </c>
      <c r="E27" s="113" t="s">
        <v>103</v>
      </c>
      <c r="F27" s="66"/>
      <c r="G27" s="113" t="s">
        <v>25</v>
      </c>
      <c r="H27" s="66"/>
      <c r="I27" s="114">
        <v>350.0</v>
      </c>
      <c r="J27" s="114">
        <v>120.0</v>
      </c>
      <c r="K27" s="115">
        <f>N32 * N36</f>
        <v>0.5</v>
      </c>
      <c r="L27" s="114">
        <f>N32*(1-N36)</f>
        <v>0</v>
      </c>
      <c r="M27" s="113">
        <f t="shared" si="1"/>
        <v>700</v>
      </c>
      <c r="N27" s="66"/>
      <c r="O27" s="113">
        <f t="shared" si="3"/>
        <v>3500</v>
      </c>
      <c r="P27" s="66"/>
      <c r="Q27" s="116">
        <f>O27/O28</f>
        <v>0.03933900719</v>
      </c>
      <c r="R27" s="117" t="s">
        <v>104</v>
      </c>
      <c r="S27" s="118" t="s">
        <v>208</v>
      </c>
      <c r="T27" s="72"/>
      <c r="U27" s="66"/>
      <c r="V27" s="200" t="s">
        <v>209</v>
      </c>
    </row>
    <row r="28">
      <c r="A28" s="119"/>
      <c r="B28" s="120"/>
      <c r="C28" s="121"/>
      <c r="D28" s="122">
        <v>11.1</v>
      </c>
      <c r="M28" s="124">
        <f>sum(M5:N27)</f>
        <v>8884.9525</v>
      </c>
      <c r="N28" s="6"/>
      <c r="O28" s="124">
        <f>SUM(O5:O27)</f>
        <v>88970.21685</v>
      </c>
      <c r="P28" s="6"/>
    </row>
    <row r="29">
      <c r="A29" s="125" t="s">
        <v>210</v>
      </c>
      <c r="C29" s="121"/>
      <c r="D29" s="126" t="s">
        <v>107</v>
      </c>
      <c r="E29" s="34" t="s">
        <v>211</v>
      </c>
      <c r="M29" s="127" t="s">
        <v>108</v>
      </c>
      <c r="N29" s="72"/>
      <c r="O29" s="127" t="s">
        <v>109</v>
      </c>
      <c r="P29" s="66"/>
    </row>
    <row r="30">
      <c r="A30" s="201" t="s">
        <v>212</v>
      </c>
      <c r="B30" s="128"/>
      <c r="C30" s="125"/>
      <c r="D30" s="34"/>
      <c r="E30" s="200" t="s">
        <v>213</v>
      </c>
    </row>
    <row r="31">
      <c r="A31" s="129" t="s">
        <v>110</v>
      </c>
      <c r="B31" s="130" t="s">
        <v>111</v>
      </c>
      <c r="C31" s="130" t="s">
        <v>112</v>
      </c>
      <c r="D31" s="131" t="s">
        <v>113</v>
      </c>
      <c r="E31" s="131" t="s">
        <v>114</v>
      </c>
      <c r="F31" s="132" t="s">
        <v>115</v>
      </c>
      <c r="G31" s="6"/>
      <c r="H31" s="131" t="s">
        <v>116</v>
      </c>
      <c r="I31" s="131" t="s">
        <v>117</v>
      </c>
      <c r="J31" s="132" t="s">
        <v>19</v>
      </c>
      <c r="K31" s="6"/>
      <c r="L31" s="34"/>
      <c r="N31" s="134" t="s">
        <v>118</v>
      </c>
      <c r="P31" s="135" t="s">
        <v>119</v>
      </c>
      <c r="Q31" s="136"/>
      <c r="R31" s="137" t="s">
        <v>120</v>
      </c>
      <c r="S31" s="6"/>
      <c r="T31" s="34"/>
    </row>
    <row r="32">
      <c r="A32" s="138" t="s">
        <v>121</v>
      </c>
      <c r="B32" s="139">
        <v>3.0</v>
      </c>
      <c r="C32" s="140" t="s">
        <v>122</v>
      </c>
      <c r="D32" s="139">
        <v>0.0</v>
      </c>
      <c r="E32" s="139">
        <v>14949.0</v>
      </c>
      <c r="F32" s="140" t="s">
        <v>25</v>
      </c>
      <c r="G32" s="20"/>
      <c r="H32" s="142">
        <f>I32*N32</f>
        <v>813</v>
      </c>
      <c r="I32" s="142">
        <v>1626.0</v>
      </c>
      <c r="J32" s="143" t="s">
        <v>258</v>
      </c>
      <c r="K32" s="20"/>
      <c r="L32" s="34"/>
      <c r="N32" s="126">
        <v>0.5</v>
      </c>
      <c r="P32" s="144" t="s">
        <v>124</v>
      </c>
      <c r="Q32" s="145"/>
      <c r="R32" s="146">
        <f>SUM(O5:O27) + H37</f>
        <v>95320.21685</v>
      </c>
      <c r="S32" s="20"/>
      <c r="T32" s="147"/>
    </row>
    <row r="33">
      <c r="A33" s="138" t="s">
        <v>125</v>
      </c>
      <c r="B33" s="139">
        <v>4.0</v>
      </c>
      <c r="C33" s="140">
        <v>5.0</v>
      </c>
      <c r="D33" s="139">
        <v>6.1</v>
      </c>
      <c r="E33" s="139">
        <v>1400.0</v>
      </c>
      <c r="F33" s="140">
        <v>5000.0</v>
      </c>
      <c r="G33" s="20"/>
      <c r="H33" s="148">
        <f>1235*N36*N32 + 120/350*1235*(1-N36)*N32</f>
        <v>617.5</v>
      </c>
      <c r="I33" s="140">
        <v>1235.0</v>
      </c>
      <c r="J33" s="149" t="s">
        <v>126</v>
      </c>
      <c r="K33" s="20"/>
      <c r="L33" s="34"/>
      <c r="N33" s="150" t="s">
        <v>127</v>
      </c>
      <c r="P33" s="144" t="s">
        <v>128</v>
      </c>
      <c r="Q33" s="145"/>
      <c r="R33" s="151">
        <v>101750.0</v>
      </c>
      <c r="S33" s="20"/>
      <c r="T33" s="152"/>
    </row>
    <row r="34">
      <c r="A34" s="138" t="s">
        <v>129</v>
      </c>
      <c r="B34" s="139">
        <v>12.0</v>
      </c>
      <c r="C34" s="140">
        <v>3.3</v>
      </c>
      <c r="D34" s="139">
        <v>7.6</v>
      </c>
      <c r="E34" s="139">
        <v>484.0</v>
      </c>
      <c r="F34" s="140">
        <v>800.0</v>
      </c>
      <c r="G34" s="20"/>
      <c r="H34" s="141">
        <f>D34*E34*N32</f>
        <v>1839.2</v>
      </c>
      <c r="I34" s="142">
        <v>3678.0</v>
      </c>
      <c r="J34" s="149" t="s">
        <v>259</v>
      </c>
      <c r="K34" s="20"/>
      <c r="L34" s="34"/>
      <c r="N34" s="126">
        <v>1.0</v>
      </c>
      <c r="P34" s="144" t="s">
        <v>131</v>
      </c>
      <c r="R34" s="153" t="str">
        <f>If(R32&gt;R33, "Out of Battery", "Not out of Battery")</f>
        <v>Not out of Battery</v>
      </c>
      <c r="S34" s="20"/>
      <c r="T34" s="152"/>
    </row>
    <row r="35">
      <c r="A35" s="142" t="s">
        <v>260</v>
      </c>
      <c r="B35" s="140">
        <v>3.0</v>
      </c>
      <c r="C35" s="139">
        <v>1.8</v>
      </c>
      <c r="D35" s="140">
        <v>9.3</v>
      </c>
      <c r="E35" s="139">
        <v>282.0</v>
      </c>
      <c r="F35" s="140">
        <v>800.0</v>
      </c>
      <c r="H35" s="148">
        <f>D35*E35*N32</f>
        <v>1311.3</v>
      </c>
      <c r="I35" s="140">
        <v>2622.0</v>
      </c>
      <c r="J35" s="149" t="s">
        <v>261</v>
      </c>
      <c r="K35" s="20"/>
      <c r="N35" s="150" t="s">
        <v>134</v>
      </c>
      <c r="P35" s="144" t="s">
        <v>135</v>
      </c>
      <c r="R35" s="159">
        <f>Sum(O25:O26)</f>
        <v>81074.4</v>
      </c>
      <c r="S35" s="20"/>
      <c r="T35" s="160">
        <f>R35/R32</f>
        <v>0.8505477923</v>
      </c>
      <c r="U35" s="20"/>
    </row>
    <row r="36">
      <c r="A36" s="154" t="s">
        <v>132</v>
      </c>
      <c r="B36" s="155">
        <v>1.0</v>
      </c>
      <c r="C36" s="156">
        <v>5.0</v>
      </c>
      <c r="D36" s="155">
        <v>6.1</v>
      </c>
      <c r="E36" s="156">
        <v>580.0</v>
      </c>
      <c r="F36" s="155">
        <v>800.0</v>
      </c>
      <c r="G36" s="72"/>
      <c r="H36" s="157">
        <f>D36*E36*N32</f>
        <v>1769</v>
      </c>
      <c r="I36" s="155">
        <v>3538.0</v>
      </c>
      <c r="J36" s="158" t="s">
        <v>262</v>
      </c>
      <c r="K36" s="66"/>
      <c r="N36" s="150">
        <v>1.0</v>
      </c>
      <c r="O36" s="34"/>
      <c r="P36" s="144" t="s">
        <v>136</v>
      </c>
      <c r="R36" s="159">
        <f>O27</f>
        <v>3500</v>
      </c>
      <c r="S36" s="20"/>
      <c r="T36" s="160">
        <f>R36/R32</f>
        <v>0.03671833862</v>
      </c>
      <c r="U36" s="20"/>
    </row>
    <row r="37">
      <c r="A37" s="161"/>
      <c r="H37" s="148">
        <f>SUM(H32:H36)</f>
        <v>6350</v>
      </c>
      <c r="I37" s="28"/>
      <c r="N37" s="163"/>
      <c r="O37" s="34"/>
      <c r="P37" s="144" t="s">
        <v>138</v>
      </c>
      <c r="R37" s="164">
        <f>SUM(O5:O24)</f>
        <v>4395.81685</v>
      </c>
      <c r="S37" s="20"/>
      <c r="T37" s="160">
        <f>R37/R32</f>
        <v>0.04611631189</v>
      </c>
      <c r="U37" s="20"/>
    </row>
    <row r="38">
      <c r="H38" s="162" t="s">
        <v>137</v>
      </c>
      <c r="P38" s="144" t="s">
        <v>139</v>
      </c>
      <c r="R38" s="159">
        <f>R32-R35-R36-R37</f>
        <v>6350</v>
      </c>
      <c r="S38" s="20"/>
      <c r="T38" s="160">
        <f>R38/R32</f>
        <v>0.06661755722</v>
      </c>
      <c r="U38" s="20"/>
    </row>
    <row r="40">
      <c r="A40" s="229" t="s">
        <v>277</v>
      </c>
      <c r="B40" s="166"/>
      <c r="C40" s="166"/>
      <c r="D40" s="34" t="s">
        <v>141</v>
      </c>
      <c r="E40" s="34" t="s">
        <v>21</v>
      </c>
      <c r="F40" s="34" t="s">
        <v>144</v>
      </c>
    </row>
    <row r="41">
      <c r="A41" s="167" t="s">
        <v>145</v>
      </c>
      <c r="B41" s="167" t="s">
        <v>146</v>
      </c>
      <c r="C41" s="167" t="s">
        <v>147</v>
      </c>
      <c r="D41" s="168">
        <v>0.1</v>
      </c>
      <c r="E41" s="152">
        <v>0.0</v>
      </c>
      <c r="F41" s="152"/>
    </row>
    <row r="42">
      <c r="A42" s="169" t="s">
        <v>148</v>
      </c>
      <c r="B42" s="170" t="s">
        <v>149</v>
      </c>
      <c r="C42" s="171" t="s">
        <v>150</v>
      </c>
      <c r="D42" s="168">
        <v>0.2</v>
      </c>
      <c r="E42" s="152">
        <v>0.3</v>
      </c>
      <c r="F42" s="152"/>
    </row>
    <row r="43">
      <c r="A43" s="172">
        <v>0.0</v>
      </c>
      <c r="B43" s="173">
        <v>9157.0</v>
      </c>
      <c r="C43" s="174">
        <f>2*3.14159*A43/(B43*A45)/B51</f>
        <v>0</v>
      </c>
      <c r="D43" s="168">
        <v>0.3</v>
      </c>
      <c r="E43" s="152">
        <v>1.1</v>
      </c>
      <c r="F43" s="152"/>
    </row>
    <row r="44">
      <c r="A44" s="171" t="s">
        <v>151</v>
      </c>
      <c r="B44" s="170" t="s">
        <v>152</v>
      </c>
      <c r="C44" s="171" t="s">
        <v>153</v>
      </c>
      <c r="D44" s="168">
        <v>0.4</v>
      </c>
      <c r="E44" s="152">
        <v>2.6</v>
      </c>
      <c r="F44" s="152"/>
    </row>
    <row r="45">
      <c r="A45" s="167">
        <v>0.8</v>
      </c>
      <c r="B45" s="175">
        <f>1.84*10^-3</f>
        <v>0.00184</v>
      </c>
      <c r="C45" s="176">
        <f>B45+B47*C43+B49*C43^2</f>
        <v>0.00184</v>
      </c>
      <c r="D45" s="168">
        <v>0.5</v>
      </c>
      <c r="E45" s="152">
        <v>5.0</v>
      </c>
      <c r="F45" s="152"/>
    </row>
    <row r="46">
      <c r="A46" s="177"/>
      <c r="B46" s="170" t="s">
        <v>154</v>
      </c>
      <c r="C46" s="171" t="s">
        <v>155</v>
      </c>
      <c r="D46" s="168">
        <v>0.6</v>
      </c>
      <c r="E46" s="152">
        <v>8.5</v>
      </c>
      <c r="F46" s="152"/>
    </row>
    <row r="47">
      <c r="A47" s="177"/>
      <c r="B47" s="175">
        <f>3.39*10^-3</f>
        <v>0.00339</v>
      </c>
      <c r="C47" s="178">
        <f>B43*A45/9.549</f>
        <v>767.1588648</v>
      </c>
      <c r="D47" s="168">
        <v>0.7</v>
      </c>
      <c r="E47" s="152">
        <v>13.4</v>
      </c>
      <c r="F47" s="152"/>
    </row>
    <row r="48">
      <c r="A48" s="177"/>
      <c r="B48" s="170" t="s">
        <v>157</v>
      </c>
      <c r="C48" s="171" t="s">
        <v>158</v>
      </c>
      <c r="D48" s="168">
        <v>0.8</v>
      </c>
      <c r="E48" s="152">
        <v>19.9</v>
      </c>
      <c r="F48" s="152" t="s">
        <v>156</v>
      </c>
    </row>
    <row r="49">
      <c r="A49" s="177"/>
      <c r="B49" s="175">
        <f>-1.31*10^-2</f>
        <v>-0.0131</v>
      </c>
      <c r="C49" s="179">
        <f>C47^3*C45*B51^5*B53/4/3.14159/3.14159/0.85</f>
        <v>18.93272108</v>
      </c>
      <c r="D49" s="168">
        <v>0.9</v>
      </c>
      <c r="E49" s="152">
        <v>28.3</v>
      </c>
      <c r="F49" s="152"/>
    </row>
    <row r="50">
      <c r="A50" s="177"/>
      <c r="B50" s="170" t="s">
        <v>160</v>
      </c>
      <c r="C50" s="171" t="s">
        <v>161</v>
      </c>
      <c r="D50" s="168">
        <v>1.0</v>
      </c>
      <c r="E50" s="152">
        <v>38.6</v>
      </c>
      <c r="F50" s="152" t="s">
        <v>159</v>
      </c>
    </row>
    <row r="51">
      <c r="A51" s="177"/>
      <c r="B51" s="172">
        <v>0.2286</v>
      </c>
      <c r="C51" s="180">
        <f>C49/11.1</f>
        <v>1.705650547</v>
      </c>
    </row>
    <row r="52">
      <c r="A52" s="182"/>
      <c r="B52" s="170" t="s">
        <v>162</v>
      </c>
      <c r="C52" s="171" t="s">
        <v>163</v>
      </c>
    </row>
    <row r="53">
      <c r="A53" s="182"/>
      <c r="B53" s="172">
        <v>1.225</v>
      </c>
      <c r="C53" s="183">
        <f>A45*B43</f>
        <v>7325.6</v>
      </c>
    </row>
  </sheetData>
  <mergeCells count="179">
    <mergeCell ref="E5:F5"/>
    <mergeCell ref="G5:H5"/>
    <mergeCell ref="E6:F6"/>
    <mergeCell ref="G6:H6"/>
    <mergeCell ref="E7:F7"/>
    <mergeCell ref="G7:H7"/>
    <mergeCell ref="G8:H8"/>
    <mergeCell ref="E8:F8"/>
    <mergeCell ref="E9:F9"/>
    <mergeCell ref="E10:F10"/>
    <mergeCell ref="E11:F11"/>
    <mergeCell ref="E12:F12"/>
    <mergeCell ref="E13:F13"/>
    <mergeCell ref="E14:F14"/>
    <mergeCell ref="G9:H9"/>
    <mergeCell ref="G10:H10"/>
    <mergeCell ref="G11:H11"/>
    <mergeCell ref="G12:H12"/>
    <mergeCell ref="G13:H13"/>
    <mergeCell ref="G14:H14"/>
    <mergeCell ref="G15:H15"/>
    <mergeCell ref="E22:F22"/>
    <mergeCell ref="E23:F23"/>
    <mergeCell ref="E24:F24"/>
    <mergeCell ref="E25:F25"/>
    <mergeCell ref="E26:F26"/>
    <mergeCell ref="E27:F27"/>
    <mergeCell ref="E15:F15"/>
    <mergeCell ref="E16:F16"/>
    <mergeCell ref="E17:F17"/>
    <mergeCell ref="E18:F18"/>
    <mergeCell ref="E19:F19"/>
    <mergeCell ref="E20:F20"/>
    <mergeCell ref="E21:F21"/>
    <mergeCell ref="G16:H16"/>
    <mergeCell ref="G17:H17"/>
    <mergeCell ref="G18:H18"/>
    <mergeCell ref="G19:H19"/>
    <mergeCell ref="G20:H20"/>
    <mergeCell ref="G21:H21"/>
    <mergeCell ref="G22:H22"/>
    <mergeCell ref="F33:G33"/>
    <mergeCell ref="F34:G34"/>
    <mergeCell ref="F35:G35"/>
    <mergeCell ref="F36:G36"/>
    <mergeCell ref="G23:H23"/>
    <mergeCell ref="G24:H24"/>
    <mergeCell ref="G25:H25"/>
    <mergeCell ref="G26:H26"/>
    <mergeCell ref="G27:H27"/>
    <mergeCell ref="F31:G31"/>
    <mergeCell ref="F32:G32"/>
    <mergeCell ref="S4:U4"/>
    <mergeCell ref="V4:W4"/>
    <mergeCell ref="S5:U5"/>
    <mergeCell ref="V5:W5"/>
    <mergeCell ref="S6:U6"/>
    <mergeCell ref="V6:W6"/>
    <mergeCell ref="V7:W7"/>
    <mergeCell ref="S7:U7"/>
    <mergeCell ref="S8:U8"/>
    <mergeCell ref="V8:W9"/>
    <mergeCell ref="S9:U9"/>
    <mergeCell ref="S10:U10"/>
    <mergeCell ref="V10:W10"/>
    <mergeCell ref="V11:W11"/>
    <mergeCell ref="O15:P15"/>
    <mergeCell ref="O16:P16"/>
    <mergeCell ref="O8:P8"/>
    <mergeCell ref="O9:P9"/>
    <mergeCell ref="O10:P10"/>
    <mergeCell ref="O11:P11"/>
    <mergeCell ref="O12:P12"/>
    <mergeCell ref="O13:P13"/>
    <mergeCell ref="O14:P14"/>
    <mergeCell ref="S2:U2"/>
    <mergeCell ref="V2:W2"/>
    <mergeCell ref="E1:F1"/>
    <mergeCell ref="G1:H1"/>
    <mergeCell ref="K1:L1"/>
    <mergeCell ref="E2:F2"/>
    <mergeCell ref="G2:H2"/>
    <mergeCell ref="M2:N2"/>
    <mergeCell ref="O2:P2"/>
    <mergeCell ref="E3:F3"/>
    <mergeCell ref="G3:H3"/>
    <mergeCell ref="M3:N3"/>
    <mergeCell ref="O3:P3"/>
    <mergeCell ref="S3:U3"/>
    <mergeCell ref="V3:W3"/>
    <mergeCell ref="G4:H4"/>
    <mergeCell ref="M4:N4"/>
    <mergeCell ref="O4:P4"/>
    <mergeCell ref="M5:N5"/>
    <mergeCell ref="O5:P5"/>
    <mergeCell ref="M6:N6"/>
    <mergeCell ref="O6:P6"/>
    <mergeCell ref="O7:P7"/>
    <mergeCell ref="M7:N7"/>
    <mergeCell ref="M8:N8"/>
    <mergeCell ref="M9:N9"/>
    <mergeCell ref="M10:N10"/>
    <mergeCell ref="M11:N11"/>
    <mergeCell ref="M12:N12"/>
    <mergeCell ref="M13:N13"/>
    <mergeCell ref="S11:U11"/>
    <mergeCell ref="S12:U12"/>
    <mergeCell ref="V12:W12"/>
    <mergeCell ref="S13:U13"/>
    <mergeCell ref="S14:U14"/>
    <mergeCell ref="S15:U15"/>
    <mergeCell ref="S16:U16"/>
    <mergeCell ref="S24:U24"/>
    <mergeCell ref="S25:U25"/>
    <mergeCell ref="S26:U26"/>
    <mergeCell ref="S27:U27"/>
    <mergeCell ref="S17:U17"/>
    <mergeCell ref="S18:U18"/>
    <mergeCell ref="S19:U19"/>
    <mergeCell ref="S20:U20"/>
    <mergeCell ref="S21:U21"/>
    <mergeCell ref="S22:U22"/>
    <mergeCell ref="S23:U23"/>
    <mergeCell ref="R32:S32"/>
    <mergeCell ref="R33:S33"/>
    <mergeCell ref="P34:Q34"/>
    <mergeCell ref="R34:S34"/>
    <mergeCell ref="T34:U34"/>
    <mergeCell ref="R35:S35"/>
    <mergeCell ref="T35:U35"/>
    <mergeCell ref="P35:Q35"/>
    <mergeCell ref="P36:Q36"/>
    <mergeCell ref="R36:S36"/>
    <mergeCell ref="T36:U36"/>
    <mergeCell ref="P37:Q37"/>
    <mergeCell ref="R37:S37"/>
    <mergeCell ref="T37:U37"/>
    <mergeCell ref="M14:N14"/>
    <mergeCell ref="M15:N15"/>
    <mergeCell ref="M16:N16"/>
    <mergeCell ref="M17:N17"/>
    <mergeCell ref="O17:P17"/>
    <mergeCell ref="M18:N18"/>
    <mergeCell ref="O18:P18"/>
    <mergeCell ref="O23:P23"/>
    <mergeCell ref="O24:P24"/>
    <mergeCell ref="O25:P25"/>
    <mergeCell ref="O26:P26"/>
    <mergeCell ref="O27:P27"/>
    <mergeCell ref="O28:P28"/>
    <mergeCell ref="O29:P29"/>
    <mergeCell ref="M19:N19"/>
    <mergeCell ref="O19:P19"/>
    <mergeCell ref="M20:N20"/>
    <mergeCell ref="O20:P20"/>
    <mergeCell ref="M21:N21"/>
    <mergeCell ref="O21:P21"/>
    <mergeCell ref="O22:P22"/>
    <mergeCell ref="M22:N22"/>
    <mergeCell ref="M23:N23"/>
    <mergeCell ref="M24:N24"/>
    <mergeCell ref="M25:N25"/>
    <mergeCell ref="M26:N26"/>
    <mergeCell ref="M27:N27"/>
    <mergeCell ref="M28:N28"/>
    <mergeCell ref="J33:K33"/>
    <mergeCell ref="J34:K34"/>
    <mergeCell ref="J35:K35"/>
    <mergeCell ref="J36:K36"/>
    <mergeCell ref="M29:N29"/>
    <mergeCell ref="J31:K31"/>
    <mergeCell ref="R31:S31"/>
    <mergeCell ref="T31:U31"/>
    <mergeCell ref="J32:K32"/>
    <mergeCell ref="T32:U32"/>
    <mergeCell ref="T33:U33"/>
    <mergeCell ref="P38:Q38"/>
    <mergeCell ref="R38:S38"/>
    <mergeCell ref="T38:U38"/>
  </mergeCells>
  <hyperlinks>
    <hyperlink r:id="rId1" ref="R3"/>
    <hyperlink r:id="rId2" ref="R4"/>
    <hyperlink r:id="rId3" ref="R5"/>
    <hyperlink r:id="rId4" ref="R6"/>
    <hyperlink r:id="rId5" ref="R7"/>
    <hyperlink r:id="rId6" ref="R8"/>
    <hyperlink r:id="rId7" ref="R9"/>
    <hyperlink r:id="rId8" ref="R10"/>
    <hyperlink r:id="rId9" ref="R11"/>
    <hyperlink r:id="rId10" ref="R12"/>
    <hyperlink r:id="rId11" ref="R13"/>
    <hyperlink r:id="rId12" ref="R14"/>
    <hyperlink r:id="rId13" ref="R15"/>
    <hyperlink r:id="rId14" ref="R16"/>
    <hyperlink r:id="rId15" ref="R17"/>
    <hyperlink r:id="rId16" ref="R18"/>
    <hyperlink r:id="rId17" ref="R19"/>
    <hyperlink r:id="rId18" ref="R20"/>
    <hyperlink r:id="rId19" ref="R21"/>
    <hyperlink r:id="rId20" ref="R22"/>
    <hyperlink r:id="rId21" ref="R23"/>
    <hyperlink r:id="rId22" ref="R24"/>
    <hyperlink r:id="rId23" ref="R25"/>
    <hyperlink r:id="rId24" ref="V25"/>
    <hyperlink r:id="rId25" ref="R26"/>
    <hyperlink r:id="rId26" location="rpdCntId" ref="R27"/>
    <hyperlink r:id="rId27" ref="V27"/>
    <hyperlink r:id="rId28" ref="A30"/>
    <hyperlink r:id="rId29" ref="E30"/>
  </hyperlinks>
  <printOptions gridLines="1" horizontalCentered="1"/>
  <pageMargins bottom="0.75" footer="0.0" header="0.0" left="0.7" right="0.7" top="0.75"/>
  <pageSetup fitToHeight="0" cellComments="atEnd" orientation="portrait" pageOrder="overThenDown"/>
  <drawing r:id="rId3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3.75"/>
    <col customWidth="1" min="2" max="2" width="17.25"/>
    <col customWidth="1" min="4" max="4" width="14.63"/>
    <col customWidth="1" min="7" max="7" width="15.38"/>
    <col customWidth="1" min="8" max="8" width="17.13"/>
    <col customWidth="1" min="14" max="14" width="13.63"/>
    <col customWidth="1" min="21" max="21" width="17.63"/>
    <col customWidth="1" min="23" max="23" width="13.38"/>
  </cols>
  <sheetData>
    <row r="1">
      <c r="A1" s="34" t="s">
        <v>278</v>
      </c>
      <c r="B1" s="2"/>
      <c r="C1" s="3"/>
      <c r="I1" s="4" t="s">
        <v>1</v>
      </c>
      <c r="J1" s="5"/>
      <c r="K1" s="4" t="s">
        <v>2</v>
      </c>
      <c r="L1" s="6"/>
    </row>
    <row r="2">
      <c r="A2" s="7" t="s">
        <v>3</v>
      </c>
      <c r="B2" s="8" t="s">
        <v>4</v>
      </c>
      <c r="C2" s="8" t="s">
        <v>5</v>
      </c>
      <c r="D2" s="9" t="s">
        <v>6</v>
      </c>
      <c r="E2" s="4" t="s">
        <v>7</v>
      </c>
      <c r="F2" s="6"/>
      <c r="G2" s="4" t="s">
        <v>8</v>
      </c>
      <c r="H2" s="6"/>
      <c r="I2" s="9" t="s">
        <v>13</v>
      </c>
      <c r="J2" s="9" t="s">
        <v>14</v>
      </c>
      <c r="K2" s="9" t="s">
        <v>13</v>
      </c>
      <c r="L2" s="9" t="s">
        <v>14</v>
      </c>
      <c r="M2" s="4" t="s">
        <v>15</v>
      </c>
      <c r="N2" s="6"/>
      <c r="O2" s="4" t="s">
        <v>16</v>
      </c>
      <c r="P2" s="6"/>
      <c r="Q2" s="9" t="s">
        <v>17</v>
      </c>
      <c r="R2" s="10" t="s">
        <v>18</v>
      </c>
      <c r="S2" s="4" t="s">
        <v>19</v>
      </c>
      <c r="T2" s="11"/>
      <c r="U2" s="6"/>
      <c r="V2" s="12" t="s">
        <v>20</v>
      </c>
      <c r="W2" s="13"/>
      <c r="X2" s="14" t="s">
        <v>21</v>
      </c>
    </row>
    <row r="3">
      <c r="A3" s="15" t="s">
        <v>22</v>
      </c>
      <c r="B3" s="16" t="s">
        <v>23</v>
      </c>
      <c r="C3" s="17">
        <v>1.0</v>
      </c>
      <c r="D3" s="18">
        <v>11.1</v>
      </c>
      <c r="E3" s="19" t="s">
        <v>24</v>
      </c>
      <c r="F3" s="20"/>
      <c r="G3" s="21" t="s">
        <v>25</v>
      </c>
      <c r="H3" s="20"/>
      <c r="I3" s="22" t="s">
        <v>189</v>
      </c>
      <c r="J3" s="23"/>
      <c r="K3" s="23"/>
      <c r="L3" s="23"/>
      <c r="M3" s="21"/>
      <c r="N3" s="20"/>
      <c r="O3" s="19" t="s">
        <v>27</v>
      </c>
      <c r="P3" s="20"/>
      <c r="Q3" s="24"/>
      <c r="R3" s="25" t="s">
        <v>28</v>
      </c>
      <c r="S3" s="26" t="s">
        <v>29</v>
      </c>
      <c r="T3" s="27"/>
      <c r="U3" s="13"/>
      <c r="V3" s="28" t="s">
        <v>279</v>
      </c>
      <c r="W3" s="20"/>
      <c r="X3" s="29" t="s">
        <v>31</v>
      </c>
    </row>
    <row r="4">
      <c r="A4" s="15" t="s">
        <v>32</v>
      </c>
      <c r="B4" s="16" t="s">
        <v>33</v>
      </c>
      <c r="C4" s="17">
        <v>1.0</v>
      </c>
      <c r="D4" s="18">
        <v>11.1</v>
      </c>
      <c r="E4" s="30"/>
      <c r="F4" s="30"/>
      <c r="G4" s="19" t="s">
        <v>34</v>
      </c>
      <c r="H4" s="20"/>
      <c r="I4" s="23"/>
      <c r="J4" s="23"/>
      <c r="K4" s="23"/>
      <c r="L4" s="23"/>
      <c r="M4" s="19">
        <v>-9166.66</v>
      </c>
      <c r="N4" s="20"/>
      <c r="O4" s="19">
        <v>-101750.0</v>
      </c>
      <c r="P4" s="20"/>
      <c r="Q4" s="31">
        <f>O4/O30</f>
        <v>-0.5714200365</v>
      </c>
      <c r="R4" s="32" t="s">
        <v>35</v>
      </c>
      <c r="S4" s="33" t="s">
        <v>36</v>
      </c>
      <c r="U4" s="20"/>
      <c r="V4" s="34" t="s">
        <v>280</v>
      </c>
      <c r="W4" s="20"/>
      <c r="X4" s="35" t="s">
        <v>37</v>
      </c>
    </row>
    <row r="5">
      <c r="A5" s="230" t="s">
        <v>219</v>
      </c>
      <c r="B5" s="231" t="s">
        <v>39</v>
      </c>
      <c r="C5" s="232">
        <v>1.0</v>
      </c>
      <c r="D5" s="233">
        <v>3.3</v>
      </c>
      <c r="E5" s="234" t="s">
        <v>40</v>
      </c>
      <c r="F5" s="20"/>
      <c r="G5" s="233" t="s">
        <v>41</v>
      </c>
      <c r="I5" s="234">
        <v>55.5</v>
      </c>
      <c r="J5" s="232">
        <v>0.0</v>
      </c>
      <c r="K5" s="52">
        <f>N34</f>
        <v>1</v>
      </c>
      <c r="L5" s="232">
        <v>0.0</v>
      </c>
      <c r="M5" s="42">
        <f t="shared" ref="M5:M29" si="1">(I5*K5+J5*L5)*C5</f>
        <v>55.5</v>
      </c>
      <c r="N5" s="20"/>
      <c r="O5" s="42">
        <f t="shared" ref="O5:O16" si="2">(M5*D5)</f>
        <v>183.15</v>
      </c>
      <c r="P5" s="20"/>
      <c r="Q5" s="235">
        <f>O5/O30</f>
        <v>0.001028556066</v>
      </c>
      <c r="R5" s="236" t="s">
        <v>42</v>
      </c>
      <c r="S5" s="55" t="s">
        <v>281</v>
      </c>
      <c r="U5" s="20"/>
      <c r="V5" s="34" t="s">
        <v>282</v>
      </c>
      <c r="W5" s="20"/>
      <c r="X5" s="47" t="s">
        <v>44</v>
      </c>
    </row>
    <row r="6">
      <c r="A6" s="237" t="s">
        <v>283</v>
      </c>
      <c r="B6" s="221" t="s">
        <v>284</v>
      </c>
      <c r="C6" s="50">
        <v>1.0</v>
      </c>
      <c r="D6" s="51">
        <v>5.0</v>
      </c>
      <c r="E6" s="42" t="s">
        <v>285</v>
      </c>
      <c r="F6" s="20"/>
      <c r="G6" s="42" t="s">
        <v>25</v>
      </c>
      <c r="H6" s="20"/>
      <c r="I6" s="51">
        <v>15.0</v>
      </c>
      <c r="J6" s="51">
        <v>0.0</v>
      </c>
      <c r="K6" s="57">
        <f>N34</f>
        <v>1</v>
      </c>
      <c r="L6" s="51">
        <v>0.0</v>
      </c>
      <c r="M6" s="42">
        <f t="shared" si="1"/>
        <v>15</v>
      </c>
      <c r="N6" s="20"/>
      <c r="O6" s="42">
        <f t="shared" si="2"/>
        <v>75</v>
      </c>
      <c r="P6" s="20"/>
      <c r="Q6" s="53">
        <f>O6/O30</f>
        <v>0.0004211941301</v>
      </c>
      <c r="R6" s="54" t="s">
        <v>286</v>
      </c>
      <c r="S6" s="55" t="s">
        <v>287</v>
      </c>
      <c r="U6" s="20"/>
      <c r="V6" s="34" t="s">
        <v>288</v>
      </c>
      <c r="W6" s="20"/>
    </row>
    <row r="7">
      <c r="A7" s="48" t="s">
        <v>221</v>
      </c>
      <c r="B7" s="49" t="s">
        <v>46</v>
      </c>
      <c r="C7" s="50">
        <v>1.0</v>
      </c>
      <c r="D7" s="51">
        <v>5.0</v>
      </c>
      <c r="E7" s="42" t="s">
        <v>47</v>
      </c>
      <c r="F7" s="20"/>
      <c r="G7" s="42" t="s">
        <v>25</v>
      </c>
      <c r="H7" s="20"/>
      <c r="I7" s="51">
        <v>400.0</v>
      </c>
      <c r="J7" s="51">
        <v>0.0</v>
      </c>
      <c r="K7" s="52">
        <f>N34</f>
        <v>1</v>
      </c>
      <c r="L7" s="51">
        <v>0.0</v>
      </c>
      <c r="M7" s="42">
        <f t="shared" si="1"/>
        <v>400</v>
      </c>
      <c r="N7" s="20"/>
      <c r="O7" s="42">
        <f t="shared" si="2"/>
        <v>2000</v>
      </c>
      <c r="P7" s="20"/>
      <c r="Q7" s="53">
        <f>O7/O30</f>
        <v>0.01123184347</v>
      </c>
      <c r="R7" s="54" t="s">
        <v>48</v>
      </c>
      <c r="S7" s="55" t="s">
        <v>194</v>
      </c>
      <c r="U7" s="20"/>
      <c r="V7" s="34" t="s">
        <v>289</v>
      </c>
      <c r="W7" s="20"/>
      <c r="X7" s="34"/>
    </row>
    <row r="8">
      <c r="A8" s="48" t="s">
        <v>223</v>
      </c>
      <c r="B8" s="49" t="s">
        <v>224</v>
      </c>
      <c r="C8" s="50">
        <v>1.0</v>
      </c>
      <c r="D8" s="51">
        <v>3.3</v>
      </c>
      <c r="E8" s="42" t="s">
        <v>225</v>
      </c>
      <c r="F8" s="20"/>
      <c r="G8" s="42" t="s">
        <v>25</v>
      </c>
      <c r="H8" s="20"/>
      <c r="I8" s="51">
        <v>250.0</v>
      </c>
      <c r="J8" s="51">
        <v>0.0</v>
      </c>
      <c r="K8" s="52">
        <f>N34</f>
        <v>1</v>
      </c>
      <c r="L8" s="51">
        <v>0.0</v>
      </c>
      <c r="M8" s="42">
        <f t="shared" si="1"/>
        <v>250</v>
      </c>
      <c r="N8" s="20"/>
      <c r="O8" s="42">
        <f t="shared" si="2"/>
        <v>825</v>
      </c>
      <c r="P8" s="20"/>
      <c r="Q8" s="53">
        <f>O8/O30</f>
        <v>0.004633135431</v>
      </c>
      <c r="R8" s="54" t="s">
        <v>48</v>
      </c>
      <c r="S8" s="55" t="s">
        <v>226</v>
      </c>
      <c r="U8" s="20"/>
      <c r="V8" s="34"/>
      <c r="W8" s="20"/>
    </row>
    <row r="9">
      <c r="A9" s="48" t="s">
        <v>223</v>
      </c>
      <c r="B9" s="49" t="s">
        <v>227</v>
      </c>
      <c r="C9" s="50">
        <v>1.0</v>
      </c>
      <c r="D9" s="51">
        <v>1.8</v>
      </c>
      <c r="E9" s="42" t="s">
        <v>228</v>
      </c>
      <c r="F9" s="20"/>
      <c r="G9" s="42" t="s">
        <v>25</v>
      </c>
      <c r="H9" s="20"/>
      <c r="I9" s="51">
        <v>250.0</v>
      </c>
      <c r="J9" s="51">
        <v>0.0</v>
      </c>
      <c r="K9" s="52">
        <f>N34</f>
        <v>1</v>
      </c>
      <c r="L9" s="51">
        <v>0.0</v>
      </c>
      <c r="M9" s="42">
        <f t="shared" si="1"/>
        <v>250</v>
      </c>
      <c r="N9" s="20"/>
      <c r="O9" s="42">
        <f t="shared" si="2"/>
        <v>450</v>
      </c>
      <c r="P9" s="20"/>
      <c r="Q9" s="53">
        <f>O9/O30</f>
        <v>0.002527164781</v>
      </c>
      <c r="R9" s="54" t="s">
        <v>48</v>
      </c>
      <c r="S9" s="55" t="s">
        <v>226</v>
      </c>
      <c r="U9" s="20"/>
      <c r="V9" s="34"/>
      <c r="W9" s="20"/>
    </row>
    <row r="10">
      <c r="A10" s="48" t="s">
        <v>223</v>
      </c>
      <c r="B10" s="49" t="s">
        <v>229</v>
      </c>
      <c r="C10" s="50">
        <v>1.0</v>
      </c>
      <c r="D10" s="51">
        <v>3.3</v>
      </c>
      <c r="E10" s="42" t="s">
        <v>230</v>
      </c>
      <c r="F10" s="20"/>
      <c r="G10" s="42" t="s">
        <v>25</v>
      </c>
      <c r="H10" s="20"/>
      <c r="I10" s="51">
        <v>25.0</v>
      </c>
      <c r="J10" s="51">
        <v>0.0</v>
      </c>
      <c r="K10" s="52">
        <f>N34</f>
        <v>1</v>
      </c>
      <c r="L10" s="51">
        <v>0.0</v>
      </c>
      <c r="M10" s="42">
        <f t="shared" si="1"/>
        <v>25</v>
      </c>
      <c r="N10" s="20"/>
      <c r="O10" s="42">
        <f t="shared" si="2"/>
        <v>82.5</v>
      </c>
      <c r="P10" s="20"/>
      <c r="Q10" s="53">
        <f>O10/O30</f>
        <v>0.0004633135431</v>
      </c>
      <c r="R10" s="54" t="s">
        <v>48</v>
      </c>
      <c r="S10" s="55" t="s">
        <v>226</v>
      </c>
      <c r="U10" s="20"/>
      <c r="W10" s="20"/>
    </row>
    <row r="11">
      <c r="A11" s="48" t="s">
        <v>223</v>
      </c>
      <c r="B11" s="49" t="s">
        <v>231</v>
      </c>
      <c r="C11" s="50">
        <v>1.0</v>
      </c>
      <c r="D11" s="51">
        <v>3.3</v>
      </c>
      <c r="E11" s="42" t="s">
        <v>232</v>
      </c>
      <c r="F11" s="20"/>
      <c r="G11" s="42" t="s">
        <v>233</v>
      </c>
      <c r="H11" s="20"/>
      <c r="I11" s="51">
        <v>50.0</v>
      </c>
      <c r="J11" s="51">
        <v>0.0</v>
      </c>
      <c r="K11" s="52">
        <f>N34</f>
        <v>1</v>
      </c>
      <c r="L11" s="51">
        <v>0.0</v>
      </c>
      <c r="M11" s="42">
        <f t="shared" si="1"/>
        <v>50</v>
      </c>
      <c r="N11" s="20"/>
      <c r="O11" s="42">
        <f t="shared" si="2"/>
        <v>165</v>
      </c>
      <c r="P11" s="20"/>
      <c r="Q11" s="53">
        <f>O11/O30</f>
        <v>0.0009266270862</v>
      </c>
      <c r="R11" s="54" t="s">
        <v>48</v>
      </c>
      <c r="S11" s="55" t="s">
        <v>234</v>
      </c>
      <c r="U11" s="20"/>
      <c r="V11" s="34"/>
      <c r="W11" s="20"/>
    </row>
    <row r="12">
      <c r="A12" s="48" t="s">
        <v>223</v>
      </c>
      <c r="B12" s="49" t="s">
        <v>235</v>
      </c>
      <c r="C12" s="50">
        <v>1.0</v>
      </c>
      <c r="D12" s="51">
        <v>3.3</v>
      </c>
      <c r="E12" s="42" t="s">
        <v>232</v>
      </c>
      <c r="F12" s="20"/>
      <c r="G12" s="42" t="s">
        <v>233</v>
      </c>
      <c r="H12" s="20"/>
      <c r="I12" s="51">
        <v>50.0</v>
      </c>
      <c r="J12" s="51">
        <v>0.0</v>
      </c>
      <c r="K12" s="52">
        <f>N34</f>
        <v>1</v>
      </c>
      <c r="L12" s="51">
        <v>0.0</v>
      </c>
      <c r="M12" s="42">
        <f t="shared" si="1"/>
        <v>50</v>
      </c>
      <c r="N12" s="20"/>
      <c r="O12" s="42">
        <f t="shared" si="2"/>
        <v>165</v>
      </c>
      <c r="P12" s="20"/>
      <c r="Q12" s="53">
        <f>O12/O30</f>
        <v>0.0009266270862</v>
      </c>
      <c r="R12" s="54" t="s">
        <v>48</v>
      </c>
      <c r="S12" s="55" t="s">
        <v>236</v>
      </c>
      <c r="U12" s="20"/>
      <c r="V12" s="34"/>
      <c r="W12" s="20"/>
    </row>
    <row r="13">
      <c r="A13" s="48" t="s">
        <v>223</v>
      </c>
      <c r="B13" s="49" t="s">
        <v>290</v>
      </c>
      <c r="C13" s="50">
        <v>1.0</v>
      </c>
      <c r="D13" s="51">
        <v>3.3</v>
      </c>
      <c r="E13" s="42" t="s">
        <v>291</v>
      </c>
      <c r="F13" s="20"/>
      <c r="G13" s="42" t="s">
        <v>25</v>
      </c>
      <c r="H13" s="20"/>
      <c r="I13" s="51">
        <v>50.0</v>
      </c>
      <c r="J13" s="51">
        <v>0.0</v>
      </c>
      <c r="K13" s="57">
        <v>0.0</v>
      </c>
      <c r="L13" s="51">
        <v>0.0</v>
      </c>
      <c r="M13" s="42">
        <f t="shared" si="1"/>
        <v>0</v>
      </c>
      <c r="N13" s="20"/>
      <c r="O13" s="42">
        <f t="shared" si="2"/>
        <v>0</v>
      </c>
      <c r="P13" s="20"/>
      <c r="Q13" s="53">
        <f>O13/O30</f>
        <v>0</v>
      </c>
      <c r="R13" s="54" t="s">
        <v>48</v>
      </c>
      <c r="S13" s="55" t="s">
        <v>292</v>
      </c>
      <c r="U13" s="20"/>
      <c r="V13" s="34"/>
      <c r="W13" s="20"/>
    </row>
    <row r="14">
      <c r="A14" s="238" t="s">
        <v>237</v>
      </c>
      <c r="B14" s="217" t="s">
        <v>238</v>
      </c>
      <c r="C14" s="50">
        <v>1.0</v>
      </c>
      <c r="D14" s="51">
        <v>3.3</v>
      </c>
      <c r="E14" s="42" t="s">
        <v>239</v>
      </c>
      <c r="F14" s="20"/>
      <c r="G14" s="42" t="s">
        <v>69</v>
      </c>
      <c r="H14" s="20"/>
      <c r="I14" s="51">
        <v>20.0</v>
      </c>
      <c r="J14" s="51">
        <v>0.0</v>
      </c>
      <c r="K14" s="52">
        <f>N34</f>
        <v>1</v>
      </c>
      <c r="L14" s="51">
        <v>0.0</v>
      </c>
      <c r="M14" s="42">
        <f t="shared" si="1"/>
        <v>20</v>
      </c>
      <c r="N14" s="20"/>
      <c r="O14" s="42">
        <f t="shared" si="2"/>
        <v>66</v>
      </c>
      <c r="P14" s="20"/>
      <c r="Q14" s="53">
        <f>O14/O30</f>
        <v>0.0003706508345</v>
      </c>
      <c r="R14" s="218" t="s">
        <v>240</v>
      </c>
      <c r="S14" s="219" t="s">
        <v>241</v>
      </c>
      <c r="U14" s="20"/>
      <c r="V14" s="34"/>
      <c r="W14" s="20"/>
    </row>
    <row r="15">
      <c r="A15" s="239" t="s">
        <v>242</v>
      </c>
      <c r="B15" s="221" t="s">
        <v>243</v>
      </c>
      <c r="C15" s="50">
        <v>1.0</v>
      </c>
      <c r="D15" s="51">
        <v>3.3</v>
      </c>
      <c r="E15" s="42" t="s">
        <v>244</v>
      </c>
      <c r="F15" s="20"/>
      <c r="G15" s="42" t="s">
        <v>69</v>
      </c>
      <c r="H15" s="20"/>
      <c r="I15" s="51">
        <v>1.7</v>
      </c>
      <c r="J15" s="51">
        <v>0.0</v>
      </c>
      <c r="K15" s="52">
        <f>N34</f>
        <v>1</v>
      </c>
      <c r="L15" s="51">
        <v>0.0</v>
      </c>
      <c r="M15" s="42">
        <f t="shared" si="1"/>
        <v>1.7</v>
      </c>
      <c r="N15" s="20"/>
      <c r="O15" s="42">
        <f t="shared" si="2"/>
        <v>5.61</v>
      </c>
      <c r="P15" s="20"/>
      <c r="Q15" s="53">
        <f>O15/O30</f>
        <v>0.00003150532093</v>
      </c>
      <c r="R15" s="218" t="s">
        <v>245</v>
      </c>
      <c r="S15" s="219" t="s">
        <v>246</v>
      </c>
      <c r="U15" s="20"/>
    </row>
    <row r="16">
      <c r="A16" s="73" t="s">
        <v>66</v>
      </c>
      <c r="B16" s="74" t="s">
        <v>251</v>
      </c>
      <c r="C16" s="75">
        <v>1.0</v>
      </c>
      <c r="D16" s="78">
        <v>3.3</v>
      </c>
      <c r="E16" s="77" t="s">
        <v>68</v>
      </c>
      <c r="F16" s="20"/>
      <c r="G16" s="77" t="s">
        <v>69</v>
      </c>
      <c r="H16" s="20"/>
      <c r="I16" s="78">
        <v>0.265</v>
      </c>
      <c r="J16" s="78">
        <v>0.0</v>
      </c>
      <c r="K16" s="79">
        <f>N34</f>
        <v>1</v>
      </c>
      <c r="L16" s="78">
        <v>0.0</v>
      </c>
      <c r="M16" s="77">
        <f t="shared" si="1"/>
        <v>0.265</v>
      </c>
      <c r="N16" s="20"/>
      <c r="O16" s="77">
        <f t="shared" si="2"/>
        <v>0.8745</v>
      </c>
      <c r="P16" s="20"/>
      <c r="Q16" s="81">
        <f>O16/O30</f>
        <v>0.000004911123557</v>
      </c>
      <c r="R16" s="82" t="s">
        <v>70</v>
      </c>
      <c r="S16" s="83" t="s">
        <v>71</v>
      </c>
      <c r="U16" s="20"/>
    </row>
    <row r="17">
      <c r="A17" s="73" t="s">
        <v>72</v>
      </c>
      <c r="B17" s="84" t="s">
        <v>73</v>
      </c>
      <c r="C17" s="85">
        <v>4.0</v>
      </c>
      <c r="D17" s="78">
        <v>5.0</v>
      </c>
      <c r="E17" s="77" t="s">
        <v>74</v>
      </c>
      <c r="F17" s="20"/>
      <c r="G17" s="77" t="s">
        <v>75</v>
      </c>
      <c r="H17" s="20"/>
      <c r="I17" s="78">
        <v>15.0</v>
      </c>
      <c r="J17" s="78">
        <v>0.0</v>
      </c>
      <c r="K17" s="79">
        <f>N34</f>
        <v>1</v>
      </c>
      <c r="L17" s="78">
        <v>0.0</v>
      </c>
      <c r="M17" s="77">
        <f t="shared" si="1"/>
        <v>60</v>
      </c>
      <c r="N17" s="20"/>
      <c r="O17" s="77">
        <f>(M17*D17) + 0.844 * K17</f>
        <v>300.844</v>
      </c>
      <c r="P17" s="20"/>
      <c r="Q17" s="81">
        <f>O17/O30</f>
        <v>0.001689516358</v>
      </c>
      <c r="R17" s="82" t="s">
        <v>76</v>
      </c>
      <c r="S17" s="83" t="s">
        <v>77</v>
      </c>
      <c r="U17" s="20"/>
    </row>
    <row r="18">
      <c r="A18" s="87" t="s">
        <v>78</v>
      </c>
      <c r="B18" s="88" t="s">
        <v>79</v>
      </c>
      <c r="C18" s="75">
        <v>1.0</v>
      </c>
      <c r="D18" s="78">
        <v>3.3</v>
      </c>
      <c r="E18" s="77" t="s">
        <v>80</v>
      </c>
      <c r="F18" s="20"/>
      <c r="G18" s="77" t="s">
        <v>81</v>
      </c>
      <c r="H18" s="20"/>
      <c r="I18" s="78">
        <v>20.0</v>
      </c>
      <c r="J18" s="78">
        <v>25.0</v>
      </c>
      <c r="K18" s="89">
        <f>N34 - 0.01</f>
        <v>0.99</v>
      </c>
      <c r="L18" s="78">
        <v>0.01</v>
      </c>
      <c r="M18" s="77">
        <f t="shared" si="1"/>
        <v>20.05</v>
      </c>
      <c r="N18" s="20"/>
      <c r="O18" s="77">
        <f>(M18*D18)+ 1.09 * K18</f>
        <v>67.2441</v>
      </c>
      <c r="P18" s="20"/>
      <c r="Q18" s="81">
        <f>O18/O30</f>
        <v>0.0003776376027</v>
      </c>
      <c r="R18" s="82" t="s">
        <v>82</v>
      </c>
      <c r="S18" s="83" t="s">
        <v>199</v>
      </c>
      <c r="U18" s="20"/>
    </row>
    <row r="19">
      <c r="A19" s="197" t="s">
        <v>200</v>
      </c>
      <c r="B19" s="198" t="s">
        <v>201</v>
      </c>
      <c r="C19" s="75">
        <v>1.0</v>
      </c>
      <c r="D19" s="78">
        <v>3.3</v>
      </c>
      <c r="E19" s="77" t="s">
        <v>202</v>
      </c>
      <c r="F19" s="20"/>
      <c r="G19" s="77" t="s">
        <v>25</v>
      </c>
      <c r="H19" s="20"/>
      <c r="I19" s="78">
        <v>8.6</v>
      </c>
      <c r="J19" s="78">
        <v>0.0</v>
      </c>
      <c r="K19" s="79">
        <f>N34</f>
        <v>1</v>
      </c>
      <c r="L19" s="78">
        <v>0.0</v>
      </c>
      <c r="M19" s="77">
        <f t="shared" si="1"/>
        <v>8.6</v>
      </c>
      <c r="N19" s="20"/>
      <c r="O19" s="77">
        <f t="shared" ref="O19:O29" si="3">(M19*D19)</f>
        <v>28.38</v>
      </c>
      <c r="P19" s="20"/>
      <c r="Q19" s="81">
        <f>O19/O30</f>
        <v>0.0001593798588</v>
      </c>
      <c r="R19" s="199" t="s">
        <v>203</v>
      </c>
      <c r="S19" s="83" t="s">
        <v>204</v>
      </c>
      <c r="U19" s="20"/>
      <c r="V19" s="34"/>
      <c r="W19" s="34"/>
    </row>
    <row r="20">
      <c r="A20" s="73" t="s">
        <v>84</v>
      </c>
      <c r="B20" s="90" t="s">
        <v>85</v>
      </c>
      <c r="C20" s="75">
        <v>1.0</v>
      </c>
      <c r="D20" s="78">
        <v>1.8</v>
      </c>
      <c r="E20" s="77" t="s">
        <v>86</v>
      </c>
      <c r="F20" s="20"/>
      <c r="G20" s="77" t="s">
        <v>87</v>
      </c>
      <c r="H20" s="20"/>
      <c r="I20" s="78">
        <v>3.11</v>
      </c>
      <c r="J20" s="78">
        <v>0.0</v>
      </c>
      <c r="K20" s="79">
        <f>N34</f>
        <v>1</v>
      </c>
      <c r="L20" s="78">
        <v>0.0</v>
      </c>
      <c r="M20" s="77">
        <f t="shared" si="1"/>
        <v>3.11</v>
      </c>
      <c r="N20" s="20"/>
      <c r="O20" s="77">
        <f t="shared" si="3"/>
        <v>5.598</v>
      </c>
      <c r="P20" s="20"/>
      <c r="Q20" s="81">
        <f>O20/O30</f>
        <v>0.00003143792987</v>
      </c>
      <c r="R20" s="91" t="s">
        <v>88</v>
      </c>
      <c r="S20" s="83" t="s">
        <v>89</v>
      </c>
      <c r="U20" s="20"/>
    </row>
    <row r="21">
      <c r="A21" s="240" t="s">
        <v>252</v>
      </c>
      <c r="B21" s="223" t="s">
        <v>253</v>
      </c>
      <c r="C21" s="85">
        <v>2.0</v>
      </c>
      <c r="D21" s="78">
        <v>1.8</v>
      </c>
      <c r="E21" s="77" t="s">
        <v>254</v>
      </c>
      <c r="F21" s="20"/>
      <c r="G21" s="77" t="s">
        <v>255</v>
      </c>
      <c r="H21" s="20"/>
      <c r="I21" s="78">
        <v>14.8</v>
      </c>
      <c r="J21" s="78">
        <v>0.0</v>
      </c>
      <c r="K21" s="79">
        <f>N34</f>
        <v>1</v>
      </c>
      <c r="L21" s="78">
        <v>0.0</v>
      </c>
      <c r="M21" s="77">
        <f t="shared" si="1"/>
        <v>29.6</v>
      </c>
      <c r="N21" s="20"/>
      <c r="O21" s="77">
        <f t="shared" si="3"/>
        <v>53.28</v>
      </c>
      <c r="P21" s="20"/>
      <c r="Q21" s="81">
        <f>O21/O30</f>
        <v>0.00029921631</v>
      </c>
      <c r="R21" s="91" t="s">
        <v>256</v>
      </c>
      <c r="S21" s="224" t="s">
        <v>257</v>
      </c>
      <c r="U21" s="20"/>
    </row>
    <row r="22">
      <c r="A22" s="240" t="s">
        <v>90</v>
      </c>
      <c r="B22" s="223" t="s">
        <v>91</v>
      </c>
      <c r="C22" s="85">
        <v>1.0</v>
      </c>
      <c r="D22" s="78">
        <v>3.3</v>
      </c>
      <c r="E22" s="77" t="s">
        <v>92</v>
      </c>
      <c r="F22" s="20"/>
      <c r="G22" s="77" t="s">
        <v>93</v>
      </c>
      <c r="H22" s="20"/>
      <c r="I22" s="78">
        <v>3.03</v>
      </c>
      <c r="J22" s="78">
        <v>0.0</v>
      </c>
      <c r="K22" s="79">
        <f>N34</f>
        <v>1</v>
      </c>
      <c r="L22" s="78">
        <v>0.0</v>
      </c>
      <c r="M22" s="77">
        <f t="shared" si="1"/>
        <v>3.03</v>
      </c>
      <c r="N22" s="20"/>
      <c r="O22" s="77">
        <f t="shared" si="3"/>
        <v>9.999</v>
      </c>
      <c r="P22" s="20"/>
      <c r="Q22" s="81">
        <f>O22/O30</f>
        <v>0.00005615360143</v>
      </c>
      <c r="R22" s="91" t="s">
        <v>94</v>
      </c>
      <c r="S22" s="83" t="s">
        <v>205</v>
      </c>
      <c r="U22" s="20"/>
    </row>
    <row r="23">
      <c r="A23" s="241" t="s">
        <v>50</v>
      </c>
      <c r="B23" s="242" t="s">
        <v>247</v>
      </c>
      <c r="C23" s="104">
        <v>1.0</v>
      </c>
      <c r="D23" s="105">
        <v>11.1</v>
      </c>
      <c r="E23" s="106" t="s">
        <v>52</v>
      </c>
      <c r="F23" s="20"/>
      <c r="G23" s="106" t="s">
        <v>53</v>
      </c>
      <c r="H23" s="20"/>
      <c r="I23" s="105">
        <v>280.0</v>
      </c>
      <c r="J23" s="105">
        <v>0.0</v>
      </c>
      <c r="K23" s="107">
        <f>N34</f>
        <v>1</v>
      </c>
      <c r="L23" s="105">
        <v>0.0</v>
      </c>
      <c r="M23" s="106">
        <f t="shared" si="1"/>
        <v>280</v>
      </c>
      <c r="N23" s="20"/>
      <c r="O23" s="106">
        <f t="shared" si="3"/>
        <v>3108</v>
      </c>
      <c r="P23" s="20"/>
      <c r="Q23" s="108">
        <f>O23/O30</f>
        <v>0.01745428475</v>
      </c>
      <c r="R23" s="243" t="s">
        <v>54</v>
      </c>
      <c r="S23" s="47" t="s">
        <v>293</v>
      </c>
      <c r="U23" s="20"/>
      <c r="V23" s="34"/>
    </row>
    <row r="24">
      <c r="A24" s="244" t="s">
        <v>223</v>
      </c>
      <c r="B24" s="242" t="s">
        <v>248</v>
      </c>
      <c r="C24" s="104">
        <v>1.0</v>
      </c>
      <c r="D24" s="105">
        <v>11.1</v>
      </c>
      <c r="E24" s="106" t="s">
        <v>249</v>
      </c>
      <c r="F24" s="20"/>
      <c r="G24" s="106" t="s">
        <v>25</v>
      </c>
      <c r="H24" s="20"/>
      <c r="I24" s="105">
        <v>60.8</v>
      </c>
      <c r="J24" s="105">
        <v>0.0</v>
      </c>
      <c r="K24" s="107">
        <f>N34</f>
        <v>1</v>
      </c>
      <c r="L24" s="105">
        <v>0.0</v>
      </c>
      <c r="M24" s="106">
        <f t="shared" si="1"/>
        <v>60.8</v>
      </c>
      <c r="N24" s="20"/>
      <c r="O24" s="106">
        <f t="shared" si="3"/>
        <v>674.88</v>
      </c>
      <c r="P24" s="20"/>
      <c r="Q24" s="108">
        <f>O24/O30</f>
        <v>0.00379007326</v>
      </c>
      <c r="R24" s="243" t="s">
        <v>54</v>
      </c>
      <c r="S24" s="47" t="s">
        <v>294</v>
      </c>
      <c r="U24" s="20"/>
      <c r="V24" s="34"/>
    </row>
    <row r="25">
      <c r="A25" s="244" t="s">
        <v>56</v>
      </c>
      <c r="B25" s="242" t="s">
        <v>57</v>
      </c>
      <c r="C25" s="104">
        <v>1.0</v>
      </c>
      <c r="D25" s="105">
        <v>5.0</v>
      </c>
      <c r="E25" s="106" t="s">
        <v>58</v>
      </c>
      <c r="F25" s="20"/>
      <c r="G25" s="106" t="s">
        <v>25</v>
      </c>
      <c r="H25" s="20"/>
      <c r="I25" s="105">
        <v>30.0</v>
      </c>
      <c r="J25" s="105">
        <v>0.0</v>
      </c>
      <c r="K25" s="107">
        <f>N34</f>
        <v>1</v>
      </c>
      <c r="L25" s="105">
        <v>0.0</v>
      </c>
      <c r="M25" s="106">
        <f t="shared" si="1"/>
        <v>30</v>
      </c>
      <c r="N25" s="20"/>
      <c r="O25" s="106">
        <f t="shared" si="3"/>
        <v>150</v>
      </c>
      <c r="P25" s="20"/>
      <c r="Q25" s="108">
        <f>O25/O30</f>
        <v>0.0008423882602</v>
      </c>
      <c r="R25" s="245" t="s">
        <v>59</v>
      </c>
      <c r="S25" s="47" t="s">
        <v>295</v>
      </c>
      <c r="U25" s="20"/>
      <c r="V25" s="34"/>
    </row>
    <row r="26">
      <c r="A26" s="244" t="s">
        <v>61</v>
      </c>
      <c r="B26" s="242" t="s">
        <v>62</v>
      </c>
      <c r="C26" s="104">
        <v>1.0</v>
      </c>
      <c r="D26" s="105">
        <v>5.0</v>
      </c>
      <c r="E26" s="106" t="s">
        <v>63</v>
      </c>
      <c r="F26" s="20"/>
      <c r="G26" s="106" t="s">
        <v>25</v>
      </c>
      <c r="H26" s="20"/>
      <c r="I26" s="105">
        <v>100.0</v>
      </c>
      <c r="J26" s="105">
        <v>0.0</v>
      </c>
      <c r="K26" s="107">
        <f>N34</f>
        <v>1</v>
      </c>
      <c r="L26" s="105">
        <v>0.0</v>
      </c>
      <c r="M26" s="106">
        <f t="shared" si="1"/>
        <v>100</v>
      </c>
      <c r="N26" s="20"/>
      <c r="O26" s="106">
        <f t="shared" si="3"/>
        <v>500</v>
      </c>
      <c r="P26" s="20"/>
      <c r="Q26" s="108">
        <f>O26/O30</f>
        <v>0.002807960867</v>
      </c>
      <c r="R26" s="245" t="s">
        <v>64</v>
      </c>
      <c r="S26" s="47" t="s">
        <v>65</v>
      </c>
      <c r="U26" s="20"/>
      <c r="V26" s="34" t="s">
        <v>270</v>
      </c>
    </row>
    <row r="27">
      <c r="A27" s="225" t="s">
        <v>271</v>
      </c>
      <c r="B27" s="226" t="s">
        <v>272</v>
      </c>
      <c r="C27" s="104">
        <v>4.0</v>
      </c>
      <c r="D27" s="105">
        <v>11.1</v>
      </c>
      <c r="E27" s="106" t="s">
        <v>273</v>
      </c>
      <c r="F27" s="20"/>
      <c r="G27" s="106" t="s">
        <v>25</v>
      </c>
      <c r="H27" s="20"/>
      <c r="I27" s="105">
        <v>174.0</v>
      </c>
      <c r="J27" s="105">
        <v>85.3</v>
      </c>
      <c r="K27" s="107">
        <f>N34 * N36</f>
        <v>1</v>
      </c>
      <c r="L27" s="105">
        <f>N34 * (1 - N36)</f>
        <v>0</v>
      </c>
      <c r="M27" s="106">
        <f t="shared" si="1"/>
        <v>696</v>
      </c>
      <c r="N27" s="20"/>
      <c r="O27" s="106">
        <f t="shared" si="3"/>
        <v>7725.6</v>
      </c>
      <c r="P27" s="20"/>
      <c r="Q27" s="108">
        <f>O27/O30</f>
        <v>0.04338636495</v>
      </c>
      <c r="R27" s="227" t="s">
        <v>286</v>
      </c>
      <c r="S27" s="228" t="s">
        <v>275</v>
      </c>
      <c r="U27" s="20"/>
      <c r="V27" s="200" t="s">
        <v>276</v>
      </c>
    </row>
    <row r="28">
      <c r="A28" s="246" t="s">
        <v>206</v>
      </c>
      <c r="B28" s="103" t="s">
        <v>97</v>
      </c>
      <c r="C28" s="104">
        <v>4.0</v>
      </c>
      <c r="D28" s="105">
        <v>11.1</v>
      </c>
      <c r="E28" s="106" t="s">
        <v>98</v>
      </c>
      <c r="F28" s="20"/>
      <c r="G28" s="106" t="s">
        <v>25</v>
      </c>
      <c r="H28" s="20"/>
      <c r="I28" s="105">
        <v>3478.0</v>
      </c>
      <c r="J28" s="106">
        <v>1706.0</v>
      </c>
      <c r="K28" s="107">
        <f>N34 * N36</f>
        <v>1</v>
      </c>
      <c r="L28" s="105">
        <f>N34 * (1 - N36)</f>
        <v>0</v>
      </c>
      <c r="M28" s="106">
        <f t="shared" si="1"/>
        <v>13912</v>
      </c>
      <c r="N28" s="20"/>
      <c r="O28" s="106">
        <f t="shared" si="3"/>
        <v>154423.2</v>
      </c>
      <c r="P28" s="20"/>
      <c r="Q28" s="108">
        <f>O28/O30</f>
        <v>0.8672286052</v>
      </c>
      <c r="R28" s="109" t="s">
        <v>99</v>
      </c>
      <c r="S28" s="47" t="s">
        <v>100</v>
      </c>
      <c r="U28" s="20"/>
      <c r="V28" s="34" t="s">
        <v>207</v>
      </c>
    </row>
    <row r="29">
      <c r="A29" s="110" t="s">
        <v>101</v>
      </c>
      <c r="B29" s="111" t="s">
        <v>102</v>
      </c>
      <c r="C29" s="112">
        <v>4.0</v>
      </c>
      <c r="D29" s="105">
        <v>5.0</v>
      </c>
      <c r="E29" s="113" t="s">
        <v>103</v>
      </c>
      <c r="F29" s="66"/>
      <c r="G29" s="113" t="s">
        <v>25</v>
      </c>
      <c r="H29" s="66"/>
      <c r="I29" s="114">
        <v>350.0</v>
      </c>
      <c r="J29" s="114">
        <v>120.0</v>
      </c>
      <c r="K29" s="115">
        <f>N34 * N38</f>
        <v>1</v>
      </c>
      <c r="L29" s="114">
        <f>N34*(1-N38)</f>
        <v>0</v>
      </c>
      <c r="M29" s="113">
        <f t="shared" si="1"/>
        <v>1400</v>
      </c>
      <c r="N29" s="66"/>
      <c r="O29" s="113">
        <f t="shared" si="3"/>
        <v>7000</v>
      </c>
      <c r="P29" s="66"/>
      <c r="Q29" s="116">
        <f>O29/O30</f>
        <v>0.03931145214</v>
      </c>
      <c r="R29" s="117" t="s">
        <v>104</v>
      </c>
      <c r="S29" s="118" t="s">
        <v>208</v>
      </c>
      <c r="T29" s="72"/>
      <c r="U29" s="66"/>
      <c r="V29" s="200" t="s">
        <v>209</v>
      </c>
    </row>
    <row r="30">
      <c r="A30" s="119"/>
      <c r="B30" s="120"/>
      <c r="C30" s="121"/>
      <c r="D30" s="122">
        <v>11.1</v>
      </c>
      <c r="M30" s="124">
        <f>sum(M5:N29)</f>
        <v>17720.655</v>
      </c>
      <c r="N30" s="6"/>
      <c r="O30" s="124">
        <f>SUM(O5:O29)</f>
        <v>178065.1596</v>
      </c>
      <c r="P30" s="6"/>
    </row>
    <row r="31">
      <c r="A31" s="125"/>
      <c r="C31" s="121"/>
      <c r="D31" s="126" t="s">
        <v>107</v>
      </c>
      <c r="M31" s="127" t="s">
        <v>108</v>
      </c>
      <c r="N31" s="72"/>
      <c r="O31" s="127" t="s">
        <v>109</v>
      </c>
      <c r="P31" s="66"/>
    </row>
    <row r="32">
      <c r="A32" s="128"/>
      <c r="B32" s="128"/>
      <c r="C32" s="125"/>
      <c r="D32" s="34"/>
    </row>
    <row r="33">
      <c r="A33" s="129" t="s">
        <v>110</v>
      </c>
      <c r="B33" s="130" t="s">
        <v>111</v>
      </c>
      <c r="C33" s="130" t="s">
        <v>112</v>
      </c>
      <c r="D33" s="131" t="s">
        <v>113</v>
      </c>
      <c r="E33" s="131" t="s">
        <v>114</v>
      </c>
      <c r="F33" s="132" t="s">
        <v>115</v>
      </c>
      <c r="G33" s="6"/>
      <c r="H33" s="131" t="s">
        <v>116</v>
      </c>
      <c r="I33" s="131" t="s">
        <v>117</v>
      </c>
      <c r="J33" s="132" t="s">
        <v>19</v>
      </c>
      <c r="K33" s="6"/>
      <c r="L33" s="34"/>
      <c r="N33" s="134" t="s">
        <v>118</v>
      </c>
      <c r="P33" s="135" t="s">
        <v>119</v>
      </c>
      <c r="Q33" s="136"/>
      <c r="R33" s="137" t="s">
        <v>120</v>
      </c>
      <c r="S33" s="6"/>
      <c r="T33" s="34"/>
    </row>
    <row r="34">
      <c r="A34" s="138" t="s">
        <v>121</v>
      </c>
      <c r="B34" s="139">
        <v>4.0</v>
      </c>
      <c r="C34" s="140" t="s">
        <v>122</v>
      </c>
      <c r="D34" s="139">
        <v>0.0</v>
      </c>
      <c r="E34" s="139">
        <v>14949.0</v>
      </c>
      <c r="F34" s="140" t="s">
        <v>25</v>
      </c>
      <c r="G34" s="20"/>
      <c r="H34" s="142">
        <f> 54 * N34</f>
        <v>54</v>
      </c>
      <c r="I34" s="142">
        <v>54.0</v>
      </c>
      <c r="J34" s="143" t="s">
        <v>296</v>
      </c>
      <c r="K34" s="20"/>
      <c r="L34" s="34"/>
      <c r="N34" s="126">
        <v>1.0</v>
      </c>
      <c r="P34" s="144" t="s">
        <v>124</v>
      </c>
      <c r="Q34" s="145"/>
      <c r="R34" s="146">
        <f>SUM(O5:O29) + H39</f>
        <v>189503.9596</v>
      </c>
      <c r="S34" s="20"/>
      <c r="T34" s="147"/>
    </row>
    <row r="35">
      <c r="A35" s="138" t="s">
        <v>125</v>
      </c>
      <c r="B35" s="139">
        <v>4.0</v>
      </c>
      <c r="C35" s="140">
        <v>5.0</v>
      </c>
      <c r="D35" s="139">
        <v>6.1</v>
      </c>
      <c r="E35" s="139">
        <f> 460+130</f>
        <v>590</v>
      </c>
      <c r="F35" s="140">
        <v>800.0</v>
      </c>
      <c r="G35" s="20"/>
      <c r="H35" s="142">
        <f>D35*E35*N34</f>
        <v>3599</v>
      </c>
      <c r="I35" s="142">
        <v>3599.0</v>
      </c>
      <c r="J35" s="143" t="s">
        <v>297</v>
      </c>
      <c r="K35" s="20"/>
      <c r="L35" s="34"/>
      <c r="N35" s="150" t="s">
        <v>127</v>
      </c>
      <c r="P35" s="144" t="s">
        <v>128</v>
      </c>
      <c r="Q35" s="145"/>
      <c r="R35" s="151">
        <v>101750.0</v>
      </c>
      <c r="S35" s="20"/>
      <c r="T35" s="152"/>
    </row>
    <row r="36">
      <c r="A36" s="138" t="s">
        <v>129</v>
      </c>
      <c r="B36" s="139">
        <v>12.0</v>
      </c>
      <c r="C36" s="140">
        <v>3.3</v>
      </c>
      <c r="D36" s="139">
        <v>7.6</v>
      </c>
      <c r="E36" s="139">
        <v>534.0</v>
      </c>
      <c r="F36" s="140">
        <v>800.0</v>
      </c>
      <c r="G36" s="20"/>
      <c r="H36" s="142">
        <f>D36*E36*N34</f>
        <v>4058.4</v>
      </c>
      <c r="I36" s="142">
        <v>4058.4</v>
      </c>
      <c r="J36" s="143" t="s">
        <v>298</v>
      </c>
      <c r="K36" s="20"/>
      <c r="L36" s="34"/>
      <c r="N36" s="126">
        <v>1.0</v>
      </c>
      <c r="P36" s="144" t="s">
        <v>131</v>
      </c>
      <c r="R36" s="153" t="str">
        <f>If(R34&gt;R35, "Out of Battery", "Not out of Battery")</f>
        <v>Out of Battery</v>
      </c>
      <c r="S36" s="20"/>
      <c r="T36" s="152"/>
    </row>
    <row r="37">
      <c r="A37" s="142" t="s">
        <v>260</v>
      </c>
      <c r="B37" s="140">
        <v>3.0</v>
      </c>
      <c r="C37" s="139">
        <v>1.8</v>
      </c>
      <c r="D37" s="140">
        <v>9.3</v>
      </c>
      <c r="E37" s="139">
        <v>268.0</v>
      </c>
      <c r="F37" s="140">
        <v>800.0</v>
      </c>
      <c r="H37" s="139">
        <f>D37*E37*N34</f>
        <v>2492.4</v>
      </c>
      <c r="I37" s="140">
        <v>2492.4</v>
      </c>
      <c r="J37" s="149" t="s">
        <v>299</v>
      </c>
      <c r="K37" s="20"/>
      <c r="N37" s="150" t="s">
        <v>134</v>
      </c>
      <c r="P37" s="144" t="s">
        <v>135</v>
      </c>
      <c r="R37" s="146">
        <f>Sum(O27:O28)</f>
        <v>162148.8</v>
      </c>
      <c r="S37" s="20"/>
    </row>
    <row r="38">
      <c r="A38" s="154" t="s">
        <v>300</v>
      </c>
      <c r="B38" s="155">
        <v>1.0</v>
      </c>
      <c r="C38" s="156">
        <v>5.0</v>
      </c>
      <c r="D38" s="155">
        <v>6.1</v>
      </c>
      <c r="E38" s="156">
        <v>1400.0</v>
      </c>
      <c r="F38" s="155">
        <v>5000.0</v>
      </c>
      <c r="G38" s="72"/>
      <c r="H38" s="157">
        <f>1235*N38*N34 + 120/350*1235*(1-N38)*N34</f>
        <v>1235</v>
      </c>
      <c r="I38" s="155">
        <v>1235.0</v>
      </c>
      <c r="J38" s="158" t="s">
        <v>301</v>
      </c>
      <c r="K38" s="66"/>
      <c r="N38" s="150">
        <v>1.0</v>
      </c>
      <c r="O38" s="34"/>
      <c r="P38" s="144" t="s">
        <v>136</v>
      </c>
      <c r="R38" s="146">
        <f>O29</f>
        <v>7000</v>
      </c>
      <c r="S38" s="20"/>
      <c r="T38" s="152"/>
    </row>
    <row r="39">
      <c r="H39" s="148">
        <f>SUM(H34:H38)</f>
        <v>11438.8</v>
      </c>
      <c r="I39" s="28"/>
      <c r="N39" s="163"/>
      <c r="O39" s="34"/>
      <c r="P39" s="144" t="s">
        <v>138</v>
      </c>
      <c r="R39" s="153">
        <f>SUM(O5:O26)</f>
        <v>8916.3596</v>
      </c>
      <c r="S39" s="20"/>
    </row>
    <row r="40">
      <c r="H40" s="247" t="s">
        <v>137</v>
      </c>
    </row>
    <row r="42">
      <c r="A42" s="229" t="s">
        <v>277</v>
      </c>
      <c r="B42" s="166"/>
      <c r="C42" s="166"/>
      <c r="D42" s="34" t="s">
        <v>141</v>
      </c>
      <c r="E42" s="34" t="s">
        <v>21</v>
      </c>
      <c r="F42" s="34" t="s">
        <v>144</v>
      </c>
    </row>
    <row r="43">
      <c r="A43" s="167" t="s">
        <v>145</v>
      </c>
      <c r="B43" s="167" t="s">
        <v>146</v>
      </c>
      <c r="C43" s="167" t="s">
        <v>147</v>
      </c>
      <c r="D43" s="168">
        <v>0.1</v>
      </c>
      <c r="E43" s="152">
        <v>0.0</v>
      </c>
      <c r="F43" s="152"/>
    </row>
    <row r="44">
      <c r="A44" s="169" t="s">
        <v>148</v>
      </c>
      <c r="B44" s="170" t="s">
        <v>149</v>
      </c>
      <c r="C44" s="171" t="s">
        <v>150</v>
      </c>
      <c r="D44" s="168">
        <v>0.2</v>
      </c>
      <c r="E44" s="152">
        <v>0.3</v>
      </c>
      <c r="F44" s="152"/>
    </row>
    <row r="45">
      <c r="A45" s="172">
        <v>8.9</v>
      </c>
      <c r="B45" s="173">
        <v>9157.0</v>
      </c>
      <c r="C45" s="174">
        <f>2*3.14159*A45/(B45*A47)/B53</f>
        <v>0.03339258814</v>
      </c>
      <c r="D45" s="168">
        <v>0.3</v>
      </c>
      <c r="E45" s="152">
        <v>1.1</v>
      </c>
      <c r="F45" s="152"/>
    </row>
    <row r="46">
      <c r="A46" s="171" t="s">
        <v>151</v>
      </c>
      <c r="B46" s="170" t="s">
        <v>152</v>
      </c>
      <c r="C46" s="171" t="s">
        <v>153</v>
      </c>
      <c r="D46" s="168">
        <v>0.4</v>
      </c>
      <c r="E46" s="152">
        <v>2.6</v>
      </c>
      <c r="F46" s="152"/>
    </row>
    <row r="47">
      <c r="A47" s="167">
        <v>0.8</v>
      </c>
      <c r="B47" s="175">
        <f>1.84*10^-3</f>
        <v>0.00184</v>
      </c>
      <c r="C47" s="176">
        <f>B47+B49*C45+B51*C45^2</f>
        <v>0.001938593523</v>
      </c>
      <c r="D47" s="168">
        <v>0.5</v>
      </c>
      <c r="E47" s="152">
        <v>5.0</v>
      </c>
      <c r="F47" s="152"/>
    </row>
    <row r="48">
      <c r="A48" s="177"/>
      <c r="B48" s="170" t="s">
        <v>154</v>
      </c>
      <c r="C48" s="171" t="s">
        <v>155</v>
      </c>
      <c r="D48" s="168">
        <v>0.6</v>
      </c>
      <c r="E48" s="152">
        <v>8.5</v>
      </c>
      <c r="F48" s="152"/>
    </row>
    <row r="49">
      <c r="A49" s="177"/>
      <c r="B49" s="175">
        <f>3.39*10^-3</f>
        <v>0.00339</v>
      </c>
      <c r="C49" s="178">
        <f>B45*A47/9.549</f>
        <v>767.1588648</v>
      </c>
      <c r="D49" s="168">
        <v>0.7</v>
      </c>
      <c r="E49" s="152">
        <v>13.4</v>
      </c>
      <c r="F49" s="152"/>
    </row>
    <row r="50">
      <c r="A50" s="177"/>
      <c r="B50" s="170" t="s">
        <v>157</v>
      </c>
      <c r="C50" s="171" t="s">
        <v>158</v>
      </c>
      <c r="D50" s="168">
        <v>0.8</v>
      </c>
      <c r="E50" s="152">
        <v>19.9</v>
      </c>
      <c r="F50" s="152" t="s">
        <v>156</v>
      </c>
    </row>
    <row r="51">
      <c r="A51" s="177"/>
      <c r="B51" s="175">
        <f>-1.31*10^-2</f>
        <v>-0.0131</v>
      </c>
      <c r="C51" s="179">
        <f>C49^3*C47*B53^5*B55/4/3.14159/3.14159/0.85</f>
        <v>19.94720133</v>
      </c>
      <c r="D51" s="168">
        <v>0.9</v>
      </c>
      <c r="E51" s="152">
        <v>28.3</v>
      </c>
      <c r="F51" s="152"/>
    </row>
    <row r="52">
      <c r="A52" s="177"/>
      <c r="B52" s="170" t="s">
        <v>160</v>
      </c>
      <c r="C52" s="171" t="s">
        <v>161</v>
      </c>
      <c r="D52" s="168">
        <v>1.0</v>
      </c>
      <c r="E52" s="152">
        <v>38.6</v>
      </c>
      <c r="F52" s="152" t="s">
        <v>159</v>
      </c>
    </row>
    <row r="53">
      <c r="A53" s="177"/>
      <c r="B53" s="172">
        <v>0.2286</v>
      </c>
      <c r="C53" s="180">
        <f>C51/11.1</f>
        <v>1.797045165</v>
      </c>
    </row>
    <row r="54">
      <c r="A54" s="182"/>
      <c r="B54" s="170" t="s">
        <v>162</v>
      </c>
      <c r="C54" s="171" t="s">
        <v>163</v>
      </c>
    </row>
    <row r="55">
      <c r="A55" s="182"/>
      <c r="B55" s="172">
        <v>1.225</v>
      </c>
      <c r="C55" s="183">
        <f>A47*B45</f>
        <v>7325.6</v>
      </c>
    </row>
  </sheetData>
  <mergeCells count="187">
    <mergeCell ref="S4:U4"/>
    <mergeCell ref="V4:W4"/>
    <mergeCell ref="S5:U5"/>
    <mergeCell ref="V5:W5"/>
    <mergeCell ref="S6:U6"/>
    <mergeCell ref="V6:W6"/>
    <mergeCell ref="V7:W7"/>
    <mergeCell ref="S7:U7"/>
    <mergeCell ref="S8:U8"/>
    <mergeCell ref="V8:W8"/>
    <mergeCell ref="S9:U9"/>
    <mergeCell ref="V9:W10"/>
    <mergeCell ref="S10:U10"/>
    <mergeCell ref="V11:W11"/>
    <mergeCell ref="M4:N4"/>
    <mergeCell ref="O4:P4"/>
    <mergeCell ref="M5:N5"/>
    <mergeCell ref="O5:P5"/>
    <mergeCell ref="M6:N6"/>
    <mergeCell ref="O6:P6"/>
    <mergeCell ref="O7:P7"/>
    <mergeCell ref="M7:N7"/>
    <mergeCell ref="M8:N8"/>
    <mergeCell ref="M9:N9"/>
    <mergeCell ref="M11:N11"/>
    <mergeCell ref="O11:P11"/>
    <mergeCell ref="M12:N12"/>
    <mergeCell ref="O12:P12"/>
    <mergeCell ref="M15:N15"/>
    <mergeCell ref="O15:P15"/>
    <mergeCell ref="M16:N16"/>
    <mergeCell ref="O16:P16"/>
    <mergeCell ref="M17:N17"/>
    <mergeCell ref="O17:P17"/>
    <mergeCell ref="O18:P18"/>
    <mergeCell ref="M25:N25"/>
    <mergeCell ref="M26:N26"/>
    <mergeCell ref="M27:N27"/>
    <mergeCell ref="M28:N28"/>
    <mergeCell ref="M29:N29"/>
    <mergeCell ref="M30:N30"/>
    <mergeCell ref="M31:N31"/>
    <mergeCell ref="M18:N18"/>
    <mergeCell ref="M19:N19"/>
    <mergeCell ref="M20:N20"/>
    <mergeCell ref="M21:N21"/>
    <mergeCell ref="M22:N22"/>
    <mergeCell ref="M23:N23"/>
    <mergeCell ref="M24:N24"/>
    <mergeCell ref="O26:P26"/>
    <mergeCell ref="O27:P27"/>
    <mergeCell ref="O28:P28"/>
    <mergeCell ref="O29:P29"/>
    <mergeCell ref="O30:P30"/>
    <mergeCell ref="O31:P31"/>
    <mergeCell ref="O19:P19"/>
    <mergeCell ref="O20:P20"/>
    <mergeCell ref="O21:P21"/>
    <mergeCell ref="O22:P22"/>
    <mergeCell ref="O23:P23"/>
    <mergeCell ref="O24:P24"/>
    <mergeCell ref="O25:P25"/>
    <mergeCell ref="S18:U18"/>
    <mergeCell ref="S19:U19"/>
    <mergeCell ref="S20:U20"/>
    <mergeCell ref="S21:U21"/>
    <mergeCell ref="S22:U22"/>
    <mergeCell ref="S23:U23"/>
    <mergeCell ref="S24:U24"/>
    <mergeCell ref="S25:U25"/>
    <mergeCell ref="S26:U26"/>
    <mergeCell ref="S27:U27"/>
    <mergeCell ref="S28:U28"/>
    <mergeCell ref="S29:U29"/>
    <mergeCell ref="R33:S33"/>
    <mergeCell ref="T33:U33"/>
    <mergeCell ref="P37:Q37"/>
    <mergeCell ref="R37:S37"/>
    <mergeCell ref="T37:U37"/>
    <mergeCell ref="P38:Q38"/>
    <mergeCell ref="R38:S38"/>
    <mergeCell ref="T38:U39"/>
    <mergeCell ref="P39:Q39"/>
    <mergeCell ref="R39:S39"/>
    <mergeCell ref="R34:S34"/>
    <mergeCell ref="T34:U34"/>
    <mergeCell ref="R35:S35"/>
    <mergeCell ref="T35:U35"/>
    <mergeCell ref="P36:Q36"/>
    <mergeCell ref="R36:S36"/>
    <mergeCell ref="T36:U36"/>
    <mergeCell ref="S2:U2"/>
    <mergeCell ref="V2:W2"/>
    <mergeCell ref="E1:F1"/>
    <mergeCell ref="G1:H1"/>
    <mergeCell ref="K1:L1"/>
    <mergeCell ref="E2:F2"/>
    <mergeCell ref="G2:H2"/>
    <mergeCell ref="M2:N2"/>
    <mergeCell ref="O2:P2"/>
    <mergeCell ref="E3:F3"/>
    <mergeCell ref="G3:H3"/>
    <mergeCell ref="M3:N3"/>
    <mergeCell ref="O3:P3"/>
    <mergeCell ref="S3:U3"/>
    <mergeCell ref="V3:W3"/>
    <mergeCell ref="G4:H4"/>
    <mergeCell ref="O8:P8"/>
    <mergeCell ref="O9:P9"/>
    <mergeCell ref="E10:F10"/>
    <mergeCell ref="G10:H10"/>
    <mergeCell ref="M10:N10"/>
    <mergeCell ref="O10:P10"/>
    <mergeCell ref="S11:U11"/>
    <mergeCell ref="S12:U12"/>
    <mergeCell ref="V12:W12"/>
    <mergeCell ref="M13:N13"/>
    <mergeCell ref="O13:P13"/>
    <mergeCell ref="S13:U13"/>
    <mergeCell ref="V13:W13"/>
    <mergeCell ref="M14:N14"/>
    <mergeCell ref="O14:P14"/>
    <mergeCell ref="S14:U14"/>
    <mergeCell ref="V14:W14"/>
    <mergeCell ref="S15:U15"/>
    <mergeCell ref="S16:U16"/>
    <mergeCell ref="S17:U17"/>
    <mergeCell ref="J34:K34"/>
    <mergeCell ref="J35:K35"/>
    <mergeCell ref="J36:K36"/>
    <mergeCell ref="J37:K37"/>
    <mergeCell ref="J38:K38"/>
    <mergeCell ref="G24:H24"/>
    <mergeCell ref="G25:H25"/>
    <mergeCell ref="G26:H26"/>
    <mergeCell ref="G27:H27"/>
    <mergeCell ref="G28:H28"/>
    <mergeCell ref="G29:H29"/>
    <mergeCell ref="J33:K33"/>
    <mergeCell ref="E5:F5"/>
    <mergeCell ref="G5:H5"/>
    <mergeCell ref="E6:F6"/>
    <mergeCell ref="G6:H6"/>
    <mergeCell ref="E7:F7"/>
    <mergeCell ref="G7:H7"/>
    <mergeCell ref="G8:H8"/>
    <mergeCell ref="E8:F8"/>
    <mergeCell ref="E9:F9"/>
    <mergeCell ref="E11:F11"/>
    <mergeCell ref="E12:F12"/>
    <mergeCell ref="E13:F13"/>
    <mergeCell ref="E14:F14"/>
    <mergeCell ref="E15:F15"/>
    <mergeCell ref="G9:H9"/>
    <mergeCell ref="G11:H11"/>
    <mergeCell ref="G12:H12"/>
    <mergeCell ref="G13:H13"/>
    <mergeCell ref="G14:H14"/>
    <mergeCell ref="G15:H15"/>
    <mergeCell ref="G16:H16"/>
    <mergeCell ref="E23:F23"/>
    <mergeCell ref="E24:F24"/>
    <mergeCell ref="E25:F25"/>
    <mergeCell ref="E26:F26"/>
    <mergeCell ref="E27:F27"/>
    <mergeCell ref="E28:F28"/>
    <mergeCell ref="E29:F29"/>
    <mergeCell ref="E16:F16"/>
    <mergeCell ref="E17:F17"/>
    <mergeCell ref="E18:F18"/>
    <mergeCell ref="E19:F19"/>
    <mergeCell ref="E20:F20"/>
    <mergeCell ref="E21:F21"/>
    <mergeCell ref="E22:F22"/>
    <mergeCell ref="G17:H17"/>
    <mergeCell ref="G18:H18"/>
    <mergeCell ref="G19:H19"/>
    <mergeCell ref="G20:H20"/>
    <mergeCell ref="G21:H21"/>
    <mergeCell ref="G22:H22"/>
    <mergeCell ref="G23:H23"/>
    <mergeCell ref="F33:G33"/>
    <mergeCell ref="F34:G34"/>
    <mergeCell ref="F35:G35"/>
    <mergeCell ref="F36:G36"/>
    <mergeCell ref="F37:G37"/>
    <mergeCell ref="F38:G38"/>
  </mergeCells>
  <hyperlinks>
    <hyperlink r:id="rId2" ref="R3"/>
    <hyperlink r:id="rId3" ref="R4"/>
    <hyperlink r:id="rId4" ref="R5"/>
    <hyperlink r:id="rId5" ref="R6"/>
    <hyperlink r:id="rId6" ref="R7"/>
    <hyperlink r:id="rId7" ref="R8"/>
    <hyperlink r:id="rId8" ref="R9"/>
    <hyperlink r:id="rId9" ref="R10"/>
    <hyperlink r:id="rId10" ref="R11"/>
    <hyperlink r:id="rId11" ref="R12"/>
    <hyperlink r:id="rId12" ref="R13"/>
    <hyperlink r:id="rId13" ref="R14"/>
    <hyperlink r:id="rId14" ref="R15"/>
    <hyperlink r:id="rId15" ref="R16"/>
    <hyperlink r:id="rId16" ref="R17"/>
    <hyperlink r:id="rId17" ref="R18"/>
    <hyperlink r:id="rId18" ref="R19"/>
    <hyperlink r:id="rId19" ref="R20"/>
    <hyperlink r:id="rId20" ref="R21"/>
    <hyperlink r:id="rId21" ref="R22"/>
    <hyperlink r:id="rId22" ref="R23"/>
    <hyperlink r:id="rId23" ref="R24"/>
    <hyperlink r:id="rId24" ref="R25"/>
    <hyperlink r:id="rId25" ref="R26"/>
    <hyperlink r:id="rId26" ref="R27"/>
    <hyperlink r:id="rId27" ref="V27"/>
    <hyperlink r:id="rId28" ref="R28"/>
    <hyperlink r:id="rId29" location="rpdCntId" ref="R29"/>
    <hyperlink r:id="rId30" ref="V29"/>
  </hyperlinks>
  <printOptions gridLines="1" horizontalCentered="1"/>
  <pageMargins bottom="0.75" footer="0.0" header="0.0" left="0.7" right="0.7" top="0.75"/>
  <pageSetup fitToHeight="0" cellComments="atEnd" orientation="portrait" pageOrder="overThenDown"/>
  <drawing r:id="rId31"/>
  <legacyDrawing r:id="rId3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2" max="2" width="17.25"/>
    <col customWidth="1" min="4" max="4" width="14.63"/>
    <col customWidth="1" min="7" max="7" width="15.38"/>
    <col customWidth="1" min="8" max="8" width="17.13"/>
    <col customWidth="1" min="14" max="14" width="13.63"/>
    <col customWidth="1" min="21" max="21" width="17.63"/>
    <col customWidth="1" min="23" max="23" width="13.38"/>
  </cols>
  <sheetData>
    <row r="1">
      <c r="A1" s="34" t="s">
        <v>302</v>
      </c>
      <c r="B1" s="2"/>
      <c r="C1" s="3"/>
      <c r="I1" s="4" t="s">
        <v>1</v>
      </c>
      <c r="J1" s="5"/>
      <c r="K1" s="4" t="s">
        <v>2</v>
      </c>
      <c r="L1" s="6"/>
    </row>
    <row r="2">
      <c r="A2" s="7" t="s">
        <v>3</v>
      </c>
      <c r="B2" s="8" t="s">
        <v>4</v>
      </c>
      <c r="C2" s="8" t="s">
        <v>5</v>
      </c>
      <c r="D2" s="9" t="s">
        <v>6</v>
      </c>
      <c r="E2" s="4" t="s">
        <v>7</v>
      </c>
      <c r="F2" s="6"/>
      <c r="G2" s="4" t="s">
        <v>8</v>
      </c>
      <c r="H2" s="6"/>
      <c r="I2" s="9" t="s">
        <v>13</v>
      </c>
      <c r="J2" s="9" t="s">
        <v>14</v>
      </c>
      <c r="K2" s="9" t="s">
        <v>13</v>
      </c>
      <c r="L2" s="9" t="s">
        <v>14</v>
      </c>
      <c r="M2" s="4" t="s">
        <v>15</v>
      </c>
      <c r="N2" s="6"/>
      <c r="O2" s="4" t="s">
        <v>16</v>
      </c>
      <c r="P2" s="6"/>
      <c r="Q2" s="9" t="s">
        <v>17</v>
      </c>
      <c r="R2" s="10" t="s">
        <v>18</v>
      </c>
      <c r="S2" s="4" t="s">
        <v>19</v>
      </c>
      <c r="T2" s="11"/>
      <c r="U2" s="6"/>
      <c r="V2" s="12" t="s">
        <v>20</v>
      </c>
      <c r="W2" s="13"/>
      <c r="X2" s="14" t="s">
        <v>21</v>
      </c>
    </row>
    <row r="3">
      <c r="A3" s="15" t="s">
        <v>22</v>
      </c>
      <c r="B3" s="16" t="s">
        <v>23</v>
      </c>
      <c r="C3" s="17">
        <v>1.0</v>
      </c>
      <c r="D3" s="18">
        <v>11.1</v>
      </c>
      <c r="E3" s="19" t="s">
        <v>24</v>
      </c>
      <c r="F3" s="20"/>
      <c r="G3" s="21" t="s">
        <v>25</v>
      </c>
      <c r="H3" s="20"/>
      <c r="I3" s="22" t="s">
        <v>189</v>
      </c>
      <c r="J3" s="23"/>
      <c r="K3" s="23"/>
      <c r="L3" s="23"/>
      <c r="M3" s="21"/>
      <c r="N3" s="20"/>
      <c r="O3" s="19" t="s">
        <v>27</v>
      </c>
      <c r="P3" s="20"/>
      <c r="Q3" s="24"/>
      <c r="R3" s="25" t="s">
        <v>28</v>
      </c>
      <c r="S3" s="26" t="s">
        <v>29</v>
      </c>
      <c r="T3" s="27"/>
      <c r="U3" s="13"/>
      <c r="V3" s="28" t="s">
        <v>303</v>
      </c>
      <c r="W3" s="20"/>
      <c r="X3" s="29" t="s">
        <v>31</v>
      </c>
    </row>
    <row r="4">
      <c r="A4" s="15" t="s">
        <v>32</v>
      </c>
      <c r="B4" s="16" t="s">
        <v>33</v>
      </c>
      <c r="C4" s="17">
        <v>1.0</v>
      </c>
      <c r="D4" s="18">
        <v>11.1</v>
      </c>
      <c r="E4" s="30"/>
      <c r="F4" s="30"/>
      <c r="G4" s="19" t="s">
        <v>34</v>
      </c>
      <c r="H4" s="20"/>
      <c r="I4" s="23"/>
      <c r="J4" s="23"/>
      <c r="K4" s="23"/>
      <c r="L4" s="23"/>
      <c r="M4" s="19">
        <v>-9166.66</v>
      </c>
      <c r="N4" s="20"/>
      <c r="O4" s="19">
        <v>-101750.0</v>
      </c>
      <c r="P4" s="20"/>
      <c r="Q4" s="31">
        <f>O4/O25</f>
        <v>-0.763489263</v>
      </c>
      <c r="R4" s="32" t="s">
        <v>35</v>
      </c>
      <c r="S4" s="33" t="s">
        <v>36</v>
      </c>
      <c r="U4" s="20"/>
      <c r="V4" s="34" t="s">
        <v>304</v>
      </c>
      <c r="W4" s="20"/>
      <c r="X4" s="35" t="s">
        <v>37</v>
      </c>
    </row>
    <row r="5">
      <c r="A5" s="230" t="s">
        <v>219</v>
      </c>
      <c r="B5" s="231" t="s">
        <v>39</v>
      </c>
      <c r="C5" s="232">
        <v>1.0</v>
      </c>
      <c r="D5" s="233">
        <v>3.3</v>
      </c>
      <c r="E5" s="234" t="s">
        <v>40</v>
      </c>
      <c r="F5" s="20"/>
      <c r="G5" s="233" t="s">
        <v>41</v>
      </c>
      <c r="I5" s="234">
        <v>55.5</v>
      </c>
      <c r="J5" s="232">
        <v>0.0</v>
      </c>
      <c r="K5" s="52">
        <f>N29</f>
        <v>1</v>
      </c>
      <c r="L5" s="232">
        <v>0.0</v>
      </c>
      <c r="M5" s="42">
        <f t="shared" ref="M5:M24" si="1">(I5*K5+J5*L5)*C5</f>
        <v>55.5</v>
      </c>
      <c r="N5" s="20"/>
      <c r="O5" s="42">
        <f t="shared" ref="O5:O15" si="2">(M5*D5)</f>
        <v>183.15</v>
      </c>
      <c r="P5" s="20"/>
      <c r="Q5" s="235">
        <f>O5/O25</f>
        <v>0.001374280673</v>
      </c>
      <c r="R5" s="236" t="s">
        <v>42</v>
      </c>
      <c r="S5" s="55" t="s">
        <v>281</v>
      </c>
      <c r="U5" s="20"/>
      <c r="V5" s="34" t="s">
        <v>305</v>
      </c>
      <c r="W5" s="20"/>
      <c r="X5" s="47" t="s">
        <v>44</v>
      </c>
    </row>
    <row r="6">
      <c r="A6" s="48" t="s">
        <v>221</v>
      </c>
      <c r="B6" s="49" t="s">
        <v>46</v>
      </c>
      <c r="C6" s="50">
        <v>1.0</v>
      </c>
      <c r="D6" s="51">
        <v>5.0</v>
      </c>
      <c r="E6" s="42" t="s">
        <v>47</v>
      </c>
      <c r="F6" s="20"/>
      <c r="G6" s="42" t="s">
        <v>25</v>
      </c>
      <c r="H6" s="20"/>
      <c r="I6" s="51">
        <v>400.0</v>
      </c>
      <c r="J6" s="51">
        <v>0.0</v>
      </c>
      <c r="K6" s="52">
        <f>N29</f>
        <v>1</v>
      </c>
      <c r="L6" s="51">
        <v>0.0</v>
      </c>
      <c r="M6" s="42">
        <f t="shared" si="1"/>
        <v>400</v>
      </c>
      <c r="N6" s="20"/>
      <c r="O6" s="42">
        <f t="shared" si="2"/>
        <v>2000</v>
      </c>
      <c r="P6" s="20"/>
      <c r="Q6" s="53">
        <f>O6/O25</f>
        <v>0.01500715996</v>
      </c>
      <c r="R6" s="54" t="s">
        <v>48</v>
      </c>
      <c r="S6" s="55" t="s">
        <v>194</v>
      </c>
      <c r="U6" s="20"/>
      <c r="V6" s="34" t="s">
        <v>306</v>
      </c>
      <c r="W6" s="20"/>
      <c r="X6" s="34"/>
    </row>
    <row r="7">
      <c r="A7" s="48" t="s">
        <v>223</v>
      </c>
      <c r="B7" s="49" t="s">
        <v>224</v>
      </c>
      <c r="C7" s="50">
        <v>1.0</v>
      </c>
      <c r="D7" s="51">
        <v>3.3</v>
      </c>
      <c r="E7" s="42" t="s">
        <v>225</v>
      </c>
      <c r="F7" s="20"/>
      <c r="G7" s="42" t="s">
        <v>25</v>
      </c>
      <c r="H7" s="20"/>
      <c r="I7" s="51">
        <v>250.0</v>
      </c>
      <c r="J7" s="51">
        <v>0.0</v>
      </c>
      <c r="K7" s="52">
        <f>N29</f>
        <v>1</v>
      </c>
      <c r="L7" s="51">
        <v>0.0</v>
      </c>
      <c r="M7" s="42">
        <f t="shared" si="1"/>
        <v>250</v>
      </c>
      <c r="N7" s="20"/>
      <c r="O7" s="42">
        <f t="shared" si="2"/>
        <v>825</v>
      </c>
      <c r="P7" s="20"/>
      <c r="Q7" s="53">
        <f>O7/O25</f>
        <v>0.006190453484</v>
      </c>
      <c r="R7" s="54" t="s">
        <v>48</v>
      </c>
      <c r="S7" s="55" t="s">
        <v>226</v>
      </c>
      <c r="U7" s="20"/>
      <c r="V7" s="34" t="s">
        <v>307</v>
      </c>
      <c r="W7" s="20"/>
    </row>
    <row r="8">
      <c r="A8" s="48" t="s">
        <v>223</v>
      </c>
      <c r="B8" s="49" t="s">
        <v>227</v>
      </c>
      <c r="C8" s="50">
        <v>1.0</v>
      </c>
      <c r="D8" s="51">
        <v>1.8</v>
      </c>
      <c r="E8" s="42" t="s">
        <v>228</v>
      </c>
      <c r="F8" s="20"/>
      <c r="G8" s="42" t="s">
        <v>25</v>
      </c>
      <c r="H8" s="20"/>
      <c r="I8" s="51">
        <v>250.0</v>
      </c>
      <c r="J8" s="51">
        <v>0.0</v>
      </c>
      <c r="K8" s="52">
        <f>N29</f>
        <v>1</v>
      </c>
      <c r="L8" s="51">
        <v>0.0</v>
      </c>
      <c r="M8" s="42">
        <f t="shared" si="1"/>
        <v>250</v>
      </c>
      <c r="N8" s="20"/>
      <c r="O8" s="42">
        <f t="shared" si="2"/>
        <v>450</v>
      </c>
      <c r="P8" s="20"/>
      <c r="Q8" s="53">
        <f>O8/O25</f>
        <v>0.003376610991</v>
      </c>
      <c r="R8" s="54" t="s">
        <v>48</v>
      </c>
      <c r="S8" s="55" t="s">
        <v>226</v>
      </c>
      <c r="U8" s="20"/>
      <c r="V8" s="34" t="s">
        <v>308</v>
      </c>
      <c r="W8" s="20"/>
    </row>
    <row r="9">
      <c r="A9" s="48" t="s">
        <v>223</v>
      </c>
      <c r="B9" s="49" t="s">
        <v>229</v>
      </c>
      <c r="C9" s="50">
        <v>1.0</v>
      </c>
      <c r="D9" s="51">
        <v>3.3</v>
      </c>
      <c r="E9" s="42" t="s">
        <v>230</v>
      </c>
      <c r="F9" s="20"/>
      <c r="G9" s="42" t="s">
        <v>25</v>
      </c>
      <c r="H9" s="20"/>
      <c r="I9" s="51">
        <v>25.0</v>
      </c>
      <c r="J9" s="51">
        <v>0.0</v>
      </c>
      <c r="K9" s="52">
        <f>N29</f>
        <v>1</v>
      </c>
      <c r="L9" s="51">
        <v>0.0</v>
      </c>
      <c r="M9" s="42">
        <f t="shared" si="1"/>
        <v>25</v>
      </c>
      <c r="N9" s="20"/>
      <c r="O9" s="42">
        <f t="shared" si="2"/>
        <v>82.5</v>
      </c>
      <c r="P9" s="20"/>
      <c r="Q9" s="53">
        <f>O9/O25</f>
        <v>0.0006190453484</v>
      </c>
      <c r="R9" s="54" t="s">
        <v>48</v>
      </c>
      <c r="S9" s="55" t="s">
        <v>226</v>
      </c>
      <c r="U9" s="20"/>
      <c r="W9" s="20"/>
    </row>
    <row r="10">
      <c r="A10" s="48" t="s">
        <v>223</v>
      </c>
      <c r="B10" s="49" t="s">
        <v>231</v>
      </c>
      <c r="C10" s="50">
        <v>1.0</v>
      </c>
      <c r="D10" s="51">
        <v>3.3</v>
      </c>
      <c r="E10" s="42" t="s">
        <v>232</v>
      </c>
      <c r="F10" s="20"/>
      <c r="G10" s="42" t="s">
        <v>233</v>
      </c>
      <c r="H10" s="20"/>
      <c r="I10" s="51">
        <v>50.0</v>
      </c>
      <c r="J10" s="51">
        <v>0.0</v>
      </c>
      <c r="K10" s="52">
        <f>N29</f>
        <v>1</v>
      </c>
      <c r="L10" s="51">
        <v>0.0</v>
      </c>
      <c r="M10" s="42">
        <f t="shared" si="1"/>
        <v>50</v>
      </c>
      <c r="N10" s="20"/>
      <c r="O10" s="42">
        <f t="shared" si="2"/>
        <v>165</v>
      </c>
      <c r="P10" s="20"/>
      <c r="Q10" s="53">
        <f>O10/O25</f>
        <v>0.001238090697</v>
      </c>
      <c r="R10" s="54" t="s">
        <v>48</v>
      </c>
      <c r="S10" s="55" t="s">
        <v>234</v>
      </c>
      <c r="U10" s="20"/>
      <c r="V10" s="34"/>
      <c r="W10" s="20"/>
    </row>
    <row r="11">
      <c r="A11" s="48" t="s">
        <v>223</v>
      </c>
      <c r="B11" s="49" t="s">
        <v>235</v>
      </c>
      <c r="C11" s="50">
        <v>1.0</v>
      </c>
      <c r="D11" s="51">
        <v>3.3</v>
      </c>
      <c r="E11" s="42" t="s">
        <v>232</v>
      </c>
      <c r="F11" s="20"/>
      <c r="G11" s="42" t="s">
        <v>233</v>
      </c>
      <c r="H11" s="20"/>
      <c r="I11" s="51">
        <v>50.0</v>
      </c>
      <c r="J11" s="51">
        <v>0.0</v>
      </c>
      <c r="K11" s="52">
        <f>N29</f>
        <v>1</v>
      </c>
      <c r="L11" s="51">
        <v>0.0</v>
      </c>
      <c r="M11" s="42">
        <f t="shared" si="1"/>
        <v>50</v>
      </c>
      <c r="N11" s="20"/>
      <c r="O11" s="42">
        <f t="shared" si="2"/>
        <v>165</v>
      </c>
      <c r="P11" s="20"/>
      <c r="Q11" s="53">
        <f>O11/O25</f>
        <v>0.001238090697</v>
      </c>
      <c r="R11" s="54" t="s">
        <v>48</v>
      </c>
      <c r="S11" s="55" t="s">
        <v>236</v>
      </c>
      <c r="U11" s="20"/>
      <c r="V11" s="34"/>
      <c r="W11" s="20"/>
    </row>
    <row r="12">
      <c r="A12" s="48" t="s">
        <v>223</v>
      </c>
      <c r="B12" s="49" t="s">
        <v>290</v>
      </c>
      <c r="C12" s="50">
        <v>1.0</v>
      </c>
      <c r="D12" s="51">
        <v>3.3</v>
      </c>
      <c r="E12" s="42" t="s">
        <v>291</v>
      </c>
      <c r="F12" s="20"/>
      <c r="G12" s="42" t="s">
        <v>25</v>
      </c>
      <c r="H12" s="20"/>
      <c r="I12" s="51">
        <v>50.0</v>
      </c>
      <c r="J12" s="51">
        <v>0.0</v>
      </c>
      <c r="K12" s="57">
        <v>0.0</v>
      </c>
      <c r="L12" s="51">
        <v>0.0</v>
      </c>
      <c r="M12" s="42">
        <f t="shared" si="1"/>
        <v>0</v>
      </c>
      <c r="N12" s="20"/>
      <c r="O12" s="42">
        <f t="shared" si="2"/>
        <v>0</v>
      </c>
      <c r="P12" s="20"/>
      <c r="Q12" s="53">
        <f>O12/O25</f>
        <v>0</v>
      </c>
      <c r="R12" s="54" t="s">
        <v>48</v>
      </c>
      <c r="S12" s="55" t="s">
        <v>292</v>
      </c>
      <c r="U12" s="20"/>
      <c r="V12" s="34"/>
      <c r="W12" s="20"/>
    </row>
    <row r="13">
      <c r="A13" s="238" t="s">
        <v>237</v>
      </c>
      <c r="B13" s="217" t="s">
        <v>309</v>
      </c>
      <c r="C13" s="50">
        <v>1.0</v>
      </c>
      <c r="D13" s="51">
        <v>3.3</v>
      </c>
      <c r="E13" s="42" t="s">
        <v>239</v>
      </c>
      <c r="F13" s="20"/>
      <c r="G13" s="42" t="s">
        <v>69</v>
      </c>
      <c r="H13" s="20"/>
      <c r="I13" s="51">
        <v>20.0</v>
      </c>
      <c r="J13" s="51">
        <v>0.0</v>
      </c>
      <c r="K13" s="52">
        <f>N29</f>
        <v>1</v>
      </c>
      <c r="L13" s="51">
        <v>0.0</v>
      </c>
      <c r="M13" s="42">
        <f t="shared" si="1"/>
        <v>20</v>
      </c>
      <c r="N13" s="20"/>
      <c r="O13" s="42">
        <f t="shared" si="2"/>
        <v>66</v>
      </c>
      <c r="P13" s="20"/>
      <c r="Q13" s="53">
        <f>O13/O25</f>
        <v>0.0004952362787</v>
      </c>
      <c r="R13" s="218" t="s">
        <v>240</v>
      </c>
      <c r="S13" s="219" t="s">
        <v>241</v>
      </c>
      <c r="U13" s="20"/>
      <c r="V13" s="34"/>
      <c r="W13" s="20"/>
    </row>
    <row r="14">
      <c r="A14" s="239" t="s">
        <v>242</v>
      </c>
      <c r="B14" s="221" t="s">
        <v>243</v>
      </c>
      <c r="C14" s="50">
        <v>1.0</v>
      </c>
      <c r="D14" s="51">
        <v>3.3</v>
      </c>
      <c r="E14" s="42" t="s">
        <v>244</v>
      </c>
      <c r="F14" s="20"/>
      <c r="G14" s="42" t="s">
        <v>69</v>
      </c>
      <c r="H14" s="20"/>
      <c r="I14" s="51">
        <v>1.7</v>
      </c>
      <c r="J14" s="51">
        <v>0.0</v>
      </c>
      <c r="K14" s="52">
        <f>N29</f>
        <v>1</v>
      </c>
      <c r="L14" s="51">
        <v>0.0</v>
      </c>
      <c r="M14" s="42">
        <f t="shared" si="1"/>
        <v>1.7</v>
      </c>
      <c r="N14" s="20"/>
      <c r="O14" s="42">
        <f t="shared" si="2"/>
        <v>5.61</v>
      </c>
      <c r="P14" s="20"/>
      <c r="Q14" s="53">
        <f>O14/O25</f>
        <v>0.00004209508369</v>
      </c>
      <c r="R14" s="218" t="s">
        <v>245</v>
      </c>
      <c r="S14" s="219" t="s">
        <v>246</v>
      </c>
      <c r="U14" s="20"/>
    </row>
    <row r="15">
      <c r="A15" s="73" t="s">
        <v>66</v>
      </c>
      <c r="B15" s="74" t="s">
        <v>251</v>
      </c>
      <c r="C15" s="75">
        <v>1.0</v>
      </c>
      <c r="D15" s="78">
        <v>3.3</v>
      </c>
      <c r="E15" s="77" t="s">
        <v>68</v>
      </c>
      <c r="F15" s="20"/>
      <c r="G15" s="77" t="s">
        <v>69</v>
      </c>
      <c r="H15" s="20"/>
      <c r="I15" s="78">
        <v>0.265</v>
      </c>
      <c r="J15" s="78">
        <v>0.0</v>
      </c>
      <c r="K15" s="79">
        <f>N29</f>
        <v>1</v>
      </c>
      <c r="L15" s="78">
        <v>0.0</v>
      </c>
      <c r="M15" s="77">
        <f t="shared" si="1"/>
        <v>0.265</v>
      </c>
      <c r="N15" s="20"/>
      <c r="O15" s="77">
        <f t="shared" si="2"/>
        <v>0.8745</v>
      </c>
      <c r="P15" s="20"/>
      <c r="Q15" s="81">
        <f>O15/O25</f>
        <v>0.000006561880693</v>
      </c>
      <c r="R15" s="82" t="s">
        <v>70</v>
      </c>
      <c r="S15" s="83" t="s">
        <v>71</v>
      </c>
      <c r="U15" s="20"/>
    </row>
    <row r="16">
      <c r="A16" s="73" t="s">
        <v>72</v>
      </c>
      <c r="B16" s="84" t="s">
        <v>73</v>
      </c>
      <c r="C16" s="85">
        <v>4.0</v>
      </c>
      <c r="D16" s="78">
        <v>5.0</v>
      </c>
      <c r="E16" s="77" t="s">
        <v>74</v>
      </c>
      <c r="F16" s="20"/>
      <c r="G16" s="77" t="s">
        <v>75</v>
      </c>
      <c r="H16" s="20"/>
      <c r="I16" s="78">
        <v>15.0</v>
      </c>
      <c r="J16" s="78">
        <v>0.0</v>
      </c>
      <c r="K16" s="79">
        <f>N29</f>
        <v>1</v>
      </c>
      <c r="L16" s="78">
        <v>0.0</v>
      </c>
      <c r="M16" s="77">
        <f t="shared" si="1"/>
        <v>60</v>
      </c>
      <c r="N16" s="20"/>
      <c r="O16" s="77">
        <f>(M16*D16) + 0.844 * K16</f>
        <v>300.844</v>
      </c>
      <c r="P16" s="20"/>
      <c r="Q16" s="81">
        <f>O16/O25</f>
        <v>0.002257407016</v>
      </c>
      <c r="R16" s="82" t="s">
        <v>76</v>
      </c>
      <c r="S16" s="83" t="s">
        <v>77</v>
      </c>
      <c r="U16" s="20"/>
    </row>
    <row r="17">
      <c r="A17" s="87" t="s">
        <v>78</v>
      </c>
      <c r="B17" s="88" t="s">
        <v>79</v>
      </c>
      <c r="C17" s="75">
        <v>1.0</v>
      </c>
      <c r="D17" s="78">
        <v>3.3</v>
      </c>
      <c r="E17" s="77" t="s">
        <v>80</v>
      </c>
      <c r="F17" s="20"/>
      <c r="G17" s="77" t="s">
        <v>81</v>
      </c>
      <c r="H17" s="20"/>
      <c r="I17" s="78">
        <v>20.0</v>
      </c>
      <c r="J17" s="78">
        <v>25.0</v>
      </c>
      <c r="K17" s="89">
        <f>N29 - 0.01</f>
        <v>0.99</v>
      </c>
      <c r="L17" s="78">
        <v>0.01</v>
      </c>
      <c r="M17" s="77">
        <f t="shared" si="1"/>
        <v>20.05</v>
      </c>
      <c r="N17" s="20"/>
      <c r="O17" s="77">
        <f>(M17*D17)+ 1.09 * K17</f>
        <v>67.2441</v>
      </c>
      <c r="P17" s="20"/>
      <c r="Q17" s="81">
        <f>O17/O25</f>
        <v>0.0005045714826</v>
      </c>
      <c r="R17" s="82" t="s">
        <v>82</v>
      </c>
      <c r="S17" s="83" t="s">
        <v>199</v>
      </c>
      <c r="U17" s="20"/>
    </row>
    <row r="18">
      <c r="A18" s="197" t="s">
        <v>200</v>
      </c>
      <c r="B18" s="198" t="s">
        <v>201</v>
      </c>
      <c r="C18" s="75">
        <v>1.0</v>
      </c>
      <c r="D18" s="78">
        <v>3.3</v>
      </c>
      <c r="E18" s="77" t="s">
        <v>202</v>
      </c>
      <c r="F18" s="20"/>
      <c r="G18" s="77" t="s">
        <v>25</v>
      </c>
      <c r="H18" s="20"/>
      <c r="I18" s="78">
        <v>8.6</v>
      </c>
      <c r="J18" s="78">
        <v>0.0</v>
      </c>
      <c r="K18" s="79">
        <f>N29</f>
        <v>1</v>
      </c>
      <c r="L18" s="78">
        <v>0.0</v>
      </c>
      <c r="M18" s="77">
        <f t="shared" si="1"/>
        <v>8.6</v>
      </c>
      <c r="N18" s="20"/>
      <c r="O18" s="77">
        <f t="shared" ref="O18:O24" si="3">(M18*D18)</f>
        <v>28.38</v>
      </c>
      <c r="P18" s="20"/>
      <c r="Q18" s="81">
        <f>O18/O25</f>
        <v>0.0002129515998</v>
      </c>
      <c r="R18" s="199" t="s">
        <v>203</v>
      </c>
      <c r="S18" s="83" t="s">
        <v>204</v>
      </c>
      <c r="U18" s="20"/>
      <c r="V18" s="34"/>
      <c r="W18" s="34"/>
    </row>
    <row r="19">
      <c r="A19" s="73" t="s">
        <v>84</v>
      </c>
      <c r="B19" s="90" t="s">
        <v>85</v>
      </c>
      <c r="C19" s="75">
        <v>1.0</v>
      </c>
      <c r="D19" s="78">
        <v>1.8</v>
      </c>
      <c r="E19" s="77" t="s">
        <v>86</v>
      </c>
      <c r="F19" s="20"/>
      <c r="G19" s="77" t="s">
        <v>87</v>
      </c>
      <c r="H19" s="20"/>
      <c r="I19" s="78">
        <v>3.11</v>
      </c>
      <c r="J19" s="78">
        <v>0.0</v>
      </c>
      <c r="K19" s="79">
        <f>N29</f>
        <v>1</v>
      </c>
      <c r="L19" s="78">
        <v>0.0</v>
      </c>
      <c r="M19" s="77">
        <f t="shared" si="1"/>
        <v>3.11</v>
      </c>
      <c r="N19" s="20"/>
      <c r="O19" s="77">
        <f t="shared" si="3"/>
        <v>5.598</v>
      </c>
      <c r="P19" s="20"/>
      <c r="Q19" s="81">
        <f>O19/O25</f>
        <v>0.00004200504073</v>
      </c>
      <c r="R19" s="91" t="s">
        <v>88</v>
      </c>
      <c r="S19" s="83" t="s">
        <v>89</v>
      </c>
      <c r="U19" s="20"/>
    </row>
    <row r="20">
      <c r="A20" s="240" t="s">
        <v>252</v>
      </c>
      <c r="B20" s="223" t="s">
        <v>253</v>
      </c>
      <c r="C20" s="85">
        <v>2.0</v>
      </c>
      <c r="D20" s="78">
        <v>1.8</v>
      </c>
      <c r="E20" s="77" t="s">
        <v>254</v>
      </c>
      <c r="F20" s="20"/>
      <c r="G20" s="77" t="s">
        <v>255</v>
      </c>
      <c r="H20" s="20"/>
      <c r="I20" s="78">
        <v>14.8</v>
      </c>
      <c r="J20" s="78">
        <v>0.0</v>
      </c>
      <c r="K20" s="248">
        <v>1.0</v>
      </c>
      <c r="L20" s="78">
        <v>0.0</v>
      </c>
      <c r="M20" s="77">
        <f t="shared" si="1"/>
        <v>29.6</v>
      </c>
      <c r="N20" s="20"/>
      <c r="O20" s="77">
        <f t="shared" si="3"/>
        <v>53.28</v>
      </c>
      <c r="P20" s="20"/>
      <c r="Q20" s="81">
        <f>O20/O25</f>
        <v>0.0003997907414</v>
      </c>
      <c r="R20" s="91" t="s">
        <v>256</v>
      </c>
      <c r="S20" s="224" t="s">
        <v>310</v>
      </c>
      <c r="U20" s="20"/>
    </row>
    <row r="21">
      <c r="A21" s="240" t="s">
        <v>90</v>
      </c>
      <c r="B21" s="223" t="s">
        <v>91</v>
      </c>
      <c r="C21" s="85">
        <v>1.0</v>
      </c>
      <c r="D21" s="78">
        <v>3.3</v>
      </c>
      <c r="E21" s="77" t="s">
        <v>92</v>
      </c>
      <c r="F21" s="20"/>
      <c r="G21" s="77" t="s">
        <v>93</v>
      </c>
      <c r="H21" s="20"/>
      <c r="I21" s="78">
        <v>3.03</v>
      </c>
      <c r="J21" s="78">
        <v>0.0</v>
      </c>
      <c r="K21" s="79">
        <f>N29</f>
        <v>1</v>
      </c>
      <c r="L21" s="78">
        <v>0.0</v>
      </c>
      <c r="M21" s="77">
        <f t="shared" si="1"/>
        <v>3.03</v>
      </c>
      <c r="N21" s="20"/>
      <c r="O21" s="77">
        <f t="shared" si="3"/>
        <v>9.999</v>
      </c>
      <c r="P21" s="20"/>
      <c r="Q21" s="81">
        <f>O21/O25</f>
        <v>0.00007502829623</v>
      </c>
      <c r="R21" s="91" t="s">
        <v>94</v>
      </c>
      <c r="S21" s="83" t="s">
        <v>205</v>
      </c>
      <c r="U21" s="20"/>
    </row>
    <row r="22">
      <c r="A22" s="225" t="s">
        <v>271</v>
      </c>
      <c r="B22" s="226" t="s">
        <v>272</v>
      </c>
      <c r="C22" s="104">
        <v>4.0</v>
      </c>
      <c r="D22" s="105">
        <v>11.1</v>
      </c>
      <c r="E22" s="106" t="s">
        <v>273</v>
      </c>
      <c r="F22" s="20"/>
      <c r="G22" s="106" t="s">
        <v>25</v>
      </c>
      <c r="H22" s="20"/>
      <c r="I22" s="105">
        <v>136.1</v>
      </c>
      <c r="J22" s="105">
        <v>48.1</v>
      </c>
      <c r="K22" s="107">
        <f>N29 * N31</f>
        <v>1</v>
      </c>
      <c r="L22" s="105">
        <f>N29 * (1 - N31)</f>
        <v>0</v>
      </c>
      <c r="M22" s="106">
        <f t="shared" si="1"/>
        <v>544.4</v>
      </c>
      <c r="N22" s="20"/>
      <c r="O22" s="106">
        <f t="shared" si="3"/>
        <v>6042.84</v>
      </c>
      <c r="P22" s="20"/>
      <c r="Q22" s="108">
        <f>O22/O25</f>
        <v>0.04534293325</v>
      </c>
      <c r="R22" s="227" t="s">
        <v>311</v>
      </c>
      <c r="S22" s="47" t="s">
        <v>312</v>
      </c>
      <c r="U22" s="20"/>
      <c r="V22" s="200" t="s">
        <v>276</v>
      </c>
    </row>
    <row r="23">
      <c r="A23" s="246" t="s">
        <v>206</v>
      </c>
      <c r="B23" s="103" t="s">
        <v>97</v>
      </c>
      <c r="C23" s="104">
        <v>4.0</v>
      </c>
      <c r="D23" s="105">
        <v>11.1</v>
      </c>
      <c r="E23" s="106" t="s">
        <v>98</v>
      </c>
      <c r="F23" s="20"/>
      <c r="G23" s="106" t="s">
        <v>25</v>
      </c>
      <c r="H23" s="20"/>
      <c r="I23" s="105">
        <v>2586.0</v>
      </c>
      <c r="J23" s="106">
        <v>915.0</v>
      </c>
      <c r="K23" s="107">
        <f>N29 * N31</f>
        <v>1</v>
      </c>
      <c r="L23" s="105">
        <f>N29 * (1 - N31)</f>
        <v>0</v>
      </c>
      <c r="M23" s="106">
        <f t="shared" si="1"/>
        <v>10344</v>
      </c>
      <c r="N23" s="20"/>
      <c r="O23" s="106">
        <f t="shared" si="3"/>
        <v>114818.4</v>
      </c>
      <c r="P23" s="20"/>
      <c r="Q23" s="108">
        <f>O23/O25</f>
        <v>0.8615490476</v>
      </c>
      <c r="R23" s="109" t="s">
        <v>99</v>
      </c>
      <c r="S23" s="47" t="s">
        <v>313</v>
      </c>
      <c r="U23" s="20"/>
      <c r="V23" s="200" t="s">
        <v>314</v>
      </c>
    </row>
    <row r="24">
      <c r="A24" s="110" t="s">
        <v>315</v>
      </c>
      <c r="B24" s="111" t="s">
        <v>102</v>
      </c>
      <c r="C24" s="112">
        <v>4.0</v>
      </c>
      <c r="D24" s="105">
        <v>5.0</v>
      </c>
      <c r="E24" s="113" t="s">
        <v>103</v>
      </c>
      <c r="F24" s="66"/>
      <c r="G24" s="113" t="s">
        <v>25</v>
      </c>
      <c r="H24" s="66"/>
      <c r="I24" s="114">
        <v>400.0</v>
      </c>
      <c r="J24" s="114">
        <v>1.0</v>
      </c>
      <c r="K24" s="115">
        <f>N29 * N33</f>
        <v>1</v>
      </c>
      <c r="L24" s="114">
        <f>N29*(1-N33)</f>
        <v>0</v>
      </c>
      <c r="M24" s="113">
        <f t="shared" si="1"/>
        <v>1600</v>
      </c>
      <c r="N24" s="66"/>
      <c r="O24" s="113">
        <f t="shared" si="3"/>
        <v>8000</v>
      </c>
      <c r="P24" s="66"/>
      <c r="Q24" s="116">
        <f>O24/O25</f>
        <v>0.06002863984</v>
      </c>
      <c r="R24" s="249" t="s">
        <v>316</v>
      </c>
      <c r="S24" s="118" t="s">
        <v>317</v>
      </c>
      <c r="T24" s="72"/>
      <c r="U24" s="66"/>
    </row>
    <row r="25">
      <c r="A25" s="119"/>
      <c r="B25" s="120"/>
      <c r="C25" s="121"/>
      <c r="D25" s="122">
        <v>11.1</v>
      </c>
      <c r="M25" s="124">
        <f>sum(M5:N24)</f>
        <v>13715.255</v>
      </c>
      <c r="N25" s="6"/>
      <c r="O25" s="124">
        <f>SUM(O5:O24)</f>
        <v>133269.7196</v>
      </c>
      <c r="P25" s="6"/>
    </row>
    <row r="26">
      <c r="A26" s="125"/>
      <c r="C26" s="121"/>
      <c r="D26" s="126" t="s">
        <v>107</v>
      </c>
      <c r="M26" s="127" t="s">
        <v>108</v>
      </c>
      <c r="N26" s="72"/>
      <c r="O26" s="250" t="s">
        <v>109</v>
      </c>
      <c r="P26" s="66"/>
    </row>
    <row r="27">
      <c r="A27" s="128"/>
      <c r="B27" s="128"/>
      <c r="C27" s="125"/>
      <c r="D27" s="34"/>
    </row>
    <row r="28">
      <c r="A28" s="129" t="s">
        <v>110</v>
      </c>
      <c r="B28" s="130" t="s">
        <v>111</v>
      </c>
      <c r="C28" s="130" t="s">
        <v>112</v>
      </c>
      <c r="D28" s="131" t="s">
        <v>113</v>
      </c>
      <c r="E28" s="131" t="s">
        <v>114</v>
      </c>
      <c r="F28" s="132" t="s">
        <v>115</v>
      </c>
      <c r="G28" s="6"/>
      <c r="H28" s="131" t="s">
        <v>116</v>
      </c>
      <c r="I28" s="131" t="s">
        <v>117</v>
      </c>
      <c r="J28" s="132" t="s">
        <v>19</v>
      </c>
      <c r="K28" s="6"/>
      <c r="L28" s="34"/>
      <c r="N28" s="134" t="s">
        <v>118</v>
      </c>
      <c r="P28" s="135" t="s">
        <v>119</v>
      </c>
      <c r="Q28" s="136"/>
      <c r="R28" s="137" t="s">
        <v>120</v>
      </c>
      <c r="S28" s="6"/>
      <c r="T28" s="34"/>
    </row>
    <row r="29">
      <c r="A29" s="138" t="s">
        <v>121</v>
      </c>
      <c r="B29" s="139">
        <v>2.0</v>
      </c>
      <c r="C29" s="140" t="s">
        <v>122</v>
      </c>
      <c r="D29" s="139">
        <v>0.0</v>
      </c>
      <c r="E29" s="139">
        <v>10500.0</v>
      </c>
      <c r="F29" s="140" t="s">
        <v>25</v>
      </c>
      <c r="G29" s="20"/>
      <c r="H29" s="142">
        <v>0.0</v>
      </c>
      <c r="I29" s="142">
        <v>0.0</v>
      </c>
      <c r="J29" s="143" t="s">
        <v>318</v>
      </c>
      <c r="K29" s="20"/>
      <c r="L29" s="34"/>
      <c r="N29" s="126">
        <v>1.0</v>
      </c>
      <c r="P29" s="144" t="s">
        <v>319</v>
      </c>
      <c r="Q29" s="145"/>
      <c r="R29" s="146">
        <f> SUM(O5:O24) + H34</f>
        <v>143795.3196</v>
      </c>
      <c r="S29" s="20"/>
      <c r="T29" s="147"/>
    </row>
    <row r="30">
      <c r="A30" s="138" t="s">
        <v>125</v>
      </c>
      <c r="B30" s="139">
        <v>2.0</v>
      </c>
      <c r="C30" s="140">
        <v>5.0</v>
      </c>
      <c r="D30" s="139">
        <v>6.1</v>
      </c>
      <c r="E30" s="139">
        <f> 460</f>
        <v>460</v>
      </c>
      <c r="F30" s="140">
        <v>800.0</v>
      </c>
      <c r="G30" s="20"/>
      <c r="H30" s="142">
        <f>D30*E30*N29</f>
        <v>2806</v>
      </c>
      <c r="I30" s="142">
        <v>2806.0</v>
      </c>
      <c r="J30" s="143" t="s">
        <v>320</v>
      </c>
      <c r="K30" s="20"/>
      <c r="L30" s="34"/>
      <c r="N30" s="150" t="s">
        <v>321</v>
      </c>
      <c r="P30" s="144" t="s">
        <v>322</v>
      </c>
      <c r="Q30" s="145"/>
      <c r="R30" s="151">
        <v>122100.0</v>
      </c>
      <c r="S30" s="20"/>
      <c r="T30" s="152"/>
    </row>
    <row r="31">
      <c r="A31" s="138" t="s">
        <v>129</v>
      </c>
      <c r="B31" s="139">
        <v>12.0</v>
      </c>
      <c r="C31" s="140">
        <v>3.3</v>
      </c>
      <c r="D31" s="139">
        <v>7.6</v>
      </c>
      <c r="E31" s="139">
        <v>502.0</v>
      </c>
      <c r="F31" s="140">
        <v>800.0</v>
      </c>
      <c r="G31" s="20"/>
      <c r="H31" s="142">
        <f>D31*E31*N29</f>
        <v>3815.2</v>
      </c>
      <c r="I31" s="142">
        <v>3815.2</v>
      </c>
      <c r="J31" s="143" t="s">
        <v>298</v>
      </c>
      <c r="K31" s="20"/>
      <c r="L31" s="34"/>
      <c r="N31" s="126">
        <v>1.0</v>
      </c>
      <c r="P31" s="144" t="s">
        <v>323</v>
      </c>
      <c r="Q31" s="145"/>
      <c r="R31" s="151">
        <v>101750.0</v>
      </c>
      <c r="S31" s="20"/>
      <c r="T31" s="152"/>
    </row>
    <row r="32">
      <c r="A32" s="142" t="s">
        <v>260</v>
      </c>
      <c r="B32" s="140">
        <v>3.0</v>
      </c>
      <c r="C32" s="139">
        <v>1.8</v>
      </c>
      <c r="D32" s="140">
        <v>9.3</v>
      </c>
      <c r="E32" s="139">
        <v>268.0</v>
      </c>
      <c r="F32" s="140">
        <v>800.0</v>
      </c>
      <c r="H32" s="139">
        <f>D32*E32*N29</f>
        <v>2492.4</v>
      </c>
      <c r="I32" s="140">
        <v>2492.4</v>
      </c>
      <c r="J32" s="149" t="s">
        <v>324</v>
      </c>
      <c r="K32" s="20"/>
      <c r="N32" s="150" t="s">
        <v>325</v>
      </c>
      <c r="P32" s="251" t="s">
        <v>131</v>
      </c>
      <c r="Q32" s="72"/>
      <c r="R32" s="252" t="str">
        <f>If(R29&gt;R31, "Out of Battery", "Not out of Battery")</f>
        <v>Out of Battery</v>
      </c>
      <c r="S32" s="66"/>
    </row>
    <row r="33">
      <c r="A33" s="154" t="s">
        <v>300</v>
      </c>
      <c r="B33" s="155">
        <v>1.0</v>
      </c>
      <c r="C33" s="156">
        <v>5.0</v>
      </c>
      <c r="D33" s="155">
        <v>6.1</v>
      </c>
      <c r="E33" s="156">
        <v>1600.0</v>
      </c>
      <c r="F33" s="155">
        <v>800.0</v>
      </c>
      <c r="G33" s="72"/>
      <c r="H33" s="156">
        <f>1412*N33*N29</f>
        <v>1412</v>
      </c>
      <c r="I33" s="155">
        <v>1412.0</v>
      </c>
      <c r="J33" s="158" t="s">
        <v>326</v>
      </c>
      <c r="K33" s="66"/>
      <c r="N33" s="150">
        <v>1.0</v>
      </c>
      <c r="O33" s="34"/>
      <c r="P33" s="34"/>
      <c r="R33" s="181"/>
      <c r="T33" s="152"/>
    </row>
    <row r="34">
      <c r="H34" s="139">
        <f>SUM(H29:H33)</f>
        <v>10525.6</v>
      </c>
      <c r="I34" s="28"/>
      <c r="N34" s="163"/>
      <c r="O34" s="34"/>
    </row>
    <row r="35">
      <c r="H35" s="247" t="s">
        <v>137</v>
      </c>
      <c r="M35" s="34">
        <v>0.0</v>
      </c>
      <c r="N35" s="123">
        <f t="shared" ref="N35:N285" si="4">(M35/6.86)^(3/2)/9/0.85</f>
        <v>0</v>
      </c>
    </row>
    <row r="36">
      <c r="M36" s="123">
        <f t="shared" ref="M36:M285" si="5">M35+1</f>
        <v>1</v>
      </c>
      <c r="N36" s="123">
        <f t="shared" si="4"/>
        <v>0.007275324876</v>
      </c>
    </row>
    <row r="37">
      <c r="M37" s="123">
        <f t="shared" si="5"/>
        <v>2</v>
      </c>
      <c r="N37" s="123">
        <f t="shared" si="4"/>
        <v>0.02057772622</v>
      </c>
    </row>
    <row r="38">
      <c r="M38" s="123">
        <f t="shared" si="5"/>
        <v>3</v>
      </c>
      <c r="N38" s="123">
        <f t="shared" si="4"/>
        <v>0.03780369698</v>
      </c>
    </row>
    <row r="39">
      <c r="M39" s="123">
        <f t="shared" si="5"/>
        <v>4</v>
      </c>
      <c r="N39" s="123">
        <f t="shared" si="4"/>
        <v>0.05820259901</v>
      </c>
    </row>
    <row r="40">
      <c r="C40" s="34"/>
      <c r="E40" s="152"/>
      <c r="M40" s="123">
        <f t="shared" si="5"/>
        <v>5</v>
      </c>
      <c r="N40" s="123">
        <f t="shared" si="4"/>
        <v>0.0813406049</v>
      </c>
    </row>
    <row r="41">
      <c r="M41" s="123">
        <f t="shared" si="5"/>
        <v>6</v>
      </c>
      <c r="N41" s="123">
        <f t="shared" si="4"/>
        <v>0.106925002</v>
      </c>
    </row>
    <row r="42">
      <c r="M42" s="123">
        <f t="shared" si="5"/>
        <v>7</v>
      </c>
      <c r="N42" s="123">
        <f t="shared" si="4"/>
        <v>0.1347409023</v>
      </c>
    </row>
    <row r="43">
      <c r="M43" s="123">
        <f t="shared" si="5"/>
        <v>8</v>
      </c>
      <c r="N43" s="123">
        <f t="shared" si="4"/>
        <v>0.1646218098</v>
      </c>
    </row>
    <row r="44">
      <c r="M44" s="123">
        <f t="shared" si="5"/>
        <v>9</v>
      </c>
      <c r="N44" s="123">
        <f t="shared" si="4"/>
        <v>0.1964337716</v>
      </c>
    </row>
    <row r="45">
      <c r="M45" s="123">
        <f t="shared" si="5"/>
        <v>10</v>
      </c>
      <c r="N45" s="123">
        <f t="shared" si="4"/>
        <v>0.2300659733</v>
      </c>
    </row>
    <row r="46">
      <c r="M46" s="123">
        <f t="shared" si="5"/>
        <v>11</v>
      </c>
      <c r="N46" s="123">
        <f t="shared" si="4"/>
        <v>0.2654247513</v>
      </c>
    </row>
    <row r="47">
      <c r="M47" s="123">
        <f t="shared" si="5"/>
        <v>12</v>
      </c>
      <c r="N47" s="123">
        <f t="shared" si="4"/>
        <v>0.3024295758</v>
      </c>
    </row>
    <row r="48">
      <c r="M48" s="123">
        <f t="shared" si="5"/>
        <v>13</v>
      </c>
      <c r="N48" s="123">
        <f t="shared" si="4"/>
        <v>0.3410102395</v>
      </c>
    </row>
    <row r="49">
      <c r="M49" s="123">
        <f t="shared" si="5"/>
        <v>14</v>
      </c>
      <c r="N49" s="123">
        <f t="shared" si="4"/>
        <v>0.3811048229</v>
      </c>
    </row>
    <row r="50">
      <c r="M50" s="123">
        <f t="shared" si="5"/>
        <v>15</v>
      </c>
      <c r="N50" s="123">
        <f t="shared" si="4"/>
        <v>0.4226581812</v>
      </c>
    </row>
    <row r="51">
      <c r="M51" s="123">
        <f t="shared" si="5"/>
        <v>16</v>
      </c>
      <c r="N51" s="123">
        <f t="shared" si="4"/>
        <v>0.4656207921</v>
      </c>
    </row>
    <row r="52">
      <c r="M52" s="123">
        <f t="shared" si="5"/>
        <v>17</v>
      </c>
      <c r="N52" s="123">
        <f t="shared" si="4"/>
        <v>0.5099478597</v>
      </c>
    </row>
    <row r="53">
      <c r="M53" s="123">
        <f t="shared" si="5"/>
        <v>18</v>
      </c>
      <c r="N53" s="123">
        <f t="shared" si="4"/>
        <v>0.5555986079</v>
      </c>
    </row>
    <row r="54">
      <c r="M54" s="123">
        <f t="shared" si="5"/>
        <v>19</v>
      </c>
      <c r="N54" s="123">
        <f t="shared" si="4"/>
        <v>0.6025357124</v>
      </c>
    </row>
    <row r="55">
      <c r="M55" s="123">
        <f t="shared" si="5"/>
        <v>20</v>
      </c>
      <c r="N55" s="123">
        <f t="shared" si="4"/>
        <v>0.6507248392</v>
      </c>
    </row>
    <row r="56">
      <c r="M56" s="123">
        <f t="shared" si="5"/>
        <v>21</v>
      </c>
      <c r="N56" s="123">
        <f t="shared" si="4"/>
        <v>0.7001342659</v>
      </c>
    </row>
    <row r="57">
      <c r="M57" s="123">
        <f t="shared" si="5"/>
        <v>22</v>
      </c>
      <c r="N57" s="123">
        <f t="shared" si="4"/>
        <v>0.750734566</v>
      </c>
    </row>
    <row r="58">
      <c r="M58" s="123">
        <f t="shared" si="5"/>
        <v>23</v>
      </c>
      <c r="N58" s="123">
        <f t="shared" si="4"/>
        <v>0.8024983448</v>
      </c>
    </row>
    <row r="59">
      <c r="M59" s="123">
        <f t="shared" si="5"/>
        <v>24</v>
      </c>
      <c r="N59" s="123">
        <f t="shared" si="4"/>
        <v>0.8554000156</v>
      </c>
    </row>
    <row r="60">
      <c r="M60" s="123">
        <f t="shared" si="5"/>
        <v>25</v>
      </c>
      <c r="N60" s="123">
        <f t="shared" si="4"/>
        <v>0.9094156095</v>
      </c>
    </row>
    <row r="61">
      <c r="M61" s="123">
        <f t="shared" si="5"/>
        <v>26</v>
      </c>
      <c r="N61" s="123">
        <f t="shared" si="4"/>
        <v>0.9645226113</v>
      </c>
    </row>
    <row r="62">
      <c r="M62" s="123">
        <f t="shared" si="5"/>
        <v>27</v>
      </c>
      <c r="N62" s="123">
        <f t="shared" si="4"/>
        <v>1.020699818</v>
      </c>
    </row>
    <row r="63">
      <c r="M63" s="123">
        <f t="shared" si="5"/>
        <v>28</v>
      </c>
      <c r="N63" s="123">
        <f t="shared" si="4"/>
        <v>1.077927218</v>
      </c>
    </row>
    <row r="64">
      <c r="M64" s="123">
        <f t="shared" si="5"/>
        <v>29</v>
      </c>
      <c r="N64" s="123">
        <f t="shared" si="4"/>
        <v>1.136185881</v>
      </c>
    </row>
    <row r="65">
      <c r="M65" s="123">
        <f t="shared" si="5"/>
        <v>30</v>
      </c>
      <c r="N65" s="123">
        <f t="shared" si="4"/>
        <v>1.195457864</v>
      </c>
    </row>
    <row r="66">
      <c r="M66" s="123">
        <f t="shared" si="5"/>
        <v>31</v>
      </c>
      <c r="N66" s="123">
        <f t="shared" si="4"/>
        <v>1.255726132</v>
      </c>
    </row>
    <row r="67">
      <c r="M67" s="123">
        <f t="shared" si="5"/>
        <v>32</v>
      </c>
      <c r="N67" s="123">
        <f t="shared" si="4"/>
        <v>1.316974478</v>
      </c>
    </row>
    <row r="68">
      <c r="M68" s="123">
        <f t="shared" si="5"/>
        <v>33</v>
      </c>
      <c r="N68" s="123">
        <f t="shared" si="4"/>
        <v>1.379187464</v>
      </c>
    </row>
    <row r="69">
      <c r="M69" s="123">
        <f t="shared" si="5"/>
        <v>34</v>
      </c>
      <c r="N69" s="123">
        <f t="shared" si="4"/>
        <v>1.442350359</v>
      </c>
    </row>
    <row r="70">
      <c r="M70" s="123">
        <f t="shared" si="5"/>
        <v>35</v>
      </c>
      <c r="N70" s="123">
        <f t="shared" si="4"/>
        <v>1.506449084</v>
      </c>
    </row>
    <row r="71">
      <c r="M71" s="123">
        <f t="shared" si="5"/>
        <v>36</v>
      </c>
      <c r="N71" s="123">
        <f t="shared" si="4"/>
        <v>1.571470173</v>
      </c>
    </row>
    <row r="72">
      <c r="M72" s="123">
        <f t="shared" si="5"/>
        <v>37</v>
      </c>
      <c r="N72" s="123">
        <f t="shared" si="4"/>
        <v>1.637400721</v>
      </c>
    </row>
    <row r="73">
      <c r="M73" s="123">
        <f t="shared" si="5"/>
        <v>38</v>
      </c>
      <c r="N73" s="123">
        <f t="shared" si="4"/>
        <v>1.704228353</v>
      </c>
    </row>
    <row r="74">
      <c r="M74" s="123">
        <f t="shared" si="5"/>
        <v>39</v>
      </c>
      <c r="N74" s="123">
        <f t="shared" si="4"/>
        <v>1.771941182</v>
      </c>
    </row>
    <row r="75">
      <c r="M75" s="123">
        <f t="shared" si="5"/>
        <v>40</v>
      </c>
      <c r="N75" s="123">
        <f t="shared" si="4"/>
        <v>1.840527786</v>
      </c>
    </row>
    <row r="76">
      <c r="M76" s="123">
        <f t="shared" si="5"/>
        <v>41</v>
      </c>
      <c r="N76" s="123">
        <f t="shared" si="4"/>
        <v>1.909977171</v>
      </c>
    </row>
    <row r="77">
      <c r="M77" s="123">
        <f t="shared" si="5"/>
        <v>42</v>
      </c>
      <c r="N77" s="123">
        <f t="shared" si="4"/>
        <v>1.980278749</v>
      </c>
    </row>
    <row r="78">
      <c r="M78" s="123">
        <f t="shared" si="5"/>
        <v>43</v>
      </c>
      <c r="N78" s="123">
        <f t="shared" si="4"/>
        <v>2.051422312</v>
      </c>
    </row>
    <row r="79">
      <c r="M79" s="123">
        <f t="shared" si="5"/>
        <v>44</v>
      </c>
      <c r="N79" s="123">
        <f t="shared" si="4"/>
        <v>2.12339801</v>
      </c>
    </row>
    <row r="80">
      <c r="M80" s="123">
        <f t="shared" si="5"/>
        <v>45</v>
      </c>
      <c r="N80" s="123">
        <f t="shared" si="4"/>
        <v>2.196196332</v>
      </c>
    </row>
    <row r="81">
      <c r="M81" s="123">
        <f t="shared" si="5"/>
        <v>46</v>
      </c>
      <c r="N81" s="123">
        <f t="shared" si="4"/>
        <v>2.269808086</v>
      </c>
    </row>
    <row r="82">
      <c r="M82" s="123">
        <f t="shared" si="5"/>
        <v>47</v>
      </c>
      <c r="N82" s="123">
        <f t="shared" si="4"/>
        <v>2.344224379</v>
      </c>
    </row>
    <row r="83">
      <c r="M83" s="123">
        <f t="shared" si="5"/>
        <v>48</v>
      </c>
      <c r="N83" s="123">
        <f t="shared" si="4"/>
        <v>2.419436607</v>
      </c>
    </row>
    <row r="84">
      <c r="M84" s="123">
        <f t="shared" si="5"/>
        <v>49</v>
      </c>
      <c r="N84" s="123">
        <f t="shared" si="4"/>
        <v>2.495436432</v>
      </c>
    </row>
    <row r="85">
      <c r="M85" s="123">
        <f t="shared" si="5"/>
        <v>50</v>
      </c>
      <c r="N85" s="123">
        <f t="shared" si="4"/>
        <v>2.572215778</v>
      </c>
    </row>
    <row r="86">
      <c r="M86" s="123">
        <f t="shared" si="5"/>
        <v>51</v>
      </c>
      <c r="N86" s="123">
        <f t="shared" si="4"/>
        <v>2.649766807</v>
      </c>
    </row>
    <row r="87">
      <c r="M87" s="123">
        <f t="shared" si="5"/>
        <v>52</v>
      </c>
      <c r="N87" s="123">
        <f t="shared" si="4"/>
        <v>2.728081916</v>
      </c>
    </row>
    <row r="88">
      <c r="M88" s="123">
        <f t="shared" si="5"/>
        <v>53</v>
      </c>
      <c r="N88" s="123">
        <f t="shared" si="4"/>
        <v>2.807153723</v>
      </c>
    </row>
    <row r="89">
      <c r="M89" s="123">
        <f t="shared" si="5"/>
        <v>54</v>
      </c>
      <c r="N89" s="123">
        <f t="shared" si="4"/>
        <v>2.886975053</v>
      </c>
    </row>
    <row r="90">
      <c r="M90" s="123">
        <f t="shared" si="5"/>
        <v>55</v>
      </c>
      <c r="N90" s="123">
        <f t="shared" si="4"/>
        <v>2.967538934</v>
      </c>
    </row>
    <row r="91">
      <c r="M91" s="123">
        <f t="shared" si="5"/>
        <v>56</v>
      </c>
      <c r="N91" s="123">
        <f t="shared" si="4"/>
        <v>3.048838583</v>
      </c>
    </row>
    <row r="92">
      <c r="M92" s="123">
        <f t="shared" si="5"/>
        <v>57</v>
      </c>
      <c r="N92" s="123">
        <f t="shared" si="4"/>
        <v>3.130867402</v>
      </c>
    </row>
    <row r="93">
      <c r="M93" s="123">
        <f t="shared" si="5"/>
        <v>58</v>
      </c>
      <c r="N93" s="123">
        <f t="shared" si="4"/>
        <v>3.213618965</v>
      </c>
    </row>
    <row r="94">
      <c r="M94" s="123">
        <f t="shared" si="5"/>
        <v>59</v>
      </c>
      <c r="N94" s="123">
        <f t="shared" si="4"/>
        <v>3.297087013</v>
      </c>
    </row>
    <row r="95">
      <c r="M95" s="123">
        <f t="shared" si="5"/>
        <v>60</v>
      </c>
      <c r="N95" s="123">
        <f t="shared" si="4"/>
        <v>3.38126545</v>
      </c>
    </row>
    <row r="96">
      <c r="M96" s="123">
        <f t="shared" si="5"/>
        <v>61</v>
      </c>
      <c r="N96" s="123">
        <f t="shared" si="4"/>
        <v>3.466148329</v>
      </c>
    </row>
    <row r="97">
      <c r="M97" s="123">
        <f t="shared" si="5"/>
        <v>62</v>
      </c>
      <c r="N97" s="123">
        <f t="shared" si="4"/>
        <v>3.551729852</v>
      </c>
    </row>
    <row r="98">
      <c r="M98" s="123">
        <f t="shared" si="5"/>
        <v>63</v>
      </c>
      <c r="N98" s="123">
        <f t="shared" si="4"/>
        <v>3.638004362</v>
      </c>
    </row>
    <row r="99">
      <c r="M99" s="123">
        <f t="shared" si="5"/>
        <v>64</v>
      </c>
      <c r="N99" s="123">
        <f t="shared" si="4"/>
        <v>3.724966336</v>
      </c>
    </row>
    <row r="100">
      <c r="M100" s="123">
        <f t="shared" si="5"/>
        <v>65</v>
      </c>
      <c r="N100" s="123">
        <f t="shared" si="4"/>
        <v>3.812610383</v>
      </c>
    </row>
    <row r="101">
      <c r="M101" s="123">
        <f t="shared" si="5"/>
        <v>66</v>
      </c>
      <c r="N101" s="123">
        <f t="shared" si="4"/>
        <v>3.900931234</v>
      </c>
    </row>
    <row r="102">
      <c r="M102" s="123">
        <f t="shared" si="5"/>
        <v>67</v>
      </c>
      <c r="N102" s="123">
        <f t="shared" si="4"/>
        <v>3.989923743</v>
      </c>
    </row>
    <row r="103">
      <c r="M103" s="123">
        <f t="shared" si="5"/>
        <v>68</v>
      </c>
      <c r="N103" s="123">
        <f t="shared" si="4"/>
        <v>4.079582878</v>
      </c>
    </row>
    <row r="104">
      <c r="M104" s="123">
        <f t="shared" si="5"/>
        <v>69</v>
      </c>
      <c r="N104" s="123">
        <f t="shared" si="4"/>
        <v>4.169903718</v>
      </c>
    </row>
    <row r="105">
      <c r="M105" s="123">
        <f t="shared" si="5"/>
        <v>70</v>
      </c>
      <c r="N105" s="123">
        <f t="shared" si="4"/>
        <v>4.260881453</v>
      </c>
    </row>
    <row r="106">
      <c r="M106" s="123">
        <f t="shared" si="5"/>
        <v>71</v>
      </c>
      <c r="N106" s="123">
        <f t="shared" si="4"/>
        <v>4.352511371</v>
      </c>
    </row>
    <row r="107">
      <c r="M107" s="123">
        <f t="shared" si="5"/>
        <v>72</v>
      </c>
      <c r="N107" s="123">
        <f t="shared" si="4"/>
        <v>4.444788864</v>
      </c>
    </row>
    <row r="108">
      <c r="M108" s="123">
        <f t="shared" si="5"/>
        <v>73</v>
      </c>
      <c r="N108" s="123">
        <f t="shared" si="4"/>
        <v>4.537709418</v>
      </c>
    </row>
    <row r="109">
      <c r="M109" s="123">
        <f t="shared" si="5"/>
        <v>74</v>
      </c>
      <c r="N109" s="123">
        <f t="shared" si="4"/>
        <v>4.631268614</v>
      </c>
    </row>
    <row r="110">
      <c r="M110" s="123">
        <f t="shared" si="5"/>
        <v>75</v>
      </c>
      <c r="N110" s="123">
        <f t="shared" si="4"/>
        <v>4.725462122</v>
      </c>
    </row>
    <row r="111">
      <c r="M111" s="123">
        <f t="shared" si="5"/>
        <v>76</v>
      </c>
      <c r="N111" s="123">
        <f t="shared" si="4"/>
        <v>4.820285699</v>
      </c>
    </row>
    <row r="112">
      <c r="M112" s="123">
        <f t="shared" si="5"/>
        <v>77</v>
      </c>
      <c r="N112" s="123">
        <f t="shared" si="4"/>
        <v>4.915735185</v>
      </c>
    </row>
    <row r="113">
      <c r="M113" s="123">
        <f t="shared" si="5"/>
        <v>78</v>
      </c>
      <c r="N113" s="123">
        <f t="shared" si="4"/>
        <v>5.011806503</v>
      </c>
    </row>
    <row r="114">
      <c r="M114" s="123">
        <f t="shared" si="5"/>
        <v>79</v>
      </c>
      <c r="N114" s="123">
        <f t="shared" si="4"/>
        <v>5.108495654</v>
      </c>
    </row>
    <row r="115">
      <c r="M115" s="123">
        <f t="shared" si="5"/>
        <v>80</v>
      </c>
      <c r="N115" s="123">
        <f t="shared" si="4"/>
        <v>5.205798714</v>
      </c>
    </row>
    <row r="116">
      <c r="M116" s="123">
        <f t="shared" si="5"/>
        <v>81</v>
      </c>
      <c r="N116" s="123">
        <f t="shared" si="4"/>
        <v>5.303711835</v>
      </c>
    </row>
    <row r="117">
      <c r="M117" s="123">
        <f t="shared" si="5"/>
        <v>82</v>
      </c>
      <c r="N117" s="123">
        <f t="shared" si="4"/>
        <v>5.402231238</v>
      </c>
    </row>
    <row r="118">
      <c r="M118" s="123">
        <f t="shared" si="5"/>
        <v>83</v>
      </c>
      <c r="N118" s="123">
        <f t="shared" si="4"/>
        <v>5.501353216</v>
      </c>
    </row>
    <row r="119">
      <c r="M119" s="123">
        <f t="shared" si="5"/>
        <v>84</v>
      </c>
      <c r="N119" s="123">
        <f t="shared" si="4"/>
        <v>5.601074127</v>
      </c>
    </row>
    <row r="120">
      <c r="M120" s="123">
        <f t="shared" si="5"/>
        <v>85</v>
      </c>
      <c r="N120" s="123">
        <f t="shared" si="4"/>
        <v>5.701390396</v>
      </c>
    </row>
    <row r="121">
      <c r="M121" s="123">
        <f t="shared" si="5"/>
        <v>86</v>
      </c>
      <c r="N121" s="123">
        <f t="shared" si="4"/>
        <v>5.80229851</v>
      </c>
    </row>
    <row r="122">
      <c r="M122" s="123">
        <f t="shared" si="5"/>
        <v>87</v>
      </c>
      <c r="N122" s="123">
        <f t="shared" si="4"/>
        <v>5.903795018</v>
      </c>
    </row>
    <row r="123">
      <c r="M123" s="123">
        <f t="shared" si="5"/>
        <v>88</v>
      </c>
      <c r="N123" s="123">
        <f t="shared" si="4"/>
        <v>6.005876528</v>
      </c>
    </row>
    <row r="124">
      <c r="M124" s="123">
        <f t="shared" si="5"/>
        <v>89</v>
      </c>
      <c r="N124" s="123">
        <f t="shared" si="4"/>
        <v>6.108539707</v>
      </c>
    </row>
    <row r="125">
      <c r="M125" s="123">
        <f t="shared" si="5"/>
        <v>90</v>
      </c>
      <c r="N125" s="123">
        <f t="shared" si="4"/>
        <v>6.211781278</v>
      </c>
    </row>
    <row r="126">
      <c r="M126" s="123">
        <f t="shared" si="5"/>
        <v>91</v>
      </c>
      <c r="N126" s="123">
        <f t="shared" si="4"/>
        <v>6.315598018</v>
      </c>
    </row>
    <row r="127">
      <c r="M127" s="123">
        <f t="shared" si="5"/>
        <v>92</v>
      </c>
      <c r="N127" s="123">
        <f t="shared" si="4"/>
        <v>6.419986758</v>
      </c>
    </row>
    <row r="128">
      <c r="M128" s="123">
        <f t="shared" si="5"/>
        <v>93</v>
      </c>
      <c r="N128" s="123">
        <f t="shared" si="4"/>
        <v>6.524944382</v>
      </c>
    </row>
    <row r="129">
      <c r="M129" s="123">
        <f t="shared" si="5"/>
        <v>94</v>
      </c>
      <c r="N129" s="123">
        <f t="shared" si="4"/>
        <v>6.630467821</v>
      </c>
    </row>
    <row r="130">
      <c r="M130" s="123">
        <f t="shared" si="5"/>
        <v>95</v>
      </c>
      <c r="N130" s="123">
        <f t="shared" si="4"/>
        <v>6.736554059</v>
      </c>
    </row>
    <row r="131">
      <c r="M131" s="123">
        <f t="shared" si="5"/>
        <v>96</v>
      </c>
      <c r="N131" s="123">
        <f t="shared" si="4"/>
        <v>6.843200125</v>
      </c>
    </row>
    <row r="132">
      <c r="M132" s="123">
        <f t="shared" si="5"/>
        <v>97</v>
      </c>
      <c r="N132" s="123">
        <f t="shared" si="4"/>
        <v>6.950403096</v>
      </c>
    </row>
    <row r="133">
      <c r="M133" s="123">
        <f t="shared" si="5"/>
        <v>98</v>
      </c>
      <c r="N133" s="123">
        <f t="shared" si="4"/>
        <v>7.058160094</v>
      </c>
    </row>
    <row r="134">
      <c r="M134" s="123">
        <f t="shared" si="5"/>
        <v>99</v>
      </c>
      <c r="N134" s="123">
        <f t="shared" si="4"/>
        <v>7.166468284</v>
      </c>
    </row>
    <row r="135">
      <c r="M135" s="123">
        <f t="shared" si="5"/>
        <v>100</v>
      </c>
      <c r="N135" s="123">
        <f t="shared" si="4"/>
        <v>7.275324876</v>
      </c>
    </row>
    <row r="136">
      <c r="M136" s="123">
        <f t="shared" si="5"/>
        <v>101</v>
      </c>
      <c r="N136" s="123">
        <f t="shared" si="4"/>
        <v>7.384727121</v>
      </c>
    </row>
    <row r="137">
      <c r="M137" s="123">
        <f t="shared" si="5"/>
        <v>102</v>
      </c>
      <c r="N137" s="123">
        <f t="shared" si="4"/>
        <v>7.49467231</v>
      </c>
    </row>
    <row r="138">
      <c r="M138" s="123">
        <f t="shared" si="5"/>
        <v>103</v>
      </c>
      <c r="N138" s="123">
        <f t="shared" si="4"/>
        <v>7.605157776</v>
      </c>
    </row>
    <row r="139">
      <c r="M139" s="123">
        <f t="shared" si="5"/>
        <v>104</v>
      </c>
      <c r="N139" s="123">
        <f t="shared" si="4"/>
        <v>7.71618089</v>
      </c>
    </row>
    <row r="140">
      <c r="M140" s="123">
        <f t="shared" si="5"/>
        <v>105</v>
      </c>
      <c r="N140" s="123">
        <f t="shared" si="4"/>
        <v>7.82773906</v>
      </c>
    </row>
    <row r="141">
      <c r="M141" s="123">
        <f t="shared" si="5"/>
        <v>106</v>
      </c>
      <c r="N141" s="123">
        <f t="shared" si="4"/>
        <v>7.939829732</v>
      </c>
    </row>
    <row r="142">
      <c r="M142" s="123">
        <f t="shared" si="5"/>
        <v>107</v>
      </c>
      <c r="N142" s="123">
        <f t="shared" si="4"/>
        <v>8.052450389</v>
      </c>
    </row>
    <row r="143">
      <c r="M143" s="123">
        <f t="shared" si="5"/>
        <v>108</v>
      </c>
      <c r="N143" s="123">
        <f t="shared" si="4"/>
        <v>8.165598548</v>
      </c>
    </row>
    <row r="144">
      <c r="M144" s="123">
        <f t="shared" si="5"/>
        <v>109</v>
      </c>
      <c r="N144" s="123">
        <f t="shared" si="4"/>
        <v>8.27927176</v>
      </c>
    </row>
    <row r="145">
      <c r="M145" s="123">
        <f t="shared" si="5"/>
        <v>110</v>
      </c>
      <c r="N145" s="123">
        <f t="shared" si="4"/>
        <v>8.393467613</v>
      </c>
    </row>
    <row r="146">
      <c r="M146" s="123">
        <f t="shared" si="5"/>
        <v>111</v>
      </c>
      <c r="N146" s="123">
        <f t="shared" si="4"/>
        <v>8.508183725</v>
      </c>
    </row>
    <row r="147">
      <c r="M147" s="123">
        <f t="shared" si="5"/>
        <v>112</v>
      </c>
      <c r="N147" s="123">
        <f t="shared" si="4"/>
        <v>8.623417747</v>
      </c>
    </row>
    <row r="148">
      <c r="M148" s="123">
        <f t="shared" si="5"/>
        <v>113</v>
      </c>
      <c r="N148" s="123">
        <f t="shared" si="4"/>
        <v>8.739167362</v>
      </c>
    </row>
    <row r="149">
      <c r="M149" s="123">
        <f t="shared" si="5"/>
        <v>114</v>
      </c>
      <c r="N149" s="123">
        <f t="shared" si="4"/>
        <v>8.855430283</v>
      </c>
    </row>
    <row r="150">
      <c r="M150" s="123">
        <f t="shared" si="5"/>
        <v>115</v>
      </c>
      <c r="N150" s="123">
        <f t="shared" si="4"/>
        <v>8.972204254</v>
      </c>
    </row>
    <row r="151">
      <c r="M151" s="123">
        <f t="shared" si="5"/>
        <v>116</v>
      </c>
      <c r="N151" s="123">
        <f t="shared" si="4"/>
        <v>9.089487048</v>
      </c>
    </row>
    <row r="152">
      <c r="M152" s="123">
        <f t="shared" si="5"/>
        <v>117</v>
      </c>
      <c r="N152" s="123">
        <f t="shared" si="4"/>
        <v>9.207276467</v>
      </c>
    </row>
    <row r="153">
      <c r="M153" s="123">
        <f t="shared" si="5"/>
        <v>118</v>
      </c>
      <c r="N153" s="123">
        <f t="shared" si="4"/>
        <v>9.325570341</v>
      </c>
    </row>
    <row r="154">
      <c r="M154" s="123">
        <f t="shared" si="5"/>
        <v>119</v>
      </c>
      <c r="N154" s="123">
        <f t="shared" si="4"/>
        <v>9.444366529</v>
      </c>
    </row>
    <row r="155">
      <c r="M155" s="123">
        <f t="shared" si="5"/>
        <v>120</v>
      </c>
      <c r="N155" s="123">
        <f t="shared" si="4"/>
        <v>9.563662914</v>
      </c>
    </row>
    <row r="156">
      <c r="M156" s="123">
        <f t="shared" si="5"/>
        <v>121</v>
      </c>
      <c r="N156" s="123">
        <f t="shared" si="4"/>
        <v>9.68345741</v>
      </c>
    </row>
    <row r="157">
      <c r="M157" s="123">
        <f t="shared" si="5"/>
        <v>122</v>
      </c>
      <c r="N157" s="123">
        <f t="shared" si="4"/>
        <v>9.803747952</v>
      </c>
    </row>
    <row r="158">
      <c r="M158" s="123">
        <f t="shared" si="5"/>
        <v>123</v>
      </c>
      <c r="N158" s="123">
        <f t="shared" si="4"/>
        <v>9.924532504</v>
      </c>
    </row>
    <row r="159">
      <c r="M159" s="123">
        <f t="shared" si="5"/>
        <v>124</v>
      </c>
      <c r="N159" s="123">
        <f t="shared" si="4"/>
        <v>10.04580905</v>
      </c>
    </row>
    <row r="160">
      <c r="M160" s="123">
        <f t="shared" si="5"/>
        <v>125</v>
      </c>
      <c r="N160" s="123">
        <f t="shared" si="4"/>
        <v>10.16757561</v>
      </c>
    </row>
    <row r="161">
      <c r="M161" s="123">
        <f t="shared" si="5"/>
        <v>126</v>
      </c>
      <c r="N161" s="123">
        <f t="shared" si="4"/>
        <v>10.28983022</v>
      </c>
    </row>
    <row r="162">
      <c r="M162" s="123">
        <f t="shared" si="5"/>
        <v>127</v>
      </c>
      <c r="N162" s="123">
        <f t="shared" si="4"/>
        <v>10.41257093</v>
      </c>
    </row>
    <row r="163">
      <c r="M163" s="123">
        <f t="shared" si="5"/>
        <v>128</v>
      </c>
      <c r="N163" s="123">
        <f t="shared" si="4"/>
        <v>10.53579582</v>
      </c>
    </row>
    <row r="164">
      <c r="M164" s="123">
        <f t="shared" si="5"/>
        <v>129</v>
      </c>
      <c r="N164" s="123">
        <f t="shared" si="4"/>
        <v>10.65950301</v>
      </c>
    </row>
    <row r="165">
      <c r="M165" s="123">
        <f t="shared" si="5"/>
        <v>130</v>
      </c>
      <c r="N165" s="123">
        <f t="shared" si="4"/>
        <v>10.78369062</v>
      </c>
    </row>
    <row r="166">
      <c r="M166" s="123">
        <f t="shared" si="5"/>
        <v>131</v>
      </c>
      <c r="N166" s="123">
        <f t="shared" si="4"/>
        <v>10.9083568</v>
      </c>
    </row>
    <row r="167">
      <c r="M167" s="123">
        <f t="shared" si="5"/>
        <v>132</v>
      </c>
      <c r="N167" s="123">
        <f t="shared" si="4"/>
        <v>11.03349971</v>
      </c>
    </row>
    <row r="168">
      <c r="M168" s="123">
        <f t="shared" si="5"/>
        <v>133</v>
      </c>
      <c r="N168" s="123">
        <f t="shared" si="4"/>
        <v>11.15911756</v>
      </c>
    </row>
    <row r="169">
      <c r="M169" s="123">
        <f t="shared" si="5"/>
        <v>134</v>
      </c>
      <c r="N169" s="123">
        <f t="shared" si="4"/>
        <v>11.28520854</v>
      </c>
    </row>
    <row r="170">
      <c r="M170" s="123">
        <f t="shared" si="5"/>
        <v>135</v>
      </c>
      <c r="N170" s="123">
        <f t="shared" si="4"/>
        <v>11.41177089</v>
      </c>
    </row>
    <row r="171">
      <c r="M171" s="123">
        <f t="shared" si="5"/>
        <v>136</v>
      </c>
      <c r="N171" s="123">
        <f t="shared" si="4"/>
        <v>11.53880287</v>
      </c>
    </row>
    <row r="172">
      <c r="M172" s="123">
        <f t="shared" si="5"/>
        <v>137</v>
      </c>
      <c r="N172" s="123">
        <f t="shared" si="4"/>
        <v>11.66630274</v>
      </c>
    </row>
    <row r="173">
      <c r="M173" s="123">
        <f t="shared" si="5"/>
        <v>138</v>
      </c>
      <c r="N173" s="123">
        <f t="shared" si="4"/>
        <v>11.79426878</v>
      </c>
    </row>
    <row r="174">
      <c r="M174" s="123">
        <f t="shared" si="5"/>
        <v>139</v>
      </c>
      <c r="N174" s="123">
        <f t="shared" si="4"/>
        <v>11.92269932</v>
      </c>
    </row>
    <row r="175">
      <c r="M175" s="123">
        <f t="shared" si="5"/>
        <v>140</v>
      </c>
      <c r="N175" s="123">
        <f t="shared" si="4"/>
        <v>12.05159268</v>
      </c>
    </row>
    <row r="176">
      <c r="M176" s="123">
        <f t="shared" si="5"/>
        <v>141</v>
      </c>
      <c r="N176" s="123">
        <f t="shared" si="4"/>
        <v>12.18094719</v>
      </c>
    </row>
    <row r="177">
      <c r="M177" s="123">
        <f t="shared" si="5"/>
        <v>142</v>
      </c>
      <c r="N177" s="123">
        <f t="shared" si="4"/>
        <v>12.31076122</v>
      </c>
    </row>
    <row r="178">
      <c r="M178" s="123">
        <f t="shared" si="5"/>
        <v>143</v>
      </c>
      <c r="N178" s="123">
        <f t="shared" si="4"/>
        <v>12.44103316</v>
      </c>
    </row>
    <row r="179">
      <c r="M179" s="123">
        <f t="shared" si="5"/>
        <v>144</v>
      </c>
      <c r="N179" s="123">
        <f t="shared" si="4"/>
        <v>12.57176139</v>
      </c>
    </row>
    <row r="180">
      <c r="M180" s="123">
        <f t="shared" si="5"/>
        <v>145</v>
      </c>
      <c r="N180" s="123">
        <f t="shared" si="4"/>
        <v>12.70294432</v>
      </c>
    </row>
    <row r="181">
      <c r="M181" s="123">
        <f t="shared" si="5"/>
        <v>146</v>
      </c>
      <c r="N181" s="123">
        <f t="shared" si="4"/>
        <v>12.8345804</v>
      </c>
    </row>
    <row r="182">
      <c r="M182" s="123">
        <f t="shared" si="5"/>
        <v>147</v>
      </c>
      <c r="N182" s="123">
        <f t="shared" si="4"/>
        <v>12.96666806</v>
      </c>
    </row>
    <row r="183">
      <c r="M183" s="123">
        <f t="shared" si="5"/>
        <v>148</v>
      </c>
      <c r="N183" s="123">
        <f t="shared" si="4"/>
        <v>13.09920577</v>
      </c>
    </row>
    <row r="184">
      <c r="M184" s="123">
        <f t="shared" si="5"/>
        <v>149</v>
      </c>
      <c r="N184" s="123">
        <f t="shared" si="4"/>
        <v>13.232192</v>
      </c>
    </row>
    <row r="185">
      <c r="M185" s="123">
        <f t="shared" si="5"/>
        <v>150</v>
      </c>
      <c r="N185" s="123">
        <f t="shared" si="4"/>
        <v>13.36562524</v>
      </c>
    </row>
    <row r="186">
      <c r="M186" s="123">
        <f t="shared" si="5"/>
        <v>151</v>
      </c>
      <c r="N186" s="123">
        <f t="shared" si="4"/>
        <v>13.49950401</v>
      </c>
    </row>
    <row r="187">
      <c r="M187" s="123">
        <f t="shared" si="5"/>
        <v>152</v>
      </c>
      <c r="N187" s="123">
        <f t="shared" si="4"/>
        <v>13.63382682</v>
      </c>
    </row>
    <row r="188">
      <c r="M188" s="123">
        <f t="shared" si="5"/>
        <v>153</v>
      </c>
      <c r="N188" s="123">
        <f t="shared" si="4"/>
        <v>13.76859221</v>
      </c>
    </row>
    <row r="189">
      <c r="M189" s="123">
        <f t="shared" si="5"/>
        <v>154</v>
      </c>
      <c r="N189" s="123">
        <f t="shared" si="4"/>
        <v>13.90379874</v>
      </c>
    </row>
    <row r="190">
      <c r="M190" s="123">
        <f t="shared" si="5"/>
        <v>155</v>
      </c>
      <c r="N190" s="123">
        <f t="shared" si="4"/>
        <v>14.03944496</v>
      </c>
    </row>
    <row r="191">
      <c r="M191" s="123">
        <f t="shared" si="5"/>
        <v>156</v>
      </c>
      <c r="N191" s="123">
        <f t="shared" si="4"/>
        <v>14.17552946</v>
      </c>
    </row>
    <row r="192">
      <c r="M192" s="123">
        <f t="shared" si="5"/>
        <v>157</v>
      </c>
      <c r="N192" s="123">
        <f t="shared" si="4"/>
        <v>14.31205083</v>
      </c>
    </row>
    <row r="193">
      <c r="M193" s="123">
        <f t="shared" si="5"/>
        <v>158</v>
      </c>
      <c r="N193" s="123">
        <f t="shared" si="4"/>
        <v>14.44900767</v>
      </c>
    </row>
    <row r="194">
      <c r="M194" s="123">
        <f t="shared" si="5"/>
        <v>159</v>
      </c>
      <c r="N194" s="123">
        <f t="shared" si="4"/>
        <v>14.58639862</v>
      </c>
    </row>
    <row r="195">
      <c r="M195" s="123">
        <f t="shared" si="5"/>
        <v>160</v>
      </c>
      <c r="N195" s="123">
        <f t="shared" si="4"/>
        <v>14.72422229</v>
      </c>
    </row>
    <row r="196">
      <c r="M196" s="123">
        <f t="shared" si="5"/>
        <v>161</v>
      </c>
      <c r="N196" s="123">
        <f t="shared" si="4"/>
        <v>14.86247733</v>
      </c>
    </row>
    <row r="197">
      <c r="M197" s="123">
        <f t="shared" si="5"/>
        <v>162</v>
      </c>
      <c r="N197" s="123">
        <f t="shared" si="4"/>
        <v>15.00116241</v>
      </c>
    </row>
    <row r="198">
      <c r="M198" s="123">
        <f t="shared" si="5"/>
        <v>163</v>
      </c>
      <c r="N198" s="123">
        <f t="shared" si="4"/>
        <v>15.1402762</v>
      </c>
    </row>
    <row r="199">
      <c r="M199" s="123">
        <f t="shared" si="5"/>
        <v>164</v>
      </c>
      <c r="N199" s="123">
        <f t="shared" si="4"/>
        <v>15.27981737</v>
      </c>
    </row>
    <row r="200">
      <c r="M200" s="123">
        <f t="shared" si="5"/>
        <v>165</v>
      </c>
      <c r="N200" s="123">
        <f t="shared" si="4"/>
        <v>15.41978462</v>
      </c>
    </row>
    <row r="201">
      <c r="M201" s="123">
        <f t="shared" si="5"/>
        <v>166</v>
      </c>
      <c r="N201" s="123">
        <f t="shared" si="4"/>
        <v>15.56017666</v>
      </c>
    </row>
    <row r="202">
      <c r="M202" s="123">
        <f t="shared" si="5"/>
        <v>167</v>
      </c>
      <c r="N202" s="123">
        <f t="shared" si="4"/>
        <v>15.70099221</v>
      </c>
    </row>
    <row r="203">
      <c r="M203" s="123">
        <f t="shared" si="5"/>
        <v>168</v>
      </c>
      <c r="N203" s="123">
        <f t="shared" si="4"/>
        <v>15.84222999</v>
      </c>
    </row>
    <row r="204">
      <c r="M204" s="123">
        <f t="shared" si="5"/>
        <v>169</v>
      </c>
      <c r="N204" s="123">
        <f t="shared" si="4"/>
        <v>15.98388875</v>
      </c>
    </row>
    <row r="205">
      <c r="M205" s="123">
        <f t="shared" si="5"/>
        <v>170</v>
      </c>
      <c r="N205" s="123">
        <f t="shared" si="4"/>
        <v>16.12596725</v>
      </c>
    </row>
    <row r="206">
      <c r="M206" s="123">
        <f t="shared" si="5"/>
        <v>171</v>
      </c>
      <c r="N206" s="123">
        <f t="shared" si="4"/>
        <v>16.26846423</v>
      </c>
    </row>
    <row r="207">
      <c r="M207" s="123">
        <f t="shared" si="5"/>
        <v>172</v>
      </c>
      <c r="N207" s="123">
        <f t="shared" si="4"/>
        <v>16.41137849</v>
      </c>
    </row>
    <row r="208">
      <c r="M208" s="123">
        <f t="shared" si="5"/>
        <v>173</v>
      </c>
      <c r="N208" s="123">
        <f t="shared" si="4"/>
        <v>16.55470881</v>
      </c>
    </row>
    <row r="209">
      <c r="M209" s="123">
        <f t="shared" si="5"/>
        <v>174</v>
      </c>
      <c r="N209" s="123">
        <f t="shared" si="4"/>
        <v>16.69845397</v>
      </c>
    </row>
    <row r="210">
      <c r="M210" s="123">
        <f t="shared" si="5"/>
        <v>175</v>
      </c>
      <c r="N210" s="123">
        <f t="shared" si="4"/>
        <v>16.84261279</v>
      </c>
    </row>
    <row r="211">
      <c r="M211" s="123">
        <f t="shared" si="5"/>
        <v>176</v>
      </c>
      <c r="N211" s="123">
        <f t="shared" si="4"/>
        <v>16.98718408</v>
      </c>
    </row>
    <row r="212">
      <c r="M212" s="123">
        <f t="shared" si="5"/>
        <v>177</v>
      </c>
      <c r="N212" s="123">
        <f t="shared" si="4"/>
        <v>17.13216667</v>
      </c>
    </row>
    <row r="213">
      <c r="M213" s="123">
        <f t="shared" si="5"/>
        <v>178</v>
      </c>
      <c r="N213" s="123">
        <f t="shared" si="4"/>
        <v>17.2775594</v>
      </c>
    </row>
    <row r="214">
      <c r="M214" s="123">
        <f t="shared" si="5"/>
        <v>179</v>
      </c>
      <c r="N214" s="123">
        <f t="shared" si="4"/>
        <v>17.42336111</v>
      </c>
    </row>
    <row r="215">
      <c r="M215" s="123">
        <f t="shared" si="5"/>
        <v>180</v>
      </c>
      <c r="N215" s="123">
        <f t="shared" si="4"/>
        <v>17.56957066</v>
      </c>
    </row>
    <row r="216">
      <c r="M216" s="123">
        <f t="shared" si="5"/>
        <v>181</v>
      </c>
      <c r="N216" s="123">
        <f t="shared" si="4"/>
        <v>17.71618691</v>
      </c>
    </row>
    <row r="217">
      <c r="M217" s="123">
        <f t="shared" si="5"/>
        <v>182</v>
      </c>
      <c r="N217" s="123">
        <f t="shared" si="4"/>
        <v>17.86320874</v>
      </c>
    </row>
    <row r="218">
      <c r="M218" s="123">
        <f t="shared" si="5"/>
        <v>183</v>
      </c>
      <c r="N218" s="123">
        <f t="shared" si="4"/>
        <v>18.01063504</v>
      </c>
    </row>
    <row r="219">
      <c r="M219" s="123">
        <f t="shared" si="5"/>
        <v>184</v>
      </c>
      <c r="N219" s="123">
        <f t="shared" si="4"/>
        <v>18.15846469</v>
      </c>
    </row>
    <row r="220">
      <c r="M220" s="123">
        <f t="shared" si="5"/>
        <v>185</v>
      </c>
      <c r="N220" s="123">
        <f t="shared" si="4"/>
        <v>18.3066966</v>
      </c>
    </row>
    <row r="221">
      <c r="M221" s="123">
        <f t="shared" si="5"/>
        <v>186</v>
      </c>
      <c r="N221" s="123">
        <f t="shared" si="4"/>
        <v>18.45532968</v>
      </c>
    </row>
    <row r="222">
      <c r="M222" s="123">
        <f t="shared" si="5"/>
        <v>187</v>
      </c>
      <c r="N222" s="123">
        <f t="shared" si="4"/>
        <v>18.60436285</v>
      </c>
    </row>
    <row r="223">
      <c r="M223" s="123">
        <f t="shared" si="5"/>
        <v>188</v>
      </c>
      <c r="N223" s="123">
        <f t="shared" si="4"/>
        <v>18.75379503</v>
      </c>
    </row>
    <row r="224">
      <c r="M224" s="123">
        <f t="shared" si="5"/>
        <v>189</v>
      </c>
      <c r="N224" s="123">
        <f t="shared" si="4"/>
        <v>18.90362518</v>
      </c>
    </row>
    <row r="225">
      <c r="M225" s="123">
        <f t="shared" si="5"/>
        <v>190</v>
      </c>
      <c r="N225" s="123">
        <f t="shared" si="4"/>
        <v>19.05385223</v>
      </c>
    </row>
    <row r="226">
      <c r="M226" s="123">
        <f t="shared" si="5"/>
        <v>191</v>
      </c>
      <c r="N226" s="123">
        <f t="shared" si="4"/>
        <v>19.20447513</v>
      </c>
    </row>
    <row r="227">
      <c r="M227" s="123">
        <f t="shared" si="5"/>
        <v>192</v>
      </c>
      <c r="N227" s="123">
        <f t="shared" si="4"/>
        <v>19.35549285</v>
      </c>
    </row>
    <row r="228">
      <c r="M228" s="123">
        <f t="shared" si="5"/>
        <v>193</v>
      </c>
      <c r="N228" s="123">
        <f t="shared" si="4"/>
        <v>19.50690437</v>
      </c>
    </row>
    <row r="229">
      <c r="M229" s="123">
        <f t="shared" si="5"/>
        <v>194</v>
      </c>
      <c r="N229" s="123">
        <f t="shared" si="4"/>
        <v>19.65870864</v>
      </c>
    </row>
    <row r="230">
      <c r="M230" s="123">
        <f t="shared" si="5"/>
        <v>195</v>
      </c>
      <c r="N230" s="123">
        <f t="shared" si="4"/>
        <v>19.81090468</v>
      </c>
    </row>
    <row r="231">
      <c r="M231" s="123">
        <f t="shared" si="5"/>
        <v>196</v>
      </c>
      <c r="N231" s="123">
        <f t="shared" si="4"/>
        <v>19.96349146</v>
      </c>
    </row>
    <row r="232">
      <c r="M232" s="123">
        <f t="shared" si="5"/>
        <v>197</v>
      </c>
      <c r="N232" s="123">
        <f t="shared" si="4"/>
        <v>20.11646799</v>
      </c>
    </row>
    <row r="233">
      <c r="M233" s="123">
        <f t="shared" si="5"/>
        <v>198</v>
      </c>
      <c r="N233" s="123">
        <f t="shared" si="4"/>
        <v>20.26983328</v>
      </c>
    </row>
    <row r="234">
      <c r="M234" s="123">
        <f t="shared" si="5"/>
        <v>199</v>
      </c>
      <c r="N234" s="123">
        <f t="shared" si="4"/>
        <v>20.42358635</v>
      </c>
    </row>
    <row r="235">
      <c r="M235" s="123">
        <f t="shared" si="5"/>
        <v>200</v>
      </c>
      <c r="N235" s="123">
        <f t="shared" si="4"/>
        <v>20.57772622</v>
      </c>
    </row>
    <row r="236">
      <c r="M236" s="123">
        <f t="shared" si="5"/>
        <v>201</v>
      </c>
      <c r="N236" s="123">
        <f t="shared" si="4"/>
        <v>20.73225192</v>
      </c>
    </row>
    <row r="237">
      <c r="M237" s="123">
        <f t="shared" si="5"/>
        <v>202</v>
      </c>
      <c r="N237" s="123">
        <f t="shared" si="4"/>
        <v>20.8871625</v>
      </c>
    </row>
    <row r="238">
      <c r="M238" s="123">
        <f t="shared" si="5"/>
        <v>203</v>
      </c>
      <c r="N238" s="123">
        <f t="shared" si="4"/>
        <v>21.04245699</v>
      </c>
    </row>
    <row r="239">
      <c r="M239" s="123">
        <f t="shared" si="5"/>
        <v>204</v>
      </c>
      <c r="N239" s="123">
        <f t="shared" si="4"/>
        <v>21.19813445</v>
      </c>
    </row>
    <row r="240">
      <c r="M240" s="123">
        <f t="shared" si="5"/>
        <v>205</v>
      </c>
      <c r="N240" s="123">
        <f t="shared" si="4"/>
        <v>21.35419395</v>
      </c>
    </row>
    <row r="241">
      <c r="M241" s="123">
        <f t="shared" si="5"/>
        <v>206</v>
      </c>
      <c r="N241" s="123">
        <f t="shared" si="4"/>
        <v>21.51063454</v>
      </c>
    </row>
    <row r="242">
      <c r="M242" s="123">
        <f t="shared" si="5"/>
        <v>207</v>
      </c>
      <c r="N242" s="123">
        <f t="shared" si="4"/>
        <v>21.66745531</v>
      </c>
    </row>
    <row r="243">
      <c r="M243" s="123">
        <f t="shared" si="5"/>
        <v>208</v>
      </c>
      <c r="N243" s="123">
        <f t="shared" si="4"/>
        <v>21.82465533</v>
      </c>
    </row>
    <row r="244">
      <c r="M244" s="123">
        <f t="shared" si="5"/>
        <v>209</v>
      </c>
      <c r="N244" s="123">
        <f t="shared" si="4"/>
        <v>21.98223369</v>
      </c>
    </row>
    <row r="245">
      <c r="M245" s="123">
        <f t="shared" si="5"/>
        <v>210</v>
      </c>
      <c r="N245" s="123">
        <f t="shared" si="4"/>
        <v>22.14018948</v>
      </c>
    </row>
    <row r="246">
      <c r="M246" s="123">
        <f t="shared" si="5"/>
        <v>211</v>
      </c>
      <c r="N246" s="123">
        <f t="shared" si="4"/>
        <v>22.29852181</v>
      </c>
    </row>
    <row r="247">
      <c r="M247" s="123">
        <f t="shared" si="5"/>
        <v>212</v>
      </c>
      <c r="N247" s="123">
        <f t="shared" si="4"/>
        <v>22.45722978</v>
      </c>
    </row>
    <row r="248">
      <c r="M248" s="123">
        <f t="shared" si="5"/>
        <v>213</v>
      </c>
      <c r="N248" s="123">
        <f t="shared" si="4"/>
        <v>22.6163125</v>
      </c>
    </row>
    <row r="249">
      <c r="M249" s="123">
        <f t="shared" si="5"/>
        <v>214</v>
      </c>
      <c r="N249" s="123">
        <f t="shared" si="4"/>
        <v>22.7757691</v>
      </c>
    </row>
    <row r="250">
      <c r="M250" s="123">
        <f t="shared" si="5"/>
        <v>215</v>
      </c>
      <c r="N250" s="123">
        <f t="shared" si="4"/>
        <v>22.9355987</v>
      </c>
    </row>
    <row r="251">
      <c r="M251" s="123">
        <f t="shared" si="5"/>
        <v>216</v>
      </c>
      <c r="N251" s="123">
        <f t="shared" si="4"/>
        <v>23.09580042</v>
      </c>
    </row>
    <row r="252">
      <c r="M252" s="123">
        <f t="shared" si="5"/>
        <v>217</v>
      </c>
      <c r="N252" s="123">
        <f t="shared" si="4"/>
        <v>23.25637342</v>
      </c>
    </row>
    <row r="253">
      <c r="M253" s="123">
        <f t="shared" si="5"/>
        <v>218</v>
      </c>
      <c r="N253" s="123">
        <f t="shared" si="4"/>
        <v>23.41731682</v>
      </c>
    </row>
    <row r="254">
      <c r="M254" s="123">
        <f t="shared" si="5"/>
        <v>219</v>
      </c>
      <c r="N254" s="123">
        <f t="shared" si="4"/>
        <v>23.57862979</v>
      </c>
    </row>
    <row r="255">
      <c r="M255" s="123">
        <f t="shared" si="5"/>
        <v>220</v>
      </c>
      <c r="N255" s="123">
        <f t="shared" si="4"/>
        <v>23.74031147</v>
      </c>
    </row>
    <row r="256">
      <c r="M256" s="123">
        <f t="shared" si="5"/>
        <v>221</v>
      </c>
      <c r="N256" s="123">
        <f t="shared" si="4"/>
        <v>23.90236103</v>
      </c>
    </row>
    <row r="257">
      <c r="M257" s="123">
        <f t="shared" si="5"/>
        <v>222</v>
      </c>
      <c r="N257" s="123">
        <f t="shared" si="4"/>
        <v>24.06477763</v>
      </c>
    </row>
    <row r="258">
      <c r="M258" s="123">
        <f t="shared" si="5"/>
        <v>223</v>
      </c>
      <c r="N258" s="123">
        <f t="shared" si="4"/>
        <v>24.22756045</v>
      </c>
    </row>
    <row r="259">
      <c r="M259" s="123">
        <f t="shared" si="5"/>
        <v>224</v>
      </c>
      <c r="N259" s="123">
        <f t="shared" si="4"/>
        <v>24.39070866</v>
      </c>
    </row>
    <row r="260">
      <c r="M260" s="123">
        <f t="shared" si="5"/>
        <v>225</v>
      </c>
      <c r="N260" s="123">
        <f t="shared" si="4"/>
        <v>24.55422146</v>
      </c>
    </row>
    <row r="261">
      <c r="M261" s="123">
        <f t="shared" si="5"/>
        <v>226</v>
      </c>
      <c r="N261" s="123">
        <f t="shared" si="4"/>
        <v>24.71809801</v>
      </c>
    </row>
    <row r="262">
      <c r="M262" s="123">
        <f t="shared" si="5"/>
        <v>227</v>
      </c>
      <c r="N262" s="123">
        <f t="shared" si="4"/>
        <v>24.88233753</v>
      </c>
    </row>
    <row r="263">
      <c r="M263" s="123">
        <f t="shared" si="5"/>
        <v>228</v>
      </c>
      <c r="N263" s="123">
        <f t="shared" si="4"/>
        <v>25.04693921</v>
      </c>
    </row>
    <row r="264">
      <c r="M264" s="123">
        <f t="shared" si="5"/>
        <v>229</v>
      </c>
      <c r="N264" s="123">
        <f t="shared" si="4"/>
        <v>25.21190226</v>
      </c>
    </row>
    <row r="265">
      <c r="M265" s="123">
        <f t="shared" si="5"/>
        <v>230</v>
      </c>
      <c r="N265" s="123">
        <f t="shared" si="4"/>
        <v>25.37722588</v>
      </c>
    </row>
    <row r="266">
      <c r="M266" s="123">
        <f t="shared" si="5"/>
        <v>231</v>
      </c>
      <c r="N266" s="123">
        <f t="shared" si="4"/>
        <v>25.54290929</v>
      </c>
    </row>
    <row r="267">
      <c r="M267" s="123">
        <f t="shared" si="5"/>
        <v>232</v>
      </c>
      <c r="N267" s="123">
        <f t="shared" si="4"/>
        <v>25.70895172</v>
      </c>
    </row>
    <row r="268">
      <c r="M268" s="123">
        <f t="shared" si="5"/>
        <v>233</v>
      </c>
      <c r="N268" s="123">
        <f t="shared" si="4"/>
        <v>25.87535238</v>
      </c>
    </row>
    <row r="269">
      <c r="M269" s="123">
        <f t="shared" si="5"/>
        <v>234</v>
      </c>
      <c r="N269" s="123">
        <f t="shared" si="4"/>
        <v>26.0421105</v>
      </c>
    </row>
    <row r="270">
      <c r="M270" s="123">
        <f t="shared" si="5"/>
        <v>235</v>
      </c>
      <c r="N270" s="123">
        <f t="shared" si="4"/>
        <v>26.20922533</v>
      </c>
    </row>
    <row r="271">
      <c r="M271" s="123">
        <f t="shared" si="5"/>
        <v>236</v>
      </c>
      <c r="N271" s="123">
        <f t="shared" si="4"/>
        <v>26.37669611</v>
      </c>
    </row>
    <row r="272">
      <c r="M272" s="123">
        <f t="shared" si="5"/>
        <v>237</v>
      </c>
      <c r="N272" s="123">
        <f t="shared" si="4"/>
        <v>26.54452207</v>
      </c>
    </row>
    <row r="273">
      <c r="M273" s="123">
        <f t="shared" si="5"/>
        <v>238</v>
      </c>
      <c r="N273" s="123">
        <f t="shared" si="4"/>
        <v>26.71270247</v>
      </c>
    </row>
    <row r="274">
      <c r="M274" s="123">
        <f t="shared" si="5"/>
        <v>239</v>
      </c>
      <c r="N274" s="123">
        <f t="shared" si="4"/>
        <v>26.88123656</v>
      </c>
    </row>
    <row r="275">
      <c r="M275" s="123">
        <f t="shared" si="5"/>
        <v>240</v>
      </c>
      <c r="N275" s="123">
        <f t="shared" si="4"/>
        <v>27.0501236</v>
      </c>
    </row>
    <row r="276">
      <c r="M276" s="123">
        <f t="shared" si="5"/>
        <v>241</v>
      </c>
      <c r="N276" s="123">
        <f t="shared" si="4"/>
        <v>27.21936286</v>
      </c>
    </row>
    <row r="277">
      <c r="M277" s="123">
        <f t="shared" si="5"/>
        <v>242</v>
      </c>
      <c r="N277" s="123">
        <f t="shared" si="4"/>
        <v>27.3889536</v>
      </c>
    </row>
    <row r="278">
      <c r="M278" s="123">
        <f t="shared" si="5"/>
        <v>243</v>
      </c>
      <c r="N278" s="123">
        <f t="shared" si="4"/>
        <v>27.5588951</v>
      </c>
    </row>
    <row r="279">
      <c r="M279" s="123">
        <f t="shared" si="5"/>
        <v>244</v>
      </c>
      <c r="N279" s="123">
        <f t="shared" si="4"/>
        <v>27.72918663</v>
      </c>
    </row>
    <row r="280">
      <c r="M280" s="123">
        <f t="shared" si="5"/>
        <v>245</v>
      </c>
      <c r="N280" s="123">
        <f t="shared" si="4"/>
        <v>27.89982748</v>
      </c>
    </row>
    <row r="281">
      <c r="M281" s="123">
        <f t="shared" si="5"/>
        <v>246</v>
      </c>
      <c r="N281" s="123">
        <f t="shared" si="4"/>
        <v>28.07081694</v>
      </c>
    </row>
    <row r="282">
      <c r="M282" s="123">
        <f t="shared" si="5"/>
        <v>247</v>
      </c>
      <c r="N282" s="123">
        <f t="shared" si="4"/>
        <v>28.24215428</v>
      </c>
    </row>
    <row r="283">
      <c r="M283" s="123">
        <f t="shared" si="5"/>
        <v>248</v>
      </c>
      <c r="N283" s="123">
        <f t="shared" si="4"/>
        <v>28.41383882</v>
      </c>
    </row>
    <row r="284">
      <c r="M284" s="123">
        <f t="shared" si="5"/>
        <v>249</v>
      </c>
      <c r="N284" s="123">
        <f t="shared" si="4"/>
        <v>28.58586984</v>
      </c>
    </row>
    <row r="285">
      <c r="M285" s="123">
        <f t="shared" si="5"/>
        <v>250</v>
      </c>
      <c r="N285" s="123">
        <f t="shared" si="4"/>
        <v>28.75824666</v>
      </c>
    </row>
  </sheetData>
  <mergeCells count="160">
    <mergeCell ref="E5:F5"/>
    <mergeCell ref="G5:H5"/>
    <mergeCell ref="E6:F6"/>
    <mergeCell ref="G6:H6"/>
    <mergeCell ref="E7:F7"/>
    <mergeCell ref="G7:H7"/>
    <mergeCell ref="G8:H8"/>
    <mergeCell ref="E8:F8"/>
    <mergeCell ref="E9:F9"/>
    <mergeCell ref="E10:F10"/>
    <mergeCell ref="E11:F11"/>
    <mergeCell ref="E12:F12"/>
    <mergeCell ref="E13:F13"/>
    <mergeCell ref="E14:F14"/>
    <mergeCell ref="G9:H9"/>
    <mergeCell ref="G10:H10"/>
    <mergeCell ref="G11:H11"/>
    <mergeCell ref="G12:H12"/>
    <mergeCell ref="G13:H13"/>
    <mergeCell ref="G14:H14"/>
    <mergeCell ref="G15:H15"/>
    <mergeCell ref="E22:F22"/>
    <mergeCell ref="E23:F23"/>
    <mergeCell ref="E24:F24"/>
    <mergeCell ref="E40:F40"/>
    <mergeCell ref="E15:F15"/>
    <mergeCell ref="E16:F16"/>
    <mergeCell ref="E17:F17"/>
    <mergeCell ref="E18:F18"/>
    <mergeCell ref="E19:F19"/>
    <mergeCell ref="E20:F20"/>
    <mergeCell ref="E21:F21"/>
    <mergeCell ref="G23:H23"/>
    <mergeCell ref="G24:H24"/>
    <mergeCell ref="F28:G28"/>
    <mergeCell ref="F29:G29"/>
    <mergeCell ref="F30:G30"/>
    <mergeCell ref="F31:G31"/>
    <mergeCell ref="F32:G32"/>
    <mergeCell ref="F33:G33"/>
    <mergeCell ref="G16:H16"/>
    <mergeCell ref="G17:H17"/>
    <mergeCell ref="G18:H18"/>
    <mergeCell ref="G19:H19"/>
    <mergeCell ref="G20:H20"/>
    <mergeCell ref="G21:H21"/>
    <mergeCell ref="G22:H22"/>
    <mergeCell ref="S4:U4"/>
    <mergeCell ref="V4:W4"/>
    <mergeCell ref="S5:U5"/>
    <mergeCell ref="V5:W5"/>
    <mergeCell ref="S6:U6"/>
    <mergeCell ref="V6:W6"/>
    <mergeCell ref="V7:W7"/>
    <mergeCell ref="S7:U7"/>
    <mergeCell ref="S8:U8"/>
    <mergeCell ref="V8:W9"/>
    <mergeCell ref="S9:U9"/>
    <mergeCell ref="S10:U10"/>
    <mergeCell ref="V10:W10"/>
    <mergeCell ref="V11:W11"/>
    <mergeCell ref="O15:P15"/>
    <mergeCell ref="O16:P16"/>
    <mergeCell ref="O8:P8"/>
    <mergeCell ref="O9:P9"/>
    <mergeCell ref="O10:P10"/>
    <mergeCell ref="O11:P11"/>
    <mergeCell ref="O12:P12"/>
    <mergeCell ref="O13:P13"/>
    <mergeCell ref="O14:P14"/>
    <mergeCell ref="M14:N14"/>
    <mergeCell ref="M15:N15"/>
    <mergeCell ref="M16:N16"/>
    <mergeCell ref="M17:N17"/>
    <mergeCell ref="O17:P17"/>
    <mergeCell ref="M18:N18"/>
    <mergeCell ref="O18:P18"/>
    <mergeCell ref="M19:N19"/>
    <mergeCell ref="O19:P19"/>
    <mergeCell ref="M20:N20"/>
    <mergeCell ref="O20:P20"/>
    <mergeCell ref="M21:N21"/>
    <mergeCell ref="O21:P21"/>
    <mergeCell ref="O22:P22"/>
    <mergeCell ref="O23:P23"/>
    <mergeCell ref="O24:P24"/>
    <mergeCell ref="O25:P25"/>
    <mergeCell ref="O26:P26"/>
    <mergeCell ref="R28:S28"/>
    <mergeCell ref="T28:U28"/>
    <mergeCell ref="T29:U29"/>
    <mergeCell ref="J30:K30"/>
    <mergeCell ref="J31:K31"/>
    <mergeCell ref="J32:K32"/>
    <mergeCell ref="J33:K33"/>
    <mergeCell ref="M22:N22"/>
    <mergeCell ref="M23:N23"/>
    <mergeCell ref="M24:N24"/>
    <mergeCell ref="M25:N25"/>
    <mergeCell ref="M26:N26"/>
    <mergeCell ref="J28:K28"/>
    <mergeCell ref="J29:K29"/>
    <mergeCell ref="P32:Q32"/>
    <mergeCell ref="P33:Q34"/>
    <mergeCell ref="R33:S34"/>
    <mergeCell ref="T33:U34"/>
    <mergeCell ref="R29:S29"/>
    <mergeCell ref="R30:S30"/>
    <mergeCell ref="T30:U30"/>
    <mergeCell ref="R31:S31"/>
    <mergeCell ref="T31:U31"/>
    <mergeCell ref="R32:S32"/>
    <mergeCell ref="T32:U32"/>
    <mergeCell ref="S2:U2"/>
    <mergeCell ref="V2:W2"/>
    <mergeCell ref="E1:F1"/>
    <mergeCell ref="G1:H1"/>
    <mergeCell ref="K1:L1"/>
    <mergeCell ref="E2:F2"/>
    <mergeCell ref="G2:H2"/>
    <mergeCell ref="M2:N2"/>
    <mergeCell ref="O2:P2"/>
    <mergeCell ref="E3:F3"/>
    <mergeCell ref="G3:H3"/>
    <mergeCell ref="M3:N3"/>
    <mergeCell ref="O3:P3"/>
    <mergeCell ref="S3:U3"/>
    <mergeCell ref="V3:W3"/>
    <mergeCell ref="G4:H4"/>
    <mergeCell ref="M4:N4"/>
    <mergeCell ref="O4:P4"/>
    <mergeCell ref="M5:N5"/>
    <mergeCell ref="O5:P5"/>
    <mergeCell ref="M6:N6"/>
    <mergeCell ref="O6:P6"/>
    <mergeCell ref="O7:P7"/>
    <mergeCell ref="M7:N7"/>
    <mergeCell ref="M8:N8"/>
    <mergeCell ref="M9:N9"/>
    <mergeCell ref="M10:N10"/>
    <mergeCell ref="M11:N11"/>
    <mergeCell ref="M12:N12"/>
    <mergeCell ref="M13:N13"/>
    <mergeCell ref="S11:U11"/>
    <mergeCell ref="S12:U12"/>
    <mergeCell ref="V12:W12"/>
    <mergeCell ref="S13:U13"/>
    <mergeCell ref="V13:W13"/>
    <mergeCell ref="S14:U14"/>
    <mergeCell ref="S15:U15"/>
    <mergeCell ref="S23:U23"/>
    <mergeCell ref="V23:X23"/>
    <mergeCell ref="S16:U16"/>
    <mergeCell ref="S17:U17"/>
    <mergeCell ref="S18:U18"/>
    <mergeCell ref="S19:U19"/>
    <mergeCell ref="S20:U20"/>
    <mergeCell ref="S21:U21"/>
    <mergeCell ref="S22:U22"/>
    <mergeCell ref="S24:U24"/>
  </mergeCells>
  <hyperlinks>
    <hyperlink r:id="rId2" ref="R3"/>
    <hyperlink r:id="rId3" ref="R4"/>
    <hyperlink r:id="rId4" ref="R5"/>
    <hyperlink r:id="rId5" ref="R6"/>
    <hyperlink r:id="rId6" ref="R7"/>
    <hyperlink r:id="rId7" ref="R8"/>
    <hyperlink r:id="rId8" ref="R9"/>
    <hyperlink r:id="rId9" ref="R10"/>
    <hyperlink r:id="rId10" ref="R11"/>
    <hyperlink r:id="rId11" ref="R12"/>
    <hyperlink r:id="rId12" ref="R13"/>
    <hyperlink r:id="rId13" ref="R14"/>
    <hyperlink r:id="rId14" ref="R15"/>
    <hyperlink r:id="rId15" ref="R16"/>
    <hyperlink r:id="rId16" ref="R17"/>
    <hyperlink r:id="rId17" ref="R18"/>
    <hyperlink r:id="rId18" ref="R19"/>
    <hyperlink r:id="rId19" ref="R20"/>
    <hyperlink r:id="rId20" ref="R21"/>
    <hyperlink r:id="rId21" ref="R22"/>
    <hyperlink r:id="rId22" ref="V22"/>
    <hyperlink r:id="rId23" ref="R23"/>
    <hyperlink r:id="rId24" location=":~:text=If%20you%20want%20your%20model,and%20I%20is%20the%20current." ref="V23"/>
    <hyperlink r:id="rId25" ref="R24"/>
  </hyperlinks>
  <drawing r:id="rId26"/>
  <legacyDrawing r:id="rId2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2" max="2" width="17.25"/>
    <col customWidth="1" min="4" max="4" width="14.63"/>
    <col customWidth="1" min="7" max="7" width="15.38"/>
    <col customWidth="1" min="8" max="8" width="17.13"/>
    <col customWidth="1" min="14" max="14" width="13.63"/>
    <col customWidth="1" min="21" max="21" width="16.63"/>
    <col customWidth="1" min="23" max="23" width="13.38"/>
  </cols>
  <sheetData>
    <row r="1">
      <c r="A1" s="34" t="s">
        <v>327</v>
      </c>
      <c r="B1" s="2"/>
      <c r="C1" s="3"/>
      <c r="I1" s="4" t="s">
        <v>1</v>
      </c>
      <c r="J1" s="5"/>
      <c r="K1" s="4" t="s">
        <v>2</v>
      </c>
      <c r="L1" s="6"/>
    </row>
    <row r="2">
      <c r="A2" s="7" t="s">
        <v>3</v>
      </c>
      <c r="B2" s="8" t="s">
        <v>4</v>
      </c>
      <c r="C2" s="8" t="s">
        <v>5</v>
      </c>
      <c r="D2" s="9" t="s">
        <v>6</v>
      </c>
      <c r="E2" s="4" t="s">
        <v>7</v>
      </c>
      <c r="F2" s="6"/>
      <c r="G2" s="4" t="s">
        <v>8</v>
      </c>
      <c r="H2" s="6"/>
      <c r="I2" s="9" t="s">
        <v>13</v>
      </c>
      <c r="J2" s="9" t="s">
        <v>14</v>
      </c>
      <c r="K2" s="9" t="s">
        <v>13</v>
      </c>
      <c r="L2" s="9" t="s">
        <v>14</v>
      </c>
      <c r="M2" s="4" t="s">
        <v>15</v>
      </c>
      <c r="N2" s="6"/>
      <c r="O2" s="4" t="s">
        <v>16</v>
      </c>
      <c r="P2" s="6"/>
      <c r="Q2" s="9" t="s">
        <v>17</v>
      </c>
      <c r="R2" s="10" t="s">
        <v>18</v>
      </c>
      <c r="S2" s="4" t="s">
        <v>19</v>
      </c>
      <c r="T2" s="11"/>
      <c r="U2" s="6"/>
      <c r="V2" s="12" t="s">
        <v>20</v>
      </c>
      <c r="W2" s="13"/>
    </row>
    <row r="3">
      <c r="A3" s="15" t="s">
        <v>22</v>
      </c>
      <c r="B3" s="16" t="s">
        <v>23</v>
      </c>
      <c r="C3" s="17">
        <v>1.0</v>
      </c>
      <c r="D3" s="18" t="s">
        <v>25</v>
      </c>
      <c r="E3" s="19" t="s">
        <v>328</v>
      </c>
      <c r="F3" s="20"/>
      <c r="G3" s="21" t="s">
        <v>25</v>
      </c>
      <c r="H3" s="20"/>
      <c r="I3" s="22" t="s">
        <v>329</v>
      </c>
      <c r="J3" s="23"/>
      <c r="K3" s="23"/>
      <c r="L3" s="23"/>
      <c r="M3" s="21"/>
      <c r="N3" s="20"/>
      <c r="O3" s="19" t="s">
        <v>330</v>
      </c>
      <c r="P3" s="20"/>
      <c r="Q3" s="24"/>
      <c r="R3" s="25" t="s">
        <v>331</v>
      </c>
      <c r="S3" s="26" t="s">
        <v>332</v>
      </c>
      <c r="T3" s="27"/>
      <c r="U3" s="13"/>
      <c r="V3" s="28" t="s">
        <v>333</v>
      </c>
      <c r="W3" s="20"/>
    </row>
    <row r="4">
      <c r="A4" s="15" t="s">
        <v>334</v>
      </c>
      <c r="B4" s="16" t="s">
        <v>33</v>
      </c>
      <c r="C4" s="17">
        <v>1.0</v>
      </c>
      <c r="D4" s="18">
        <v>11.1</v>
      </c>
      <c r="E4" s="30"/>
      <c r="F4" s="30"/>
      <c r="G4" s="19" t="s">
        <v>34</v>
      </c>
      <c r="H4" s="20"/>
      <c r="I4" s="23"/>
      <c r="J4" s="23"/>
      <c r="K4" s="23"/>
      <c r="L4" s="23"/>
      <c r="M4" s="19">
        <v>-9700.0</v>
      </c>
      <c r="N4" s="20"/>
      <c r="O4" s="19">
        <v>-107670.0</v>
      </c>
      <c r="P4" s="20"/>
      <c r="Q4" s="31">
        <f>O4/O27</f>
        <v>-1.668176786</v>
      </c>
      <c r="R4" s="253" t="s">
        <v>335</v>
      </c>
      <c r="S4" s="14" t="s">
        <v>336</v>
      </c>
      <c r="U4" s="20"/>
      <c r="V4" s="28" t="s">
        <v>337</v>
      </c>
      <c r="W4" s="20"/>
    </row>
    <row r="5">
      <c r="A5" s="230" t="s">
        <v>219</v>
      </c>
      <c r="B5" s="231" t="s">
        <v>39</v>
      </c>
      <c r="C5" s="232">
        <v>1.0</v>
      </c>
      <c r="D5" s="233">
        <v>3.3</v>
      </c>
      <c r="E5" s="234" t="s">
        <v>40</v>
      </c>
      <c r="F5" s="20"/>
      <c r="G5" s="233" t="s">
        <v>41</v>
      </c>
      <c r="I5" s="234">
        <v>75.0</v>
      </c>
      <c r="J5" s="232">
        <v>0.03</v>
      </c>
      <c r="K5" s="52">
        <f>N31</f>
        <v>0.5</v>
      </c>
      <c r="L5" s="232">
        <v>0.0</v>
      </c>
      <c r="M5" s="42">
        <f t="shared" ref="M5:M26" si="1">(I5*K5+J5*L5)*C5</f>
        <v>37.5</v>
      </c>
      <c r="N5" s="20"/>
      <c r="O5" s="42">
        <f t="shared" ref="O5:O26" si="2">(M5*D5)</f>
        <v>123.75</v>
      </c>
      <c r="P5" s="20"/>
      <c r="Q5" s="235">
        <f>O5/O27</f>
        <v>0.001917311018</v>
      </c>
      <c r="R5" s="236" t="s">
        <v>42</v>
      </c>
      <c r="S5" s="254" t="s">
        <v>338</v>
      </c>
      <c r="U5" s="20"/>
      <c r="V5" s="28" t="s">
        <v>339</v>
      </c>
      <c r="W5" s="20"/>
      <c r="X5" s="255"/>
    </row>
    <row r="6">
      <c r="A6" s="48" t="s">
        <v>221</v>
      </c>
      <c r="B6" s="49" t="s">
        <v>46</v>
      </c>
      <c r="C6" s="50">
        <v>1.0</v>
      </c>
      <c r="D6" s="51">
        <v>5.0</v>
      </c>
      <c r="E6" s="42" t="s">
        <v>47</v>
      </c>
      <c r="F6" s="20"/>
      <c r="G6" s="42" t="s">
        <v>25</v>
      </c>
      <c r="H6" s="20"/>
      <c r="I6" s="51">
        <v>400.0</v>
      </c>
      <c r="J6" s="51">
        <v>0.0</v>
      </c>
      <c r="K6" s="52">
        <f>N31</f>
        <v>0.5</v>
      </c>
      <c r="L6" s="51">
        <v>0.0</v>
      </c>
      <c r="M6" s="42">
        <f t="shared" si="1"/>
        <v>200</v>
      </c>
      <c r="N6" s="20"/>
      <c r="O6" s="42">
        <f t="shared" si="2"/>
        <v>1000</v>
      </c>
      <c r="P6" s="20"/>
      <c r="Q6" s="53">
        <f>O6/O27</f>
        <v>0.01549342236</v>
      </c>
      <c r="R6" s="256" t="s">
        <v>48</v>
      </c>
      <c r="S6" s="29" t="s">
        <v>340</v>
      </c>
      <c r="U6" s="20"/>
      <c r="V6" s="28" t="s">
        <v>341</v>
      </c>
      <c r="W6" s="20"/>
    </row>
    <row r="7">
      <c r="A7" s="48" t="s">
        <v>223</v>
      </c>
      <c r="B7" s="49" t="s">
        <v>224</v>
      </c>
      <c r="C7" s="50">
        <v>1.0</v>
      </c>
      <c r="D7" s="51">
        <v>3.3</v>
      </c>
      <c r="E7" s="42" t="s">
        <v>225</v>
      </c>
      <c r="F7" s="20"/>
      <c r="G7" s="42" t="s">
        <v>25</v>
      </c>
      <c r="H7" s="20"/>
      <c r="I7" s="51">
        <v>250.0</v>
      </c>
      <c r="J7" s="51">
        <v>0.0</v>
      </c>
      <c r="K7" s="52">
        <f>N31</f>
        <v>0.5</v>
      </c>
      <c r="L7" s="51">
        <v>0.0</v>
      </c>
      <c r="M7" s="42">
        <f t="shared" si="1"/>
        <v>125</v>
      </c>
      <c r="N7" s="20"/>
      <c r="O7" s="42">
        <f t="shared" si="2"/>
        <v>412.5</v>
      </c>
      <c r="P7" s="20"/>
      <c r="Q7" s="53">
        <f>O7/O27</f>
        <v>0.006391036725</v>
      </c>
      <c r="R7" s="256" t="s">
        <v>48</v>
      </c>
      <c r="S7" s="29" t="s">
        <v>223</v>
      </c>
      <c r="U7" s="20"/>
      <c r="V7" s="28" t="s">
        <v>342</v>
      </c>
      <c r="W7" s="257"/>
    </row>
    <row r="8">
      <c r="A8" s="48" t="s">
        <v>223</v>
      </c>
      <c r="B8" s="49" t="s">
        <v>227</v>
      </c>
      <c r="C8" s="50">
        <v>1.0</v>
      </c>
      <c r="D8" s="51">
        <v>1.8</v>
      </c>
      <c r="E8" s="42" t="s">
        <v>228</v>
      </c>
      <c r="F8" s="20"/>
      <c r="G8" s="42" t="s">
        <v>25</v>
      </c>
      <c r="H8" s="20"/>
      <c r="I8" s="51">
        <v>250.0</v>
      </c>
      <c r="J8" s="51">
        <v>0.0</v>
      </c>
      <c r="K8" s="52">
        <f>N31</f>
        <v>0.5</v>
      </c>
      <c r="L8" s="51">
        <v>0.0</v>
      </c>
      <c r="M8" s="42">
        <f t="shared" si="1"/>
        <v>125</v>
      </c>
      <c r="N8" s="20"/>
      <c r="O8" s="42">
        <f t="shared" si="2"/>
        <v>225</v>
      </c>
      <c r="P8" s="20"/>
      <c r="Q8" s="53">
        <f>O8/O27</f>
        <v>0.003486020032</v>
      </c>
      <c r="R8" s="256" t="s">
        <v>48</v>
      </c>
      <c r="S8" s="29" t="s">
        <v>223</v>
      </c>
      <c r="U8" s="20"/>
      <c r="V8" s="28" t="s">
        <v>343</v>
      </c>
      <c r="W8" s="20"/>
    </row>
    <row r="9">
      <c r="A9" s="48" t="s">
        <v>223</v>
      </c>
      <c r="B9" s="49" t="s">
        <v>229</v>
      </c>
      <c r="C9" s="50">
        <v>1.0</v>
      </c>
      <c r="D9" s="51">
        <v>3.3</v>
      </c>
      <c r="E9" s="42" t="s">
        <v>230</v>
      </c>
      <c r="F9" s="20"/>
      <c r="G9" s="42" t="s">
        <v>25</v>
      </c>
      <c r="H9" s="20"/>
      <c r="I9" s="51">
        <v>25.0</v>
      </c>
      <c r="J9" s="51">
        <v>0.0</v>
      </c>
      <c r="K9" s="52">
        <f>N31</f>
        <v>0.5</v>
      </c>
      <c r="L9" s="51">
        <v>0.0</v>
      </c>
      <c r="M9" s="42">
        <f t="shared" si="1"/>
        <v>12.5</v>
      </c>
      <c r="N9" s="20"/>
      <c r="O9" s="42">
        <f t="shared" si="2"/>
        <v>41.25</v>
      </c>
      <c r="P9" s="20"/>
      <c r="Q9" s="53">
        <f>O9/O27</f>
        <v>0.0006391036725</v>
      </c>
      <c r="R9" s="256" t="s">
        <v>48</v>
      </c>
      <c r="S9" s="29" t="s">
        <v>223</v>
      </c>
      <c r="U9" s="20"/>
      <c r="V9" s="258"/>
      <c r="W9" s="20"/>
    </row>
    <row r="10">
      <c r="A10" s="48" t="s">
        <v>223</v>
      </c>
      <c r="B10" s="49" t="s">
        <v>231</v>
      </c>
      <c r="C10" s="50">
        <v>1.0</v>
      </c>
      <c r="D10" s="51">
        <v>3.3</v>
      </c>
      <c r="E10" s="42" t="s">
        <v>232</v>
      </c>
      <c r="F10" s="20"/>
      <c r="G10" s="42" t="s">
        <v>233</v>
      </c>
      <c r="H10" s="20"/>
      <c r="I10" s="51">
        <v>50.0</v>
      </c>
      <c r="J10" s="51">
        <v>18.0</v>
      </c>
      <c r="K10" s="52">
        <f>N31</f>
        <v>0.5</v>
      </c>
      <c r="L10" s="51">
        <v>0.0</v>
      </c>
      <c r="M10" s="42">
        <f t="shared" si="1"/>
        <v>25</v>
      </c>
      <c r="N10" s="20"/>
      <c r="O10" s="42">
        <f t="shared" si="2"/>
        <v>82.5</v>
      </c>
      <c r="P10" s="20"/>
      <c r="Q10" s="53">
        <f>O10/O27</f>
        <v>0.001278207345</v>
      </c>
      <c r="R10" s="256" t="s">
        <v>48</v>
      </c>
      <c r="S10" s="29" t="s">
        <v>344</v>
      </c>
      <c r="U10" s="20"/>
      <c r="V10" s="28" t="s">
        <v>345</v>
      </c>
      <c r="W10" s="20"/>
    </row>
    <row r="11">
      <c r="A11" s="48" t="s">
        <v>223</v>
      </c>
      <c r="B11" s="49" t="s">
        <v>235</v>
      </c>
      <c r="C11" s="50">
        <v>1.0</v>
      </c>
      <c r="D11" s="51">
        <v>3.3</v>
      </c>
      <c r="E11" s="42" t="s">
        <v>232</v>
      </c>
      <c r="F11" s="20"/>
      <c r="G11" s="42" t="s">
        <v>233</v>
      </c>
      <c r="H11" s="20"/>
      <c r="I11" s="51">
        <v>50.0</v>
      </c>
      <c r="J11" s="51">
        <v>18.0</v>
      </c>
      <c r="K11" s="52">
        <f>N31</f>
        <v>0.5</v>
      </c>
      <c r="L11" s="51">
        <v>0.0</v>
      </c>
      <c r="M11" s="42">
        <f t="shared" si="1"/>
        <v>25</v>
      </c>
      <c r="N11" s="20"/>
      <c r="O11" s="42">
        <f t="shared" si="2"/>
        <v>82.5</v>
      </c>
      <c r="P11" s="20"/>
      <c r="Q11" s="53">
        <f>O11/O27</f>
        <v>0.001278207345</v>
      </c>
      <c r="R11" s="256" t="s">
        <v>48</v>
      </c>
      <c r="S11" s="29" t="s">
        <v>223</v>
      </c>
      <c r="U11" s="20"/>
      <c r="V11" s="34" t="s">
        <v>346</v>
      </c>
      <c r="W11" s="20"/>
    </row>
    <row r="12">
      <c r="A12" s="48" t="s">
        <v>223</v>
      </c>
      <c r="B12" s="49" t="s">
        <v>290</v>
      </c>
      <c r="C12" s="50">
        <v>1.0</v>
      </c>
      <c r="D12" s="51">
        <v>3.3</v>
      </c>
      <c r="E12" s="42" t="s">
        <v>291</v>
      </c>
      <c r="F12" s="20"/>
      <c r="G12" s="42" t="s">
        <v>25</v>
      </c>
      <c r="H12" s="20"/>
      <c r="I12" s="51">
        <v>50.0</v>
      </c>
      <c r="J12" s="51">
        <v>0.0</v>
      </c>
      <c r="K12" s="57">
        <v>0.0</v>
      </c>
      <c r="L12" s="51">
        <v>0.0</v>
      </c>
      <c r="M12" s="42">
        <f t="shared" si="1"/>
        <v>0</v>
      </c>
      <c r="N12" s="20"/>
      <c r="O12" s="42">
        <f t="shared" si="2"/>
        <v>0</v>
      </c>
      <c r="P12" s="20"/>
      <c r="Q12" s="53">
        <f>O12/O27</f>
        <v>0</v>
      </c>
      <c r="R12" s="256" t="s">
        <v>48</v>
      </c>
      <c r="S12" s="29" t="s">
        <v>347</v>
      </c>
      <c r="U12" s="20"/>
      <c r="V12" s="34" t="s">
        <v>348</v>
      </c>
      <c r="W12" s="20"/>
    </row>
    <row r="13">
      <c r="A13" s="238" t="s">
        <v>237</v>
      </c>
      <c r="B13" s="217" t="s">
        <v>309</v>
      </c>
      <c r="C13" s="50">
        <v>1.0</v>
      </c>
      <c r="D13" s="51">
        <v>3.3</v>
      </c>
      <c r="E13" s="42" t="s">
        <v>239</v>
      </c>
      <c r="F13" s="20"/>
      <c r="G13" s="42" t="s">
        <v>69</v>
      </c>
      <c r="H13" s="20"/>
      <c r="I13" s="51">
        <v>40.0</v>
      </c>
      <c r="J13" s="51">
        <v>0.0</v>
      </c>
      <c r="K13" s="52">
        <f>N31</f>
        <v>0.5</v>
      </c>
      <c r="L13" s="51">
        <v>0.0</v>
      </c>
      <c r="M13" s="42">
        <f t="shared" si="1"/>
        <v>20</v>
      </c>
      <c r="N13" s="20"/>
      <c r="O13" s="42">
        <f t="shared" si="2"/>
        <v>66</v>
      </c>
      <c r="P13" s="20"/>
      <c r="Q13" s="53">
        <f>O13/O27</f>
        <v>0.001022565876</v>
      </c>
      <c r="R13" s="259" t="s">
        <v>240</v>
      </c>
      <c r="S13" s="29"/>
      <c r="U13" s="20"/>
      <c r="V13" s="34" t="s">
        <v>349</v>
      </c>
      <c r="W13" s="20"/>
    </row>
    <row r="14">
      <c r="A14" s="239" t="s">
        <v>242</v>
      </c>
      <c r="B14" s="221" t="s">
        <v>243</v>
      </c>
      <c r="C14" s="50">
        <v>1.0</v>
      </c>
      <c r="D14" s="51">
        <v>3.3</v>
      </c>
      <c r="E14" s="42" t="s">
        <v>244</v>
      </c>
      <c r="F14" s="20"/>
      <c r="G14" s="42" t="s">
        <v>69</v>
      </c>
      <c r="H14" s="20"/>
      <c r="I14" s="51">
        <v>3.5</v>
      </c>
      <c r="J14" s="51">
        <v>0.0</v>
      </c>
      <c r="K14" s="52">
        <f>N31</f>
        <v>0.5</v>
      </c>
      <c r="L14" s="51">
        <v>0.0</v>
      </c>
      <c r="M14" s="42">
        <f t="shared" si="1"/>
        <v>1.75</v>
      </c>
      <c r="N14" s="20"/>
      <c r="O14" s="42">
        <f t="shared" si="2"/>
        <v>5.775</v>
      </c>
      <c r="P14" s="20"/>
      <c r="Q14" s="53">
        <f>O14/O27</f>
        <v>0.00008947451416</v>
      </c>
      <c r="R14" s="259" t="s">
        <v>245</v>
      </c>
      <c r="S14" s="29"/>
      <c r="U14" s="20"/>
    </row>
    <row r="15">
      <c r="A15" s="73" t="s">
        <v>66</v>
      </c>
      <c r="B15" s="74" t="s">
        <v>251</v>
      </c>
      <c r="C15" s="75">
        <v>1.0</v>
      </c>
      <c r="D15" s="78">
        <v>3.3</v>
      </c>
      <c r="E15" s="77" t="s">
        <v>350</v>
      </c>
      <c r="F15" s="20"/>
      <c r="G15" s="77" t="s">
        <v>25</v>
      </c>
      <c r="H15" s="20"/>
      <c r="I15" s="78">
        <v>2.0</v>
      </c>
      <c r="J15" s="78">
        <v>0.002</v>
      </c>
      <c r="K15" s="79">
        <f>N31</f>
        <v>0.5</v>
      </c>
      <c r="L15" s="78">
        <v>0.0</v>
      </c>
      <c r="M15" s="77">
        <f t="shared" si="1"/>
        <v>1</v>
      </c>
      <c r="N15" s="20"/>
      <c r="O15" s="77">
        <f t="shared" si="2"/>
        <v>3.3</v>
      </c>
      <c r="P15" s="20"/>
      <c r="Q15" s="81">
        <f>O15/O27</f>
        <v>0.0000511282938</v>
      </c>
      <c r="R15" s="260" t="s">
        <v>70</v>
      </c>
      <c r="S15" s="261" t="s">
        <v>351</v>
      </c>
      <c r="T15" s="27"/>
      <c r="U15" s="13"/>
    </row>
    <row r="16">
      <c r="A16" s="262" t="s">
        <v>223</v>
      </c>
      <c r="B16" s="74" t="s">
        <v>352</v>
      </c>
      <c r="C16" s="85">
        <v>1.0</v>
      </c>
      <c r="D16" s="78">
        <v>3.3</v>
      </c>
      <c r="E16" s="263" t="s">
        <v>353</v>
      </c>
      <c r="F16" s="20"/>
      <c r="G16" s="77" t="s">
        <v>69</v>
      </c>
      <c r="H16" s="20"/>
      <c r="I16" s="78">
        <v>0.746</v>
      </c>
      <c r="J16" s="78">
        <v>0.0</v>
      </c>
      <c r="K16" s="79">
        <f>N31</f>
        <v>0.5</v>
      </c>
      <c r="L16" s="78">
        <v>0.0</v>
      </c>
      <c r="M16" s="77">
        <f t="shared" si="1"/>
        <v>0.373</v>
      </c>
      <c r="N16" s="20"/>
      <c r="O16" s="77">
        <f t="shared" si="2"/>
        <v>1.2309</v>
      </c>
      <c r="P16" s="20"/>
      <c r="Q16" s="81">
        <f>O16/O27</f>
        <v>0.00001907085359</v>
      </c>
      <c r="R16" s="260" t="s">
        <v>70</v>
      </c>
      <c r="S16" s="35"/>
      <c r="U16" s="20"/>
    </row>
    <row r="17">
      <c r="A17" s="73" t="s">
        <v>72</v>
      </c>
      <c r="B17" s="84" t="s">
        <v>73</v>
      </c>
      <c r="C17" s="85">
        <v>4.0</v>
      </c>
      <c r="D17" s="78">
        <v>5.0</v>
      </c>
      <c r="E17" s="77" t="s">
        <v>74</v>
      </c>
      <c r="F17" s="20"/>
      <c r="G17" s="77" t="s">
        <v>75</v>
      </c>
      <c r="H17" s="20"/>
      <c r="I17" s="78">
        <v>15.0</v>
      </c>
      <c r="J17" s="78">
        <v>0.0</v>
      </c>
      <c r="K17" s="79">
        <f>N31</f>
        <v>0.5</v>
      </c>
      <c r="L17" s="78">
        <v>0.0</v>
      </c>
      <c r="M17" s="77">
        <f t="shared" si="1"/>
        <v>30</v>
      </c>
      <c r="N17" s="20"/>
      <c r="O17" s="77">
        <f t="shared" si="2"/>
        <v>150</v>
      </c>
      <c r="P17" s="20"/>
      <c r="Q17" s="81">
        <f>O17/O27</f>
        <v>0.002324013355</v>
      </c>
      <c r="R17" s="260" t="s">
        <v>76</v>
      </c>
      <c r="S17" s="35"/>
      <c r="U17" s="20"/>
    </row>
    <row r="18">
      <c r="A18" s="87" t="s">
        <v>78</v>
      </c>
      <c r="B18" s="88" t="s">
        <v>79</v>
      </c>
      <c r="C18" s="75">
        <v>1.0</v>
      </c>
      <c r="D18" s="78">
        <v>3.3</v>
      </c>
      <c r="E18" s="77" t="s">
        <v>354</v>
      </c>
      <c r="F18" s="20"/>
      <c r="G18" s="77" t="s">
        <v>81</v>
      </c>
      <c r="H18" s="20"/>
      <c r="I18" s="78">
        <v>20.0</v>
      </c>
      <c r="J18" s="78">
        <v>25.0</v>
      </c>
      <c r="K18" s="89">
        <f>N31 - 0.01</f>
        <v>0.49</v>
      </c>
      <c r="L18" s="78">
        <v>0.01</v>
      </c>
      <c r="M18" s="77">
        <f t="shared" si="1"/>
        <v>10.05</v>
      </c>
      <c r="N18" s="20"/>
      <c r="O18" s="77">
        <f t="shared" si="2"/>
        <v>33.165</v>
      </c>
      <c r="P18" s="20"/>
      <c r="Q18" s="81">
        <f>O18/O27</f>
        <v>0.0005138393527</v>
      </c>
      <c r="R18" s="260" t="s">
        <v>82</v>
      </c>
      <c r="S18" s="35" t="s">
        <v>355</v>
      </c>
      <c r="U18" s="20"/>
    </row>
    <row r="19">
      <c r="A19" s="87" t="s">
        <v>223</v>
      </c>
      <c r="B19" s="88" t="s">
        <v>356</v>
      </c>
      <c r="C19" s="75">
        <v>1.0</v>
      </c>
      <c r="D19" s="78">
        <v>3.3</v>
      </c>
      <c r="E19" s="77" t="s">
        <v>357</v>
      </c>
      <c r="F19" s="20"/>
      <c r="G19" s="77" t="s">
        <v>25</v>
      </c>
      <c r="H19" s="20"/>
      <c r="I19" s="78">
        <v>0.007</v>
      </c>
      <c r="J19" s="78">
        <v>0.0</v>
      </c>
      <c r="K19" s="79">
        <f>N31</f>
        <v>0.5</v>
      </c>
      <c r="L19" s="78">
        <v>0.0</v>
      </c>
      <c r="M19" s="77">
        <f t="shared" si="1"/>
        <v>0.0035</v>
      </c>
      <c r="N19" s="20"/>
      <c r="O19" s="77">
        <f t="shared" si="2"/>
        <v>0.01155</v>
      </c>
      <c r="P19" s="20"/>
      <c r="Q19" s="81">
        <f>O19/O27</f>
        <v>0.0000001789490283</v>
      </c>
      <c r="R19" s="260" t="s">
        <v>82</v>
      </c>
      <c r="S19" s="35" t="s">
        <v>358</v>
      </c>
      <c r="U19" s="20"/>
    </row>
    <row r="20">
      <c r="A20" s="87" t="s">
        <v>223</v>
      </c>
      <c r="B20" s="88" t="s">
        <v>201</v>
      </c>
      <c r="C20" s="75">
        <v>1.0</v>
      </c>
      <c r="D20" s="78">
        <v>3.3</v>
      </c>
      <c r="E20" s="77" t="s">
        <v>239</v>
      </c>
      <c r="F20" s="20"/>
      <c r="G20" s="77" t="s">
        <v>25</v>
      </c>
      <c r="H20" s="20"/>
      <c r="I20" s="78">
        <v>20.0</v>
      </c>
      <c r="J20" s="78">
        <v>0.0</v>
      </c>
      <c r="K20" s="79">
        <f>N31</f>
        <v>0.5</v>
      </c>
      <c r="L20" s="78">
        <v>0.0</v>
      </c>
      <c r="M20" s="77">
        <f t="shared" si="1"/>
        <v>10</v>
      </c>
      <c r="N20" s="20"/>
      <c r="O20" s="77">
        <f t="shared" si="2"/>
        <v>33</v>
      </c>
      <c r="P20" s="20"/>
      <c r="Q20" s="81">
        <f>O20/O27</f>
        <v>0.000511282938</v>
      </c>
      <c r="R20" s="260" t="s">
        <v>82</v>
      </c>
      <c r="S20" s="35"/>
      <c r="U20" s="20"/>
    </row>
    <row r="21">
      <c r="A21" s="73" t="s">
        <v>84</v>
      </c>
      <c r="B21" s="90" t="s">
        <v>85</v>
      </c>
      <c r="C21" s="75">
        <v>1.0</v>
      </c>
      <c r="D21" s="78">
        <v>1.8</v>
      </c>
      <c r="E21" s="77" t="s">
        <v>359</v>
      </c>
      <c r="F21" s="20"/>
      <c r="G21" s="77" t="s">
        <v>25</v>
      </c>
      <c r="H21" s="20"/>
      <c r="I21" s="78">
        <v>3.11</v>
      </c>
      <c r="J21" s="78">
        <v>0.0</v>
      </c>
      <c r="K21" s="79">
        <f>N31</f>
        <v>0.5</v>
      </c>
      <c r="L21" s="78">
        <v>0.0</v>
      </c>
      <c r="M21" s="77">
        <f t="shared" si="1"/>
        <v>1.555</v>
      </c>
      <c r="N21" s="20"/>
      <c r="O21" s="77">
        <f t="shared" si="2"/>
        <v>2.799</v>
      </c>
      <c r="P21" s="20"/>
      <c r="Q21" s="81">
        <f>O21/O27</f>
        <v>0.0000433660892</v>
      </c>
      <c r="R21" s="264" t="s">
        <v>88</v>
      </c>
      <c r="S21" s="35"/>
      <c r="U21" s="20"/>
    </row>
    <row r="22">
      <c r="A22" s="262" t="s">
        <v>223</v>
      </c>
      <c r="B22" s="265" t="s">
        <v>352</v>
      </c>
      <c r="C22" s="75">
        <v>1.0</v>
      </c>
      <c r="D22" s="78">
        <v>1.8</v>
      </c>
      <c r="E22" s="77" t="s">
        <v>360</v>
      </c>
      <c r="F22" s="20"/>
      <c r="G22" s="77" t="s">
        <v>87</v>
      </c>
      <c r="H22" s="20"/>
      <c r="I22" s="78">
        <v>6.0</v>
      </c>
      <c r="J22" s="78">
        <v>0.0</v>
      </c>
      <c r="K22" s="79">
        <f>N31</f>
        <v>0.5</v>
      </c>
      <c r="L22" s="78">
        <v>0.0</v>
      </c>
      <c r="M22" s="77">
        <f t="shared" si="1"/>
        <v>3</v>
      </c>
      <c r="N22" s="20"/>
      <c r="O22" s="77">
        <f t="shared" si="2"/>
        <v>5.4</v>
      </c>
      <c r="P22" s="20"/>
      <c r="Q22" s="81">
        <f>O22/O27</f>
        <v>0.00008366448077</v>
      </c>
      <c r="R22" s="264" t="s">
        <v>88</v>
      </c>
      <c r="S22" s="35"/>
      <c r="U22" s="20"/>
    </row>
    <row r="23">
      <c r="A23" s="240" t="s">
        <v>90</v>
      </c>
      <c r="B23" s="223" t="s">
        <v>91</v>
      </c>
      <c r="C23" s="85">
        <v>1.0</v>
      </c>
      <c r="D23" s="78">
        <v>3.3</v>
      </c>
      <c r="E23" s="77" t="s">
        <v>92</v>
      </c>
      <c r="F23" s="20"/>
      <c r="G23" s="77" t="s">
        <v>93</v>
      </c>
      <c r="H23" s="20"/>
      <c r="I23" s="78">
        <v>3.03</v>
      </c>
      <c r="J23" s="78">
        <v>0.0</v>
      </c>
      <c r="K23" s="79">
        <f>N31</f>
        <v>0.5</v>
      </c>
      <c r="L23" s="78">
        <v>0.0</v>
      </c>
      <c r="M23" s="77">
        <f t="shared" si="1"/>
        <v>1.515</v>
      </c>
      <c r="N23" s="20"/>
      <c r="O23" s="77">
        <f t="shared" si="2"/>
        <v>4.9995</v>
      </c>
      <c r="P23" s="20"/>
      <c r="Q23" s="81">
        <f>O23/O27</f>
        <v>0.00007745936511</v>
      </c>
      <c r="R23" s="264" t="s">
        <v>94</v>
      </c>
      <c r="S23" s="35"/>
      <c r="U23" s="20"/>
    </row>
    <row r="24">
      <c r="A24" s="225" t="s">
        <v>271</v>
      </c>
      <c r="B24" s="226" t="s">
        <v>272</v>
      </c>
      <c r="C24" s="104">
        <v>4.0</v>
      </c>
      <c r="D24" s="105">
        <v>11.1</v>
      </c>
      <c r="E24" s="106" t="s">
        <v>273</v>
      </c>
      <c r="F24" s="20"/>
      <c r="G24" s="106" t="s">
        <v>25</v>
      </c>
      <c r="H24" s="20"/>
      <c r="I24" s="105">
        <v>38.79</v>
      </c>
      <c r="J24" s="105">
        <v>23.59</v>
      </c>
      <c r="K24" s="107">
        <f>N31 * N33</f>
        <v>0.5</v>
      </c>
      <c r="L24" s="105">
        <f>N31 * (1 - N33)</f>
        <v>0</v>
      </c>
      <c r="M24" s="106">
        <f t="shared" si="1"/>
        <v>77.58</v>
      </c>
      <c r="N24" s="20"/>
      <c r="O24" s="106">
        <f t="shared" si="2"/>
        <v>861.138</v>
      </c>
      <c r="P24" s="20"/>
      <c r="Q24" s="108">
        <f>O24/O27</f>
        <v>0.01334197475</v>
      </c>
      <c r="R24" s="227" t="s">
        <v>311</v>
      </c>
      <c r="S24" s="47" t="s">
        <v>361</v>
      </c>
      <c r="U24" s="20"/>
    </row>
    <row r="25">
      <c r="A25" s="246" t="s">
        <v>206</v>
      </c>
      <c r="B25" s="103" t="s">
        <v>97</v>
      </c>
      <c r="C25" s="104">
        <v>4.0</v>
      </c>
      <c r="D25" s="105">
        <v>11.1</v>
      </c>
      <c r="E25" s="106" t="s">
        <v>98</v>
      </c>
      <c r="F25" s="20"/>
      <c r="G25" s="106" t="s">
        <v>25</v>
      </c>
      <c r="H25" s="20"/>
      <c r="I25" s="105">
        <v>2586.0</v>
      </c>
      <c r="J25" s="106">
        <v>915.0</v>
      </c>
      <c r="K25" s="107">
        <f>N31 * N33</f>
        <v>0.5</v>
      </c>
      <c r="L25" s="105">
        <f>N31 * (1 - N33)</f>
        <v>0</v>
      </c>
      <c r="M25" s="106">
        <f t="shared" si="1"/>
        <v>5172</v>
      </c>
      <c r="N25" s="20"/>
      <c r="O25" s="106">
        <f t="shared" si="2"/>
        <v>57409.2</v>
      </c>
      <c r="P25" s="20"/>
      <c r="Q25" s="108">
        <f>O25/O27</f>
        <v>0.8894649832</v>
      </c>
      <c r="R25" s="109" t="s">
        <v>99</v>
      </c>
      <c r="S25" s="47" t="s">
        <v>362</v>
      </c>
      <c r="U25" s="20"/>
      <c r="V25" s="200" t="s">
        <v>314</v>
      </c>
    </row>
    <row r="26">
      <c r="A26" s="110" t="s">
        <v>315</v>
      </c>
      <c r="B26" s="111" t="s">
        <v>102</v>
      </c>
      <c r="C26" s="112">
        <v>4.0</v>
      </c>
      <c r="D26" s="105">
        <v>5.0</v>
      </c>
      <c r="E26" s="113" t="s">
        <v>103</v>
      </c>
      <c r="F26" s="66"/>
      <c r="G26" s="113" t="s">
        <v>25</v>
      </c>
      <c r="H26" s="66"/>
      <c r="I26" s="114">
        <v>400.0</v>
      </c>
      <c r="J26" s="114">
        <v>1.0</v>
      </c>
      <c r="K26" s="115">
        <f>N31 * N35</f>
        <v>0.5</v>
      </c>
      <c r="L26" s="114">
        <f>N31*(1-N35)</f>
        <v>0</v>
      </c>
      <c r="M26" s="113">
        <f t="shared" si="1"/>
        <v>800</v>
      </c>
      <c r="N26" s="66"/>
      <c r="O26" s="113">
        <f t="shared" si="2"/>
        <v>4000</v>
      </c>
      <c r="P26" s="66"/>
      <c r="Q26" s="116">
        <f>O26/O27</f>
        <v>0.06197368946</v>
      </c>
      <c r="R26" s="249" t="s">
        <v>316</v>
      </c>
      <c r="S26" s="118" t="s">
        <v>363</v>
      </c>
      <c r="T26" s="72"/>
      <c r="U26" s="66"/>
    </row>
    <row r="27">
      <c r="A27" s="119"/>
      <c r="B27" s="120"/>
      <c r="C27" s="121"/>
      <c r="D27" s="122">
        <v>11.1</v>
      </c>
      <c r="M27" s="124">
        <f>sum(M5:N26)</f>
        <v>6678.8265</v>
      </c>
      <c r="N27" s="6"/>
      <c r="O27" s="124">
        <f>SUM(O5:O26)</f>
        <v>64543.51895</v>
      </c>
      <c r="P27" s="6"/>
    </row>
    <row r="28">
      <c r="A28" s="125"/>
      <c r="C28" s="121"/>
      <c r="D28" s="126" t="s">
        <v>107</v>
      </c>
      <c r="M28" s="127" t="s">
        <v>108</v>
      </c>
      <c r="N28" s="72"/>
      <c r="O28" s="250" t="s">
        <v>109</v>
      </c>
      <c r="P28" s="66"/>
    </row>
    <row r="29">
      <c r="A29" s="128"/>
      <c r="B29" s="128"/>
      <c r="C29" s="125"/>
      <c r="D29" s="34"/>
    </row>
    <row r="30">
      <c r="A30" s="129" t="s">
        <v>110</v>
      </c>
      <c r="B30" s="130" t="s">
        <v>111</v>
      </c>
      <c r="C30" s="130" t="s">
        <v>112</v>
      </c>
      <c r="D30" s="131" t="s">
        <v>364</v>
      </c>
      <c r="E30" s="131" t="s">
        <v>114</v>
      </c>
      <c r="F30" s="132" t="s">
        <v>115</v>
      </c>
      <c r="G30" s="6"/>
      <c r="H30" s="131" t="s">
        <v>365</v>
      </c>
      <c r="I30" s="132" t="s">
        <v>19</v>
      </c>
      <c r="J30" s="6"/>
      <c r="L30" s="29" t="s">
        <v>31</v>
      </c>
      <c r="N30" s="134" t="s">
        <v>118</v>
      </c>
      <c r="P30" s="135" t="s">
        <v>119</v>
      </c>
      <c r="Q30" s="136"/>
      <c r="R30" s="137" t="s">
        <v>120</v>
      </c>
      <c r="S30" s="6"/>
      <c r="T30" s="34"/>
    </row>
    <row r="31">
      <c r="A31" s="138" t="s">
        <v>121</v>
      </c>
      <c r="B31" s="139">
        <v>2.0</v>
      </c>
      <c r="C31" s="140" t="s">
        <v>122</v>
      </c>
      <c r="D31" s="139">
        <v>0.0</v>
      </c>
      <c r="E31" s="139">
        <v>2615.0</v>
      </c>
      <c r="F31" s="140" t="s">
        <v>25</v>
      </c>
      <c r="G31" s="20"/>
      <c r="H31" s="142">
        <v>0.0</v>
      </c>
      <c r="I31" s="143" t="s">
        <v>318</v>
      </c>
      <c r="J31" s="20"/>
      <c r="L31" s="35" t="s">
        <v>37</v>
      </c>
      <c r="N31" s="126">
        <v>0.5</v>
      </c>
      <c r="P31" s="144" t="s">
        <v>319</v>
      </c>
      <c r="Q31" s="145"/>
      <c r="R31" s="146">
        <f> SUM(O5:P26) + H35</f>
        <v>70461.26895</v>
      </c>
      <c r="S31" s="20"/>
      <c r="T31" s="147"/>
    </row>
    <row r="32">
      <c r="A32" s="138" t="s">
        <v>125</v>
      </c>
      <c r="B32" s="139">
        <v>3.0</v>
      </c>
      <c r="C32" s="140">
        <v>5.0</v>
      </c>
      <c r="D32" s="139">
        <v>6.1</v>
      </c>
      <c r="E32" s="139">
        <v>815.0</v>
      </c>
      <c r="F32" s="140">
        <v>800.0</v>
      </c>
      <c r="G32" s="20"/>
      <c r="H32" s="142">
        <f t="shared" ref="H32:H34" si="3">D32*E32</f>
        <v>4971.5</v>
      </c>
      <c r="I32" s="143" t="s">
        <v>366</v>
      </c>
      <c r="J32" s="20"/>
      <c r="L32" s="47" t="s">
        <v>44</v>
      </c>
      <c r="N32" s="150" t="s">
        <v>321</v>
      </c>
      <c r="P32" s="144" t="s">
        <v>322</v>
      </c>
      <c r="Q32" s="145"/>
      <c r="R32" s="151">
        <v>107670.0</v>
      </c>
      <c r="S32" s="20"/>
      <c r="T32" s="152"/>
    </row>
    <row r="33">
      <c r="A33" s="138" t="s">
        <v>129</v>
      </c>
      <c r="B33" s="139">
        <v>11.0</v>
      </c>
      <c r="C33" s="140">
        <v>3.3</v>
      </c>
      <c r="D33" s="139">
        <v>7.6</v>
      </c>
      <c r="E33" s="139">
        <v>585.0</v>
      </c>
      <c r="F33" s="140">
        <v>800.0</v>
      </c>
      <c r="G33" s="20"/>
      <c r="H33" s="142">
        <f t="shared" si="3"/>
        <v>4446</v>
      </c>
      <c r="I33" s="143" t="s">
        <v>367</v>
      </c>
      <c r="J33" s="20"/>
      <c r="L33" s="14" t="s">
        <v>21</v>
      </c>
      <c r="N33" s="126">
        <v>1.0</v>
      </c>
      <c r="P33" s="144" t="s">
        <v>368</v>
      </c>
      <c r="Q33" s="145"/>
      <c r="R33" s="151">
        <v>86136.0</v>
      </c>
      <c r="S33" s="20"/>
      <c r="T33" s="152"/>
    </row>
    <row r="34">
      <c r="A34" s="154" t="s">
        <v>300</v>
      </c>
      <c r="B34" s="155">
        <v>3.0</v>
      </c>
      <c r="C34" s="156">
        <v>1.8</v>
      </c>
      <c r="D34" s="155">
        <v>9.3</v>
      </c>
      <c r="E34" s="266">
        <v>260.0</v>
      </c>
      <c r="F34" s="266">
        <v>800.0</v>
      </c>
      <c r="G34" s="66"/>
      <c r="H34" s="154">
        <f t="shared" si="3"/>
        <v>2418</v>
      </c>
      <c r="I34" s="267" t="s">
        <v>369</v>
      </c>
      <c r="J34" s="66"/>
      <c r="N34" s="150" t="s">
        <v>325</v>
      </c>
      <c r="P34" s="251" t="s">
        <v>131</v>
      </c>
      <c r="Q34" s="72"/>
      <c r="R34" s="252" t="str">
        <f>If(R31&gt;R33, "Out of Battery", "Not out of Battery")</f>
        <v>Not out of Battery</v>
      </c>
      <c r="S34" s="66"/>
    </row>
    <row r="35">
      <c r="H35" s="268">
        <f>SUM(H31:H34) * N31</f>
        <v>5917.75</v>
      </c>
      <c r="N35" s="126">
        <v>1.0</v>
      </c>
      <c r="O35" s="34"/>
      <c r="P35" s="34"/>
      <c r="R35" s="181"/>
      <c r="T35" s="152"/>
    </row>
    <row r="36">
      <c r="H36" s="126" t="s">
        <v>370</v>
      </c>
      <c r="N36" s="34"/>
      <c r="O36" s="34"/>
    </row>
    <row r="42">
      <c r="C42" s="34"/>
      <c r="E42" s="152"/>
    </row>
  </sheetData>
  <mergeCells count="167">
    <mergeCell ref="V6:W6"/>
    <mergeCell ref="V8:W9"/>
    <mergeCell ref="S4:U4"/>
    <mergeCell ref="V4:W4"/>
    <mergeCell ref="S5:U5"/>
    <mergeCell ref="V5:W5"/>
    <mergeCell ref="S6:U6"/>
    <mergeCell ref="S7:U7"/>
    <mergeCell ref="S8:U8"/>
    <mergeCell ref="M7:N7"/>
    <mergeCell ref="M8:N8"/>
    <mergeCell ref="M9:N9"/>
    <mergeCell ref="M10:N10"/>
    <mergeCell ref="M11:N11"/>
    <mergeCell ref="M12:N12"/>
    <mergeCell ref="M13:N13"/>
    <mergeCell ref="M14:N14"/>
    <mergeCell ref="M15:N15"/>
    <mergeCell ref="O15:P15"/>
    <mergeCell ref="M16:N16"/>
    <mergeCell ref="O16:P16"/>
    <mergeCell ref="M17:N17"/>
    <mergeCell ref="O17:P17"/>
    <mergeCell ref="M21:N21"/>
    <mergeCell ref="M22:N22"/>
    <mergeCell ref="M23:N23"/>
    <mergeCell ref="M24:N24"/>
    <mergeCell ref="M25:N25"/>
    <mergeCell ref="M26:N26"/>
    <mergeCell ref="M27:N27"/>
    <mergeCell ref="M28:N28"/>
    <mergeCell ref="O22:P22"/>
    <mergeCell ref="O23:P23"/>
    <mergeCell ref="O24:P24"/>
    <mergeCell ref="O25:P25"/>
    <mergeCell ref="O26:P26"/>
    <mergeCell ref="O27:P27"/>
    <mergeCell ref="O28:P28"/>
    <mergeCell ref="M18:N18"/>
    <mergeCell ref="O18:P18"/>
    <mergeCell ref="M19:N19"/>
    <mergeCell ref="O19:P19"/>
    <mergeCell ref="M20:N20"/>
    <mergeCell ref="O20:P20"/>
    <mergeCell ref="O21:P21"/>
    <mergeCell ref="S19:U19"/>
    <mergeCell ref="S20:U20"/>
    <mergeCell ref="S21:U21"/>
    <mergeCell ref="S22:U22"/>
    <mergeCell ref="S23:U23"/>
    <mergeCell ref="S24:U24"/>
    <mergeCell ref="V25:X25"/>
    <mergeCell ref="R32:S32"/>
    <mergeCell ref="R33:S33"/>
    <mergeCell ref="P34:Q34"/>
    <mergeCell ref="R34:S34"/>
    <mergeCell ref="P35:Q36"/>
    <mergeCell ref="R35:S36"/>
    <mergeCell ref="T33:U33"/>
    <mergeCell ref="T34:U34"/>
    <mergeCell ref="T35:U36"/>
    <mergeCell ref="S25:U25"/>
    <mergeCell ref="S26:U26"/>
    <mergeCell ref="R30:S30"/>
    <mergeCell ref="T30:U30"/>
    <mergeCell ref="R31:S31"/>
    <mergeCell ref="T31:U31"/>
    <mergeCell ref="T32:U32"/>
    <mergeCell ref="S2:U2"/>
    <mergeCell ref="V2:W2"/>
    <mergeCell ref="E1:F1"/>
    <mergeCell ref="G1:H1"/>
    <mergeCell ref="K1:L1"/>
    <mergeCell ref="E2:F2"/>
    <mergeCell ref="G2:H2"/>
    <mergeCell ref="M2:N2"/>
    <mergeCell ref="O2:P2"/>
    <mergeCell ref="E3:F3"/>
    <mergeCell ref="G3:H3"/>
    <mergeCell ref="M3:N3"/>
    <mergeCell ref="O3:P3"/>
    <mergeCell ref="S3:U3"/>
    <mergeCell ref="V3:W3"/>
    <mergeCell ref="G4:H4"/>
    <mergeCell ref="O8:P8"/>
    <mergeCell ref="O9:P9"/>
    <mergeCell ref="O10:P10"/>
    <mergeCell ref="O11:P11"/>
    <mergeCell ref="O12:P12"/>
    <mergeCell ref="O13:P13"/>
    <mergeCell ref="O14:P14"/>
    <mergeCell ref="M4:N4"/>
    <mergeCell ref="O4:P4"/>
    <mergeCell ref="M5:N5"/>
    <mergeCell ref="O5:P5"/>
    <mergeCell ref="M6:N6"/>
    <mergeCell ref="O6:P6"/>
    <mergeCell ref="O7:P7"/>
    <mergeCell ref="S9:U9"/>
    <mergeCell ref="S10:U10"/>
    <mergeCell ref="V10:W10"/>
    <mergeCell ref="S11:U11"/>
    <mergeCell ref="V11:W11"/>
    <mergeCell ref="S12:U12"/>
    <mergeCell ref="V12:W12"/>
    <mergeCell ref="S13:U13"/>
    <mergeCell ref="V13:W13"/>
    <mergeCell ref="S14:U14"/>
    <mergeCell ref="S15:U15"/>
    <mergeCell ref="S16:U16"/>
    <mergeCell ref="S17:U17"/>
    <mergeCell ref="S18:U18"/>
    <mergeCell ref="F31:G31"/>
    <mergeCell ref="F32:G32"/>
    <mergeCell ref="F33:G33"/>
    <mergeCell ref="F34:G34"/>
    <mergeCell ref="I34:J34"/>
    <mergeCell ref="G23:H23"/>
    <mergeCell ref="G24:H24"/>
    <mergeCell ref="G25:H25"/>
    <mergeCell ref="G26:H26"/>
    <mergeCell ref="F30:G30"/>
    <mergeCell ref="I30:J30"/>
    <mergeCell ref="I31:J31"/>
    <mergeCell ref="E5:F5"/>
    <mergeCell ref="G5:H5"/>
    <mergeCell ref="E6:F6"/>
    <mergeCell ref="G6:H6"/>
    <mergeCell ref="E7:F7"/>
    <mergeCell ref="G7:H7"/>
    <mergeCell ref="G8:H8"/>
    <mergeCell ref="E8:F8"/>
    <mergeCell ref="E9:F9"/>
    <mergeCell ref="E10:F10"/>
    <mergeCell ref="E11:F11"/>
    <mergeCell ref="E12:F12"/>
    <mergeCell ref="E13:F13"/>
    <mergeCell ref="E14:F14"/>
    <mergeCell ref="G9:H9"/>
    <mergeCell ref="G10:H10"/>
    <mergeCell ref="G11:H11"/>
    <mergeCell ref="G12:H12"/>
    <mergeCell ref="G13:H13"/>
    <mergeCell ref="G14:H14"/>
    <mergeCell ref="G15:H15"/>
    <mergeCell ref="E22:F22"/>
    <mergeCell ref="E23:F23"/>
    <mergeCell ref="E24:F24"/>
    <mergeCell ref="E25:F25"/>
    <mergeCell ref="E26:F26"/>
    <mergeCell ref="E42:F42"/>
    <mergeCell ref="E15:F15"/>
    <mergeCell ref="E16:F16"/>
    <mergeCell ref="E17:F17"/>
    <mergeCell ref="E18:F18"/>
    <mergeCell ref="E19:F19"/>
    <mergeCell ref="E20:F20"/>
    <mergeCell ref="E21:F21"/>
    <mergeCell ref="G16:H16"/>
    <mergeCell ref="G17:H17"/>
    <mergeCell ref="G18:H18"/>
    <mergeCell ref="G19:H19"/>
    <mergeCell ref="G20:H20"/>
    <mergeCell ref="G21:H21"/>
    <mergeCell ref="G22:H22"/>
    <mergeCell ref="I32:J32"/>
    <mergeCell ref="I33:J33"/>
  </mergeCells>
  <hyperlinks>
    <hyperlink r:id="rId2" ref="R3"/>
    <hyperlink r:id="rId3" ref="R4"/>
    <hyperlink r:id="rId4" ref="R5"/>
    <hyperlink r:id="rId5" ref="R6"/>
    <hyperlink r:id="rId6" ref="R7"/>
    <hyperlink r:id="rId7" ref="R8"/>
    <hyperlink r:id="rId8" ref="R9"/>
    <hyperlink r:id="rId9" ref="R10"/>
    <hyperlink r:id="rId10" ref="R11"/>
    <hyperlink r:id="rId11" ref="R12"/>
    <hyperlink r:id="rId12" ref="R13"/>
    <hyperlink r:id="rId13" ref="R14"/>
    <hyperlink r:id="rId14" ref="R15"/>
    <hyperlink r:id="rId15" ref="R16"/>
    <hyperlink r:id="rId16" ref="R17"/>
    <hyperlink r:id="rId17" ref="R18"/>
    <hyperlink r:id="rId18" ref="R19"/>
    <hyperlink r:id="rId19" ref="R20"/>
    <hyperlink r:id="rId20" ref="R21"/>
    <hyperlink r:id="rId21" ref="R22"/>
    <hyperlink r:id="rId22" ref="R23"/>
    <hyperlink r:id="rId23" ref="R24"/>
    <hyperlink r:id="rId24" ref="R25"/>
    <hyperlink r:id="rId25" location=":~:text=If%20you%20want%20your%20model,and%20I%20is%20the%20current." ref="V25"/>
    <hyperlink r:id="rId26" ref="R26"/>
  </hyperlinks>
  <drawing r:id="rId27"/>
  <legacyDrawing r:id="rId2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25"/>
    <col customWidth="1" min="4" max="4" width="14.63"/>
    <col customWidth="1" min="23" max="23" width="16.63"/>
  </cols>
  <sheetData>
    <row r="1">
      <c r="A1" s="34" t="s">
        <v>371</v>
      </c>
      <c r="B1" s="2"/>
      <c r="C1" s="3"/>
      <c r="J1" s="4" t="s">
        <v>1</v>
      </c>
      <c r="K1" s="5"/>
      <c r="L1" s="4" t="s">
        <v>2</v>
      </c>
      <c r="M1" s="6"/>
    </row>
    <row r="2">
      <c r="A2" s="7" t="s">
        <v>3</v>
      </c>
      <c r="B2" s="8" t="s">
        <v>4</v>
      </c>
      <c r="C2" s="8" t="s">
        <v>5</v>
      </c>
      <c r="D2" s="9" t="s">
        <v>6</v>
      </c>
      <c r="E2" s="4" t="s">
        <v>7</v>
      </c>
      <c r="F2" s="6"/>
      <c r="G2" s="4" t="s">
        <v>8</v>
      </c>
      <c r="H2" s="6"/>
      <c r="I2" s="9" t="s">
        <v>372</v>
      </c>
      <c r="J2" s="9" t="s">
        <v>13</v>
      </c>
      <c r="K2" s="9" t="s">
        <v>14</v>
      </c>
      <c r="L2" s="9" t="s">
        <v>13</v>
      </c>
      <c r="M2" s="9" t="s">
        <v>14</v>
      </c>
      <c r="N2" s="4" t="s">
        <v>15</v>
      </c>
      <c r="O2" s="6"/>
      <c r="P2" s="9" t="s">
        <v>373</v>
      </c>
      <c r="Q2" s="4" t="s">
        <v>16</v>
      </c>
      <c r="R2" s="6"/>
      <c r="S2" s="9" t="s">
        <v>17</v>
      </c>
      <c r="T2" s="10" t="s">
        <v>18</v>
      </c>
      <c r="U2" s="4" t="s">
        <v>19</v>
      </c>
      <c r="V2" s="11"/>
      <c r="W2" s="6"/>
      <c r="X2" s="9" t="s">
        <v>374</v>
      </c>
      <c r="Y2" s="12" t="s">
        <v>20</v>
      </c>
      <c r="Z2" s="13"/>
    </row>
    <row r="3">
      <c r="A3" s="15" t="s">
        <v>375</v>
      </c>
      <c r="B3" s="16" t="s">
        <v>23</v>
      </c>
      <c r="C3" s="17">
        <v>1.0</v>
      </c>
      <c r="D3" s="18" t="s">
        <v>25</v>
      </c>
      <c r="E3" s="19" t="s">
        <v>376</v>
      </c>
      <c r="F3" s="20"/>
      <c r="G3" s="21" t="s">
        <v>25</v>
      </c>
      <c r="H3" s="20"/>
      <c r="I3" s="23"/>
      <c r="J3" s="23"/>
      <c r="K3" s="23"/>
      <c r="L3" s="23"/>
      <c r="M3" s="23"/>
      <c r="N3" s="21"/>
      <c r="O3" s="20"/>
      <c r="P3" s="30"/>
      <c r="Q3" s="21"/>
      <c r="R3" s="20"/>
      <c r="S3" s="24"/>
      <c r="T3" s="25" t="s">
        <v>331</v>
      </c>
      <c r="U3" s="26" t="s">
        <v>377</v>
      </c>
      <c r="V3" s="27"/>
      <c r="W3" s="13"/>
      <c r="X3" s="269" t="s">
        <v>378</v>
      </c>
      <c r="Y3" s="28" t="s">
        <v>379</v>
      </c>
      <c r="Z3" s="20"/>
    </row>
    <row r="4">
      <c r="A4" s="270" t="s">
        <v>380</v>
      </c>
      <c r="B4" s="16" t="s">
        <v>33</v>
      </c>
      <c r="C4" s="17">
        <v>1.0</v>
      </c>
      <c r="D4" s="18">
        <v>5.0</v>
      </c>
      <c r="E4" s="30"/>
      <c r="F4" s="30"/>
      <c r="G4" s="19" t="s">
        <v>381</v>
      </c>
      <c r="H4" s="20"/>
      <c r="I4" s="23"/>
      <c r="J4" s="23"/>
      <c r="K4" s="23"/>
      <c r="L4" s="23"/>
      <c r="M4" s="23"/>
      <c r="N4" s="19">
        <v>-3000.0</v>
      </c>
      <c r="O4" s="20"/>
      <c r="P4" s="30"/>
      <c r="Q4" s="19">
        <v>-15000.0</v>
      </c>
      <c r="R4" s="20"/>
      <c r="S4" s="31">
        <f>Q4/Q26</f>
        <v>-0.1694082321</v>
      </c>
      <c r="T4" s="271" t="s">
        <v>382</v>
      </c>
      <c r="U4" s="14" t="s">
        <v>383</v>
      </c>
      <c r="W4" s="20"/>
      <c r="X4" s="18" t="s">
        <v>378</v>
      </c>
      <c r="Y4" s="28" t="s">
        <v>384</v>
      </c>
      <c r="Z4" s="20"/>
    </row>
    <row r="5">
      <c r="A5" s="15" t="s">
        <v>385</v>
      </c>
      <c r="B5" s="16" t="s">
        <v>33</v>
      </c>
      <c r="C5" s="17">
        <v>1.0</v>
      </c>
      <c r="D5" s="18">
        <v>11.1</v>
      </c>
      <c r="E5" s="30"/>
      <c r="F5" s="30"/>
      <c r="G5" s="19" t="s">
        <v>386</v>
      </c>
      <c r="H5" s="20"/>
      <c r="I5" s="23"/>
      <c r="J5" s="23"/>
      <c r="K5" s="23"/>
      <c r="L5" s="23"/>
      <c r="M5" s="23"/>
      <c r="N5" s="19">
        <v>-9000.0</v>
      </c>
      <c r="O5" s="20"/>
      <c r="P5" s="30"/>
      <c r="Q5" s="19">
        <v>-99900.0</v>
      </c>
      <c r="R5" s="20"/>
      <c r="S5" s="31">
        <f>Q5/Q26</f>
        <v>-1.128258826</v>
      </c>
      <c r="T5" s="253" t="s">
        <v>387</v>
      </c>
      <c r="U5" s="14" t="s">
        <v>388</v>
      </c>
      <c r="W5" s="20"/>
      <c r="X5" s="272" t="s">
        <v>378</v>
      </c>
      <c r="Y5" s="28" t="s">
        <v>389</v>
      </c>
      <c r="Z5" s="20"/>
    </row>
    <row r="6">
      <c r="A6" s="273" t="s">
        <v>219</v>
      </c>
      <c r="B6" s="274" t="s">
        <v>39</v>
      </c>
      <c r="C6" s="232">
        <v>1.0</v>
      </c>
      <c r="D6" s="233">
        <v>3.3</v>
      </c>
      <c r="E6" s="234" t="s">
        <v>390</v>
      </c>
      <c r="F6" s="20"/>
      <c r="G6" s="233" t="s">
        <v>391</v>
      </c>
      <c r="I6" s="232" t="s">
        <v>25</v>
      </c>
      <c r="J6" s="233">
        <v>75.0</v>
      </c>
      <c r="K6" s="232">
        <v>32.0</v>
      </c>
      <c r="L6" s="233">
        <v>1.0</v>
      </c>
      <c r="M6" s="232">
        <v>0.0</v>
      </c>
      <c r="N6" s="42">
        <f t="shared" ref="N6:N25" si="1">(J6*L6+K6*M6)*C6</f>
        <v>75</v>
      </c>
      <c r="O6" s="20"/>
      <c r="P6" s="51">
        <f t="shared" ref="P6:P25" si="2">(D6*J6)*C6</f>
        <v>247.5</v>
      </c>
      <c r="Q6" s="42">
        <f t="shared" ref="Q6:Q25" si="3">(N6*D6)</f>
        <v>247.5</v>
      </c>
      <c r="R6" s="20"/>
      <c r="S6" s="235">
        <f>Q6/Q26</f>
        <v>0.002795235829</v>
      </c>
      <c r="T6" s="236" t="s">
        <v>42</v>
      </c>
      <c r="U6" s="254" t="s">
        <v>392</v>
      </c>
      <c r="W6" s="20"/>
      <c r="X6" s="275" t="s">
        <v>378</v>
      </c>
      <c r="Y6" s="28" t="s">
        <v>393</v>
      </c>
      <c r="Z6" s="20"/>
      <c r="AA6" s="255"/>
    </row>
    <row r="7">
      <c r="A7" s="48" t="s">
        <v>221</v>
      </c>
      <c r="B7" s="49" t="s">
        <v>46</v>
      </c>
      <c r="C7" s="50">
        <v>1.0</v>
      </c>
      <c r="D7" s="51">
        <v>5.0</v>
      </c>
      <c r="E7" s="42" t="s">
        <v>47</v>
      </c>
      <c r="F7" s="20"/>
      <c r="G7" s="42" t="s">
        <v>25</v>
      </c>
      <c r="H7" s="20"/>
      <c r="I7" s="51" t="s">
        <v>25</v>
      </c>
      <c r="J7" s="51">
        <v>400.0</v>
      </c>
      <c r="K7" s="51">
        <v>0.0</v>
      </c>
      <c r="L7" s="51">
        <v>1.0</v>
      </c>
      <c r="M7" s="51">
        <v>0.0</v>
      </c>
      <c r="N7" s="42">
        <f t="shared" si="1"/>
        <v>400</v>
      </c>
      <c r="O7" s="20"/>
      <c r="P7" s="51">
        <f t="shared" si="2"/>
        <v>2000</v>
      </c>
      <c r="Q7" s="42">
        <f t="shared" si="3"/>
        <v>2000</v>
      </c>
      <c r="R7" s="20"/>
      <c r="S7" s="53">
        <f>Q7/Q26</f>
        <v>0.02258776428</v>
      </c>
      <c r="T7" s="256" t="s">
        <v>48</v>
      </c>
      <c r="U7" s="29" t="s">
        <v>394</v>
      </c>
      <c r="W7" s="20"/>
      <c r="X7" s="276" t="s">
        <v>378</v>
      </c>
      <c r="Y7" s="28"/>
      <c r="Z7" s="20"/>
    </row>
    <row r="8">
      <c r="A8" s="48" t="s">
        <v>223</v>
      </c>
      <c r="B8" s="49" t="s">
        <v>224</v>
      </c>
      <c r="C8" s="50">
        <v>1.0</v>
      </c>
      <c r="D8" s="51">
        <v>3.3</v>
      </c>
      <c r="E8" s="42" t="s">
        <v>225</v>
      </c>
      <c r="F8" s="20"/>
      <c r="G8" s="42" t="s">
        <v>25</v>
      </c>
      <c r="H8" s="20"/>
      <c r="I8" s="51" t="s">
        <v>25</v>
      </c>
      <c r="J8" s="51">
        <v>250.0</v>
      </c>
      <c r="K8" s="51">
        <v>0.0</v>
      </c>
      <c r="L8" s="51">
        <v>1.0</v>
      </c>
      <c r="M8" s="51">
        <v>0.0</v>
      </c>
      <c r="N8" s="42">
        <f t="shared" si="1"/>
        <v>250</v>
      </c>
      <c r="O8" s="20"/>
      <c r="P8" s="51">
        <f t="shared" si="2"/>
        <v>825</v>
      </c>
      <c r="Q8" s="42">
        <f t="shared" si="3"/>
        <v>825</v>
      </c>
      <c r="R8" s="20"/>
      <c r="S8" s="53">
        <f>Q8/Q26</f>
        <v>0.009317452765</v>
      </c>
      <c r="T8" s="256" t="s">
        <v>48</v>
      </c>
      <c r="U8" s="29" t="s">
        <v>223</v>
      </c>
      <c r="W8" s="20"/>
      <c r="X8" s="276" t="s">
        <v>378</v>
      </c>
      <c r="Y8" s="28"/>
      <c r="Z8" s="257"/>
    </row>
    <row r="9">
      <c r="A9" s="48" t="s">
        <v>223</v>
      </c>
      <c r="B9" s="49" t="s">
        <v>227</v>
      </c>
      <c r="C9" s="50">
        <v>1.0</v>
      </c>
      <c r="D9" s="51">
        <v>1.8</v>
      </c>
      <c r="E9" s="42" t="s">
        <v>395</v>
      </c>
      <c r="F9" s="20"/>
      <c r="G9" s="42" t="s">
        <v>25</v>
      </c>
      <c r="H9" s="20"/>
      <c r="I9" s="51" t="s">
        <v>25</v>
      </c>
      <c r="J9" s="51">
        <v>250.0</v>
      </c>
      <c r="K9" s="51">
        <v>0.0</v>
      </c>
      <c r="L9" s="51">
        <v>1.0</v>
      </c>
      <c r="M9" s="51">
        <v>0.0</v>
      </c>
      <c r="N9" s="42">
        <f t="shared" si="1"/>
        <v>250</v>
      </c>
      <c r="O9" s="20"/>
      <c r="P9" s="51">
        <f t="shared" si="2"/>
        <v>450</v>
      </c>
      <c r="Q9" s="42">
        <f t="shared" si="3"/>
        <v>450</v>
      </c>
      <c r="R9" s="20"/>
      <c r="S9" s="53">
        <f>Q9/Q26</f>
        <v>0.005082246963</v>
      </c>
      <c r="T9" s="256" t="s">
        <v>48</v>
      </c>
      <c r="U9" s="29" t="s">
        <v>223</v>
      </c>
      <c r="W9" s="20"/>
      <c r="X9" s="276" t="s">
        <v>378</v>
      </c>
      <c r="Y9" s="277"/>
      <c r="Z9" s="20"/>
    </row>
    <row r="10">
      <c r="A10" s="48" t="s">
        <v>223</v>
      </c>
      <c r="B10" s="49" t="s">
        <v>229</v>
      </c>
      <c r="C10" s="50">
        <v>1.0</v>
      </c>
      <c r="D10" s="51">
        <v>2.8</v>
      </c>
      <c r="E10" s="42" t="s">
        <v>230</v>
      </c>
      <c r="F10" s="20"/>
      <c r="G10" s="42" t="s">
        <v>25</v>
      </c>
      <c r="H10" s="20"/>
      <c r="I10" s="51" t="s">
        <v>25</v>
      </c>
      <c r="J10" s="51">
        <v>25.0</v>
      </c>
      <c r="K10" s="51">
        <v>0.0</v>
      </c>
      <c r="L10" s="51">
        <v>1.0</v>
      </c>
      <c r="M10" s="51">
        <v>0.0</v>
      </c>
      <c r="N10" s="42">
        <f t="shared" si="1"/>
        <v>25</v>
      </c>
      <c r="O10" s="20"/>
      <c r="P10" s="51">
        <f t="shared" si="2"/>
        <v>70</v>
      </c>
      <c r="Q10" s="42">
        <f t="shared" si="3"/>
        <v>70</v>
      </c>
      <c r="R10" s="20"/>
      <c r="S10" s="53">
        <f>Q10/Q26</f>
        <v>0.0007905717497</v>
      </c>
      <c r="T10" s="256" t="s">
        <v>48</v>
      </c>
      <c r="U10" s="29" t="s">
        <v>223</v>
      </c>
      <c r="W10" s="20"/>
      <c r="X10" s="276" t="s">
        <v>378</v>
      </c>
      <c r="Y10" s="28"/>
      <c r="Z10" s="20"/>
    </row>
    <row r="11">
      <c r="A11" s="48" t="s">
        <v>223</v>
      </c>
      <c r="B11" s="49" t="s">
        <v>231</v>
      </c>
      <c r="C11" s="50">
        <v>1.0</v>
      </c>
      <c r="D11" s="51">
        <v>3.3</v>
      </c>
      <c r="E11" s="42" t="s">
        <v>396</v>
      </c>
      <c r="F11" s="20"/>
      <c r="G11" s="42" t="s">
        <v>397</v>
      </c>
      <c r="H11" s="20"/>
      <c r="I11" s="51" t="s">
        <v>25</v>
      </c>
      <c r="J11" s="51">
        <v>50.0</v>
      </c>
      <c r="K11" s="51">
        <v>18.0</v>
      </c>
      <c r="L11" s="51">
        <v>1.0</v>
      </c>
      <c r="M11" s="51">
        <v>0.0</v>
      </c>
      <c r="N11" s="42">
        <f t="shared" si="1"/>
        <v>50</v>
      </c>
      <c r="O11" s="20"/>
      <c r="P11" s="51">
        <f t="shared" si="2"/>
        <v>165</v>
      </c>
      <c r="Q11" s="42">
        <f t="shared" si="3"/>
        <v>165</v>
      </c>
      <c r="R11" s="20"/>
      <c r="S11" s="53">
        <f>Q11/Q26</f>
        <v>0.001863490553</v>
      </c>
      <c r="T11" s="256" t="s">
        <v>48</v>
      </c>
      <c r="U11" s="29" t="s">
        <v>344</v>
      </c>
      <c r="W11" s="20"/>
      <c r="X11" s="276" t="s">
        <v>378</v>
      </c>
      <c r="Y11" s="28"/>
      <c r="Z11" s="257"/>
    </row>
    <row r="12">
      <c r="A12" s="48" t="s">
        <v>223</v>
      </c>
      <c r="B12" s="49" t="s">
        <v>235</v>
      </c>
      <c r="C12" s="50">
        <v>1.0</v>
      </c>
      <c r="D12" s="51">
        <v>3.3</v>
      </c>
      <c r="E12" s="42" t="s">
        <v>396</v>
      </c>
      <c r="F12" s="20"/>
      <c r="G12" s="42" t="s">
        <v>397</v>
      </c>
      <c r="H12" s="20"/>
      <c r="I12" s="51" t="s">
        <v>25</v>
      </c>
      <c r="J12" s="51">
        <v>50.0</v>
      </c>
      <c r="K12" s="51">
        <v>18.0</v>
      </c>
      <c r="L12" s="51">
        <v>1.0</v>
      </c>
      <c r="M12" s="51">
        <v>0.0</v>
      </c>
      <c r="N12" s="42">
        <f t="shared" si="1"/>
        <v>50</v>
      </c>
      <c r="O12" s="20"/>
      <c r="P12" s="51">
        <f t="shared" si="2"/>
        <v>165</v>
      </c>
      <c r="Q12" s="42">
        <f t="shared" si="3"/>
        <v>165</v>
      </c>
      <c r="R12" s="20"/>
      <c r="S12" s="53">
        <f>Q12/Q26</f>
        <v>0.001863490553</v>
      </c>
      <c r="T12" s="256" t="s">
        <v>48</v>
      </c>
      <c r="U12" s="29" t="s">
        <v>223</v>
      </c>
      <c r="W12" s="20"/>
      <c r="X12" s="57" t="s">
        <v>378</v>
      </c>
    </row>
    <row r="13">
      <c r="A13" s="48" t="s">
        <v>223</v>
      </c>
      <c r="B13" s="49" t="s">
        <v>290</v>
      </c>
      <c r="C13" s="50">
        <v>1.0</v>
      </c>
      <c r="D13" s="51">
        <v>3.3</v>
      </c>
      <c r="E13" s="42" t="s">
        <v>291</v>
      </c>
      <c r="F13" s="20"/>
      <c r="G13" s="42" t="s">
        <v>25</v>
      </c>
      <c r="H13" s="20"/>
      <c r="I13" s="51" t="s">
        <v>25</v>
      </c>
      <c r="J13" s="51">
        <v>50.0</v>
      </c>
      <c r="K13" s="51">
        <v>0.0</v>
      </c>
      <c r="L13" s="51">
        <v>0.0</v>
      </c>
      <c r="M13" s="51">
        <v>1.0</v>
      </c>
      <c r="N13" s="42">
        <f t="shared" si="1"/>
        <v>0</v>
      </c>
      <c r="O13" s="20"/>
      <c r="P13" s="51">
        <f t="shared" si="2"/>
        <v>165</v>
      </c>
      <c r="Q13" s="42">
        <f t="shared" si="3"/>
        <v>0</v>
      </c>
      <c r="R13" s="20"/>
      <c r="S13" s="53">
        <f>Q13/Q26</f>
        <v>0</v>
      </c>
      <c r="T13" s="256" t="s">
        <v>48</v>
      </c>
      <c r="U13" s="29" t="s">
        <v>398</v>
      </c>
      <c r="W13" s="20"/>
      <c r="X13" s="57" t="s">
        <v>378</v>
      </c>
    </row>
    <row r="14">
      <c r="A14" s="73" t="s">
        <v>66</v>
      </c>
      <c r="B14" s="74" t="s">
        <v>251</v>
      </c>
      <c r="C14" s="75">
        <v>1.0</v>
      </c>
      <c r="D14" s="78">
        <v>3.3</v>
      </c>
      <c r="E14" s="77" t="s">
        <v>350</v>
      </c>
      <c r="F14" s="20"/>
      <c r="G14" s="77" t="s">
        <v>25</v>
      </c>
      <c r="H14" s="20"/>
      <c r="I14" s="78" t="s">
        <v>25</v>
      </c>
      <c r="J14" s="78">
        <v>2.0</v>
      </c>
      <c r="K14" s="78">
        <v>0.265</v>
      </c>
      <c r="L14" s="78">
        <v>1.0</v>
      </c>
      <c r="M14" s="78">
        <v>0.0</v>
      </c>
      <c r="N14" s="77">
        <f t="shared" si="1"/>
        <v>2</v>
      </c>
      <c r="O14" s="20"/>
      <c r="P14" s="78">
        <f t="shared" si="2"/>
        <v>6.6</v>
      </c>
      <c r="Q14" s="77">
        <f t="shared" si="3"/>
        <v>6.6</v>
      </c>
      <c r="R14" s="20"/>
      <c r="S14" s="81">
        <f>Q14/Q26</f>
        <v>0.00007453962212</v>
      </c>
      <c r="T14" s="260" t="s">
        <v>70</v>
      </c>
      <c r="U14" s="261" t="s">
        <v>351</v>
      </c>
      <c r="V14" s="27"/>
      <c r="W14" s="13"/>
      <c r="X14" s="89" t="s">
        <v>378</v>
      </c>
    </row>
    <row r="15">
      <c r="A15" s="262" t="s">
        <v>223</v>
      </c>
      <c r="B15" s="74" t="s">
        <v>352</v>
      </c>
      <c r="C15" s="85">
        <v>1.0</v>
      </c>
      <c r="D15" s="78">
        <v>3.3</v>
      </c>
      <c r="E15" s="263" t="s">
        <v>399</v>
      </c>
      <c r="F15" s="20"/>
      <c r="G15" s="77" t="s">
        <v>400</v>
      </c>
      <c r="H15" s="20"/>
      <c r="I15" s="78" t="s">
        <v>25</v>
      </c>
      <c r="J15" s="78">
        <v>0.5</v>
      </c>
      <c r="K15" s="78">
        <v>0.0</v>
      </c>
      <c r="L15" s="78">
        <v>1.0</v>
      </c>
      <c r="M15" s="78">
        <v>0.0</v>
      </c>
      <c r="N15" s="77">
        <f t="shared" si="1"/>
        <v>0.5</v>
      </c>
      <c r="O15" s="20"/>
      <c r="P15" s="78">
        <f t="shared" si="2"/>
        <v>1.65</v>
      </c>
      <c r="Q15" s="77">
        <f t="shared" si="3"/>
        <v>1.65</v>
      </c>
      <c r="R15" s="20"/>
      <c r="S15" s="81">
        <f>Q15/Q26</f>
        <v>0.00001863490553</v>
      </c>
      <c r="T15" s="260" t="s">
        <v>70</v>
      </c>
      <c r="U15" s="35"/>
      <c r="W15" s="20"/>
      <c r="X15" s="89" t="s">
        <v>378</v>
      </c>
    </row>
    <row r="16">
      <c r="A16" s="73" t="s">
        <v>72</v>
      </c>
      <c r="B16" s="84" t="s">
        <v>73</v>
      </c>
      <c r="C16" s="85">
        <v>4.0</v>
      </c>
      <c r="D16" s="78">
        <v>5.0</v>
      </c>
      <c r="E16" s="77" t="s">
        <v>401</v>
      </c>
      <c r="F16" s="20"/>
      <c r="G16" s="77" t="s">
        <v>75</v>
      </c>
      <c r="H16" s="20"/>
      <c r="I16" s="78" t="s">
        <v>25</v>
      </c>
      <c r="J16" s="78">
        <v>15.0</v>
      </c>
      <c r="K16" s="78">
        <v>0.0</v>
      </c>
      <c r="L16" s="78">
        <v>1.0</v>
      </c>
      <c r="M16" s="78">
        <v>0.0</v>
      </c>
      <c r="N16" s="77">
        <f t="shared" si="1"/>
        <v>60</v>
      </c>
      <c r="O16" s="20"/>
      <c r="P16" s="78">
        <f t="shared" si="2"/>
        <v>300</v>
      </c>
      <c r="Q16" s="77">
        <f t="shared" si="3"/>
        <v>300</v>
      </c>
      <c r="R16" s="20"/>
      <c r="S16" s="81">
        <f>Q16/Q26</f>
        <v>0.003388164642</v>
      </c>
      <c r="T16" s="260" t="s">
        <v>76</v>
      </c>
      <c r="U16" s="35"/>
      <c r="W16" s="20"/>
      <c r="X16" s="89" t="s">
        <v>378</v>
      </c>
    </row>
    <row r="17">
      <c r="A17" s="87" t="s">
        <v>78</v>
      </c>
      <c r="B17" s="88" t="s">
        <v>79</v>
      </c>
      <c r="C17" s="75">
        <v>1.0</v>
      </c>
      <c r="D17" s="78">
        <v>3.3</v>
      </c>
      <c r="E17" s="77" t="s">
        <v>402</v>
      </c>
      <c r="F17" s="20"/>
      <c r="G17" s="77" t="s">
        <v>403</v>
      </c>
      <c r="H17" s="20"/>
      <c r="I17" s="78" t="s">
        <v>25</v>
      </c>
      <c r="J17" s="78">
        <v>20.0</v>
      </c>
      <c r="K17" s="78">
        <v>25.0</v>
      </c>
      <c r="L17" s="78">
        <v>0.99</v>
      </c>
      <c r="M17" s="78">
        <v>0.01</v>
      </c>
      <c r="N17" s="77">
        <f t="shared" si="1"/>
        <v>20.05</v>
      </c>
      <c r="O17" s="20"/>
      <c r="P17" s="78">
        <f t="shared" si="2"/>
        <v>66</v>
      </c>
      <c r="Q17" s="77">
        <f t="shared" si="3"/>
        <v>66.165</v>
      </c>
      <c r="R17" s="20"/>
      <c r="S17" s="81">
        <f>Q17/Q26</f>
        <v>0.0007472597117</v>
      </c>
      <c r="T17" s="260" t="s">
        <v>82</v>
      </c>
      <c r="U17" s="35" t="s">
        <v>355</v>
      </c>
      <c r="W17" s="20"/>
      <c r="X17" s="89" t="s">
        <v>378</v>
      </c>
    </row>
    <row r="18">
      <c r="A18" s="87" t="s">
        <v>223</v>
      </c>
      <c r="B18" s="88" t="s">
        <v>356</v>
      </c>
      <c r="C18" s="75">
        <v>1.0</v>
      </c>
      <c r="D18" s="78">
        <v>3.3</v>
      </c>
      <c r="E18" s="77" t="s">
        <v>357</v>
      </c>
      <c r="F18" s="20"/>
      <c r="G18" s="77" t="s">
        <v>25</v>
      </c>
      <c r="H18" s="20"/>
      <c r="I18" s="78" t="s">
        <v>25</v>
      </c>
      <c r="J18" s="78">
        <v>0.0</v>
      </c>
      <c r="K18" s="78">
        <v>0.0</v>
      </c>
      <c r="L18" s="78">
        <v>1.0</v>
      </c>
      <c r="M18" s="78">
        <v>0.0</v>
      </c>
      <c r="N18" s="77">
        <f t="shared" si="1"/>
        <v>0</v>
      </c>
      <c r="O18" s="20"/>
      <c r="P18" s="78">
        <f t="shared" si="2"/>
        <v>0</v>
      </c>
      <c r="Q18" s="77">
        <f t="shared" si="3"/>
        <v>0</v>
      </c>
      <c r="R18" s="20"/>
      <c r="S18" s="81">
        <f>Q18/Q26</f>
        <v>0</v>
      </c>
      <c r="T18" s="260" t="s">
        <v>82</v>
      </c>
      <c r="U18" s="35" t="s">
        <v>358</v>
      </c>
      <c r="W18" s="20"/>
      <c r="X18" s="89" t="s">
        <v>378</v>
      </c>
    </row>
    <row r="19">
      <c r="A19" s="87" t="s">
        <v>223</v>
      </c>
      <c r="B19" s="88" t="s">
        <v>201</v>
      </c>
      <c r="C19" s="75">
        <v>1.0</v>
      </c>
      <c r="D19" s="78">
        <v>3.3</v>
      </c>
      <c r="E19" s="77" t="s">
        <v>239</v>
      </c>
      <c r="F19" s="20"/>
      <c r="G19" s="77" t="s">
        <v>25</v>
      </c>
      <c r="H19" s="20"/>
      <c r="I19" s="78" t="s">
        <v>25</v>
      </c>
      <c r="J19" s="78">
        <v>20.0</v>
      </c>
      <c r="K19" s="78">
        <v>4.0</v>
      </c>
      <c r="L19" s="78">
        <v>1.0</v>
      </c>
      <c r="M19" s="78">
        <v>0.0</v>
      </c>
      <c r="N19" s="77">
        <f t="shared" si="1"/>
        <v>20</v>
      </c>
      <c r="O19" s="20"/>
      <c r="P19" s="78">
        <f t="shared" si="2"/>
        <v>66</v>
      </c>
      <c r="Q19" s="77">
        <f t="shared" si="3"/>
        <v>66</v>
      </c>
      <c r="R19" s="20"/>
      <c r="S19" s="81">
        <f>Q19/Q26</f>
        <v>0.0007453962212</v>
      </c>
      <c r="T19" s="260" t="s">
        <v>82</v>
      </c>
      <c r="U19" s="35"/>
      <c r="W19" s="20"/>
      <c r="X19" s="89" t="s">
        <v>378</v>
      </c>
    </row>
    <row r="20">
      <c r="A20" s="73" t="s">
        <v>84</v>
      </c>
      <c r="B20" s="90" t="s">
        <v>85</v>
      </c>
      <c r="C20" s="75">
        <v>1.0</v>
      </c>
      <c r="D20" s="78">
        <v>1.8</v>
      </c>
      <c r="E20" s="77" t="s">
        <v>359</v>
      </c>
      <c r="F20" s="20"/>
      <c r="G20" s="77" t="s">
        <v>25</v>
      </c>
      <c r="H20" s="20"/>
      <c r="I20" s="78" t="s">
        <v>25</v>
      </c>
      <c r="J20" s="78">
        <v>3.11</v>
      </c>
      <c r="K20" s="78">
        <v>1.23</v>
      </c>
      <c r="L20" s="78">
        <v>1.0</v>
      </c>
      <c r="M20" s="78">
        <v>0.0</v>
      </c>
      <c r="N20" s="77">
        <f t="shared" si="1"/>
        <v>3.11</v>
      </c>
      <c r="O20" s="20"/>
      <c r="P20" s="78">
        <f t="shared" si="2"/>
        <v>5.598</v>
      </c>
      <c r="Q20" s="77">
        <f t="shared" si="3"/>
        <v>5.598</v>
      </c>
      <c r="R20" s="20"/>
      <c r="S20" s="81">
        <f>Q20/Q26</f>
        <v>0.00006322315221</v>
      </c>
      <c r="T20" s="264" t="s">
        <v>88</v>
      </c>
      <c r="U20" s="35"/>
      <c r="W20" s="20"/>
      <c r="X20" s="89" t="s">
        <v>378</v>
      </c>
    </row>
    <row r="21">
      <c r="A21" s="262" t="s">
        <v>223</v>
      </c>
      <c r="B21" s="265" t="s">
        <v>352</v>
      </c>
      <c r="C21" s="75">
        <v>1.0</v>
      </c>
      <c r="D21" s="78">
        <v>1.8</v>
      </c>
      <c r="E21" s="77" t="s">
        <v>404</v>
      </c>
      <c r="F21" s="20"/>
      <c r="G21" s="77" t="s">
        <v>405</v>
      </c>
      <c r="H21" s="20"/>
      <c r="I21" s="78" t="s">
        <v>25</v>
      </c>
      <c r="J21" s="78">
        <v>6.0</v>
      </c>
      <c r="K21" s="78">
        <v>0.0</v>
      </c>
      <c r="L21" s="78">
        <v>1.0</v>
      </c>
      <c r="M21" s="78">
        <v>0.0</v>
      </c>
      <c r="N21" s="77">
        <f t="shared" si="1"/>
        <v>6</v>
      </c>
      <c r="O21" s="20"/>
      <c r="P21" s="78">
        <f t="shared" si="2"/>
        <v>10.8</v>
      </c>
      <c r="Q21" s="77">
        <f t="shared" si="3"/>
        <v>10.8</v>
      </c>
      <c r="R21" s="20"/>
      <c r="S21" s="81">
        <f>Q21/Q26</f>
        <v>0.0001219739271</v>
      </c>
      <c r="T21" s="264" t="s">
        <v>88</v>
      </c>
      <c r="U21" s="35"/>
      <c r="W21" s="20"/>
      <c r="X21" s="89" t="s">
        <v>378</v>
      </c>
    </row>
    <row r="22">
      <c r="A22" s="278" t="s">
        <v>406</v>
      </c>
      <c r="B22" s="242" t="s">
        <v>272</v>
      </c>
      <c r="C22" s="104">
        <v>1.0</v>
      </c>
      <c r="D22" s="105">
        <v>11.1</v>
      </c>
      <c r="E22" s="106" t="s">
        <v>273</v>
      </c>
      <c r="F22" s="20"/>
      <c r="G22" s="106" t="s">
        <v>25</v>
      </c>
      <c r="H22" s="20"/>
      <c r="I22" s="105" t="s">
        <v>25</v>
      </c>
      <c r="J22" s="105">
        <v>0.0</v>
      </c>
      <c r="K22" s="105">
        <v>0.0</v>
      </c>
      <c r="L22" s="105">
        <v>0.0</v>
      </c>
      <c r="M22" s="105">
        <v>0.0</v>
      </c>
      <c r="N22" s="106">
        <f t="shared" si="1"/>
        <v>0</v>
      </c>
      <c r="O22" s="20"/>
      <c r="P22" s="105">
        <f t="shared" si="2"/>
        <v>0</v>
      </c>
      <c r="Q22" s="106">
        <f t="shared" si="3"/>
        <v>0</v>
      </c>
      <c r="R22" s="20"/>
      <c r="S22" s="108">
        <f>Q22/Q26</f>
        <v>0</v>
      </c>
      <c r="T22" s="227" t="s">
        <v>407</v>
      </c>
      <c r="U22" s="47" t="s">
        <v>408</v>
      </c>
      <c r="W22" s="20"/>
      <c r="X22" s="107" t="s">
        <v>409</v>
      </c>
    </row>
    <row r="23">
      <c r="A23" s="246" t="s">
        <v>206</v>
      </c>
      <c r="B23" s="103" t="s">
        <v>97</v>
      </c>
      <c r="C23" s="104">
        <v>4.0</v>
      </c>
      <c r="D23" s="105">
        <v>11.1</v>
      </c>
      <c r="E23" s="106" t="s">
        <v>98</v>
      </c>
      <c r="F23" s="20"/>
      <c r="G23" s="106" t="s">
        <v>25</v>
      </c>
      <c r="H23" s="20"/>
      <c r="I23" s="105" t="s">
        <v>25</v>
      </c>
      <c r="J23" s="105">
        <v>2586.0</v>
      </c>
      <c r="K23" s="105">
        <v>915.0</v>
      </c>
      <c r="L23" s="105">
        <v>0.5</v>
      </c>
      <c r="M23" s="105">
        <v>0.5</v>
      </c>
      <c r="N23" s="106">
        <f t="shared" si="1"/>
        <v>7002</v>
      </c>
      <c r="O23" s="20"/>
      <c r="P23" s="105">
        <f t="shared" si="2"/>
        <v>114818.4</v>
      </c>
      <c r="Q23" s="106">
        <f t="shared" si="3"/>
        <v>77722.2</v>
      </c>
      <c r="R23" s="20"/>
      <c r="S23" s="108">
        <f>Q23/Q26</f>
        <v>0.8777853664</v>
      </c>
      <c r="T23" s="109" t="s">
        <v>99</v>
      </c>
      <c r="U23" s="47" t="s">
        <v>410</v>
      </c>
      <c r="W23" s="20"/>
      <c r="X23" s="107" t="s">
        <v>378</v>
      </c>
      <c r="Y23" s="200" t="s">
        <v>314</v>
      </c>
    </row>
    <row r="24">
      <c r="A24" s="279" t="s">
        <v>411</v>
      </c>
      <c r="B24" s="280" t="s">
        <v>412</v>
      </c>
      <c r="C24" s="104">
        <v>1.0</v>
      </c>
      <c r="D24" s="105">
        <v>11.1</v>
      </c>
      <c r="E24" s="106" t="s">
        <v>413</v>
      </c>
      <c r="F24" s="20"/>
      <c r="G24" s="106" t="s">
        <v>25</v>
      </c>
      <c r="H24" s="20"/>
      <c r="I24" s="105" t="s">
        <v>25</v>
      </c>
      <c r="J24" s="105">
        <v>220.0</v>
      </c>
      <c r="K24" s="105">
        <v>0.0</v>
      </c>
      <c r="L24" s="105">
        <v>1.0</v>
      </c>
      <c r="M24" s="105">
        <v>0.0</v>
      </c>
      <c r="N24" s="106">
        <f t="shared" si="1"/>
        <v>220</v>
      </c>
      <c r="O24" s="20"/>
      <c r="P24" s="105">
        <f t="shared" si="2"/>
        <v>2442</v>
      </c>
      <c r="Q24" s="106">
        <f t="shared" si="3"/>
        <v>2442</v>
      </c>
      <c r="R24" s="20"/>
      <c r="S24" s="108">
        <f>Q24/Q26</f>
        <v>0.02757966018</v>
      </c>
      <c r="T24" s="227" t="s">
        <v>414</v>
      </c>
      <c r="U24" s="47" t="s">
        <v>415</v>
      </c>
      <c r="W24" s="20"/>
      <c r="X24" s="107" t="s">
        <v>409</v>
      </c>
    </row>
    <row r="25">
      <c r="A25" s="281" t="s">
        <v>315</v>
      </c>
      <c r="B25" s="111" t="s">
        <v>102</v>
      </c>
      <c r="C25" s="112">
        <v>4.0</v>
      </c>
      <c r="D25" s="114">
        <v>5.0</v>
      </c>
      <c r="E25" s="113" t="s">
        <v>103</v>
      </c>
      <c r="F25" s="66"/>
      <c r="G25" s="113" t="s">
        <v>25</v>
      </c>
      <c r="H25" s="66"/>
      <c r="I25" s="114" t="s">
        <v>25</v>
      </c>
      <c r="J25" s="114">
        <v>400.0</v>
      </c>
      <c r="K25" s="114">
        <v>1.0</v>
      </c>
      <c r="L25" s="114">
        <v>0.5</v>
      </c>
      <c r="M25" s="114">
        <v>0.0</v>
      </c>
      <c r="N25" s="113">
        <f t="shared" si="1"/>
        <v>800</v>
      </c>
      <c r="O25" s="66"/>
      <c r="P25" s="114">
        <f t="shared" si="2"/>
        <v>8000</v>
      </c>
      <c r="Q25" s="113">
        <f t="shared" si="3"/>
        <v>4000</v>
      </c>
      <c r="R25" s="66"/>
      <c r="S25" s="116">
        <f>Q25/Q26</f>
        <v>0.04517552856</v>
      </c>
      <c r="T25" s="249" t="s">
        <v>316</v>
      </c>
      <c r="U25" s="118" t="s">
        <v>416</v>
      </c>
      <c r="V25" s="72"/>
      <c r="W25" s="66"/>
      <c r="X25" s="115" t="s">
        <v>409</v>
      </c>
    </row>
    <row r="26">
      <c r="A26" s="119"/>
      <c r="B26" s="120"/>
      <c r="C26" s="121"/>
      <c r="D26" s="122">
        <v>11.1</v>
      </c>
      <c r="N26" s="124">
        <f>sum(N6:O25)</f>
        <v>9233.66</v>
      </c>
      <c r="O26" s="6"/>
      <c r="P26" s="282">
        <f>sum(P6:P25)</f>
        <v>129804.548</v>
      </c>
      <c r="Q26" s="124">
        <f>SUM(Q6:Q25)</f>
        <v>88543.513</v>
      </c>
      <c r="R26" s="6"/>
    </row>
    <row r="27">
      <c r="A27" s="125"/>
      <c r="C27" s="121"/>
      <c r="D27" s="9" t="s">
        <v>107</v>
      </c>
      <c r="N27" s="127" t="s">
        <v>108</v>
      </c>
      <c r="O27" s="72"/>
      <c r="P27" s="250" t="s">
        <v>417</v>
      </c>
      <c r="Q27" s="250" t="s">
        <v>109</v>
      </c>
      <c r="R27" s="66"/>
    </row>
    <row r="28">
      <c r="A28" s="128"/>
      <c r="B28" s="128"/>
      <c r="C28" s="125"/>
      <c r="D28" s="34"/>
    </row>
    <row r="29">
      <c r="A29" s="129" t="s">
        <v>418</v>
      </c>
      <c r="B29" s="130" t="s">
        <v>111</v>
      </c>
      <c r="C29" s="130" t="s">
        <v>419</v>
      </c>
      <c r="D29" s="131" t="s">
        <v>364</v>
      </c>
      <c r="E29" s="131" t="s">
        <v>114</v>
      </c>
      <c r="F29" s="132" t="s">
        <v>115</v>
      </c>
      <c r="G29" s="6"/>
      <c r="H29" s="132" t="s">
        <v>420</v>
      </c>
      <c r="I29" s="6"/>
      <c r="J29" s="132" t="s">
        <v>19</v>
      </c>
      <c r="K29" s="6"/>
      <c r="M29" s="29" t="s">
        <v>421</v>
      </c>
    </row>
    <row r="30">
      <c r="A30" s="138" t="s">
        <v>121</v>
      </c>
      <c r="B30" s="139">
        <v>4.0</v>
      </c>
      <c r="C30" s="140">
        <v>11.1</v>
      </c>
      <c r="D30" s="139">
        <v>0.0</v>
      </c>
      <c r="E30" s="139">
        <v>2806.0</v>
      </c>
      <c r="F30" s="140" t="s">
        <v>25</v>
      </c>
      <c r="G30" s="20"/>
      <c r="H30" s="140">
        <f t="shared" ref="H30:H34" si="4">C30*E30 + D30*E30</f>
        <v>31146.6</v>
      </c>
      <c r="I30" s="20"/>
      <c r="J30" s="143" t="s">
        <v>422</v>
      </c>
      <c r="K30" s="20"/>
      <c r="M30" s="35" t="s">
        <v>37</v>
      </c>
    </row>
    <row r="31">
      <c r="A31" s="138" t="s">
        <v>125</v>
      </c>
      <c r="B31" s="139">
        <v>3.0</v>
      </c>
      <c r="C31" s="140">
        <v>5.0</v>
      </c>
      <c r="D31" s="139">
        <v>0.0</v>
      </c>
      <c r="E31" s="139">
        <v>815.0</v>
      </c>
      <c r="F31" s="140" t="s">
        <v>25</v>
      </c>
      <c r="G31" s="20"/>
      <c r="H31" s="140">
        <f t="shared" si="4"/>
        <v>4075</v>
      </c>
      <c r="I31" s="20"/>
      <c r="J31" s="143" t="s">
        <v>422</v>
      </c>
      <c r="K31" s="20"/>
      <c r="M31" s="47" t="s">
        <v>423</v>
      </c>
    </row>
    <row r="32">
      <c r="A32" s="138" t="s">
        <v>129</v>
      </c>
      <c r="B32" s="139">
        <v>10.0</v>
      </c>
      <c r="C32" s="140">
        <v>3.3</v>
      </c>
      <c r="D32" s="139">
        <v>1.7</v>
      </c>
      <c r="E32" s="139">
        <v>470.0</v>
      </c>
      <c r="F32" s="140">
        <v>800.0</v>
      </c>
      <c r="G32" s="20"/>
      <c r="H32" s="140">
        <f t="shared" si="4"/>
        <v>2350</v>
      </c>
      <c r="I32" s="20"/>
      <c r="J32" s="143" t="s">
        <v>424</v>
      </c>
      <c r="K32" s="20"/>
      <c r="M32" s="14" t="s">
        <v>21</v>
      </c>
    </row>
    <row r="33">
      <c r="A33" s="138" t="s">
        <v>260</v>
      </c>
      <c r="B33" s="139">
        <v>2.0</v>
      </c>
      <c r="C33" s="140">
        <v>2.8</v>
      </c>
      <c r="D33" s="139">
        <v>2.2</v>
      </c>
      <c r="E33" s="139">
        <v>27.0</v>
      </c>
      <c r="F33" s="140">
        <v>800.0</v>
      </c>
      <c r="G33" s="20"/>
      <c r="H33" s="140">
        <f t="shared" si="4"/>
        <v>135</v>
      </c>
      <c r="I33" s="20"/>
      <c r="J33" s="143" t="s">
        <v>425</v>
      </c>
      <c r="K33" s="20"/>
    </row>
    <row r="34">
      <c r="A34" s="154" t="s">
        <v>300</v>
      </c>
      <c r="B34" s="155">
        <v>2.0</v>
      </c>
      <c r="C34" s="156">
        <v>1.8</v>
      </c>
      <c r="D34" s="155">
        <v>3.2</v>
      </c>
      <c r="E34" s="266">
        <v>260.0</v>
      </c>
      <c r="F34" s="266">
        <v>800.0</v>
      </c>
      <c r="G34" s="66"/>
      <c r="H34" s="155">
        <f t="shared" si="4"/>
        <v>1300</v>
      </c>
      <c r="I34" s="66"/>
      <c r="J34" s="267" t="s">
        <v>426</v>
      </c>
      <c r="K34" s="66"/>
    </row>
    <row r="35">
      <c r="H35" s="152"/>
    </row>
  </sheetData>
  <mergeCells count="153">
    <mergeCell ref="Q11:R11"/>
    <mergeCell ref="Q12:R12"/>
    <mergeCell ref="Q3:R3"/>
    <mergeCell ref="Q4:R4"/>
    <mergeCell ref="Q6:R6"/>
    <mergeCell ref="Q7:R7"/>
    <mergeCell ref="Q8:R8"/>
    <mergeCell ref="Q9:R9"/>
    <mergeCell ref="Q10:R10"/>
    <mergeCell ref="N11:O11"/>
    <mergeCell ref="N12:O12"/>
    <mergeCell ref="N13:O13"/>
    <mergeCell ref="Q13:R13"/>
    <mergeCell ref="N14:O14"/>
    <mergeCell ref="Q14:R14"/>
    <mergeCell ref="Q15:R15"/>
    <mergeCell ref="N22:O22"/>
    <mergeCell ref="N23:O23"/>
    <mergeCell ref="N24:O24"/>
    <mergeCell ref="N25:O25"/>
    <mergeCell ref="N26:O26"/>
    <mergeCell ref="N27:O27"/>
    <mergeCell ref="N15:O15"/>
    <mergeCell ref="N16:O16"/>
    <mergeCell ref="N17:O17"/>
    <mergeCell ref="N18:O18"/>
    <mergeCell ref="N19:O19"/>
    <mergeCell ref="N20:O20"/>
    <mergeCell ref="N21:O21"/>
    <mergeCell ref="Q23:R23"/>
    <mergeCell ref="Q24:R24"/>
    <mergeCell ref="Q25:R25"/>
    <mergeCell ref="Q26:R26"/>
    <mergeCell ref="Q27:R27"/>
    <mergeCell ref="Q16:R16"/>
    <mergeCell ref="Q17:R17"/>
    <mergeCell ref="Q18:R18"/>
    <mergeCell ref="Q19:R19"/>
    <mergeCell ref="Q20:R20"/>
    <mergeCell ref="Q21:R21"/>
    <mergeCell ref="Q22:R22"/>
    <mergeCell ref="U24:W24"/>
    <mergeCell ref="U25:W25"/>
    <mergeCell ref="U18:W18"/>
    <mergeCell ref="U19:W19"/>
    <mergeCell ref="U20:W20"/>
    <mergeCell ref="U21:W21"/>
    <mergeCell ref="U22:W22"/>
    <mergeCell ref="U23:W23"/>
    <mergeCell ref="Y23:AA23"/>
    <mergeCell ref="U2:W2"/>
    <mergeCell ref="Y2:Z2"/>
    <mergeCell ref="E1:F1"/>
    <mergeCell ref="G1:H1"/>
    <mergeCell ref="L1:M1"/>
    <mergeCell ref="E2:F2"/>
    <mergeCell ref="G2:H2"/>
    <mergeCell ref="N2:O2"/>
    <mergeCell ref="Q2:R2"/>
    <mergeCell ref="Y3:Z3"/>
    <mergeCell ref="Y4:Z4"/>
    <mergeCell ref="Y5:Z5"/>
    <mergeCell ref="Y6:Z6"/>
    <mergeCell ref="Y7:Z7"/>
    <mergeCell ref="Y9:Z9"/>
    <mergeCell ref="Y10:Z10"/>
    <mergeCell ref="E3:F3"/>
    <mergeCell ref="G3:H3"/>
    <mergeCell ref="N3:O3"/>
    <mergeCell ref="U3:W3"/>
    <mergeCell ref="G4:H4"/>
    <mergeCell ref="G5:H5"/>
    <mergeCell ref="Q5:R5"/>
    <mergeCell ref="N4:O4"/>
    <mergeCell ref="N5:O5"/>
    <mergeCell ref="N6:O6"/>
    <mergeCell ref="N7:O7"/>
    <mergeCell ref="N8:O8"/>
    <mergeCell ref="N9:O9"/>
    <mergeCell ref="N10:O10"/>
    <mergeCell ref="U4:W4"/>
    <mergeCell ref="U5:W5"/>
    <mergeCell ref="U6:W6"/>
    <mergeCell ref="U7:W7"/>
    <mergeCell ref="U8:W8"/>
    <mergeCell ref="U9:W9"/>
    <mergeCell ref="U10:W10"/>
    <mergeCell ref="U11:W11"/>
    <mergeCell ref="U12:W12"/>
    <mergeCell ref="U13:W13"/>
    <mergeCell ref="U14:W14"/>
    <mergeCell ref="U15:W15"/>
    <mergeCell ref="U16:W16"/>
    <mergeCell ref="U17:W17"/>
    <mergeCell ref="G24:H24"/>
    <mergeCell ref="G25:H25"/>
    <mergeCell ref="F29:G29"/>
    <mergeCell ref="H29:I29"/>
    <mergeCell ref="J29:K29"/>
    <mergeCell ref="H30:I30"/>
    <mergeCell ref="J30:K30"/>
    <mergeCell ref="J33:K33"/>
    <mergeCell ref="J34:K34"/>
    <mergeCell ref="F30:G30"/>
    <mergeCell ref="F31:G31"/>
    <mergeCell ref="H31:I31"/>
    <mergeCell ref="J31:K31"/>
    <mergeCell ref="F32:G32"/>
    <mergeCell ref="H32:I32"/>
    <mergeCell ref="J32:K32"/>
    <mergeCell ref="E6:F6"/>
    <mergeCell ref="G6:H6"/>
    <mergeCell ref="E7:F7"/>
    <mergeCell ref="G7:H7"/>
    <mergeCell ref="E8:F8"/>
    <mergeCell ref="G8:H8"/>
    <mergeCell ref="G9:H9"/>
    <mergeCell ref="E9:F9"/>
    <mergeCell ref="E10:F10"/>
    <mergeCell ref="E11:F11"/>
    <mergeCell ref="E12:F12"/>
    <mergeCell ref="E13:F13"/>
    <mergeCell ref="E14:F14"/>
    <mergeCell ref="E15:F15"/>
    <mergeCell ref="G10:H10"/>
    <mergeCell ref="G11:H11"/>
    <mergeCell ref="G12:H12"/>
    <mergeCell ref="G13:H13"/>
    <mergeCell ref="G14:H14"/>
    <mergeCell ref="G15:H15"/>
    <mergeCell ref="G16:H16"/>
    <mergeCell ref="E23:F23"/>
    <mergeCell ref="E24:F24"/>
    <mergeCell ref="E25:F25"/>
    <mergeCell ref="E16:F16"/>
    <mergeCell ref="E17:F17"/>
    <mergeCell ref="E18:F18"/>
    <mergeCell ref="E19:F19"/>
    <mergeCell ref="E20:F20"/>
    <mergeCell ref="E21:F21"/>
    <mergeCell ref="E22:F22"/>
    <mergeCell ref="G17:H17"/>
    <mergeCell ref="G18:H18"/>
    <mergeCell ref="G19:H19"/>
    <mergeCell ref="G20:H20"/>
    <mergeCell ref="G21:H21"/>
    <mergeCell ref="G22:H22"/>
    <mergeCell ref="G23:H23"/>
    <mergeCell ref="F33:G33"/>
    <mergeCell ref="H33:I33"/>
    <mergeCell ref="F34:G34"/>
    <mergeCell ref="H34:I34"/>
    <mergeCell ref="H35:I35"/>
  </mergeCells>
  <hyperlinks>
    <hyperlink r:id="rId1" ref="T3"/>
    <hyperlink r:id="rId2" ref="T4"/>
    <hyperlink r:id="rId3" ref="T5"/>
    <hyperlink r:id="rId4" ref="T6"/>
    <hyperlink r:id="rId5" ref="T7"/>
    <hyperlink r:id="rId6" ref="T8"/>
    <hyperlink r:id="rId7" ref="T9"/>
    <hyperlink r:id="rId8" ref="T10"/>
    <hyperlink r:id="rId9" ref="T11"/>
    <hyperlink r:id="rId10" ref="T12"/>
    <hyperlink r:id="rId11" ref="T13"/>
    <hyperlink r:id="rId12" ref="T14"/>
    <hyperlink r:id="rId13" ref="T15"/>
    <hyperlink r:id="rId14" ref="T16"/>
    <hyperlink r:id="rId15" ref="T17"/>
    <hyperlink r:id="rId16" ref="T18"/>
    <hyperlink r:id="rId17" ref="T19"/>
    <hyperlink r:id="rId18" ref="T20"/>
    <hyperlink r:id="rId19" ref="T21"/>
    <hyperlink r:id="rId20" ref="T22"/>
    <hyperlink r:id="rId21" ref="T23"/>
    <hyperlink r:id="rId22" location=":~:text=If%20you%20want%20your%20model,and%20I%20is%20the%20current." ref="Y23"/>
    <hyperlink r:id="rId23" ref="T24"/>
    <hyperlink r:id="rId24" ref="T25"/>
  </hyperlinks>
  <drawing r:id="rId25"/>
</worksheet>
</file>